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hna Putri\Sahna\PDN\##DATA BESAR\"/>
    </mc:Choice>
  </mc:AlternateContent>
  <bookViews>
    <workbookView xWindow="0" yWindow="0" windowWidth="15360" windowHeight="7605" firstSheet="2" activeTab="7"/>
  </bookViews>
  <sheets>
    <sheet name="Kemhan-TNI" sheetId="1" r:id="rId1"/>
    <sheet name="MAINAN GUE" sheetId="3" r:id="rId2"/>
    <sheet name="MAINAN GUE 2" sheetId="8" r:id="rId3"/>
    <sheet name="Sheet7" sheetId="14" r:id="rId4"/>
    <sheet name="Polri" sheetId="2" r:id="rId5"/>
    <sheet name="Sheet2" sheetId="5" r:id="rId6"/>
    <sheet name="Sheet6" sheetId="13" r:id="rId7"/>
    <sheet name="Sheet8" sheetId="15" r:id="rId8"/>
    <sheet name="Sheet3" sheetId="6" r:id="rId9"/>
    <sheet name="Sheet4" sheetId="7" r:id="rId10"/>
    <sheet name="Sandingan Usulan Tambahan" sheetId="9" r:id="rId11"/>
    <sheet name="Tidak ada di DKPDN" sheetId="10" r:id="rId12"/>
    <sheet name="Sheet1" sheetId="11" r:id="rId13"/>
    <sheet name="Sheet5" sheetId="12" r:id="rId14"/>
  </sheets>
  <definedNames>
    <definedName name="_xlnm._FilterDatabase" localSheetId="1" hidden="1">'MAINAN GUE'!$A$115:$Y$115</definedName>
    <definedName name="_xlnm._FilterDatabase" localSheetId="2" hidden="1">'MAINAN GUE 2'!$B$5:$AC$6</definedName>
    <definedName name="_xlnm.Print_Area" localSheetId="0">'Kemhan-TNI'!$A$2:$Z$120</definedName>
    <definedName name="_xlnm.Print_Area" localSheetId="4">Polri!$A$1:$Q$57</definedName>
    <definedName name="_xlnm.Print_Titles" localSheetId="0">'Kemhan-TNI'!$5:$8</definedName>
    <definedName name="_xlnm.Print_Titles" localSheetId="4">Polri!$3:$6</definedName>
  </definedNames>
  <calcPr calcId="152511"/>
</workbook>
</file>

<file path=xl/calcChain.xml><?xml version="1.0" encoding="utf-8"?>
<calcChain xmlns="http://schemas.openxmlformats.org/spreadsheetml/2006/main">
  <c r="C45" i="15" l="1"/>
  <c r="D45" i="15"/>
  <c r="E45" i="15"/>
  <c r="B45" i="15"/>
  <c r="E44" i="15"/>
  <c r="E43" i="15"/>
  <c r="E42" i="15"/>
  <c r="E41" i="15"/>
  <c r="D44" i="15"/>
  <c r="D43" i="15"/>
  <c r="D41" i="15"/>
  <c r="D42" i="15"/>
  <c r="C44" i="15"/>
  <c r="C43" i="15"/>
  <c r="C42" i="15"/>
  <c r="C41" i="15"/>
  <c r="B44" i="15"/>
  <c r="B43" i="15"/>
  <c r="B42" i="15"/>
  <c r="B41" i="15"/>
  <c r="C35" i="15"/>
  <c r="C34" i="15"/>
  <c r="C33" i="15"/>
  <c r="C36" i="15" s="1"/>
  <c r="C32" i="15"/>
  <c r="D34" i="15"/>
  <c r="D33" i="15"/>
  <c r="D32" i="15"/>
  <c r="D36" i="15"/>
  <c r="B33" i="15"/>
  <c r="B32" i="15"/>
  <c r="B36" i="15" s="1"/>
  <c r="E31" i="15"/>
  <c r="E35" i="15" s="1"/>
  <c r="C27" i="15"/>
  <c r="D27" i="15"/>
  <c r="B27" i="15"/>
  <c r="E25" i="15"/>
  <c r="E26" i="15"/>
  <c r="E22" i="15"/>
  <c r="E23" i="15"/>
  <c r="E24" i="15"/>
  <c r="E21" i="15"/>
  <c r="C16" i="15"/>
  <c r="D16" i="15"/>
  <c r="B16" i="15"/>
  <c r="E11" i="15"/>
  <c r="E12" i="15"/>
  <c r="E13" i="15"/>
  <c r="E14" i="15"/>
  <c r="E15" i="15"/>
  <c r="E10" i="15"/>
  <c r="E16" i="15" l="1"/>
  <c r="E32" i="15"/>
  <c r="E36" i="15" s="1"/>
  <c r="E34" i="15"/>
  <c r="E27" i="15"/>
  <c r="E33" i="15"/>
  <c r="E45" i="5"/>
  <c r="F45" i="5"/>
  <c r="D45" i="5"/>
  <c r="E39" i="5"/>
  <c r="F39" i="5"/>
  <c r="D39" i="5"/>
  <c r="D32" i="5"/>
  <c r="F32" i="5"/>
  <c r="E32" i="5"/>
  <c r="H51" i="5"/>
  <c r="F51" i="5"/>
  <c r="E51" i="5"/>
  <c r="Y64" i="8"/>
  <c r="Y63" i="8"/>
  <c r="Y62" i="8"/>
  <c r="W64" i="8"/>
  <c r="W63" i="8"/>
  <c r="W62" i="8"/>
  <c r="W58" i="8"/>
  <c r="D51" i="5"/>
  <c r="G32" i="5"/>
  <c r="L63" i="8"/>
  <c r="F50" i="5"/>
  <c r="E50" i="5"/>
  <c r="D50" i="5"/>
  <c r="C50" i="5"/>
  <c r="E49" i="5"/>
  <c r="G45" i="5"/>
  <c r="C45" i="5"/>
  <c r="C51" i="5" s="1"/>
  <c r="H46" i="5"/>
  <c r="H44" i="5"/>
  <c r="F43" i="5"/>
  <c r="H43" i="5" s="1"/>
  <c r="H41" i="5"/>
  <c r="G40" i="5"/>
  <c r="H38" i="5"/>
  <c r="D38" i="5"/>
  <c r="H37" i="5"/>
  <c r="D37" i="5"/>
  <c r="H36" i="5"/>
  <c r="H35" i="5"/>
  <c r="H33" i="5"/>
  <c r="Z64" i="8"/>
  <c r="AA64" i="8"/>
  <c r="Z63" i="8"/>
  <c r="AA63" i="8"/>
  <c r="Z62" i="8"/>
  <c r="M63" i="8"/>
  <c r="N63" i="8"/>
  <c r="J63" i="8"/>
  <c r="M62" i="8"/>
  <c r="L62" i="8"/>
  <c r="J62" i="8"/>
  <c r="H63" i="8"/>
  <c r="G63" i="8"/>
  <c r="E63" i="8"/>
  <c r="I62" i="8"/>
  <c r="H62" i="8"/>
  <c r="G62" i="8"/>
  <c r="E62" i="8"/>
  <c r="H50" i="5" l="1"/>
  <c r="G34" i="5"/>
  <c r="G33" i="5"/>
  <c r="H34" i="5"/>
  <c r="H32" i="5" s="1"/>
  <c r="H40" i="5"/>
  <c r="G41" i="5"/>
  <c r="H42" i="5"/>
  <c r="H47" i="5"/>
  <c r="H48" i="5"/>
  <c r="H49" i="5"/>
  <c r="G39" i="5"/>
  <c r="H45" i="5" l="1"/>
  <c r="G51" i="5"/>
  <c r="H39" i="5"/>
  <c r="C9" i="11" l="1"/>
  <c r="C15" i="11"/>
  <c r="C14" i="11"/>
  <c r="E18" i="11"/>
  <c r="E17" i="11"/>
  <c r="E16" i="11"/>
  <c r="E15" i="11"/>
  <c r="E14" i="11"/>
  <c r="D18" i="11"/>
  <c r="D17" i="11"/>
  <c r="D16" i="11"/>
  <c r="D15" i="11"/>
  <c r="D14" i="11"/>
  <c r="C18" i="11"/>
  <c r="C17" i="11"/>
  <c r="C16" i="11"/>
  <c r="D143" i="9" l="1"/>
  <c r="E143" i="9"/>
  <c r="F143" i="9"/>
  <c r="G143" i="9"/>
  <c r="H143" i="9"/>
  <c r="I143" i="9"/>
  <c r="J143" i="9"/>
  <c r="K143" i="9"/>
  <c r="M115" i="9"/>
  <c r="M143" i="9" s="1"/>
  <c r="L115" i="9"/>
  <c r="L143" i="9" s="1"/>
  <c r="E112" i="9"/>
  <c r="F112" i="9"/>
  <c r="G112" i="9"/>
  <c r="H112" i="9"/>
  <c r="L108" i="9"/>
  <c r="M108" i="9"/>
  <c r="L103" i="9"/>
  <c r="M103" i="9"/>
  <c r="L100" i="9"/>
  <c r="M100" i="9"/>
  <c r="L97" i="9"/>
  <c r="M97" i="9"/>
  <c r="L93" i="9"/>
  <c r="L112" i="9" s="1"/>
  <c r="M93" i="9"/>
  <c r="M112" i="9" s="1"/>
  <c r="K108" i="9"/>
  <c r="K103" i="9"/>
  <c r="K100" i="9"/>
  <c r="K97" i="9"/>
  <c r="K93" i="9"/>
  <c r="J108" i="9"/>
  <c r="J103" i="9"/>
  <c r="J100" i="9"/>
  <c r="J97" i="9"/>
  <c r="J93" i="9"/>
  <c r="J112" i="9" s="1"/>
  <c r="K112" i="9" l="1"/>
  <c r="L144" i="9"/>
  <c r="M144" i="9"/>
  <c r="O104" i="9"/>
  <c r="R104" i="9" s="1"/>
  <c r="O101" i="9"/>
  <c r="R101" i="9" s="1"/>
  <c r="O95" i="9"/>
  <c r="R95" i="9" s="1"/>
  <c r="O96" i="9"/>
  <c r="O97" i="9"/>
  <c r="O98" i="9"/>
  <c r="R98" i="9" s="1"/>
  <c r="O99" i="9"/>
  <c r="R99" i="9" s="1"/>
  <c r="O100" i="9"/>
  <c r="O94" i="9"/>
  <c r="R94" i="9" s="1"/>
  <c r="I110" i="9"/>
  <c r="I103" i="9"/>
  <c r="I100" i="9"/>
  <c r="I97" i="9"/>
  <c r="I88" i="9"/>
  <c r="I85" i="9"/>
  <c r="I80" i="9"/>
  <c r="I74" i="9"/>
  <c r="I71" i="9"/>
  <c r="I68" i="9"/>
  <c r="I62" i="9"/>
  <c r="I57" i="9"/>
  <c r="I54" i="9"/>
  <c r="I48" i="9"/>
  <c r="I45" i="9"/>
  <c r="I42" i="9"/>
  <c r="I37" i="9"/>
  <c r="I34" i="9"/>
  <c r="I27" i="9"/>
  <c r="I23" i="9"/>
  <c r="I19" i="9"/>
  <c r="I11" i="9"/>
  <c r="D108" i="9"/>
  <c r="D103" i="9"/>
  <c r="D100" i="9"/>
  <c r="D97" i="9"/>
  <c r="D93" i="9"/>
  <c r="D88" i="9"/>
  <c r="D85" i="9"/>
  <c r="D80" i="9"/>
  <c r="D74" i="9"/>
  <c r="D71" i="9"/>
  <c r="D68" i="9"/>
  <c r="D62" i="9"/>
  <c r="D57" i="9"/>
  <c r="D54" i="9"/>
  <c r="D48" i="9"/>
  <c r="D45" i="9"/>
  <c r="D42" i="9"/>
  <c r="D37" i="9"/>
  <c r="D34" i="9"/>
  <c r="D27" i="9"/>
  <c r="D23" i="9"/>
  <c r="D19" i="9"/>
  <c r="D11" i="9"/>
  <c r="N90" i="3"/>
  <c r="X90" i="3"/>
  <c r="Y90" i="3"/>
  <c r="D112" i="9" l="1"/>
  <c r="I66" i="9"/>
  <c r="I9" i="9"/>
  <c r="I32" i="9"/>
  <c r="D66" i="9"/>
  <c r="D9" i="9"/>
  <c r="D32" i="9"/>
  <c r="D92" i="9"/>
  <c r="F9" i="7"/>
  <c r="F8" i="7"/>
  <c r="E10" i="7"/>
  <c r="D10" i="7"/>
  <c r="B10" i="7"/>
  <c r="G8" i="7"/>
  <c r="D7" i="9" l="1"/>
  <c r="F10" i="7"/>
  <c r="G9" i="7"/>
  <c r="G10" i="7" s="1"/>
  <c r="AA48" i="8" l="1"/>
  <c r="AA40" i="8"/>
  <c r="AA23" i="8"/>
  <c r="N28" i="8"/>
  <c r="N62" i="8" s="1"/>
  <c r="J58" i="8"/>
  <c r="E58" i="8"/>
  <c r="AB56" i="8"/>
  <c r="O56" i="8"/>
  <c r="U56" i="8" s="1"/>
  <c r="AB55" i="8"/>
  <c r="O55" i="8"/>
  <c r="U55" i="8" s="1"/>
  <c r="AB54" i="8"/>
  <c r="O54" i="8"/>
  <c r="U54" i="8" s="1"/>
  <c r="AE52" i="8"/>
  <c r="D53" i="8"/>
  <c r="AB51" i="8"/>
  <c r="O51" i="8"/>
  <c r="D50" i="8"/>
  <c r="AB48" i="8"/>
  <c r="O48" i="8"/>
  <c r="P48" i="8" s="1"/>
  <c r="AB47" i="8"/>
  <c r="O47" i="8"/>
  <c r="P47" i="8" s="1"/>
  <c r="AB46" i="8"/>
  <c r="O46" i="8"/>
  <c r="P46" i="8" s="1"/>
  <c r="AB45" i="8"/>
  <c r="O45" i="8"/>
  <c r="P45" i="8" s="1"/>
  <c r="AB44" i="8"/>
  <c r="O44" i="8"/>
  <c r="P44" i="8" s="1"/>
  <c r="D43" i="8"/>
  <c r="AB41" i="8"/>
  <c r="O41" i="8"/>
  <c r="AB40" i="8"/>
  <c r="O40" i="8"/>
  <c r="AB39" i="8"/>
  <c r="O39" i="8"/>
  <c r="AB38" i="8"/>
  <c r="O38" i="8"/>
  <c r="AB37" i="8"/>
  <c r="O37" i="8"/>
  <c r="D36" i="8"/>
  <c r="AB34" i="8"/>
  <c r="O34" i="8"/>
  <c r="P34" i="8" s="1"/>
  <c r="AB33" i="8"/>
  <c r="O33" i="8"/>
  <c r="P33" i="8" s="1"/>
  <c r="AB32" i="8"/>
  <c r="O32" i="8"/>
  <c r="P32" i="8" s="1"/>
  <c r="D31" i="8"/>
  <c r="AB29" i="8"/>
  <c r="O29" i="8"/>
  <c r="AB28" i="8"/>
  <c r="O28" i="8"/>
  <c r="D27" i="8"/>
  <c r="AB25" i="8"/>
  <c r="O25" i="8"/>
  <c r="AB24" i="8"/>
  <c r="O24" i="8"/>
  <c r="P24" i="8" s="1"/>
  <c r="AB23" i="8"/>
  <c r="O23" i="8"/>
  <c r="D22" i="8"/>
  <c r="AB20" i="8"/>
  <c r="O20" i="8"/>
  <c r="AB19" i="8"/>
  <c r="O19" i="8"/>
  <c r="AB18" i="8"/>
  <c r="O18" i="8"/>
  <c r="AB17" i="8"/>
  <c r="O17" i="8"/>
  <c r="AB16" i="8"/>
  <c r="O16" i="8"/>
  <c r="AB15" i="8"/>
  <c r="O15" i="8"/>
  <c r="AB14" i="8"/>
  <c r="O14" i="8"/>
  <c r="P14" i="8" s="1"/>
  <c r="AB13" i="8"/>
  <c r="O13" i="8"/>
  <c r="P13" i="8" s="1"/>
  <c r="D12" i="8"/>
  <c r="AB10" i="8"/>
  <c r="O10" i="8"/>
  <c r="AB9" i="8"/>
  <c r="O9" i="8"/>
  <c r="D8" i="8"/>
  <c r="AA62" i="8" l="1"/>
  <c r="AB58" i="8"/>
  <c r="P23" i="8"/>
  <c r="Q23" i="8" s="1"/>
  <c r="P25" i="8"/>
  <c r="Q25" i="8" s="1"/>
  <c r="R25" i="8" s="1"/>
  <c r="Q45" i="8"/>
  <c r="R45" i="8" s="1"/>
  <c r="O58" i="8"/>
  <c r="J61" i="8" s="1"/>
  <c r="Q33" i="8"/>
  <c r="Q13" i="8"/>
  <c r="Q47" i="8"/>
  <c r="R47" i="8" s="1"/>
  <c r="R13" i="8"/>
  <c r="P16" i="8"/>
  <c r="Q16" i="8" s="1"/>
  <c r="P18" i="8"/>
  <c r="Q18" i="8" s="1"/>
  <c r="P20" i="8"/>
  <c r="P28" i="8"/>
  <c r="Q28" i="8" s="1"/>
  <c r="R28" i="8" s="1"/>
  <c r="R33" i="8"/>
  <c r="S33" i="8" s="1"/>
  <c r="P38" i="8"/>
  <c r="Q38" i="8" s="1"/>
  <c r="P40" i="8"/>
  <c r="Q40" i="8" s="1"/>
  <c r="D58" i="8"/>
  <c r="P9" i="8"/>
  <c r="Q9" i="8" s="1"/>
  <c r="P10" i="8"/>
  <c r="Q14" i="8"/>
  <c r="R14" i="8" s="1"/>
  <c r="P15" i="8"/>
  <c r="P17" i="8"/>
  <c r="P19" i="8"/>
  <c r="Q20" i="8"/>
  <c r="Q24" i="8"/>
  <c r="P29" i="8"/>
  <c r="Q32" i="8"/>
  <c r="Q34" i="8"/>
  <c r="R34" i="8" s="1"/>
  <c r="P37" i="8"/>
  <c r="P39" i="8"/>
  <c r="P41" i="8"/>
  <c r="Q44" i="8"/>
  <c r="R44" i="8" s="1"/>
  <c r="Q46" i="8"/>
  <c r="Q48" i="8"/>
  <c r="R48" i="8" s="1"/>
  <c r="P51" i="8"/>
  <c r="W61" i="8"/>
  <c r="G4" i="7"/>
  <c r="G3" i="7"/>
  <c r="G5" i="7" s="1"/>
  <c r="F5" i="7"/>
  <c r="C5" i="7"/>
  <c r="D5" i="7"/>
  <c r="E5" i="7"/>
  <c r="B5" i="7"/>
  <c r="AB61" i="8" l="1"/>
  <c r="S25" i="8"/>
  <c r="S45" i="8"/>
  <c r="R23" i="8"/>
  <c r="S23" i="8" s="1"/>
  <c r="S47" i="8"/>
  <c r="T25" i="8"/>
  <c r="U25" i="8" s="1"/>
  <c r="S34" i="8"/>
  <c r="T34" i="8" s="1"/>
  <c r="U34" i="8" s="1"/>
  <c r="R9" i="8"/>
  <c r="S9" i="8" s="1"/>
  <c r="Q51" i="8"/>
  <c r="R51" i="8" s="1"/>
  <c r="Q41" i="8"/>
  <c r="Q37" i="8"/>
  <c r="R37" i="8" s="1"/>
  <c r="Q17" i="8"/>
  <c r="T45" i="8"/>
  <c r="U45" i="8" s="1"/>
  <c r="S13" i="8"/>
  <c r="T13" i="8" s="1"/>
  <c r="U13" i="8" s="1"/>
  <c r="R46" i="8"/>
  <c r="S46" i="8" s="1"/>
  <c r="R41" i="8"/>
  <c r="Q39" i="8"/>
  <c r="R32" i="8"/>
  <c r="Q29" i="8"/>
  <c r="R24" i="8"/>
  <c r="Q19" i="8"/>
  <c r="R17" i="8"/>
  <c r="Q15" i="8"/>
  <c r="P58" i="8"/>
  <c r="S48" i="8"/>
  <c r="S44" i="8"/>
  <c r="R40" i="8"/>
  <c r="R38" i="8"/>
  <c r="S38" i="8" s="1"/>
  <c r="S28" i="8"/>
  <c r="T28" i="8" s="1"/>
  <c r="R20" i="8"/>
  <c r="R18" i="8"/>
  <c r="S18" i="8" s="1"/>
  <c r="R16" i="8"/>
  <c r="Q10" i="8"/>
  <c r="T47" i="8"/>
  <c r="U47" i="8" s="1"/>
  <c r="S14" i="8"/>
  <c r="T14" i="8" s="1"/>
  <c r="T33" i="8"/>
  <c r="U33" i="8" s="1"/>
  <c r="T23" i="8" l="1"/>
  <c r="U23" i="8" s="1"/>
  <c r="Q58" i="8"/>
  <c r="R10" i="8"/>
  <c r="R15" i="8"/>
  <c r="R39" i="8"/>
  <c r="S39" i="8" s="1"/>
  <c r="S24" i="8"/>
  <c r="U14" i="8"/>
  <c r="S41" i="8"/>
  <c r="T46" i="8"/>
  <c r="U46" i="8" s="1"/>
  <c r="U28" i="8"/>
  <c r="S10" i="8"/>
  <c r="R19" i="8"/>
  <c r="R29" i="8"/>
  <c r="S15" i="8"/>
  <c r="T15" i="8" s="1"/>
  <c r="T18" i="8"/>
  <c r="U18" i="8" s="1"/>
  <c r="S19" i="8"/>
  <c r="T38" i="8"/>
  <c r="U38" i="8" s="1"/>
  <c r="T44" i="8"/>
  <c r="U44" i="8" s="1"/>
  <c r="T48" i="8"/>
  <c r="U48" i="8" s="1"/>
  <c r="S16" i="8"/>
  <c r="S20" i="8"/>
  <c r="T20" i="8" s="1"/>
  <c r="S32" i="8"/>
  <c r="S40" i="8"/>
  <c r="T16" i="8"/>
  <c r="S17" i="8"/>
  <c r="T17" i="8" s="1"/>
  <c r="T24" i="8"/>
  <c r="S37" i="8"/>
  <c r="T37" i="8" s="1"/>
  <c r="T41" i="8"/>
  <c r="S51" i="8"/>
  <c r="T9" i="8"/>
  <c r="T10" i="8" l="1"/>
  <c r="U10" i="8" s="1"/>
  <c r="R58" i="8"/>
  <c r="U41" i="8"/>
  <c r="U24" i="8"/>
  <c r="U16" i="8"/>
  <c r="U17" i="8"/>
  <c r="T40" i="8"/>
  <c r="U40" i="8" s="1"/>
  <c r="T32" i="8"/>
  <c r="U32" i="8" s="1"/>
  <c r="U37" i="8"/>
  <c r="U20" i="8"/>
  <c r="U9" i="8"/>
  <c r="S29" i="8"/>
  <c r="S58" i="8" s="1"/>
  <c r="T19" i="8"/>
  <c r="U19" i="8" s="1"/>
  <c r="T51" i="8"/>
  <c r="U51" i="8" s="1"/>
  <c r="T39" i="8"/>
  <c r="U39" i="8" s="1"/>
  <c r="U15" i="8"/>
  <c r="T29" i="8" l="1"/>
  <c r="U29" i="8" s="1"/>
  <c r="U58" i="8" s="1"/>
  <c r="T58" i="8" l="1"/>
  <c r="H18" i="5" l="1"/>
  <c r="H9" i="5"/>
  <c r="H10" i="5"/>
  <c r="H11" i="5"/>
  <c r="H12" i="5"/>
  <c r="F21" i="5"/>
  <c r="F20" i="5"/>
  <c r="E21" i="5"/>
  <c r="E20" i="5"/>
  <c r="D21" i="5"/>
  <c r="D20" i="5"/>
  <c r="O117" i="3"/>
  <c r="D23" i="5" s="1"/>
  <c r="O118" i="3"/>
  <c r="D22" i="5" s="1"/>
  <c r="O119" i="3"/>
  <c r="D24" i="5" s="1"/>
  <c r="C24" i="5"/>
  <c r="C22" i="5"/>
  <c r="C21" i="5"/>
  <c r="C20" i="5"/>
  <c r="C23" i="5"/>
  <c r="F17" i="5"/>
  <c r="H17" i="5" s="1"/>
  <c r="D17" i="5"/>
  <c r="H119" i="3"/>
  <c r="G119" i="3"/>
  <c r="H115" i="3"/>
  <c r="F7" i="5" s="1"/>
  <c r="D11" i="5"/>
  <c r="E92" i="3"/>
  <c r="J116" i="3"/>
  <c r="D15" i="5" s="1"/>
  <c r="J118" i="3"/>
  <c r="D16" i="5" s="1"/>
  <c r="R119" i="3"/>
  <c r="F24" i="5" s="1"/>
  <c r="S119" i="3"/>
  <c r="Q119" i="3"/>
  <c r="E24" i="5" s="1"/>
  <c r="H24" i="5" s="1"/>
  <c r="R117" i="3"/>
  <c r="F23" i="5" s="1"/>
  <c r="S117" i="3"/>
  <c r="Q117" i="3"/>
  <c r="E23" i="5" s="1"/>
  <c r="R118" i="3"/>
  <c r="F22" i="5" s="1"/>
  <c r="S118" i="3"/>
  <c r="M115" i="3"/>
  <c r="F14" i="5" s="1"/>
  <c r="L115" i="3"/>
  <c r="E14" i="5" s="1"/>
  <c r="J115" i="3"/>
  <c r="D14" i="5" s="1"/>
  <c r="M116" i="3"/>
  <c r="F15" i="5" s="1"/>
  <c r="L116" i="3"/>
  <c r="E15" i="5" s="1"/>
  <c r="M118" i="3"/>
  <c r="F16" i="5" s="1"/>
  <c r="L118" i="3"/>
  <c r="E16" i="5" s="1"/>
  <c r="H116" i="3"/>
  <c r="F8" i="5" s="1"/>
  <c r="G116" i="3"/>
  <c r="E8" i="5" s="1"/>
  <c r="E115" i="3"/>
  <c r="E116" i="3"/>
  <c r="F6" i="5" l="1"/>
  <c r="D19" i="5"/>
  <c r="H16" i="5"/>
  <c r="H8" i="5"/>
  <c r="G16" i="5"/>
  <c r="H15" i="5"/>
  <c r="H14" i="5"/>
  <c r="C19" i="5"/>
  <c r="C27" i="5" s="1"/>
  <c r="H20" i="5"/>
  <c r="H21" i="5"/>
  <c r="H23" i="5"/>
  <c r="F19" i="5"/>
  <c r="F13" i="5"/>
  <c r="G23" i="5"/>
  <c r="G14" i="5"/>
  <c r="G15" i="5"/>
  <c r="M108" i="3"/>
  <c r="M103" i="3"/>
  <c r="M100" i="3"/>
  <c r="M97" i="3"/>
  <c r="M92" i="3"/>
  <c r="M84" i="3"/>
  <c r="M81" i="3"/>
  <c r="M76" i="3"/>
  <c r="M70" i="3"/>
  <c r="M67" i="3"/>
  <c r="M64" i="3"/>
  <c r="M58" i="3"/>
  <c r="M53" i="3"/>
  <c r="M50" i="3"/>
  <c r="M44" i="3"/>
  <c r="N45" i="3"/>
  <c r="M41" i="3"/>
  <c r="M38" i="3"/>
  <c r="M33" i="3"/>
  <c r="L33" i="3"/>
  <c r="M30" i="3"/>
  <c r="N8" i="3"/>
  <c r="N9" i="3"/>
  <c r="N10" i="3"/>
  <c r="N11" i="3"/>
  <c r="N12" i="3"/>
  <c r="N13" i="3"/>
  <c r="N16" i="3"/>
  <c r="N17" i="3"/>
  <c r="N20" i="3"/>
  <c r="N21" i="3"/>
  <c r="N24" i="3"/>
  <c r="N25" i="3"/>
  <c r="N26" i="3"/>
  <c r="N31" i="3"/>
  <c r="N30" i="3" s="1"/>
  <c r="N34" i="3"/>
  <c r="N35" i="3"/>
  <c r="N36" i="3"/>
  <c r="N39" i="3"/>
  <c r="N38" i="3" s="1"/>
  <c r="N42" i="3"/>
  <c r="N46" i="3"/>
  <c r="N47" i="3"/>
  <c r="N48" i="3"/>
  <c r="N49" i="3"/>
  <c r="N51" i="3"/>
  <c r="N50" i="3" s="1"/>
  <c r="N52" i="3"/>
  <c r="N54" i="3"/>
  <c r="N55" i="3"/>
  <c r="N56" i="3"/>
  <c r="N59" i="3"/>
  <c r="N58" i="3" s="1"/>
  <c r="N63" i="3"/>
  <c r="N65" i="3"/>
  <c r="N64" i="3" s="1"/>
  <c r="N68" i="3"/>
  <c r="N67" i="3" s="1"/>
  <c r="N71" i="3"/>
  <c r="N72" i="3"/>
  <c r="N73" i="3"/>
  <c r="N74" i="3"/>
  <c r="N77" i="3"/>
  <c r="N78" i="3"/>
  <c r="N79" i="3"/>
  <c r="N80" i="3"/>
  <c r="N82" i="3"/>
  <c r="N81" i="3" s="1"/>
  <c r="N85" i="3"/>
  <c r="N86" i="3"/>
  <c r="N91" i="3"/>
  <c r="N93" i="3"/>
  <c r="N94" i="3"/>
  <c r="N95" i="3"/>
  <c r="N98" i="3"/>
  <c r="N97" i="3" s="1"/>
  <c r="N101" i="3"/>
  <c r="N100" i="3" s="1"/>
  <c r="N104" i="3"/>
  <c r="N105" i="3"/>
  <c r="N106" i="3"/>
  <c r="N109" i="3"/>
  <c r="N110" i="3"/>
  <c r="H7" i="3"/>
  <c r="I12" i="3"/>
  <c r="H15" i="3"/>
  <c r="H19" i="3"/>
  <c r="H23" i="3"/>
  <c r="H30" i="3"/>
  <c r="H33" i="3"/>
  <c r="H38" i="3"/>
  <c r="H44" i="3"/>
  <c r="H50" i="3"/>
  <c r="H53" i="3"/>
  <c r="H58" i="3"/>
  <c r="H67" i="3"/>
  <c r="H70" i="3"/>
  <c r="H84" i="3"/>
  <c r="H108" i="3"/>
  <c r="I110" i="3"/>
  <c r="I109" i="3"/>
  <c r="H100" i="3"/>
  <c r="H103" i="3"/>
  <c r="I105" i="3"/>
  <c r="I106" i="3"/>
  <c r="I104" i="3"/>
  <c r="I101" i="3"/>
  <c r="I100" i="3" s="1"/>
  <c r="I98" i="3"/>
  <c r="H92" i="3"/>
  <c r="I94" i="3"/>
  <c r="I95" i="3"/>
  <c r="I93" i="3"/>
  <c r="I92" i="3" s="1"/>
  <c r="I86" i="3"/>
  <c r="I85" i="3"/>
  <c r="H81" i="3"/>
  <c r="I82" i="3"/>
  <c r="I81" i="3" s="1"/>
  <c r="H76" i="3"/>
  <c r="I78" i="3"/>
  <c r="I79" i="3"/>
  <c r="I77" i="3"/>
  <c r="I72" i="3"/>
  <c r="I73" i="3"/>
  <c r="I74" i="3"/>
  <c r="I71" i="3"/>
  <c r="I68" i="3"/>
  <c r="I67" i="3" s="1"/>
  <c r="I65" i="3"/>
  <c r="I59" i="3"/>
  <c r="I58" i="3" s="1"/>
  <c r="I55" i="3"/>
  <c r="I56" i="3"/>
  <c r="I54" i="3"/>
  <c r="I51" i="3"/>
  <c r="I50" i="3" s="1"/>
  <c r="I46" i="3"/>
  <c r="I47" i="3"/>
  <c r="I48" i="3"/>
  <c r="I45" i="3"/>
  <c r="I42" i="3"/>
  <c r="I39" i="3"/>
  <c r="I38" i="3" s="1"/>
  <c r="I35" i="3"/>
  <c r="I36" i="3"/>
  <c r="I34" i="3"/>
  <c r="I32" i="3"/>
  <c r="I31" i="3"/>
  <c r="I30" i="3" s="1"/>
  <c r="I21" i="3"/>
  <c r="I20" i="3"/>
  <c r="I24" i="3"/>
  <c r="H13" i="5" l="1"/>
  <c r="N115" i="3"/>
  <c r="N116" i="3"/>
  <c r="N41" i="3"/>
  <c r="N118" i="3"/>
  <c r="M88" i="3"/>
  <c r="M62" i="3"/>
  <c r="N19" i="3"/>
  <c r="N15" i="3"/>
  <c r="N103" i="3"/>
  <c r="N76" i="3"/>
  <c r="N70" i="3"/>
  <c r="N33" i="3"/>
  <c r="N23" i="3"/>
  <c r="N7" i="3"/>
  <c r="N44" i="3"/>
  <c r="I44" i="3"/>
  <c r="I76" i="3"/>
  <c r="I103" i="3"/>
  <c r="N108" i="3"/>
  <c r="N92" i="3"/>
  <c r="N84" i="3"/>
  <c r="N53" i="3"/>
  <c r="I19" i="3"/>
  <c r="I33" i="3"/>
  <c r="I53" i="3"/>
  <c r="I70" i="3"/>
  <c r="I84" i="3"/>
  <c r="I108" i="3"/>
  <c r="H5" i="3"/>
  <c r="I8" i="3"/>
  <c r="I116" i="3" s="1"/>
  <c r="I4" i="3"/>
  <c r="I10" i="3"/>
  <c r="I13" i="3"/>
  <c r="I14" i="3"/>
  <c r="I16" i="3"/>
  <c r="I17" i="3"/>
  <c r="I22" i="3"/>
  <c r="I25" i="3"/>
  <c r="I26" i="3"/>
  <c r="I27" i="3"/>
  <c r="I29" i="3"/>
  <c r="I49" i="3"/>
  <c r="I63" i="3"/>
  <c r="I66" i="3"/>
  <c r="I75" i="3"/>
  <c r="T15" i="1"/>
  <c r="Y8" i="3"/>
  <c r="D7" i="3"/>
  <c r="Y7" i="3"/>
  <c r="R108" i="3"/>
  <c r="R103" i="3"/>
  <c r="T103" i="3"/>
  <c r="R100" i="3"/>
  <c r="T100" i="3"/>
  <c r="R97" i="3"/>
  <c r="T97" i="3"/>
  <c r="R92" i="3"/>
  <c r="T92" i="3"/>
  <c r="R84" i="3"/>
  <c r="T84" i="3"/>
  <c r="R81" i="3"/>
  <c r="T81" i="3"/>
  <c r="R76" i="3"/>
  <c r="T76" i="3"/>
  <c r="R70" i="3"/>
  <c r="T70" i="3"/>
  <c r="R67" i="3"/>
  <c r="T67" i="3"/>
  <c r="R64" i="3"/>
  <c r="T64" i="3"/>
  <c r="R62" i="3"/>
  <c r="T62" i="3"/>
  <c r="R50" i="3"/>
  <c r="T50" i="3"/>
  <c r="R44" i="3"/>
  <c r="T44" i="3"/>
  <c r="R38" i="3"/>
  <c r="T38" i="3"/>
  <c r="R33" i="3"/>
  <c r="T33" i="3"/>
  <c r="R30" i="3"/>
  <c r="T30" i="3"/>
  <c r="T23" i="3"/>
  <c r="T19" i="3"/>
  <c r="T15" i="3"/>
  <c r="T7" i="3"/>
  <c r="E108" i="3"/>
  <c r="F108" i="3"/>
  <c r="G108" i="3"/>
  <c r="J108" i="3"/>
  <c r="K108" i="3"/>
  <c r="L108" i="3"/>
  <c r="O108" i="3"/>
  <c r="P108" i="3"/>
  <c r="Q108" i="3"/>
  <c r="E103" i="3"/>
  <c r="F103" i="3"/>
  <c r="G103" i="3"/>
  <c r="J103" i="3"/>
  <c r="K103" i="3"/>
  <c r="L103" i="3"/>
  <c r="O103" i="3"/>
  <c r="P103" i="3"/>
  <c r="Q103" i="3"/>
  <c r="E100" i="3"/>
  <c r="F100" i="3"/>
  <c r="G100" i="3"/>
  <c r="J100" i="3"/>
  <c r="K100" i="3"/>
  <c r="L100" i="3"/>
  <c r="O100" i="3"/>
  <c r="P100" i="3"/>
  <c r="Q100" i="3"/>
  <c r="E97" i="3"/>
  <c r="F97" i="3"/>
  <c r="G97" i="3"/>
  <c r="H97" i="3"/>
  <c r="H88" i="3" s="1"/>
  <c r="J97" i="3"/>
  <c r="K97" i="3"/>
  <c r="L97" i="3"/>
  <c r="O97" i="3"/>
  <c r="P97" i="3"/>
  <c r="Q97" i="3"/>
  <c r="F92" i="3"/>
  <c r="G92" i="3"/>
  <c r="J92" i="3"/>
  <c r="K92" i="3"/>
  <c r="L92" i="3"/>
  <c r="O92" i="3"/>
  <c r="P92" i="3"/>
  <c r="Q92" i="3"/>
  <c r="E84" i="3"/>
  <c r="F84" i="3"/>
  <c r="G84" i="3"/>
  <c r="J84" i="3"/>
  <c r="K84" i="3"/>
  <c r="L84" i="3"/>
  <c r="O84" i="3"/>
  <c r="P84" i="3"/>
  <c r="Q84" i="3"/>
  <c r="E81" i="3"/>
  <c r="F81" i="3"/>
  <c r="G81" i="3"/>
  <c r="J81" i="3"/>
  <c r="K81" i="3"/>
  <c r="L81" i="3"/>
  <c r="O81" i="3"/>
  <c r="P81" i="3"/>
  <c r="Q81" i="3"/>
  <c r="E76" i="3"/>
  <c r="F76" i="3"/>
  <c r="G76" i="3"/>
  <c r="J76" i="3"/>
  <c r="K76" i="3"/>
  <c r="L76" i="3"/>
  <c r="O76" i="3"/>
  <c r="P76" i="3"/>
  <c r="Q76" i="3"/>
  <c r="E70" i="3"/>
  <c r="F70" i="3"/>
  <c r="G70" i="3"/>
  <c r="J70" i="3"/>
  <c r="K70" i="3"/>
  <c r="L70" i="3"/>
  <c r="O70" i="3"/>
  <c r="P70" i="3"/>
  <c r="Q70" i="3"/>
  <c r="E67" i="3"/>
  <c r="F67" i="3"/>
  <c r="G67" i="3"/>
  <c r="J67" i="3"/>
  <c r="K67" i="3"/>
  <c r="L67" i="3"/>
  <c r="O67" i="3"/>
  <c r="P67" i="3"/>
  <c r="Q67" i="3"/>
  <c r="E64" i="3"/>
  <c r="F64" i="3"/>
  <c r="G64" i="3"/>
  <c r="H64" i="3"/>
  <c r="H62" i="3" s="1"/>
  <c r="J64" i="3"/>
  <c r="K64" i="3"/>
  <c r="L64" i="3"/>
  <c r="O64" i="3"/>
  <c r="P64" i="3"/>
  <c r="Q64" i="3"/>
  <c r="E58" i="3"/>
  <c r="F58" i="3"/>
  <c r="G58" i="3"/>
  <c r="J58" i="3"/>
  <c r="K58" i="3"/>
  <c r="L58" i="3"/>
  <c r="O58" i="3"/>
  <c r="P58" i="3"/>
  <c r="Q58" i="3"/>
  <c r="R58" i="3"/>
  <c r="E53" i="3"/>
  <c r="F53" i="3"/>
  <c r="G53" i="3"/>
  <c r="J53" i="3"/>
  <c r="K53" i="3"/>
  <c r="L53" i="3"/>
  <c r="O53" i="3"/>
  <c r="P53" i="3"/>
  <c r="Q53" i="3"/>
  <c r="R53" i="3"/>
  <c r="E50" i="3"/>
  <c r="F50" i="3"/>
  <c r="G50" i="3"/>
  <c r="J50" i="3"/>
  <c r="K50" i="3"/>
  <c r="L50" i="3"/>
  <c r="O50" i="3"/>
  <c r="P50" i="3"/>
  <c r="E44" i="3"/>
  <c r="F44" i="3"/>
  <c r="G44" i="3"/>
  <c r="J44" i="3"/>
  <c r="K44" i="3"/>
  <c r="L44" i="3"/>
  <c r="O44" i="3"/>
  <c r="P44" i="3"/>
  <c r="Q44" i="3"/>
  <c r="E41" i="3"/>
  <c r="F41" i="3"/>
  <c r="G41" i="3"/>
  <c r="H41" i="3"/>
  <c r="H28" i="3" s="1"/>
  <c r="J41" i="3"/>
  <c r="K41" i="3"/>
  <c r="L41" i="3"/>
  <c r="O41" i="3"/>
  <c r="P41" i="3"/>
  <c r="Q41" i="3"/>
  <c r="R41" i="3"/>
  <c r="E38" i="3"/>
  <c r="F38" i="3"/>
  <c r="G38" i="3"/>
  <c r="J38" i="3"/>
  <c r="K38" i="3"/>
  <c r="L38" i="3"/>
  <c r="O38" i="3"/>
  <c r="P38" i="3"/>
  <c r="Q38" i="3"/>
  <c r="E23" i="3"/>
  <c r="F23" i="3"/>
  <c r="G23" i="3"/>
  <c r="J23" i="3"/>
  <c r="K23" i="3"/>
  <c r="L23" i="3"/>
  <c r="M23" i="3"/>
  <c r="O23" i="3"/>
  <c r="P23" i="3"/>
  <c r="Q23" i="3"/>
  <c r="R23" i="3"/>
  <c r="E19" i="3"/>
  <c r="F19" i="3"/>
  <c r="G19" i="3"/>
  <c r="J19" i="3"/>
  <c r="K19" i="3"/>
  <c r="L19" i="3"/>
  <c r="M19" i="3"/>
  <c r="O19" i="3"/>
  <c r="P19" i="3"/>
  <c r="Q19" i="3"/>
  <c r="R19" i="3"/>
  <c r="E15" i="3"/>
  <c r="F15" i="3"/>
  <c r="G15" i="3"/>
  <c r="J15" i="3"/>
  <c r="K15" i="3"/>
  <c r="L15" i="3"/>
  <c r="M15" i="3"/>
  <c r="O15" i="3"/>
  <c r="P15" i="3"/>
  <c r="Q15" i="3"/>
  <c r="R15" i="3"/>
  <c r="E7" i="3"/>
  <c r="F7" i="3"/>
  <c r="G7" i="3"/>
  <c r="J7" i="3"/>
  <c r="K7" i="3"/>
  <c r="L7" i="3"/>
  <c r="M7" i="3"/>
  <c r="O7" i="3"/>
  <c r="P7" i="3"/>
  <c r="Q7" i="3"/>
  <c r="R7" i="3"/>
  <c r="E33" i="3"/>
  <c r="F33" i="3"/>
  <c r="G33" i="3"/>
  <c r="J33" i="3"/>
  <c r="K33" i="3"/>
  <c r="E30" i="3"/>
  <c r="F30" i="3"/>
  <c r="G30" i="3"/>
  <c r="J30" i="3"/>
  <c r="K30" i="3"/>
  <c r="L30" i="3"/>
  <c r="U7" i="3" l="1"/>
  <c r="V7" i="3" s="1"/>
  <c r="E88" i="3"/>
  <c r="J5" i="3"/>
  <c r="F88" i="3"/>
  <c r="N28" i="3"/>
  <c r="N88" i="3"/>
  <c r="G62" i="3"/>
  <c r="O5" i="3"/>
  <c r="L62" i="3"/>
  <c r="J62" i="3"/>
  <c r="E62" i="3"/>
  <c r="Q62" i="3"/>
  <c r="P88" i="3"/>
  <c r="L28" i="3"/>
  <c r="J28" i="3"/>
  <c r="G28" i="3"/>
  <c r="R88" i="3"/>
  <c r="I23" i="3"/>
  <c r="N62" i="3"/>
  <c r="R5" i="3"/>
  <c r="P5" i="3"/>
  <c r="M5" i="3"/>
  <c r="K5" i="3"/>
  <c r="G5" i="3"/>
  <c r="E5" i="3"/>
  <c r="Q5" i="3"/>
  <c r="L5" i="3"/>
  <c r="F5" i="3"/>
  <c r="T5" i="3"/>
  <c r="E28" i="3"/>
  <c r="O62" i="3"/>
  <c r="F62" i="3"/>
  <c r="K88" i="3"/>
  <c r="G88" i="3"/>
  <c r="I15" i="3"/>
  <c r="H3" i="3"/>
  <c r="F28" i="3"/>
  <c r="R28" i="3"/>
  <c r="I97" i="3"/>
  <c r="I88" i="3" s="1"/>
  <c r="I7" i="3"/>
  <c r="M28" i="3"/>
  <c r="K28" i="3"/>
  <c r="I41" i="3"/>
  <c r="I28" i="3" s="1"/>
  <c r="P62" i="3"/>
  <c r="K62" i="3"/>
  <c r="Q88" i="3"/>
  <c r="O88" i="3"/>
  <c r="L88" i="3"/>
  <c r="J88" i="3"/>
  <c r="I64" i="3"/>
  <c r="I62" i="3" s="1"/>
  <c r="H113" i="3"/>
  <c r="D23" i="3"/>
  <c r="D19" i="3"/>
  <c r="D15" i="3"/>
  <c r="N5" i="3" l="1"/>
  <c r="N3" i="3" s="1"/>
  <c r="E3" i="3"/>
  <c r="G113" i="3"/>
  <c r="J113" i="3"/>
  <c r="M113" i="3"/>
  <c r="G3" i="3"/>
  <c r="E113" i="3"/>
  <c r="L113" i="3"/>
  <c r="K3" i="3"/>
  <c r="I5" i="3"/>
  <c r="I3" i="3" s="1"/>
  <c r="R113" i="3"/>
  <c r="I113" i="3"/>
  <c r="F113" i="3"/>
  <c r="M3" i="3"/>
  <c r="J3" i="3"/>
  <c r="N113" i="3"/>
  <c r="L3" i="3"/>
  <c r="F3" i="3"/>
  <c r="K113" i="3"/>
  <c r="D5" i="3"/>
  <c r="F27" i="5"/>
  <c r="A130" i="3"/>
  <c r="G115" i="3"/>
  <c r="E7" i="5" l="1"/>
  <c r="E6" i="5" s="1"/>
  <c r="G6" i="5" s="1"/>
  <c r="G8" i="5"/>
  <c r="G7" i="5" l="1"/>
  <c r="H7" i="5"/>
  <c r="H6" i="5" s="1"/>
  <c r="AJ15" i="1"/>
  <c r="AJ14" i="1"/>
  <c r="AJ12" i="1" s="1"/>
  <c r="AH10" i="1"/>
  <c r="AI10" i="1"/>
  <c r="AI12" i="1"/>
  <c r="AI35" i="1"/>
  <c r="AJ35" i="1"/>
  <c r="AI69" i="1"/>
  <c r="AJ69" i="1"/>
  <c r="AI95" i="1"/>
  <c r="AJ95" i="1"/>
  <c r="AI120" i="1"/>
  <c r="AI115" i="1"/>
  <c r="AJ115" i="1"/>
  <c r="AJ117" i="1"/>
  <c r="AJ116" i="1"/>
  <c r="AI110" i="1"/>
  <c r="AJ110" i="1"/>
  <c r="AJ112" i="1"/>
  <c r="AJ113" i="1"/>
  <c r="AJ111" i="1"/>
  <c r="AI107" i="1"/>
  <c r="AJ107" i="1"/>
  <c r="AJ108" i="1"/>
  <c r="AI104" i="1"/>
  <c r="AJ104" i="1"/>
  <c r="AJ105" i="1"/>
  <c r="AI99" i="1"/>
  <c r="AJ99" i="1"/>
  <c r="AJ101" i="1"/>
  <c r="AJ100" i="1"/>
  <c r="AJ91" i="1"/>
  <c r="AJ93" i="1"/>
  <c r="AJ92" i="1"/>
  <c r="AJ88" i="1"/>
  <c r="AJ89" i="1"/>
  <c r="AJ83" i="1"/>
  <c r="AJ85" i="1"/>
  <c r="AJ86" i="1"/>
  <c r="AJ84" i="1"/>
  <c r="AJ77" i="1"/>
  <c r="AJ79" i="1"/>
  <c r="AJ80" i="1"/>
  <c r="AJ78" i="1"/>
  <c r="AJ74" i="1"/>
  <c r="AJ75" i="1"/>
  <c r="AJ71" i="1"/>
  <c r="AJ72" i="1"/>
  <c r="AJ65" i="1"/>
  <c r="AJ66" i="1"/>
  <c r="AJ60" i="1"/>
  <c r="AJ62" i="1"/>
  <c r="AJ63" i="1"/>
  <c r="AJ61" i="1"/>
  <c r="AJ57" i="1"/>
  <c r="AJ58" i="1"/>
  <c r="AJ51" i="1"/>
  <c r="AJ53" i="1"/>
  <c r="AJ54" i="1"/>
  <c r="AJ55" i="1"/>
  <c r="AJ52" i="1"/>
  <c r="AJ48" i="1"/>
  <c r="AJ49" i="1"/>
  <c r="AJ45" i="1"/>
  <c r="AJ46" i="1"/>
  <c r="AJ42" i="1"/>
  <c r="AJ43" i="1"/>
  <c r="AJ40" i="1"/>
  <c r="AJ41" i="1"/>
  <c r="AJ37" i="1"/>
  <c r="AJ38" i="1"/>
  <c r="AJ30" i="1"/>
  <c r="AJ32" i="1"/>
  <c r="AJ33" i="1"/>
  <c r="AJ31" i="1"/>
  <c r="AJ26" i="1"/>
  <c r="AJ27" i="1"/>
  <c r="AJ24" i="1"/>
  <c r="AJ23" i="1"/>
  <c r="AJ16" i="1"/>
  <c r="AJ17" i="1"/>
  <c r="AJ18" i="1"/>
  <c r="AJ19" i="1"/>
  <c r="AJ20" i="1"/>
  <c r="AI91" i="1"/>
  <c r="AI88" i="1"/>
  <c r="AI83" i="1"/>
  <c r="AI77" i="1"/>
  <c r="AI74" i="1"/>
  <c r="AI71" i="1"/>
  <c r="AI65" i="1"/>
  <c r="AI60" i="1"/>
  <c r="AI57" i="1"/>
  <c r="AI51" i="1"/>
  <c r="AI48" i="1"/>
  <c r="AI45" i="1"/>
  <c r="AI40" i="1"/>
  <c r="AI37" i="1"/>
  <c r="AI30" i="1"/>
  <c r="AI26" i="1"/>
  <c r="AI22" i="1"/>
  <c r="AI14" i="1"/>
  <c r="AF95" i="1"/>
  <c r="AF120" i="1" s="1"/>
  <c r="AG95" i="1"/>
  <c r="AG120" i="1" s="1"/>
  <c r="AF69" i="1"/>
  <c r="AG69" i="1"/>
  <c r="AF35" i="1"/>
  <c r="AG35" i="1"/>
  <c r="AG10" i="1" s="1"/>
  <c r="AH12" i="1"/>
  <c r="AH35" i="1"/>
  <c r="AH69" i="1"/>
  <c r="AH95" i="1"/>
  <c r="AH115" i="1"/>
  <c r="AH117" i="1"/>
  <c r="AH116" i="1"/>
  <c r="AH110" i="1"/>
  <c r="AH112" i="1"/>
  <c r="AH113" i="1"/>
  <c r="AH111" i="1"/>
  <c r="AH107" i="1"/>
  <c r="AH108" i="1"/>
  <c r="AH104" i="1"/>
  <c r="AH105" i="1"/>
  <c r="AH99" i="1"/>
  <c r="AH101" i="1"/>
  <c r="AH100" i="1"/>
  <c r="AH92" i="1"/>
  <c r="AH88" i="1"/>
  <c r="AH89" i="1"/>
  <c r="AH79" i="1"/>
  <c r="AH80" i="1"/>
  <c r="AH81" i="1"/>
  <c r="AH78" i="1"/>
  <c r="AH77" i="1" s="1"/>
  <c r="AH75" i="1"/>
  <c r="AH74" i="1" s="1"/>
  <c r="AH72" i="1"/>
  <c r="AH71" i="1" s="1"/>
  <c r="AF115" i="1"/>
  <c r="AG115" i="1"/>
  <c r="AE115" i="1"/>
  <c r="AF110" i="1"/>
  <c r="AG110" i="1"/>
  <c r="AE110" i="1"/>
  <c r="AF107" i="1"/>
  <c r="AG107" i="1"/>
  <c r="AE107" i="1"/>
  <c r="AF104" i="1"/>
  <c r="AG104" i="1"/>
  <c r="AE104" i="1"/>
  <c r="AF99" i="1"/>
  <c r="AG99" i="1"/>
  <c r="AE99" i="1"/>
  <c r="AE95" i="1" s="1"/>
  <c r="AE120" i="1" s="1"/>
  <c r="AF91" i="1"/>
  <c r="AG91" i="1"/>
  <c r="AE91" i="1"/>
  <c r="AF88" i="1"/>
  <c r="AG88" i="1"/>
  <c r="AE88" i="1"/>
  <c r="AF83" i="1"/>
  <c r="AG83" i="1"/>
  <c r="AE83" i="1"/>
  <c r="AF77" i="1"/>
  <c r="AG77" i="1"/>
  <c r="AE77" i="1"/>
  <c r="AF74" i="1"/>
  <c r="AG74" i="1"/>
  <c r="AE74" i="1"/>
  <c r="AF71" i="1"/>
  <c r="AG71" i="1"/>
  <c r="AE71" i="1"/>
  <c r="AF65" i="1"/>
  <c r="AG65" i="1"/>
  <c r="AE65" i="1"/>
  <c r="AF60" i="1"/>
  <c r="AG60" i="1"/>
  <c r="AE60" i="1"/>
  <c r="AF57" i="1"/>
  <c r="AG57" i="1"/>
  <c r="AE57" i="1"/>
  <c r="AF51" i="1"/>
  <c r="AG51" i="1"/>
  <c r="AE51" i="1"/>
  <c r="AF48" i="1"/>
  <c r="AG48" i="1"/>
  <c r="AE48" i="1"/>
  <c r="AF45" i="1"/>
  <c r="AG45" i="1"/>
  <c r="AE45" i="1"/>
  <c r="AF40" i="1"/>
  <c r="AG40" i="1"/>
  <c r="AE40" i="1"/>
  <c r="AF37" i="1"/>
  <c r="AG37" i="1"/>
  <c r="AE37" i="1"/>
  <c r="AF30" i="1"/>
  <c r="AG30" i="1"/>
  <c r="AE30" i="1"/>
  <c r="AF26" i="1"/>
  <c r="AG26" i="1"/>
  <c r="AE26" i="1"/>
  <c r="AF22" i="1"/>
  <c r="AG22" i="1"/>
  <c r="AE22" i="1"/>
  <c r="AE14" i="1"/>
  <c r="AF14" i="1"/>
  <c r="AG14" i="1"/>
  <c r="Z10" i="1"/>
  <c r="AD10" i="1"/>
  <c r="W15" i="1"/>
  <c r="S115" i="1"/>
  <c r="U115" i="1"/>
  <c r="V115" i="1"/>
  <c r="W113" i="1"/>
  <c r="S110" i="1"/>
  <c r="S107" i="1"/>
  <c r="U107" i="1"/>
  <c r="V107" i="1"/>
  <c r="S104" i="1"/>
  <c r="U104" i="1"/>
  <c r="V104" i="1"/>
  <c r="R99" i="1"/>
  <c r="S99" i="1"/>
  <c r="U99" i="1"/>
  <c r="V99" i="1"/>
  <c r="S91" i="1"/>
  <c r="U91" i="1"/>
  <c r="V91" i="1"/>
  <c r="S88" i="1"/>
  <c r="U88" i="1"/>
  <c r="V88" i="1"/>
  <c r="S83" i="1"/>
  <c r="U83" i="1"/>
  <c r="V83" i="1"/>
  <c r="S77" i="1"/>
  <c r="U77" i="1"/>
  <c r="V77" i="1"/>
  <c r="S74" i="1"/>
  <c r="U74" i="1"/>
  <c r="V74" i="1"/>
  <c r="S71" i="1"/>
  <c r="U71" i="1"/>
  <c r="V71" i="1"/>
  <c r="S65" i="1"/>
  <c r="U65" i="1"/>
  <c r="V65" i="1"/>
  <c r="V60" i="1"/>
  <c r="U60" i="1"/>
  <c r="S57" i="1"/>
  <c r="U57" i="1"/>
  <c r="V57" i="1"/>
  <c r="S51" i="1"/>
  <c r="U51" i="1"/>
  <c r="V51" i="1"/>
  <c r="S48" i="1"/>
  <c r="U48" i="1"/>
  <c r="V48" i="1"/>
  <c r="S45" i="1"/>
  <c r="U45" i="1"/>
  <c r="V45" i="1"/>
  <c r="S40" i="1"/>
  <c r="U40" i="1"/>
  <c r="V40" i="1"/>
  <c r="S37" i="1"/>
  <c r="U37" i="1"/>
  <c r="V37" i="1"/>
  <c r="V30" i="1"/>
  <c r="V26" i="1"/>
  <c r="V22" i="1"/>
  <c r="U22" i="1"/>
  <c r="U14" i="1"/>
  <c r="V14" i="1"/>
  <c r="S60" i="1"/>
  <c r="S30" i="1"/>
  <c r="S26" i="1"/>
  <c r="S22" i="1"/>
  <c r="S14" i="1"/>
  <c r="L115" i="1"/>
  <c r="L110" i="1" s="1"/>
  <c r="L107" i="1" s="1"/>
  <c r="L104" i="1" s="1"/>
  <c r="L95" i="1" s="1"/>
  <c r="L91" i="1" s="1"/>
  <c r="L88" i="1" s="1"/>
  <c r="L83" i="1" s="1"/>
  <c r="L77" i="1" s="1"/>
  <c r="L74" i="1" s="1"/>
  <c r="L71" i="1" s="1"/>
  <c r="N115" i="1"/>
  <c r="P115" i="1"/>
  <c r="Q115" i="1"/>
  <c r="R115" i="1"/>
  <c r="N107" i="1"/>
  <c r="P107" i="1"/>
  <c r="Q107" i="1"/>
  <c r="R107" i="1"/>
  <c r="N110" i="1"/>
  <c r="P110" i="1"/>
  <c r="Q110" i="1"/>
  <c r="N104" i="1"/>
  <c r="P104" i="1"/>
  <c r="Q104" i="1"/>
  <c r="R104" i="1"/>
  <c r="N99" i="1"/>
  <c r="P99" i="1"/>
  <c r="Q99" i="1"/>
  <c r="M115" i="1"/>
  <c r="M110" i="1"/>
  <c r="M107" i="1"/>
  <c r="M104" i="1"/>
  <c r="M99" i="1"/>
  <c r="N88" i="1"/>
  <c r="P88" i="1"/>
  <c r="Q88" i="1"/>
  <c r="R88" i="1"/>
  <c r="N91" i="1"/>
  <c r="P91" i="1"/>
  <c r="Q91" i="1"/>
  <c r="N83" i="1"/>
  <c r="P83" i="1"/>
  <c r="Q83" i="1"/>
  <c r="N77" i="1"/>
  <c r="P77" i="1"/>
  <c r="Q77" i="1"/>
  <c r="R77" i="1"/>
  <c r="N71" i="1"/>
  <c r="P71" i="1"/>
  <c r="Q71" i="1"/>
  <c r="R71" i="1"/>
  <c r="M91" i="1"/>
  <c r="M88" i="1"/>
  <c r="M83" i="1"/>
  <c r="M77" i="1"/>
  <c r="M74" i="1"/>
  <c r="M71" i="1"/>
  <c r="N65" i="1"/>
  <c r="P65" i="1"/>
  <c r="Q65" i="1"/>
  <c r="N60" i="1"/>
  <c r="P60" i="1"/>
  <c r="Q60" i="1"/>
  <c r="N57" i="1"/>
  <c r="P57" i="1"/>
  <c r="Q57" i="1"/>
  <c r="N51" i="1"/>
  <c r="P51" i="1"/>
  <c r="Q51" i="1"/>
  <c r="N48" i="1"/>
  <c r="P48" i="1"/>
  <c r="Q48" i="1"/>
  <c r="N45" i="1"/>
  <c r="P45" i="1"/>
  <c r="Q45" i="1"/>
  <c r="N40" i="1"/>
  <c r="P40" i="1"/>
  <c r="Q40" i="1"/>
  <c r="N37" i="1"/>
  <c r="P37" i="1"/>
  <c r="P35" i="1" s="1"/>
  <c r="Q37" i="1"/>
  <c r="M65" i="1"/>
  <c r="M60" i="1"/>
  <c r="M57" i="1"/>
  <c r="M51" i="1"/>
  <c r="M48" i="1"/>
  <c r="M45" i="1"/>
  <c r="M40" i="1"/>
  <c r="M37" i="1"/>
  <c r="N30" i="1"/>
  <c r="P30" i="1"/>
  <c r="Q30" i="1"/>
  <c r="N26" i="1"/>
  <c r="P26" i="1"/>
  <c r="Q26" i="1"/>
  <c r="N22" i="1"/>
  <c r="P22" i="1"/>
  <c r="Q22" i="1"/>
  <c r="N14" i="1"/>
  <c r="P14" i="1"/>
  <c r="Q14" i="1"/>
  <c r="M30" i="1"/>
  <c r="M26" i="1"/>
  <c r="M22" i="1"/>
  <c r="M14" i="1"/>
  <c r="R84" i="1"/>
  <c r="AH84" i="1" s="1"/>
  <c r="R85" i="1"/>
  <c r="AH85" i="1" s="1"/>
  <c r="R86" i="1"/>
  <c r="AH86" i="1" s="1"/>
  <c r="I77" i="1"/>
  <c r="J77" i="1"/>
  <c r="G74" i="1"/>
  <c r="I74" i="1"/>
  <c r="J74" i="1"/>
  <c r="I71" i="1"/>
  <c r="J71" i="1"/>
  <c r="K71" i="1"/>
  <c r="G65" i="1"/>
  <c r="H65" i="1"/>
  <c r="I65" i="1"/>
  <c r="J65" i="1"/>
  <c r="K65" i="1"/>
  <c r="G60" i="1"/>
  <c r="H60" i="1"/>
  <c r="I60" i="1"/>
  <c r="J60" i="1"/>
  <c r="G57" i="1"/>
  <c r="I57" i="1"/>
  <c r="J57" i="1"/>
  <c r="G51" i="1"/>
  <c r="I51" i="1"/>
  <c r="J51" i="1"/>
  <c r="I48" i="1"/>
  <c r="J48" i="1"/>
  <c r="K48" i="1"/>
  <c r="G40" i="1"/>
  <c r="I40" i="1"/>
  <c r="J40" i="1"/>
  <c r="G37" i="1"/>
  <c r="I37" i="1"/>
  <c r="J37" i="1"/>
  <c r="G30" i="1"/>
  <c r="I30" i="1"/>
  <c r="J30" i="1"/>
  <c r="G26" i="1"/>
  <c r="I26" i="1"/>
  <c r="J26" i="1"/>
  <c r="G22" i="1"/>
  <c r="K22" i="1"/>
  <c r="G14" i="1"/>
  <c r="I14" i="1"/>
  <c r="J14" i="1"/>
  <c r="F110" i="1"/>
  <c r="F99" i="1"/>
  <c r="F91" i="1"/>
  <c r="F88" i="1"/>
  <c r="F83" i="1"/>
  <c r="F77" i="1"/>
  <c r="F74" i="1"/>
  <c r="F71" i="1"/>
  <c r="F65" i="1"/>
  <c r="F60" i="1"/>
  <c r="F57" i="1"/>
  <c r="F51" i="1"/>
  <c r="F48" i="1"/>
  <c r="F45" i="1"/>
  <c r="F40" i="1"/>
  <c r="F37" i="1"/>
  <c r="F30" i="1"/>
  <c r="F26" i="1"/>
  <c r="F22" i="1"/>
  <c r="F14" i="1"/>
  <c r="E119" i="3"/>
  <c r="D12" i="5" s="1"/>
  <c r="E13" i="5" l="1"/>
  <c r="D7" i="5"/>
  <c r="D8" i="5"/>
  <c r="AJ10" i="1"/>
  <c r="AJ120" i="1"/>
  <c r="AJ22" i="1"/>
  <c r="AH120" i="1"/>
  <c r="AH83" i="1"/>
  <c r="N35" i="1"/>
  <c r="V35" i="1"/>
  <c r="AF12" i="1"/>
  <c r="P95" i="1"/>
  <c r="N95" i="1"/>
  <c r="AE69" i="1"/>
  <c r="AE10" i="1" s="1"/>
  <c r="AE35" i="1"/>
  <c r="M35" i="1"/>
  <c r="L69" i="1"/>
  <c r="L65" i="1" s="1"/>
  <c r="L60" i="1" s="1"/>
  <c r="L57" i="1" s="1"/>
  <c r="L51" i="1" s="1"/>
  <c r="L48" i="1" s="1"/>
  <c r="L45" i="1" s="1"/>
  <c r="L40" i="1" s="1"/>
  <c r="L37" i="1" s="1"/>
  <c r="L35" i="1" s="1"/>
  <c r="L30" i="1" s="1"/>
  <c r="L26" i="1" s="1"/>
  <c r="V120" i="1"/>
  <c r="R83" i="1"/>
  <c r="G12" i="1"/>
  <c r="U69" i="1"/>
  <c r="S95" i="1"/>
  <c r="AE12" i="1"/>
  <c r="AG12" i="1"/>
  <c r="X5" i="3" s="1"/>
  <c r="V110" i="1"/>
  <c r="V95" i="1" s="1"/>
  <c r="U110" i="1"/>
  <c r="U95" i="1" s="1"/>
  <c r="V69" i="1"/>
  <c r="S69" i="1"/>
  <c r="S35" i="1"/>
  <c r="Q95" i="1"/>
  <c r="M95" i="1"/>
  <c r="M69" i="1"/>
  <c r="Q35" i="1"/>
  <c r="M12" i="1"/>
  <c r="I12" i="1"/>
  <c r="J12" i="1"/>
  <c r="F69" i="1"/>
  <c r="F35" i="1"/>
  <c r="F12" i="1"/>
  <c r="P33" i="3"/>
  <c r="Q33" i="3"/>
  <c r="P30" i="3"/>
  <c r="Q30" i="3"/>
  <c r="U104" i="3"/>
  <c r="V104" i="3" s="1"/>
  <c r="U105" i="3"/>
  <c r="V105" i="3" s="1"/>
  <c r="U106" i="3"/>
  <c r="V106" i="3" s="1"/>
  <c r="U101" i="3"/>
  <c r="V101" i="3" s="1"/>
  <c r="V100" i="3" s="1"/>
  <c r="U98" i="3"/>
  <c r="V98" i="3" s="1"/>
  <c r="V97" i="3" s="1"/>
  <c r="U93" i="3"/>
  <c r="V93" i="3" s="1"/>
  <c r="U94" i="3"/>
  <c r="V94" i="3" s="1"/>
  <c r="U85" i="3"/>
  <c r="V85" i="3" s="1"/>
  <c r="U86" i="3"/>
  <c r="V86" i="3" s="1"/>
  <c r="U82" i="3"/>
  <c r="V82" i="3" s="1"/>
  <c r="V81" i="3" s="1"/>
  <c r="U77" i="3"/>
  <c r="U78" i="3"/>
  <c r="V78" i="3" s="1"/>
  <c r="U79" i="3"/>
  <c r="V79" i="3" s="1"/>
  <c r="U71" i="3"/>
  <c r="V71" i="3" s="1"/>
  <c r="U72" i="3"/>
  <c r="U73" i="3"/>
  <c r="V73" i="3" s="1"/>
  <c r="U74" i="3"/>
  <c r="V74" i="3" s="1"/>
  <c r="U68" i="3"/>
  <c r="V68" i="3" s="1"/>
  <c r="U65" i="3"/>
  <c r="U59" i="3"/>
  <c r="V59" i="3" s="1"/>
  <c r="U54" i="3"/>
  <c r="U55" i="3"/>
  <c r="V55" i="3" s="1"/>
  <c r="U56" i="3"/>
  <c r="V56" i="3" s="1"/>
  <c r="U51" i="3"/>
  <c r="V51" i="3" s="1"/>
  <c r="V50" i="3" s="1"/>
  <c r="U45" i="3"/>
  <c r="V45" i="3" s="1"/>
  <c r="U46" i="3"/>
  <c r="V46" i="3" s="1"/>
  <c r="U47" i="3"/>
  <c r="V47" i="3" s="1"/>
  <c r="U48" i="3"/>
  <c r="V48" i="3" s="1"/>
  <c r="U42" i="3"/>
  <c r="V42" i="3" s="1"/>
  <c r="U39" i="3"/>
  <c r="V39" i="3" s="1"/>
  <c r="U34" i="3"/>
  <c r="V34" i="3" s="1"/>
  <c r="U35" i="3"/>
  <c r="V35" i="3" s="1"/>
  <c r="U36" i="3"/>
  <c r="V36" i="3" s="1"/>
  <c r="U31" i="3"/>
  <c r="V31" i="3" s="1"/>
  <c r="U26" i="3"/>
  <c r="V26" i="3" s="1"/>
  <c r="U25" i="3"/>
  <c r="V25" i="3" s="1"/>
  <c r="U24" i="3"/>
  <c r="V24" i="3" s="1"/>
  <c r="U20" i="3"/>
  <c r="V20" i="3" s="1"/>
  <c r="U16" i="3"/>
  <c r="V16" i="3" s="1"/>
  <c r="U17" i="3"/>
  <c r="V1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Q51" i="3"/>
  <c r="W23" i="3"/>
  <c r="W19" i="3"/>
  <c r="W15" i="3"/>
  <c r="W7" i="3"/>
  <c r="X7" i="3"/>
  <c r="X8" i="3"/>
  <c r="X9" i="3"/>
  <c r="X10" i="3"/>
  <c r="X11" i="3"/>
  <c r="X12" i="3"/>
  <c r="X13" i="3"/>
  <c r="X15" i="3"/>
  <c r="X16" i="3"/>
  <c r="X17" i="3"/>
  <c r="X19" i="3"/>
  <c r="X20" i="3"/>
  <c r="X21" i="3"/>
  <c r="X23" i="3"/>
  <c r="X24" i="3"/>
  <c r="X25" i="3"/>
  <c r="X26" i="3"/>
  <c r="X28" i="3"/>
  <c r="X30" i="3"/>
  <c r="X31" i="3"/>
  <c r="X32" i="3"/>
  <c r="X33" i="3"/>
  <c r="X34" i="3"/>
  <c r="X35" i="3"/>
  <c r="X36" i="3"/>
  <c r="X38" i="3"/>
  <c r="X39" i="3"/>
  <c r="X41" i="3"/>
  <c r="X42" i="3"/>
  <c r="X44" i="3"/>
  <c r="X45" i="3"/>
  <c r="X46" i="3"/>
  <c r="X47" i="3"/>
  <c r="X48" i="3"/>
  <c r="X49" i="3"/>
  <c r="X50" i="3"/>
  <c r="X51" i="3"/>
  <c r="X53" i="3"/>
  <c r="X54" i="3"/>
  <c r="X55" i="3"/>
  <c r="X56" i="3"/>
  <c r="X58" i="3"/>
  <c r="X59" i="3"/>
  <c r="X62" i="3"/>
  <c r="X63" i="3"/>
  <c r="X64" i="3"/>
  <c r="X65" i="3"/>
  <c r="X67" i="3"/>
  <c r="X68" i="3"/>
  <c r="X70" i="3"/>
  <c r="X71" i="3"/>
  <c r="X72" i="3"/>
  <c r="X73" i="3"/>
  <c r="X74" i="3"/>
  <c r="X75" i="3"/>
  <c r="X76" i="3"/>
  <c r="X77" i="3"/>
  <c r="X78" i="3"/>
  <c r="X79" i="3"/>
  <c r="X81" i="3"/>
  <c r="X82" i="3"/>
  <c r="X83" i="3"/>
  <c r="X84" i="3"/>
  <c r="X85" i="3"/>
  <c r="X86" i="3"/>
  <c r="X87" i="3"/>
  <c r="X88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Y5" i="3"/>
  <c r="Y28" i="3"/>
  <c r="Y49" i="3"/>
  <c r="Y63" i="3"/>
  <c r="Y75" i="3"/>
  <c r="Y83" i="3"/>
  <c r="Y85" i="3"/>
  <c r="Y87" i="3"/>
  <c r="Y89" i="3"/>
  <c r="Y91" i="3"/>
  <c r="Y96" i="3"/>
  <c r="Y99" i="3"/>
  <c r="Y102" i="3"/>
  <c r="Y107" i="3"/>
  <c r="Y111" i="3"/>
  <c r="Y112" i="3"/>
  <c r="T110" i="3"/>
  <c r="D92" i="3"/>
  <c r="T58" i="3"/>
  <c r="T53" i="3"/>
  <c r="T41" i="3"/>
  <c r="O33" i="3"/>
  <c r="O30" i="3"/>
  <c r="U30" i="1"/>
  <c r="U26" i="1"/>
  <c r="D108" i="3"/>
  <c r="D103" i="3"/>
  <c r="D100" i="3"/>
  <c r="D97" i="3"/>
  <c r="D84" i="3"/>
  <c r="D81" i="3"/>
  <c r="D76" i="3"/>
  <c r="D70" i="3"/>
  <c r="D67" i="3"/>
  <c r="D64" i="3"/>
  <c r="D58" i="3"/>
  <c r="D53" i="3"/>
  <c r="D50" i="3"/>
  <c r="D44" i="3"/>
  <c r="D41" i="3"/>
  <c r="D38" i="3"/>
  <c r="D33" i="3"/>
  <c r="D30" i="3"/>
  <c r="D6" i="5" l="1"/>
  <c r="G13" i="5"/>
  <c r="Q50" i="3"/>
  <c r="Q118" i="3"/>
  <c r="E22" i="5" s="1"/>
  <c r="E19" i="5" s="1"/>
  <c r="V54" i="3"/>
  <c r="V53" i="3" s="1"/>
  <c r="V103" i="3"/>
  <c r="P28" i="3"/>
  <c r="P113" i="3" s="1"/>
  <c r="O28" i="3"/>
  <c r="V92" i="3"/>
  <c r="X3" i="3"/>
  <c r="Q28" i="3"/>
  <c r="Q113" i="3" s="1"/>
  <c r="T28" i="3"/>
  <c r="D13" i="5"/>
  <c r="U12" i="1"/>
  <c r="AF10" i="1"/>
  <c r="S120" i="1"/>
  <c r="U100" i="3"/>
  <c r="U33" i="3"/>
  <c r="U44" i="3"/>
  <c r="U84" i="3"/>
  <c r="U30" i="3"/>
  <c r="U64" i="3"/>
  <c r="U67" i="3"/>
  <c r="U76" i="3"/>
  <c r="U81" i="3"/>
  <c r="U38" i="3"/>
  <c r="V38" i="3" s="1"/>
  <c r="U50" i="3"/>
  <c r="U70" i="3"/>
  <c r="U53" i="3"/>
  <c r="U103" i="3"/>
  <c r="U41" i="3"/>
  <c r="V41" i="3" s="1"/>
  <c r="U58" i="3"/>
  <c r="U92" i="3"/>
  <c r="U97" i="3"/>
  <c r="U110" i="3"/>
  <c r="V110" i="3" s="1"/>
  <c r="U19" i="3"/>
  <c r="V19" i="3" s="1"/>
  <c r="U23" i="3"/>
  <c r="V23" i="3" s="1"/>
  <c r="W5" i="3"/>
  <c r="W3" i="3" s="1"/>
  <c r="V65" i="3"/>
  <c r="V64" i="3" s="1"/>
  <c r="V84" i="3"/>
  <c r="T109" i="3"/>
  <c r="V44" i="3"/>
  <c r="V72" i="3"/>
  <c r="V70" i="3" s="1"/>
  <c r="V77" i="3"/>
  <c r="V76" i="3" s="1"/>
  <c r="D28" i="3"/>
  <c r="D62" i="3"/>
  <c r="D88" i="3"/>
  <c r="V58" i="3"/>
  <c r="V67" i="3"/>
  <c r="O113" i="3" l="1"/>
  <c r="O3" i="3"/>
  <c r="H22" i="5"/>
  <c r="H19" i="5" s="1"/>
  <c r="H27" i="5" s="1"/>
  <c r="G22" i="5"/>
  <c r="G19" i="5" s="1"/>
  <c r="E27" i="5"/>
  <c r="G27" i="5"/>
  <c r="D5" i="5"/>
  <c r="D27" i="5"/>
  <c r="D3" i="3"/>
  <c r="D113" i="3"/>
  <c r="U109" i="3"/>
  <c r="T108" i="3"/>
  <c r="T88" i="3" s="1"/>
  <c r="V62" i="3"/>
  <c r="V30" i="3"/>
  <c r="U28" i="3"/>
  <c r="T113" i="3"/>
  <c r="U62" i="3"/>
  <c r="V33" i="3"/>
  <c r="V28" i="3" l="1"/>
  <c r="U108" i="3"/>
  <c r="V109" i="3"/>
  <c r="V108" i="3" s="1"/>
  <c r="V88" i="3" s="1"/>
  <c r="N74" i="1" l="1"/>
  <c r="N69" i="1" s="1"/>
  <c r="P74" i="1"/>
  <c r="P69" i="1" s="1"/>
  <c r="Q74" i="1"/>
  <c r="Q69" i="1" s="1"/>
  <c r="R74" i="1"/>
  <c r="O72" i="1"/>
  <c r="O71" i="1" s="1"/>
  <c r="G99" i="1"/>
  <c r="I99" i="1"/>
  <c r="J99" i="1"/>
  <c r="K99" i="1"/>
  <c r="F115" i="1"/>
  <c r="G115" i="1"/>
  <c r="I115" i="1"/>
  <c r="J115" i="1"/>
  <c r="K115" i="1"/>
  <c r="F107" i="1"/>
  <c r="G107" i="1"/>
  <c r="I107" i="1"/>
  <c r="J107" i="1"/>
  <c r="G104" i="1"/>
  <c r="H104" i="1"/>
  <c r="I104" i="1"/>
  <c r="J104" i="1"/>
  <c r="F104" i="1"/>
  <c r="G91" i="1"/>
  <c r="I91" i="1"/>
  <c r="J91" i="1"/>
  <c r="G88" i="1"/>
  <c r="I88" i="1"/>
  <c r="J88" i="1"/>
  <c r="K88" i="1"/>
  <c r="I83" i="1"/>
  <c r="J83" i="1"/>
  <c r="K83" i="1"/>
  <c r="G45" i="1"/>
  <c r="I45" i="1"/>
  <c r="J45" i="1"/>
  <c r="I35" i="1"/>
  <c r="P12" i="1"/>
  <c r="Q12" i="1"/>
  <c r="K108" i="1"/>
  <c r="K107" i="1" s="1"/>
  <c r="K31" i="1"/>
  <c r="K30" i="1" s="1"/>
  <c r="K23" i="1"/>
  <c r="K24" i="1"/>
  <c r="K105" i="1"/>
  <c r="K104" i="1" s="1"/>
  <c r="K92" i="1"/>
  <c r="K91" i="1" s="1"/>
  <c r="K43" i="1"/>
  <c r="K40" i="1" s="1"/>
  <c r="K46" i="1"/>
  <c r="K52" i="1"/>
  <c r="K51" i="1" s="1"/>
  <c r="K58" i="1"/>
  <c r="K57" i="1" s="1"/>
  <c r="K61" i="1"/>
  <c r="K63" i="1"/>
  <c r="K62" i="1"/>
  <c r="K27" i="1"/>
  <c r="K26" i="1" s="1"/>
  <c r="K18" i="1"/>
  <c r="K60" i="1" l="1"/>
  <c r="Q120" i="1"/>
  <c r="P120" i="1"/>
  <c r="F95" i="1"/>
  <c r="K95" i="1"/>
  <c r="J95" i="1"/>
  <c r="J69" i="1"/>
  <c r="I95" i="1"/>
  <c r="G95" i="1"/>
  <c r="J35" i="1"/>
  <c r="I69" i="1"/>
  <c r="T117" i="1"/>
  <c r="Y110" i="3" s="1"/>
  <c r="T116" i="1"/>
  <c r="T112" i="1"/>
  <c r="Y105" i="3" s="1"/>
  <c r="T111" i="1"/>
  <c r="T108" i="1"/>
  <c r="T105" i="1"/>
  <c r="T101" i="1"/>
  <c r="Y94" i="3" s="1"/>
  <c r="T102" i="1"/>
  <c r="Y95" i="3" s="1"/>
  <c r="T100" i="1"/>
  <c r="T89" i="1"/>
  <c r="T85" i="1"/>
  <c r="Y78" i="3" s="1"/>
  <c r="T86" i="1"/>
  <c r="Y79" i="3" s="1"/>
  <c r="T84" i="1"/>
  <c r="T79" i="1"/>
  <c r="Y72" i="3" s="1"/>
  <c r="T80" i="1"/>
  <c r="Y73" i="3" s="1"/>
  <c r="T81" i="1"/>
  <c r="Y74" i="3" s="1"/>
  <c r="T72" i="1"/>
  <c r="R113" i="1"/>
  <c r="R93" i="1"/>
  <c r="T39" i="1"/>
  <c r="R41" i="1"/>
  <c r="AH41" i="1" s="1"/>
  <c r="R42" i="1"/>
  <c r="R43" i="1"/>
  <c r="T44" i="1"/>
  <c r="R46" i="1"/>
  <c r="T47" i="1"/>
  <c r="R49" i="1"/>
  <c r="T50" i="1"/>
  <c r="R52" i="1"/>
  <c r="AH52" i="1" s="1"/>
  <c r="R53" i="1"/>
  <c r="R54" i="1"/>
  <c r="R55" i="1"/>
  <c r="R58" i="1"/>
  <c r="T59" i="1"/>
  <c r="R61" i="1"/>
  <c r="AH61" i="1" s="1"/>
  <c r="R62" i="1"/>
  <c r="R63" i="1"/>
  <c r="R66" i="1"/>
  <c r="R38" i="1"/>
  <c r="R15" i="1"/>
  <c r="AH15" i="1" s="1"/>
  <c r="R16" i="1"/>
  <c r="R25" i="1"/>
  <c r="T25" i="1" s="1"/>
  <c r="R27" i="1"/>
  <c r="AH27" i="1" s="1"/>
  <c r="AH26" i="1" s="1"/>
  <c r="R28" i="1"/>
  <c r="T28" i="1" s="1"/>
  <c r="Y21" i="3" s="1"/>
  <c r="R29" i="1"/>
  <c r="T29" i="1" s="1"/>
  <c r="R31" i="1"/>
  <c r="AH31" i="1" s="1"/>
  <c r="R32" i="1"/>
  <c r="R33" i="1"/>
  <c r="R34" i="1"/>
  <c r="T34" i="1" s="1"/>
  <c r="R20" i="1"/>
  <c r="R21" i="1"/>
  <c r="T21" i="1" s="1"/>
  <c r="R23" i="1"/>
  <c r="AH23" i="1" s="1"/>
  <c r="R24" i="1"/>
  <c r="R18" i="1"/>
  <c r="R19" i="1"/>
  <c r="R17" i="1"/>
  <c r="K76" i="1"/>
  <c r="K78" i="1"/>
  <c r="K77" i="1" s="1"/>
  <c r="K75" i="1"/>
  <c r="K74" i="1" s="1"/>
  <c r="K38" i="1"/>
  <c r="K37" i="1" s="1"/>
  <c r="K35" i="1" s="1"/>
  <c r="K15" i="1"/>
  <c r="T19" i="1" l="1"/>
  <c r="Y12" i="3" s="1"/>
  <c r="AH19" i="1"/>
  <c r="T24" i="1"/>
  <c r="Y17" i="3" s="1"/>
  <c r="AH24" i="1"/>
  <c r="T32" i="1"/>
  <c r="Y25" i="3" s="1"/>
  <c r="AH32" i="1"/>
  <c r="AH30" i="1" s="1"/>
  <c r="T16" i="1"/>
  <c r="Y9" i="3" s="1"/>
  <c r="AH16" i="1"/>
  <c r="R37" i="1"/>
  <c r="AH38" i="1"/>
  <c r="AH37" i="1" s="1"/>
  <c r="T63" i="1"/>
  <c r="Y56" i="3" s="1"/>
  <c r="AH63" i="1"/>
  <c r="R57" i="1"/>
  <c r="AH58" i="1"/>
  <c r="AH57" i="1" s="1"/>
  <c r="T54" i="1"/>
  <c r="Y47" i="3" s="1"/>
  <c r="AH54" i="1"/>
  <c r="R48" i="1"/>
  <c r="AH49" i="1"/>
  <c r="AH48" i="1" s="1"/>
  <c r="R45" i="1"/>
  <c r="AH46" i="1"/>
  <c r="AH45" i="1" s="1"/>
  <c r="T43" i="1"/>
  <c r="Y36" i="3" s="1"/>
  <c r="AH43" i="1"/>
  <c r="R91" i="1"/>
  <c r="R69" i="1" s="1"/>
  <c r="AH93" i="1"/>
  <c r="AH91" i="1" s="1"/>
  <c r="T17" i="1"/>
  <c r="Y10" i="3" s="1"/>
  <c r="AH17" i="1"/>
  <c r="T18" i="1"/>
  <c r="Y11" i="3" s="1"/>
  <c r="AH18" i="1"/>
  <c r="AH22" i="1"/>
  <c r="T20" i="1"/>
  <c r="Y13" i="3" s="1"/>
  <c r="AH20" i="1"/>
  <c r="T33" i="1"/>
  <c r="Y26" i="3" s="1"/>
  <c r="AH33" i="1"/>
  <c r="AH14" i="1"/>
  <c r="R65" i="1"/>
  <c r="AH66" i="1"/>
  <c r="AH65" i="1" s="1"/>
  <c r="T62" i="1"/>
  <c r="Y55" i="3" s="1"/>
  <c r="AH62" i="1"/>
  <c r="AH60" i="1" s="1"/>
  <c r="T55" i="1"/>
  <c r="Y48" i="3" s="1"/>
  <c r="AH55" i="1"/>
  <c r="T53" i="1"/>
  <c r="Y46" i="3" s="1"/>
  <c r="AH53" i="1"/>
  <c r="AH51" i="1" s="1"/>
  <c r="T42" i="1"/>
  <c r="Y35" i="3" s="1"/>
  <c r="AH42" i="1"/>
  <c r="AH40" i="1" s="1"/>
  <c r="J120" i="1"/>
  <c r="T113" i="1"/>
  <c r="R110" i="1"/>
  <c r="R95" i="1" s="1"/>
  <c r="Y93" i="3"/>
  <c r="T99" i="1"/>
  <c r="Y92" i="3" s="1"/>
  <c r="T107" i="1"/>
  <c r="Y100" i="3" s="1"/>
  <c r="Y101" i="3"/>
  <c r="K14" i="1"/>
  <c r="K12" i="1" s="1"/>
  <c r="R60" i="1"/>
  <c r="T60" i="1" s="1"/>
  <c r="Y53" i="3" s="1"/>
  <c r="R51" i="1"/>
  <c r="R40" i="1"/>
  <c r="R35" i="1" s="1"/>
  <c r="T71" i="1"/>
  <c r="Y65" i="3"/>
  <c r="Y77" i="3"/>
  <c r="T83" i="1"/>
  <c r="Y76" i="3" s="1"/>
  <c r="Y82" i="3"/>
  <c r="T88" i="1"/>
  <c r="Y81" i="3" s="1"/>
  <c r="T104" i="1"/>
  <c r="Y97" i="3" s="1"/>
  <c r="Y98" i="3"/>
  <c r="Y104" i="3"/>
  <c r="T110" i="1"/>
  <c r="T115" i="1"/>
  <c r="Y108" i="3" s="1"/>
  <c r="Y109" i="3"/>
  <c r="I120" i="1"/>
  <c r="T23" i="1"/>
  <c r="Y16" i="3" s="1"/>
  <c r="R22" i="1"/>
  <c r="T22" i="1" s="1"/>
  <c r="Y15" i="3" s="1"/>
  <c r="F120" i="1"/>
  <c r="F10" i="1"/>
  <c r="T31" i="1"/>
  <c r="Y24" i="3" s="1"/>
  <c r="R30" i="1"/>
  <c r="T30" i="1" s="1"/>
  <c r="Y23" i="3" s="1"/>
  <c r="T27" i="1"/>
  <c r="Y20" i="3" s="1"/>
  <c r="R26" i="1"/>
  <c r="T26" i="1" s="1"/>
  <c r="Y19" i="3" s="1"/>
  <c r="R14" i="1"/>
  <c r="I10" i="1"/>
  <c r="J10" i="1"/>
  <c r="T38" i="1"/>
  <c r="Y106" i="3"/>
  <c r="T93" i="1"/>
  <c r="T61" i="1"/>
  <c r="Y54" i="3" s="1"/>
  <c r="T52" i="1"/>
  <c r="T46" i="1"/>
  <c r="T66" i="1"/>
  <c r="T58" i="1"/>
  <c r="T49" i="1"/>
  <c r="T41" i="1"/>
  <c r="T78" i="1"/>
  <c r="R12" i="1"/>
  <c r="T75" i="1"/>
  <c r="K69" i="1"/>
  <c r="C124" i="1"/>
  <c r="R120" i="1" l="1"/>
  <c r="T40" i="1"/>
  <c r="Y33" i="3" s="1"/>
  <c r="Y34" i="3"/>
  <c r="T48" i="1"/>
  <c r="Y41" i="3" s="1"/>
  <c r="Y42" i="3"/>
  <c r="T57" i="1"/>
  <c r="Y50" i="3" s="1"/>
  <c r="Y51" i="3"/>
  <c r="Y59" i="3"/>
  <c r="T65" i="1"/>
  <c r="Y58" i="3" s="1"/>
  <c r="T45" i="1"/>
  <c r="Y38" i="3" s="1"/>
  <c r="Y39" i="3"/>
  <c r="T51" i="1"/>
  <c r="Y44" i="3" s="1"/>
  <c r="Y45" i="3"/>
  <c r="T95" i="1"/>
  <c r="Y88" i="3" s="1"/>
  <c r="Y103" i="3"/>
  <c r="T74" i="1"/>
  <c r="Y67" i="3" s="1"/>
  <c r="Y68" i="3"/>
  <c r="T77" i="1"/>
  <c r="Y70" i="3" s="1"/>
  <c r="Y71" i="3"/>
  <c r="Y86" i="3"/>
  <c r="T91" i="1"/>
  <c r="Y84" i="3" s="1"/>
  <c r="T37" i="1"/>
  <c r="Y30" i="3" s="1"/>
  <c r="Y31" i="3"/>
  <c r="Y64" i="3"/>
  <c r="K10" i="1"/>
  <c r="K120" i="1"/>
  <c r="W116" i="1"/>
  <c r="W105" i="1"/>
  <c r="W104" i="1" s="1"/>
  <c r="W92" i="1"/>
  <c r="W117" i="1"/>
  <c r="W112" i="1"/>
  <c r="W111" i="1"/>
  <c r="W108" i="1"/>
  <c r="W107" i="1" s="1"/>
  <c r="W102" i="1"/>
  <c r="W101" i="1"/>
  <c r="W100" i="1"/>
  <c r="W93" i="1"/>
  <c r="W89" i="1"/>
  <c r="W88" i="1" s="1"/>
  <c r="W86" i="1"/>
  <c r="W85" i="1"/>
  <c r="W84" i="1"/>
  <c r="W81" i="1"/>
  <c r="W80" i="1"/>
  <c r="W79" i="1"/>
  <c r="W78" i="1"/>
  <c r="W75" i="1"/>
  <c r="W74" i="1" s="1"/>
  <c r="W72" i="1"/>
  <c r="W71" i="1" s="1"/>
  <c r="W66" i="1"/>
  <c r="W65" i="1" s="1"/>
  <c r="W63" i="1"/>
  <c r="W62" i="1"/>
  <c r="W61" i="1"/>
  <c r="W58" i="1"/>
  <c r="W57" i="1" s="1"/>
  <c r="W55" i="1"/>
  <c r="W54" i="1"/>
  <c r="W53" i="1"/>
  <c r="W52" i="1"/>
  <c r="W49" i="1"/>
  <c r="W48" i="1" s="1"/>
  <c r="W46" i="1"/>
  <c r="W45" i="1" s="1"/>
  <c r="W43" i="1"/>
  <c r="W42" i="1"/>
  <c r="W41" i="1"/>
  <c r="W38" i="1"/>
  <c r="W37" i="1" s="1"/>
  <c r="W33" i="1"/>
  <c r="W32" i="1"/>
  <c r="W31" i="1"/>
  <c r="W28" i="1"/>
  <c r="W27" i="1"/>
  <c r="W24" i="1"/>
  <c r="W23" i="1"/>
  <c r="W16" i="1"/>
  <c r="W17" i="1"/>
  <c r="W18" i="1"/>
  <c r="W19" i="1"/>
  <c r="W20" i="1"/>
  <c r="N12" i="1"/>
  <c r="W22" i="1" l="1"/>
  <c r="W26" i="1"/>
  <c r="W12" i="1" s="1"/>
  <c r="W30" i="1"/>
  <c r="W40" i="1"/>
  <c r="W60" i="1"/>
  <c r="W77" i="1"/>
  <c r="W69" i="1" s="1"/>
  <c r="W83" i="1"/>
  <c r="W115" i="1"/>
  <c r="W91" i="1"/>
  <c r="W14" i="1"/>
  <c r="W51" i="1"/>
  <c r="W99" i="1"/>
  <c r="W110" i="1"/>
  <c r="T69" i="1"/>
  <c r="W35" i="1"/>
  <c r="X105" i="1"/>
  <c r="X101" i="1"/>
  <c r="X100" i="1"/>
  <c r="T120" i="1" l="1"/>
  <c r="Y113" i="3" s="1"/>
  <c r="Y62" i="3"/>
  <c r="Y3" i="3" s="1"/>
  <c r="W95" i="1"/>
  <c r="W120" i="1" s="1"/>
  <c r="Y105" i="1"/>
  <c r="Y104" i="1" s="1"/>
  <c r="Y14" i="1"/>
  <c r="Y99" i="1"/>
  <c r="Y91" i="1"/>
  <c r="Y74" i="1"/>
  <c r="Y71" i="1"/>
  <c r="Y65" i="1"/>
  <c r="Y60" i="1"/>
  <c r="Y57" i="1"/>
  <c r="Y51" i="1"/>
  <c r="Y48" i="1"/>
  <c r="Y37" i="1"/>
  <c r="Y30" i="1"/>
  <c r="Y26" i="1"/>
  <c r="Y22" i="1"/>
  <c r="X15" i="1"/>
  <c r="W10" i="1" l="1"/>
  <c r="Y12" i="1"/>
  <c r="O57" i="2"/>
  <c r="F57" i="2"/>
  <c r="E57" i="2"/>
  <c r="P55" i="2"/>
  <c r="G55" i="2"/>
  <c r="M55" i="2" s="1"/>
  <c r="P54" i="2"/>
  <c r="G54" i="2"/>
  <c r="M54" i="2" s="1"/>
  <c r="P53" i="2"/>
  <c r="G53" i="2"/>
  <c r="M53" i="2" s="1"/>
  <c r="S52" i="2"/>
  <c r="D52" i="2"/>
  <c r="P50" i="2"/>
  <c r="G50" i="2"/>
  <c r="D49" i="2"/>
  <c r="P47" i="2"/>
  <c r="G47" i="2"/>
  <c r="P46" i="2"/>
  <c r="H46" i="2"/>
  <c r="G46" i="2"/>
  <c r="P45" i="2"/>
  <c r="H45" i="2"/>
  <c r="G45" i="2"/>
  <c r="P44" i="2"/>
  <c r="G44" i="2"/>
  <c r="H44" i="2" s="1"/>
  <c r="P43" i="2"/>
  <c r="H43" i="2"/>
  <c r="G43" i="2"/>
  <c r="D42" i="2"/>
  <c r="P40" i="2"/>
  <c r="G40" i="2"/>
  <c r="P39" i="2"/>
  <c r="G39" i="2"/>
  <c r="P38" i="2"/>
  <c r="G38" i="2"/>
  <c r="P37" i="2"/>
  <c r="G37" i="2"/>
  <c r="P36" i="2"/>
  <c r="G36" i="2"/>
  <c r="D35" i="2"/>
  <c r="P33" i="2"/>
  <c r="G33" i="2"/>
  <c r="P32" i="2"/>
  <c r="H32" i="2"/>
  <c r="G32" i="2"/>
  <c r="P31" i="2"/>
  <c r="H31" i="2"/>
  <c r="G31" i="2"/>
  <c r="D30" i="2"/>
  <c r="P28" i="2"/>
  <c r="G28" i="2"/>
  <c r="P27" i="2"/>
  <c r="G27" i="2"/>
  <c r="D26" i="2"/>
  <c r="P24" i="2"/>
  <c r="G24" i="2"/>
  <c r="H24" i="2" s="1"/>
  <c r="P23" i="2"/>
  <c r="H23" i="2"/>
  <c r="G23" i="2"/>
  <c r="P22" i="2"/>
  <c r="G22" i="2"/>
  <c r="H22" i="2" s="1"/>
  <c r="D21" i="2"/>
  <c r="P19" i="2"/>
  <c r="G19" i="2"/>
  <c r="P18" i="2"/>
  <c r="G18" i="2"/>
  <c r="P17" i="2"/>
  <c r="G17" i="2"/>
  <c r="P16" i="2"/>
  <c r="G16" i="2"/>
  <c r="P15" i="2"/>
  <c r="G15" i="2"/>
  <c r="P14" i="2"/>
  <c r="G14" i="2"/>
  <c r="P13" i="2"/>
  <c r="G13" i="2"/>
  <c r="P12" i="2"/>
  <c r="G12" i="2"/>
  <c r="D11" i="2"/>
  <c r="P9" i="2"/>
  <c r="H9" i="2"/>
  <c r="G9" i="2"/>
  <c r="P8" i="2"/>
  <c r="G8" i="2"/>
  <c r="H8" i="2" s="1"/>
  <c r="D7" i="2"/>
  <c r="AK123" i="1"/>
  <c r="X117" i="1"/>
  <c r="O117" i="1"/>
  <c r="AD117" i="1" s="1"/>
  <c r="D117" i="1"/>
  <c r="H117" i="1" s="1"/>
  <c r="X116" i="1"/>
  <c r="Y116" i="1" s="1"/>
  <c r="Y115" i="1" s="1"/>
  <c r="O116" i="1"/>
  <c r="D116" i="1"/>
  <c r="H116" i="1" s="1"/>
  <c r="AC115" i="1"/>
  <c r="AB115" i="1"/>
  <c r="AA115" i="1"/>
  <c r="E115" i="1"/>
  <c r="X113" i="1"/>
  <c r="O113" i="1"/>
  <c r="AD113" i="1" s="1"/>
  <c r="D113" i="1"/>
  <c r="H113" i="1" s="1"/>
  <c r="X112" i="1"/>
  <c r="Y112" i="1" s="1"/>
  <c r="O112" i="1"/>
  <c r="D112" i="1"/>
  <c r="H112" i="1" s="1"/>
  <c r="X111" i="1"/>
  <c r="Y111" i="1" s="1"/>
  <c r="O111" i="1"/>
  <c r="D111" i="1"/>
  <c r="H111" i="1" s="1"/>
  <c r="AC110" i="1"/>
  <c r="AB110" i="1"/>
  <c r="AA110" i="1"/>
  <c r="E110" i="1"/>
  <c r="X108" i="1"/>
  <c r="Y108" i="1" s="1"/>
  <c r="Y107" i="1" s="1"/>
  <c r="O108" i="1"/>
  <c r="O107" i="1" s="1"/>
  <c r="D108" i="1"/>
  <c r="H108" i="1" s="1"/>
  <c r="H107" i="1" s="1"/>
  <c r="AC107" i="1"/>
  <c r="AB107" i="1"/>
  <c r="AA107" i="1"/>
  <c r="E107" i="1"/>
  <c r="O105" i="1"/>
  <c r="O104" i="1" s="1"/>
  <c r="D105" i="1"/>
  <c r="AC104" i="1"/>
  <c r="AB104" i="1"/>
  <c r="AA104" i="1"/>
  <c r="X104" i="1"/>
  <c r="E104" i="1"/>
  <c r="O101" i="1"/>
  <c r="AD101" i="1" s="1"/>
  <c r="D101" i="1"/>
  <c r="H101" i="1" s="1"/>
  <c r="O100" i="1"/>
  <c r="O99" i="1" s="1"/>
  <c r="D100" i="1"/>
  <c r="H100" i="1" s="1"/>
  <c r="H99" i="1" s="1"/>
  <c r="AC99" i="1"/>
  <c r="AB99" i="1"/>
  <c r="AA99" i="1"/>
  <c r="E99" i="1"/>
  <c r="X93" i="1"/>
  <c r="O93" i="1"/>
  <c r="AD93" i="1" s="1"/>
  <c r="D93" i="1"/>
  <c r="H93" i="1" s="1"/>
  <c r="X92" i="1"/>
  <c r="O92" i="1"/>
  <c r="D92" i="1"/>
  <c r="H92" i="1" s="1"/>
  <c r="AC91" i="1"/>
  <c r="AB91" i="1"/>
  <c r="AA91" i="1"/>
  <c r="E91" i="1"/>
  <c r="X89" i="1"/>
  <c r="O89" i="1"/>
  <c r="D89" i="1"/>
  <c r="AC88" i="1"/>
  <c r="AB88" i="1"/>
  <c r="AA88" i="1"/>
  <c r="E88" i="1"/>
  <c r="X86" i="1"/>
  <c r="Y86" i="1" s="1"/>
  <c r="O86" i="1"/>
  <c r="AD86" i="1" s="1"/>
  <c r="D86" i="1"/>
  <c r="G86" i="1" s="1"/>
  <c r="H86" i="1" s="1"/>
  <c r="X85" i="1"/>
  <c r="Y85" i="1" s="1"/>
  <c r="O85" i="1"/>
  <c r="AD85" i="1" s="1"/>
  <c r="D85" i="1"/>
  <c r="G85" i="1" s="1"/>
  <c r="H85" i="1" s="1"/>
  <c r="X84" i="1"/>
  <c r="Y84" i="1" s="1"/>
  <c r="O84" i="1"/>
  <c r="D84" i="1"/>
  <c r="G84" i="1" s="1"/>
  <c r="AC83" i="1"/>
  <c r="AB83" i="1"/>
  <c r="AA83" i="1"/>
  <c r="E83" i="1"/>
  <c r="X81" i="1"/>
  <c r="O81" i="1"/>
  <c r="AD81" i="1" s="1"/>
  <c r="D81" i="1"/>
  <c r="H81" i="1" s="1"/>
  <c r="X80" i="1"/>
  <c r="Y80" i="1" s="1"/>
  <c r="O80" i="1"/>
  <c r="AD80" i="1" s="1"/>
  <c r="D80" i="1"/>
  <c r="G80" i="1" s="1"/>
  <c r="H80" i="1" s="1"/>
  <c r="X79" i="1"/>
  <c r="Y79" i="1" s="1"/>
  <c r="O79" i="1"/>
  <c r="AD79" i="1" s="1"/>
  <c r="D79" i="1"/>
  <c r="G79" i="1" s="1"/>
  <c r="X78" i="1"/>
  <c r="Y78" i="1" s="1"/>
  <c r="O78" i="1"/>
  <c r="D78" i="1"/>
  <c r="H78" i="1" s="1"/>
  <c r="AC77" i="1"/>
  <c r="AB77" i="1"/>
  <c r="AA77" i="1"/>
  <c r="E77" i="1"/>
  <c r="X75" i="1"/>
  <c r="X74" i="1" s="1"/>
  <c r="O75" i="1"/>
  <c r="O74" i="1" s="1"/>
  <c r="D75" i="1"/>
  <c r="H75" i="1" s="1"/>
  <c r="H74" i="1" s="1"/>
  <c r="AC74" i="1"/>
  <c r="AB74" i="1"/>
  <c r="AA74" i="1"/>
  <c r="E74" i="1"/>
  <c r="X72" i="1"/>
  <c r="X71" i="1" s="1"/>
  <c r="AD72" i="1"/>
  <c r="D72" i="1"/>
  <c r="G72" i="1" s="1"/>
  <c r="G71" i="1" s="1"/>
  <c r="AC71" i="1"/>
  <c r="AB71" i="1"/>
  <c r="AA71" i="1"/>
  <c r="E71" i="1"/>
  <c r="X66" i="1"/>
  <c r="X65" i="1" s="1"/>
  <c r="O66" i="1"/>
  <c r="O65" i="1" s="1"/>
  <c r="D66" i="1"/>
  <c r="AC65" i="1"/>
  <c r="AB65" i="1"/>
  <c r="AA65" i="1"/>
  <c r="E65" i="1"/>
  <c r="AD64" i="1"/>
  <c r="X63" i="1"/>
  <c r="O63" i="1"/>
  <c r="AD63" i="1" s="1"/>
  <c r="D63" i="1"/>
  <c r="X62" i="1"/>
  <c r="O62" i="1"/>
  <c r="D62" i="1"/>
  <c r="X61" i="1"/>
  <c r="O61" i="1"/>
  <c r="D61" i="1"/>
  <c r="E60" i="1"/>
  <c r="X58" i="1"/>
  <c r="X57" i="1" s="1"/>
  <c r="O58" i="1"/>
  <c r="O57" i="1" s="1"/>
  <c r="D58" i="1"/>
  <c r="H58" i="1" s="1"/>
  <c r="H57" i="1" s="1"/>
  <c r="AC57" i="1"/>
  <c r="AB57" i="1"/>
  <c r="AA57" i="1"/>
  <c r="E57" i="1"/>
  <c r="X55" i="1"/>
  <c r="O55" i="1"/>
  <c r="AD55" i="1" s="1"/>
  <c r="D55" i="1"/>
  <c r="H55" i="1" s="1"/>
  <c r="X54" i="1"/>
  <c r="O54" i="1"/>
  <c r="D54" i="1"/>
  <c r="H54" i="1" s="1"/>
  <c r="X53" i="1"/>
  <c r="O53" i="1"/>
  <c r="AD53" i="1" s="1"/>
  <c r="D53" i="1"/>
  <c r="X52" i="1"/>
  <c r="O52" i="1"/>
  <c r="D52" i="1"/>
  <c r="H52" i="1" s="1"/>
  <c r="AC51" i="1"/>
  <c r="AB51" i="1"/>
  <c r="AA51" i="1"/>
  <c r="E51" i="1"/>
  <c r="D51" i="1" s="1"/>
  <c r="D50" i="1"/>
  <c r="X49" i="1"/>
  <c r="X48" i="1" s="1"/>
  <c r="O49" i="1"/>
  <c r="O48" i="1" s="1"/>
  <c r="D49" i="1"/>
  <c r="G49" i="1" s="1"/>
  <c r="G48" i="1" s="1"/>
  <c r="U35" i="1"/>
  <c r="E48" i="1"/>
  <c r="D48" i="1" s="1"/>
  <c r="D47" i="1"/>
  <c r="X46" i="1"/>
  <c r="O46" i="1"/>
  <c r="O45" i="1" s="1"/>
  <c r="D46" i="1"/>
  <c r="H46" i="1" s="1"/>
  <c r="H45" i="1" s="1"/>
  <c r="AC45" i="1"/>
  <c r="AB45" i="1"/>
  <c r="AA45" i="1"/>
  <c r="E45" i="1"/>
  <c r="X43" i="1"/>
  <c r="Y43" i="1" s="1"/>
  <c r="O43" i="1"/>
  <c r="AD43" i="1" s="1"/>
  <c r="D43" i="1"/>
  <c r="H43" i="1" s="1"/>
  <c r="X42" i="1"/>
  <c r="Y42" i="1" s="1"/>
  <c r="O42" i="1"/>
  <c r="AD42" i="1" s="1"/>
  <c r="D42" i="1"/>
  <c r="X41" i="1"/>
  <c r="Y41" i="1" s="1"/>
  <c r="O41" i="1"/>
  <c r="D41" i="1"/>
  <c r="H41" i="1" s="1"/>
  <c r="H40" i="1" s="1"/>
  <c r="AC40" i="1"/>
  <c r="AB40" i="1"/>
  <c r="AA40" i="1"/>
  <c r="E40" i="1"/>
  <c r="AM39" i="1"/>
  <c r="X38" i="1"/>
  <c r="X37" i="1" s="1"/>
  <c r="O38" i="1"/>
  <c r="O37" i="1" s="1"/>
  <c r="D38" i="1"/>
  <c r="H38" i="1" s="1"/>
  <c r="H37" i="1" s="1"/>
  <c r="AC37" i="1"/>
  <c r="AB37" i="1"/>
  <c r="AA37" i="1"/>
  <c r="E37" i="1"/>
  <c r="X33" i="1"/>
  <c r="O33" i="1"/>
  <c r="AD33" i="1" s="1"/>
  <c r="D33" i="1"/>
  <c r="H33" i="1" s="1"/>
  <c r="X32" i="1"/>
  <c r="O32" i="1"/>
  <c r="AD32" i="1" s="1"/>
  <c r="D32" i="1"/>
  <c r="H32" i="1" s="1"/>
  <c r="X31" i="1"/>
  <c r="O31" i="1"/>
  <c r="D31" i="1"/>
  <c r="H31" i="1" s="1"/>
  <c r="AC30" i="1"/>
  <c r="AB30" i="1"/>
  <c r="AA30" i="1"/>
  <c r="E30" i="1"/>
  <c r="X28" i="1"/>
  <c r="O28" i="1"/>
  <c r="AD28" i="1" s="1"/>
  <c r="D28" i="1"/>
  <c r="H28" i="1" s="1"/>
  <c r="X27" i="1"/>
  <c r="O27" i="1"/>
  <c r="D27" i="1"/>
  <c r="H27" i="1" s="1"/>
  <c r="AC26" i="1"/>
  <c r="AB26" i="1"/>
  <c r="AA26" i="1"/>
  <c r="E26" i="1"/>
  <c r="X24" i="1"/>
  <c r="O24" i="1"/>
  <c r="AD24" i="1" s="1"/>
  <c r="D24" i="1"/>
  <c r="H24" i="1" s="1"/>
  <c r="X23" i="1"/>
  <c r="O23" i="1"/>
  <c r="D23" i="1"/>
  <c r="AC22" i="1"/>
  <c r="AB22" i="1"/>
  <c r="AA22" i="1"/>
  <c r="E22" i="1"/>
  <c r="X20" i="1"/>
  <c r="O20" i="1"/>
  <c r="AD20" i="1" s="1"/>
  <c r="D20" i="1"/>
  <c r="H20" i="1" s="1"/>
  <c r="X19" i="1"/>
  <c r="O19" i="1"/>
  <c r="AD19" i="1" s="1"/>
  <c r="D19" i="1"/>
  <c r="H19" i="1" s="1"/>
  <c r="X18" i="1"/>
  <c r="O18" i="1"/>
  <c r="AD18" i="1" s="1"/>
  <c r="D18" i="1"/>
  <c r="H18" i="1" s="1"/>
  <c r="X17" i="1"/>
  <c r="O17" i="1"/>
  <c r="AD17" i="1" s="1"/>
  <c r="D17" i="1"/>
  <c r="H17" i="1" s="1"/>
  <c r="X16" i="1"/>
  <c r="O16" i="1"/>
  <c r="D16" i="1"/>
  <c r="O15" i="1"/>
  <c r="D15" i="1"/>
  <c r="H15" i="1" s="1"/>
  <c r="AC14" i="1"/>
  <c r="AB14" i="1"/>
  <c r="AA14" i="1"/>
  <c r="E14" i="1"/>
  <c r="O14" i="1" l="1"/>
  <c r="X14" i="1"/>
  <c r="H26" i="1"/>
  <c r="H30" i="1"/>
  <c r="O40" i="1"/>
  <c r="O77" i="1"/>
  <c r="G77" i="1"/>
  <c r="O83" i="1"/>
  <c r="O91" i="1"/>
  <c r="O110" i="1"/>
  <c r="H51" i="1"/>
  <c r="H89" i="1"/>
  <c r="H88" i="1" s="1"/>
  <c r="H14" i="1"/>
  <c r="AD23" i="1"/>
  <c r="O22" i="1"/>
  <c r="AD27" i="1"/>
  <c r="O26" i="1"/>
  <c r="AD31" i="1"/>
  <c r="O30" i="1"/>
  <c r="O51" i="1"/>
  <c r="O60" i="1"/>
  <c r="AD89" i="1"/>
  <c r="O88" i="1"/>
  <c r="O115" i="1"/>
  <c r="O95" i="1" s="1"/>
  <c r="H115" i="1"/>
  <c r="H95" i="1" s="1"/>
  <c r="AD41" i="1"/>
  <c r="AD84" i="1"/>
  <c r="AD100" i="1"/>
  <c r="AD111" i="1"/>
  <c r="AD38" i="1"/>
  <c r="AD49" i="1"/>
  <c r="AD52" i="1"/>
  <c r="AD58" i="1"/>
  <c r="AD66" i="1"/>
  <c r="AD78" i="1"/>
  <c r="AD105" i="1"/>
  <c r="AD116" i="1"/>
  <c r="H79" i="1"/>
  <c r="H77" i="1" s="1"/>
  <c r="H49" i="1"/>
  <c r="H48" i="1" s="1"/>
  <c r="H84" i="1"/>
  <c r="H83" i="1" s="1"/>
  <c r="G83" i="1"/>
  <c r="H91" i="1"/>
  <c r="AC95" i="1"/>
  <c r="AC12" i="1"/>
  <c r="Y110" i="1"/>
  <c r="Y95" i="1" s="1"/>
  <c r="AD15" i="1"/>
  <c r="X30" i="1"/>
  <c r="Y40" i="1"/>
  <c r="X91" i="1"/>
  <c r="I9" i="2"/>
  <c r="I23" i="2"/>
  <c r="I31" i="2"/>
  <c r="J31" i="2"/>
  <c r="H33" i="2"/>
  <c r="I33" i="2" s="1"/>
  <c r="J33" i="2" s="1"/>
  <c r="I43" i="2"/>
  <c r="I45" i="2"/>
  <c r="J45" i="2"/>
  <c r="H47" i="2"/>
  <c r="I47" i="2" s="1"/>
  <c r="J47" i="2" s="1"/>
  <c r="O60" i="2"/>
  <c r="AB35" i="1"/>
  <c r="X88" i="1"/>
  <c r="Y89" i="1"/>
  <c r="Y88" i="1" s="1"/>
  <c r="X45" i="1"/>
  <c r="Y46" i="1"/>
  <c r="Y45" i="1" s="1"/>
  <c r="Y83" i="1"/>
  <c r="AC35" i="1"/>
  <c r="AM38" i="1"/>
  <c r="Y77" i="1"/>
  <c r="X107" i="1"/>
  <c r="AA95" i="1"/>
  <c r="X22" i="1"/>
  <c r="X77" i="1"/>
  <c r="E12" i="1"/>
  <c r="AA12" i="1"/>
  <c r="AA69" i="1"/>
  <c r="H72" i="1"/>
  <c r="H71" i="1" s="1"/>
  <c r="X115" i="1"/>
  <c r="P57" i="2"/>
  <c r="X51" i="1"/>
  <c r="AB69" i="1"/>
  <c r="AC69" i="1"/>
  <c r="X99" i="1"/>
  <c r="E95" i="1"/>
  <c r="X110" i="1"/>
  <c r="AB12" i="1"/>
  <c r="X40" i="1"/>
  <c r="X60" i="1"/>
  <c r="E35" i="1"/>
  <c r="X83" i="1"/>
  <c r="X26" i="1"/>
  <c r="AA35" i="1"/>
  <c r="AD54" i="1"/>
  <c r="AD62" i="1"/>
  <c r="E69" i="1"/>
  <c r="AD112" i="1"/>
  <c r="U120" i="1"/>
  <c r="U128" i="1" s="1"/>
  <c r="AD16" i="1"/>
  <c r="U10" i="1"/>
  <c r="AD75" i="1"/>
  <c r="AD108" i="1"/>
  <c r="J9" i="2"/>
  <c r="AD92" i="1"/>
  <c r="H14" i="2"/>
  <c r="H18" i="2"/>
  <c r="H28" i="2"/>
  <c r="H38" i="2"/>
  <c r="AD46" i="1"/>
  <c r="K9" i="2"/>
  <c r="H15" i="2"/>
  <c r="H19" i="2"/>
  <c r="I24" i="2"/>
  <c r="I28" i="2"/>
  <c r="H39" i="2"/>
  <c r="I44" i="2"/>
  <c r="AB95" i="1"/>
  <c r="H12" i="2"/>
  <c r="H16" i="2"/>
  <c r="J23" i="2"/>
  <c r="K23" i="2" s="1"/>
  <c r="H36" i="2"/>
  <c r="J36" i="2"/>
  <c r="H40" i="2"/>
  <c r="J40" i="2"/>
  <c r="J43" i="2"/>
  <c r="K43" i="2" s="1"/>
  <c r="H50" i="2"/>
  <c r="I50" i="2" s="1"/>
  <c r="G57" i="2"/>
  <c r="F60" i="2" s="1"/>
  <c r="I8" i="2"/>
  <c r="J8" i="2" s="1"/>
  <c r="H13" i="2"/>
  <c r="H17" i="2"/>
  <c r="I22" i="2"/>
  <c r="H27" i="2"/>
  <c r="K31" i="2"/>
  <c r="L31" i="2" s="1"/>
  <c r="I32" i="2"/>
  <c r="I36" i="2"/>
  <c r="H37" i="2"/>
  <c r="I40" i="2"/>
  <c r="J44" i="2"/>
  <c r="K44" i="2" s="1"/>
  <c r="K45" i="2"/>
  <c r="L45" i="2" s="1"/>
  <c r="I46" i="2"/>
  <c r="D57" i="2"/>
  <c r="O69" i="1" l="1"/>
  <c r="H12" i="1"/>
  <c r="O35" i="1"/>
  <c r="AB10" i="1"/>
  <c r="AA10" i="1"/>
  <c r="AC10" i="1"/>
  <c r="G69" i="1"/>
  <c r="H69" i="1"/>
  <c r="E120" i="1"/>
  <c r="E10" i="1" s="1"/>
  <c r="AC120" i="1"/>
  <c r="H35" i="1"/>
  <c r="O12" i="1"/>
  <c r="G35" i="1"/>
  <c r="G120" i="1" s="1"/>
  <c r="X95" i="1"/>
  <c r="Y69" i="1"/>
  <c r="Y35" i="1"/>
  <c r="Y10" i="1" s="1"/>
  <c r="X69" i="1"/>
  <c r="P60" i="2"/>
  <c r="W123" i="1"/>
  <c r="I38" i="2"/>
  <c r="J38" i="2" s="1"/>
  <c r="K38" i="2" s="1"/>
  <c r="L38" i="2" s="1"/>
  <c r="X35" i="1"/>
  <c r="X12" i="1"/>
  <c r="AB120" i="1"/>
  <c r="AA120" i="1"/>
  <c r="AA124" i="1" s="1"/>
  <c r="M120" i="1"/>
  <c r="M10" i="1" s="1"/>
  <c r="J50" i="2"/>
  <c r="I17" i="2"/>
  <c r="I12" i="2"/>
  <c r="J12" i="2" s="1"/>
  <c r="K33" i="2"/>
  <c r="I18" i="2"/>
  <c r="J18" i="2" s="1"/>
  <c r="J24" i="2"/>
  <c r="I16" i="2"/>
  <c r="K40" i="2"/>
  <c r="L40" i="2" s="1"/>
  <c r="M40" i="2" s="1"/>
  <c r="K47" i="2"/>
  <c r="L47" i="2" s="1"/>
  <c r="J32" i="2"/>
  <c r="J22" i="2"/>
  <c r="M45" i="2"/>
  <c r="M31" i="2"/>
  <c r="K8" i="2"/>
  <c r="L9" i="2"/>
  <c r="M9" i="2" s="1"/>
  <c r="J46" i="2"/>
  <c r="I39" i="2"/>
  <c r="I15" i="2"/>
  <c r="J15" i="2" s="1"/>
  <c r="K15" i="2" s="1"/>
  <c r="H57" i="2"/>
  <c r="I37" i="2"/>
  <c r="I27" i="2"/>
  <c r="I13" i="2"/>
  <c r="K50" i="2"/>
  <c r="K36" i="2"/>
  <c r="J16" i="2"/>
  <c r="K16" i="2" s="1"/>
  <c r="L44" i="2"/>
  <c r="M44" i="2" s="1"/>
  <c r="I19" i="2"/>
  <c r="I14" i="2"/>
  <c r="J28" i="2"/>
  <c r="J14" i="2"/>
  <c r="K14" i="2" s="1"/>
  <c r="L23" i="2"/>
  <c r="M23" i="2" s="1"/>
  <c r="L33" i="2"/>
  <c r="L43" i="2"/>
  <c r="M43" i="2" s="1"/>
  <c r="H10" i="1" l="1"/>
  <c r="H120" i="1"/>
  <c r="G10" i="1"/>
  <c r="Y120" i="1"/>
  <c r="X120" i="1"/>
  <c r="M47" i="2"/>
  <c r="I57" i="2"/>
  <c r="M33" i="2"/>
  <c r="L36" i="2"/>
  <c r="M36" i="2" s="1"/>
  <c r="X10" i="1"/>
  <c r="AA122" i="1"/>
  <c r="AB122" i="1" s="1"/>
  <c r="M123" i="1"/>
  <c r="O120" i="1"/>
  <c r="U123" i="1"/>
  <c r="K18" i="2"/>
  <c r="K12" i="2"/>
  <c r="J19" i="2"/>
  <c r="J37" i="2"/>
  <c r="K37" i="2" s="1"/>
  <c r="M38" i="2"/>
  <c r="L14" i="2"/>
  <c r="J17" i="2"/>
  <c r="K17" i="2" s="1"/>
  <c r="L15" i="2"/>
  <c r="M15" i="2" s="1"/>
  <c r="L16" i="2"/>
  <c r="K22" i="2"/>
  <c r="L22" i="2" s="1"/>
  <c r="M22" i="2" s="1"/>
  <c r="J39" i="2"/>
  <c r="M14" i="2"/>
  <c r="J27" i="2"/>
  <c r="L18" i="2"/>
  <c r="K46" i="2"/>
  <c r="K19" i="2"/>
  <c r="L19" i="2" s="1"/>
  <c r="M16" i="2"/>
  <c r="J13" i="2"/>
  <c r="K28" i="2"/>
  <c r="L28" i="2" s="1"/>
  <c r="K32" i="2"/>
  <c r="L8" i="2"/>
  <c r="M8" i="2" s="1"/>
  <c r="L12" i="2"/>
  <c r="L50" i="2"/>
  <c r="M50" i="2" s="1"/>
  <c r="K24" i="2"/>
  <c r="M12" i="2" l="1"/>
  <c r="L46" i="2"/>
  <c r="M46" i="2" s="1"/>
  <c r="M18" i="2"/>
  <c r="O123" i="1"/>
  <c r="O10" i="1"/>
  <c r="L32" i="2"/>
  <c r="M32" i="2" s="1"/>
  <c r="K13" i="2"/>
  <c r="L13" i="2" s="1"/>
  <c r="M28" i="2"/>
  <c r="L24" i="2"/>
  <c r="M24" i="2" s="1"/>
  <c r="M19" i="2"/>
  <c r="K27" i="2"/>
  <c r="K39" i="2"/>
  <c r="L39" i="2" s="1"/>
  <c r="L17" i="2"/>
  <c r="M17" i="2" s="1"/>
  <c r="L37" i="2"/>
  <c r="M37" i="2" s="1"/>
  <c r="J57" i="2"/>
  <c r="M39" i="2" l="1"/>
  <c r="M13" i="2"/>
  <c r="L27" i="2"/>
  <c r="M27" i="2" s="1"/>
  <c r="K57" i="2"/>
  <c r="M57" i="2" l="1"/>
  <c r="L57" i="2"/>
  <c r="U15" i="3" l="1"/>
  <c r="V15" i="3" l="1"/>
  <c r="V5" i="3" s="1"/>
  <c r="V3" i="3" s="1"/>
  <c r="U5" i="3"/>
  <c r="T3" i="3"/>
  <c r="V113" i="3" l="1"/>
  <c r="U21" i="3"/>
  <c r="V21" i="3" s="1"/>
  <c r="U95" i="3"/>
  <c r="U88" i="3" s="1"/>
  <c r="U3" i="3" l="1"/>
  <c r="U113" i="3"/>
  <c r="I92" i="9"/>
  <c r="I7" i="9"/>
  <c r="I108" i="9"/>
  <c r="I112" i="9"/>
  <c r="I109" i="9"/>
</calcChain>
</file>

<file path=xl/sharedStrings.xml><?xml version="1.0" encoding="utf-8"?>
<sst xmlns="http://schemas.openxmlformats.org/spreadsheetml/2006/main" count="1209" uniqueCount="373">
  <si>
    <t>(dalam Ribu)</t>
  </si>
  <si>
    <t>No.</t>
  </si>
  <si>
    <t>Kegiatan</t>
  </si>
  <si>
    <t>Jumlah Satuan</t>
  </si>
  <si>
    <t>Anggaran Satuan</t>
  </si>
  <si>
    <t>DKPPDN 2015</t>
  </si>
  <si>
    <t>DKPPDN 2016</t>
  </si>
  <si>
    <t>Keterangan PDN                    2015-2016</t>
  </si>
  <si>
    <t>Sisa Pagu Kegiatan</t>
  </si>
  <si>
    <t>SISA PAGU</t>
  </si>
  <si>
    <t>USULAN MENHAN 25 OKT 2016</t>
  </si>
  <si>
    <t>Chek</t>
  </si>
  <si>
    <t>Keterangan</t>
  </si>
  <si>
    <t>Rekomendasi I</t>
  </si>
  <si>
    <t>Satuan</t>
  </si>
  <si>
    <t>KEMENTERIAN PERTAHANAN</t>
  </si>
  <si>
    <t>49 Keg.</t>
  </si>
  <si>
    <t>Mabes TNI</t>
  </si>
  <si>
    <t>13 Keg.</t>
  </si>
  <si>
    <t>Alpal Perbatasan</t>
  </si>
  <si>
    <t>6 Keg.</t>
  </si>
  <si>
    <t>a. Kapal Motor Cepat</t>
  </si>
  <si>
    <t>8 Paket</t>
  </si>
  <si>
    <t>Selesai 2017</t>
  </si>
  <si>
    <t>b. Alkom Perbatasan</t>
  </si>
  <si>
    <t>5 Paket</t>
  </si>
  <si>
    <t>c. Baterai HT</t>
  </si>
  <si>
    <t>9.090 Buah</t>
  </si>
  <si>
    <t>d. Solar Panel/ Generator Magnetic</t>
  </si>
  <si>
    <t>100 Paket</t>
  </si>
  <si>
    <t>Telah selesai</t>
  </si>
  <si>
    <t>e. Rantis</t>
  </si>
  <si>
    <t>9 Paket</t>
  </si>
  <si>
    <t>Telah ada Kontrak Payung</t>
  </si>
  <si>
    <t>f. Perahu Rawa/ Sea Rider/ Perahu Karet Silinger</t>
  </si>
  <si>
    <t>Senjata</t>
  </si>
  <si>
    <t>2 Keg.</t>
  </si>
  <si>
    <t>a. Senjata Kaliber 5,56 mm</t>
  </si>
  <si>
    <t>22.600 Pucuk</t>
  </si>
  <si>
    <t>b. Pistol</t>
  </si>
  <si>
    <t>10.000 Pucuk</t>
  </si>
  <si>
    <t>Munisi</t>
  </si>
  <si>
    <t>a. Munisi Kaliber Kecil</t>
  </si>
  <si>
    <t>1 Paket</t>
  </si>
  <si>
    <t>b. Munisi S-8 KOM</t>
  </si>
  <si>
    <t>1.200 Buah</t>
  </si>
  <si>
    <t>Alpal</t>
  </si>
  <si>
    <t>3 Keg.</t>
  </si>
  <si>
    <t>a. Payung Udara Orang Static</t>
  </si>
  <si>
    <t>730 Set</t>
  </si>
  <si>
    <t>b. Payung Udara Orang Free Fall</t>
  </si>
  <si>
    <t>130 Set</t>
  </si>
  <si>
    <t>c. Helm Anti Peluru</t>
  </si>
  <si>
    <t>TNI AD</t>
  </si>
  <si>
    <t>15 Keg.</t>
  </si>
  <si>
    <t>1 Keg.</t>
  </si>
  <si>
    <t>a. Senjata Ringan Infanteri</t>
  </si>
  <si>
    <t>Kendaraan Tempur</t>
  </si>
  <si>
    <t>a. Ranpur Panser Infanteri</t>
  </si>
  <si>
    <t xml:space="preserve">130 Unit </t>
  </si>
  <si>
    <t>b. Ranpur Panser Kavaleri</t>
  </si>
  <si>
    <t>28 Unit</t>
  </si>
  <si>
    <t>c. Integrated CAC System for Battle Vehicle</t>
  </si>
  <si>
    <t>Kendaraan Taktis</t>
  </si>
  <si>
    <t>a. Rantis Komodo</t>
  </si>
  <si>
    <t>114 Unit</t>
  </si>
  <si>
    <t>Pesawat, Helikopter dan UAV</t>
  </si>
  <si>
    <t>a. UAV (Tipe SWG RI-1 Throw System dan/atau di atasnya)</t>
  </si>
  <si>
    <t>4 Paket</t>
  </si>
  <si>
    <t>Alat Peralatan Zeni</t>
  </si>
  <si>
    <t>4 Keg</t>
  </si>
  <si>
    <t>a. Materiil Zeni - Alberrzi</t>
  </si>
  <si>
    <t>2 Paket</t>
  </si>
  <si>
    <t>b. Mobil Decon Truck</t>
  </si>
  <si>
    <t>10 Unit</t>
  </si>
  <si>
    <t>c. Alat Destruksi Pendorong Penyelam (DPV)</t>
  </si>
  <si>
    <t>d. Peralatan Harwat Bergerak Alat Berat Zeni (Shop Contact Maintenance)</t>
  </si>
  <si>
    <t>a. Munisi (MKK, MKB &amp; Musus)</t>
  </si>
  <si>
    <t>Alat Peralatan</t>
  </si>
  <si>
    <t>a. Alperbekud</t>
  </si>
  <si>
    <t>b. Rompi Anti Peluru</t>
  </si>
  <si>
    <t>Alat Angkut Air</t>
  </si>
  <si>
    <t>a. LCU</t>
  </si>
  <si>
    <t>2 Unit</t>
  </si>
  <si>
    <t>TNI AL</t>
  </si>
  <si>
    <t>12 Keg.</t>
  </si>
  <si>
    <t>Kapal Pemukul</t>
  </si>
  <si>
    <t>a. Kapal Offshore Patrol Vessel (OPV)</t>
  </si>
  <si>
    <t>multiyears</t>
  </si>
  <si>
    <t>Kapal Pendukung</t>
  </si>
  <si>
    <t>a. Kapal Angkut Tank</t>
  </si>
  <si>
    <t>3 Unit</t>
  </si>
  <si>
    <t>Kapal Cepat Rudal (KCR)</t>
  </si>
  <si>
    <t>4 Keg.</t>
  </si>
  <si>
    <t>a. Platform KCR 60 M</t>
  </si>
  <si>
    <t>1 Unit</t>
  </si>
  <si>
    <t>b. KCR 60 M (Platform dan Sewaco)</t>
  </si>
  <si>
    <t>c. Sewaco KCR 60 M</t>
  </si>
  <si>
    <t>2 Shipset</t>
  </si>
  <si>
    <t>d. Pengembangan Platform KCR 60 M</t>
  </si>
  <si>
    <t>Proses kontrak</t>
  </si>
  <si>
    <t>a. Pesud MPA (Full Mission)</t>
  </si>
  <si>
    <t>1 Pswt</t>
  </si>
  <si>
    <t>b. Heli Angkut (Full Mission)</t>
  </si>
  <si>
    <t>c. Full Combat Mission untuk Heli AKS</t>
  </si>
  <si>
    <t>a. Senjata Perorangan</t>
  </si>
  <si>
    <t>2 Keg</t>
  </si>
  <si>
    <t>a.  Munisi Kaliber Kecil (MKK)</t>
  </si>
  <si>
    <t>b. Munisi Khusus (Refurbishment Terpedo SUT)</t>
  </si>
  <si>
    <t>TNI AU</t>
  </si>
  <si>
    <t>9 Keg.</t>
  </si>
  <si>
    <t>Fighter</t>
  </si>
  <si>
    <t>Pesawat Angkut dan Dukungannya Serta Sucad</t>
  </si>
  <si>
    <t>a. Pesawat NC-212i</t>
  </si>
  <si>
    <t>9 Pswt</t>
  </si>
  <si>
    <t>Usulan Panglima TNI Srt R/681-09/20/2016 24/10/2016 revisi sasaran menjadi Pswt C-27 Spartan</t>
  </si>
  <si>
    <t>b. Suku Cadang Pesawat NC-212i</t>
  </si>
  <si>
    <t>c. Helikopter CSAR</t>
  </si>
  <si>
    <t>Diusulkan realokasi ke Pswt CN-295 dan Alins Alongins</t>
  </si>
  <si>
    <t>Pesawat Misi Khusus</t>
  </si>
  <si>
    <t>a. Pesawat CN-295 (Special Mission) dan Dukungannya</t>
  </si>
  <si>
    <t>Sistem Komunikasi dan Data Transfer</t>
  </si>
  <si>
    <t>a. Comm Tactical Data Link System</t>
  </si>
  <si>
    <t>Bom</t>
  </si>
  <si>
    <t>a. Bom P-250</t>
  </si>
  <si>
    <t>500 Ea</t>
  </si>
  <si>
    <t>b. Bom P-100 (Live)</t>
  </si>
  <si>
    <t>c. Bom P-100 (Practice)</t>
  </si>
  <si>
    <t>1.000 Ea</t>
  </si>
  <si>
    <t>Proses Loan</t>
  </si>
  <si>
    <t>Alat Peralatan Diklat</t>
  </si>
  <si>
    <t>a. Alins/Alongins</t>
  </si>
  <si>
    <t>b. Hypobaric Chamber</t>
  </si>
  <si>
    <t>1 Ea</t>
  </si>
  <si>
    <t>JUMLAH</t>
  </si>
  <si>
    <t>(dalam ribu Rupiah)</t>
  </si>
  <si>
    <t>NO</t>
  </si>
  <si>
    <t>KEGIATAN</t>
  </si>
  <si>
    <t>DKPDN                 2015-2019</t>
  </si>
  <si>
    <t>Sisa Pagu</t>
  </si>
  <si>
    <t>USULAN REVISI DKPPDN 2016</t>
  </si>
  <si>
    <t>Kriteria</t>
  </si>
  <si>
    <t>Exercise</t>
  </si>
  <si>
    <t>KETERANGAN</t>
  </si>
  <si>
    <t>A.</t>
  </si>
  <si>
    <t>KAPAL PATROLI</t>
  </si>
  <si>
    <t>Kapal Patroli Type A1</t>
  </si>
  <si>
    <t>Kapal Patroli Type A2</t>
  </si>
  <si>
    <t>B.</t>
  </si>
  <si>
    <t>KENDARAAN PATROLI DAN OPERASIONAL</t>
  </si>
  <si>
    <t>Kendaraan Patroli R2, R4 dan Peralatan Pendukung Pamobvit</t>
  </si>
  <si>
    <t>Alokasi 2015 selesai, &amp; Alokasi 2016 selesai 2017</t>
  </si>
  <si>
    <t>Kendaraan Operasional  Densus 88 AT dan Peralatan Pendukung</t>
  </si>
  <si>
    <t>Kendaraan Operasional  dan Peralatan Pendukung Humas</t>
  </si>
  <si>
    <t>Kendaraan Operasional  dan Peralatan Pendukung INAFIS</t>
  </si>
  <si>
    <t>Kendaraan Patroli Sabhara</t>
  </si>
  <si>
    <t>Kendaraan Operasional Intelijen</t>
  </si>
  <si>
    <t>Kendaraan Bhabinkamtibmas R2, R4 dan Peralatan Pendukung Binmas</t>
  </si>
  <si>
    <t>Selesai</t>
  </si>
  <si>
    <t>Kendaraan dan Peralatan Khusus Satwa</t>
  </si>
  <si>
    <t>C.</t>
  </si>
  <si>
    <t>KENDARAAN PENDUKUNG</t>
  </si>
  <si>
    <t>Kendaraan Khusus Dapur Lapangan Brimob</t>
  </si>
  <si>
    <t>Kendaraan Khusus Toilet Lapangan Brimob</t>
  </si>
  <si>
    <t>Kendaraan dan Peralatan SAR Brimob</t>
  </si>
  <si>
    <t>Alokasi 2015 selesai, &amp; Alokasi 2016 proses kontrak</t>
  </si>
  <si>
    <t>D.</t>
  </si>
  <si>
    <t>Kendaraan Angkut Personel (Bus Sedang) Ssarpras</t>
  </si>
  <si>
    <t>Kendaraan Khusus Angkut Personel PHH Brimob</t>
  </si>
  <si>
    <t>E.</t>
  </si>
  <si>
    <t>PERSENJATAAN DAN AMUNISI</t>
  </si>
  <si>
    <t>Amunisi Berbagai Jenis Brimob</t>
  </si>
  <si>
    <t>Selesai 7 bln (2017)</t>
  </si>
  <si>
    <t>Amunisi Berbagai Jenis Ssarpras</t>
  </si>
  <si>
    <t>Selesai 5 bln (2017)</t>
  </si>
  <si>
    <t>Senpi Ssarpras</t>
  </si>
  <si>
    <t>F.</t>
  </si>
  <si>
    <t>PERALATAN PENGENDALIAN KERUSUHAN</t>
  </si>
  <si>
    <t>Gas Air Mata Ssarpras</t>
  </si>
  <si>
    <t>Gas Air Mata Brimob</t>
  </si>
  <si>
    <t>Peralatan Dalmas Sabhara</t>
  </si>
  <si>
    <t>Selesai 4 bln (2017)</t>
  </si>
  <si>
    <t>Road Blocker Set Sabhara</t>
  </si>
  <si>
    <t>Peralatan PHH Brimob</t>
  </si>
  <si>
    <t>G.</t>
  </si>
  <si>
    <t>ALAT PERALATAN PENDUKUNG KEAMANAN</t>
  </si>
  <si>
    <t xml:space="preserve">Rompi Anti Peluru Level IIIA DAN IVA Bareskrim </t>
  </si>
  <si>
    <t>Borgol Besi dan Plastik Bareskrim</t>
  </si>
  <si>
    <t>Rompi Anti Peluru dan Senjata Tajam Brimob</t>
  </si>
  <si>
    <t>Security Barrier dan Peralatan Pendukung Brimob</t>
  </si>
  <si>
    <t>Rompi Anti Peluru Level IIIA dan IVA untuk Kewilayahan</t>
  </si>
  <si>
    <t>Selesai 7 bln</t>
  </si>
  <si>
    <t>FORENSIK</t>
  </si>
  <si>
    <t>Peralatan Kesehatan Rumkit Bhayangkara dan DVI Dokpol</t>
  </si>
  <si>
    <t>TEKNOLOGI INFORMASI DAN KOMUNIKASI</t>
  </si>
  <si>
    <t>Peralatan Vicon Kewilayahan</t>
  </si>
  <si>
    <t>Lanjutan</t>
  </si>
  <si>
    <t>Peralatan Interkoneksi Intelijen</t>
  </si>
  <si>
    <t>Alkomsus Intelijen</t>
  </si>
  <si>
    <t>Peralatan Peraga Pesawat Trbang dan Helikopter</t>
  </si>
  <si>
    <t>Tidak tercantum dalam DKPDN</t>
  </si>
  <si>
    <t xml:space="preserve"> </t>
  </si>
  <si>
    <t>Exercise 2018</t>
  </si>
  <si>
    <t>DKPPDN 2017</t>
  </si>
  <si>
    <t>Jumlah</t>
  </si>
  <si>
    <t>PAGU KEGIATAN PDN 2015-2019</t>
  </si>
  <si>
    <t>PAGU KEGIATAN PADA DKPDN 2015-2019 DAN DKPPDN 2015 - 2017 UNTUK KEMHAN/TNI</t>
  </si>
  <si>
    <t>Tidak dilanjutkan</t>
  </si>
  <si>
    <t>DKPDN 2015-2019 DAN DKPPDN 2015 - 2017 UNTUK POLRI</t>
  </si>
  <si>
    <t>SISA 
KONTRAK
 2015</t>
  </si>
  <si>
    <t>NILAI
KONTRAK
2015</t>
  </si>
  <si>
    <t>NILAI
KONTRAK
2016</t>
  </si>
  <si>
    <t>SISA 
KONTRAK
 2016</t>
  </si>
  <si>
    <t>PENARIKAN
KUMULATIF
2015</t>
  </si>
  <si>
    <t>PENARIKAN
KUMULATIF 
2016</t>
  </si>
  <si>
    <t>DANA YANG BELUM TERSERAP 2015-2016</t>
  </si>
  <si>
    <t>ALOKASI</t>
  </si>
  <si>
    <t>RENC. PENYERAPAN 2018</t>
  </si>
  <si>
    <t>RENCANA PENYERAPAN 2019</t>
  </si>
  <si>
    <t xml:space="preserve">    </t>
  </si>
  <si>
    <t>NILAI KONTRAK</t>
  </si>
  <si>
    <t>RANCANGAN DKPPDN 2018</t>
  </si>
  <si>
    <t>SELESAI</t>
  </si>
  <si>
    <t>ON GOING</t>
  </si>
  <si>
    <t>DIBATALKAN</t>
  </si>
  <si>
    <t>BELUM EFEKTIF</t>
  </si>
  <si>
    <t>UNDETECTED</t>
  </si>
  <si>
    <t>BELUM KONTRAK</t>
  </si>
  <si>
    <t>undetected</t>
  </si>
  <si>
    <t>blank</t>
  </si>
  <si>
    <t>RANC DKPPDN 2018 
(EXERCISE Dit. Sektor per Jan 2018)</t>
  </si>
  <si>
    <t>RENC.ANA PENYERAPAN 2018</t>
  </si>
  <si>
    <t>PROYEKSI PENYERAPAN 2018</t>
  </si>
  <si>
    <t>SISA ANGGARAN YANG PERLU DISERAP DI 2018-2019</t>
  </si>
  <si>
    <t>PROYEKSI PENYERAPAN 2019</t>
  </si>
  <si>
    <t>URAIAN</t>
  </si>
  <si>
    <t>JUMLAH GIAT</t>
  </si>
  <si>
    <t>PAGU ALOKASI</t>
  </si>
  <si>
    <t>REALISASI PENARIKAN</t>
  </si>
  <si>
    <t>%</t>
  </si>
  <si>
    <t>SISA DANA</t>
  </si>
  <si>
    <t xml:space="preserve">A. </t>
  </si>
  <si>
    <t>EFEKTIF BELUM SELESAI</t>
  </si>
  <si>
    <t>UNIDENTIFIED</t>
  </si>
  <si>
    <t>KET</t>
  </si>
  <si>
    <t>TA 2015</t>
  </si>
  <si>
    <t>TA 2016</t>
  </si>
  <si>
    <t>STATUS 2015</t>
  </si>
  <si>
    <t>NILAI KONTRAK 2015</t>
  </si>
  <si>
    <t>REALISASI PENYERAPAN 2015</t>
  </si>
  <si>
    <t>SISA KONTRAK 2015</t>
  </si>
  <si>
    <t>STATUS 2016</t>
  </si>
  <si>
    <t>NILAI KONTRAK 2016</t>
  </si>
  <si>
    <t>REALISASI PENYERAPAN 2016</t>
  </si>
  <si>
    <t>SISA KONTRAK 2016</t>
  </si>
  <si>
    <t>STATUS 2017</t>
  </si>
  <si>
    <t>NILAI KONTRAK 2017</t>
  </si>
  <si>
    <t>REALISASI PENYERAPAN  2017</t>
  </si>
  <si>
    <t>SISA KONTRAK 2017</t>
  </si>
  <si>
    <t xml:space="preserve">     </t>
  </si>
  <si>
    <t xml:space="preserve">
Ranpur Panser Infanteri tidak ditemukan datanya</t>
  </si>
  <si>
    <t>Helicopter CSAR dibatalkan</t>
  </si>
  <si>
    <t>TA 2017</t>
  </si>
  <si>
    <t>Perkiraan TA 2019</t>
  </si>
  <si>
    <t>Rencana TA 2018</t>
  </si>
  <si>
    <t>blm ada</t>
  </si>
  <si>
    <t xml:space="preserve">E. </t>
  </si>
  <si>
    <t>- a. Pesawat CN-295 (Special Mission) dan Dukungannya (Rp 271.093.300.000)
- b. Hypobaric Chamber (Rp 185.500.000.000)</t>
  </si>
  <si>
    <t>Kemhan</t>
  </si>
  <si>
    <t>POLRI</t>
  </si>
  <si>
    <t>DKPDN 2015-2019</t>
  </si>
  <si>
    <t>DKPPDN 2018</t>
  </si>
  <si>
    <t>Menunggu rekomendasi Deputi Bidang Polhukhankan</t>
  </si>
  <si>
    <t>SISA PAGU DKPDN</t>
  </si>
  <si>
    <t>REALISASI PENYERAPAN 2017</t>
  </si>
  <si>
    <t>DRPLN KHUSUS 2015-2019</t>
  </si>
  <si>
    <t>DRPPLN KHUSUS 2015</t>
  </si>
  <si>
    <t>DRPPLN KHUSUS 2016</t>
  </si>
  <si>
    <t>DRPPLN KHUSUS  2017</t>
  </si>
  <si>
    <t>SISA PAGU DRPLN</t>
  </si>
  <si>
    <t>Rekapitulasi Rencana Usulan Tambahan DKPPDN 2018-2019 UO TNI AU</t>
  </si>
  <si>
    <t>Jenis Alut/Alutsista</t>
  </si>
  <si>
    <t>Peralatan Penanggulangan Bencana dan Peralatan Paskhas</t>
  </si>
  <si>
    <t>Tidak ada dalam DKPDN 2015-2019</t>
  </si>
  <si>
    <t>JML Keg</t>
  </si>
  <si>
    <t>USULAN 2018</t>
  </si>
  <si>
    <t>USULAN 2019</t>
  </si>
  <si>
    <t>Infrastruktur Simulator Su-27/30</t>
  </si>
  <si>
    <t>Tidak ada dalam DKPDN 2015-2020</t>
  </si>
  <si>
    <t>Bom P-250 Live</t>
  </si>
  <si>
    <t>Bom P-250 Practice</t>
  </si>
  <si>
    <t xml:space="preserve">di DKPDN Belum jelas Apakah jenis Live/Practice, sehingga usulan belum disandingkan dengan DKPDN </t>
  </si>
  <si>
    <t>Modifikasi/Upgrade NAS-332C1+ dan NAS-332L1+</t>
  </si>
  <si>
    <t>Super Puma NAS-332C1+</t>
  </si>
  <si>
    <t>Tidak ada dalam DKPDN 2015-2021</t>
  </si>
  <si>
    <t>Tidak ada dalam DKPDN 2015-2022</t>
  </si>
  <si>
    <t>Radar Medium range</t>
  </si>
  <si>
    <t>usulan tambahan 2018</t>
  </si>
  <si>
    <t>usulan tambahan 2019</t>
  </si>
  <si>
    <t>RENCANA USULAN*</t>
  </si>
  <si>
    <t>RENCANA USULAN TAMBAHAN**</t>
  </si>
  <si>
    <t>ANGKA PAGU BERBEDA. PADA USULAN, PAGU TERTULIS SEBESAR Rp1.316.115.000 ribu sehingga perhitungan renbang menunjukkan ada sisa Rp885.000 ribu</t>
  </si>
  <si>
    <t>ANGKA PAGU BERBEDA. PADA USULAN, PAGU TERTULIS SEBESAR Rp131885000 ribu sehingga perhitungan renbang menunjukkan ada kekurangan sebesar Rp885.000 ribu</t>
  </si>
  <si>
    <t>sesuai dengan pagu</t>
  </si>
  <si>
    <t xml:space="preserve">usulan sesuai dengan pagu, usulan tambahan sebesar Rp44.000.000 </t>
  </si>
  <si>
    <t>.</t>
  </si>
  <si>
    <t>pagu suda habis, namun terdapat usulan ssulan tambahan sebesar Rp7.250.000</t>
  </si>
  <si>
    <t>tidak terdapat usulan maupun usulan tambahan untuk kegiatan ini sehingga terdapat sisa pagu Rp185.500.000</t>
  </si>
  <si>
    <t>**Surat KASAU nomor R/03-03/05/18/Srenaau tgl 29 Januari 2018</t>
  </si>
  <si>
    <t>*Surat KASAU nomor R/03-03/05/18/Srenaau tgl 26 Januari 2018</t>
  </si>
  <si>
    <t>USULAN YANG TIDAK TERCANTUM DALAM DKPDN 2015-2019</t>
  </si>
  <si>
    <t>a. Kendaraan Dapur lapangan Ganila GNL 05 untuk Paskhas</t>
  </si>
  <si>
    <t>b. Kendaraan Dapur Lapangan Ganila GNL 05 untuk Kotama Ops, Lembaga Pendidikan dan Lanud Jajaran</t>
  </si>
  <si>
    <t>c. Kendaraan Decon Truck DT-24E</t>
  </si>
  <si>
    <t>d. Alat Pendorong Penyelam (DPV) Ganendra RI-1</t>
  </si>
  <si>
    <t>e. Kendaraan Shop Contact Maintenance Locust T1</t>
  </si>
  <si>
    <t xml:space="preserve">f. Penjernih Air TRST 1 perorangan </t>
  </si>
  <si>
    <t>g. Minyak Senjata TIBRA Multipurpose</t>
  </si>
  <si>
    <t>h. UAV PWR 28</t>
  </si>
  <si>
    <t>i. mobil Alsus Nubika KLN 0711</t>
  </si>
  <si>
    <t xml:space="preserve">j. Kendaraan Penyapu Ranjau DMN-28 </t>
  </si>
  <si>
    <t>j. Mobil Alsus Jihandak Ivander NSR 2-161</t>
  </si>
  <si>
    <t>sesuai dengan pagu, namun usulan tambahan sebesar Rp200.000.000, sehingga terdapat kekurangan sebesar Rp200.000.000</t>
  </si>
  <si>
    <t>ANGKA PAGU BERBEDA. PADA USULAN, PAGU TERTULIS SEBESAR Rp131,885 M sehingga perhitungan renbang menunjukkan ada kekurangan sebesar Rp885 M</t>
  </si>
  <si>
    <t>tidak terdapat usulan maupun usulan tambahan untuk kegiatan ini sehingga terdapat sisa pagu Rp185,5 M</t>
  </si>
  <si>
    <t>di DKPDN 2015-2019 tidak terdapat nomenklatur ini, hanya tertulis Bom P-250, sehingga usulan tambahan ini belum disandingkan dengan DKPDN 2015-2019</t>
  </si>
  <si>
    <t>Angka pagu berbeda. Pada usulan, pagu tertulis sebesar Rp1,316,115 T sehingga perhitungan renbang menunjukkan  sisa Rp885 M</t>
  </si>
  <si>
    <t>usulan sesuai dengan pagu, namun terdapat usulan tambahan sebesar Rp44 M sehingga terdapat kekurangan Rp44 M</t>
  </si>
  <si>
    <t>pagu sudah habis pada DKPPDN 2016, namun terdapat usulan  tambahan sebesar Rp14,5 M (Rp7,25 M pada tahun 2018, Rp7,25 M pada tahun 2019)</t>
  </si>
  <si>
    <t>sesuai dengan pagu, namun terdapat usulan tambahan sebesar Rp200 M, sehingga terdapat kekurangan sebesar Rp200 M</t>
  </si>
  <si>
    <t>REKAPITULASI KEMAJUAN PELAKSANAAN PDN TRIWULAN IV TAHUN 2017</t>
  </si>
  <si>
    <t>selesai</t>
  </si>
  <si>
    <t>ket : unidentified dan dibatalkan dikategorikan sebagai belum kontrak</t>
  </si>
  <si>
    <t>Alokasi (DKPPDN)</t>
  </si>
  <si>
    <t>Nilai Kontrak</t>
  </si>
  <si>
    <t>Efektif Belum Selesai</t>
  </si>
  <si>
    <t>Belum Efektif</t>
  </si>
  <si>
    <t>Belum Kontrak</t>
  </si>
  <si>
    <t>Alokasi</t>
  </si>
  <si>
    <t>Belum Selesai</t>
  </si>
  <si>
    <t>Belum Terkontrak</t>
  </si>
  <si>
    <t>ongoing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</si>
  <si>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</si>
  <si>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</si>
  <si>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</si>
  <si>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</si>
  <si>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</si>
  <si>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</si>
  <si>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</si>
  <si>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</si>
  <si>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</si>
  <si>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</si>
  <si>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</si>
  <si>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</si>
  <si>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</si>
  <si>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</si>
  <si>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</si>
  <si>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</si>
  <si>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</si>
  <si>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</si>
  <si>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</si>
  <si>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</si>
  <si>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</si>
  <si>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</si>
  <si>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</si>
  <si>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</si>
  <si>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</si>
  <si>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</si>
  <si>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</si>
  <si>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</si>
  <si>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</si>
  <si>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unidentified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</si>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</sst>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4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4"/>
      <color theme="1"/>
      <name val="Book Antiqua"/>
      <family val="1"/>
    </font>
    <font>
      <sz val="14"/>
      <name val="Book Antiqua"/>
      <family val="1"/>
    </font>
    <font>
      <sz val="14"/>
      <color theme="1"/>
      <name val="Calibri"/>
      <family val="2"/>
      <scheme val="minor"/>
    </font>
    <font>
      <b/>
      <sz val="11"/>
      <name val="Book Antiqua"/>
      <family val="1"/>
    </font>
    <font>
      <i/>
      <sz val="14"/>
      <color theme="1"/>
      <name val="Book Antiqua"/>
      <family val="1"/>
    </font>
    <font>
      <i/>
      <sz val="14"/>
      <name val="Book Antiqua"/>
      <family val="1"/>
    </font>
    <font>
      <b/>
      <sz val="14"/>
      <color theme="1"/>
      <name val="Book Antiqua"/>
      <family val="1"/>
    </font>
    <font>
      <i/>
      <sz val="11"/>
      <color theme="1"/>
      <name val="Book Antiqua"/>
      <family val="1"/>
    </font>
    <font>
      <b/>
      <sz val="14"/>
      <color indexed="8"/>
      <name val="Book Antiqua"/>
      <family val="1"/>
    </font>
    <font>
      <b/>
      <i/>
      <sz val="14"/>
      <color indexed="8"/>
      <name val="Book Antiqua"/>
      <family val="1"/>
    </font>
    <font>
      <b/>
      <i/>
      <sz val="14"/>
      <color theme="1"/>
      <name val="Book Antiqua"/>
      <family val="1"/>
    </font>
    <font>
      <sz val="11"/>
      <name val="Book Antiqua"/>
      <family val="1"/>
    </font>
    <font>
      <b/>
      <sz val="11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u/>
      <sz val="12"/>
      <name val="Book Antiqua"/>
      <family val="1"/>
    </font>
    <font>
      <b/>
      <sz val="12"/>
      <name val="Book Antiqua"/>
      <family val="1"/>
    </font>
    <font>
      <b/>
      <sz val="11"/>
      <color theme="1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i/>
      <sz val="14"/>
      <name val="Book Antiqua"/>
      <family val="1"/>
    </font>
    <font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i/>
      <sz val="14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12"/>
      <name val="Book Antiqua"/>
      <family val="1"/>
    </font>
    <font>
      <sz val="12"/>
      <name val="Book Antiqua"/>
      <family val="1"/>
    </font>
  </fonts>
  <fills count="19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7"/>
        <bgColor theme="0" tint="-0.14999847407452621"/>
      </patternFill>
    </fill>
    <fill>
      <patternFill patternType="solid">
        <fgColor theme="7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" fillId="0" borderId="0"/>
    <xf numFmtId="0" fontId="1" fillId="0" borderId="0"/>
    <xf numFmtId="41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1" fontId="2" fillId="0" borderId="0" xfId="2" applyFont="1" applyAlignment="1">
      <alignment vertical="top" wrapText="1"/>
    </xf>
    <xf numFmtId="41" fontId="2" fillId="0" borderId="0" xfId="2" applyFont="1" applyAlignment="1">
      <alignment horizontal="left" vertical="top"/>
    </xf>
    <xf numFmtId="0" fontId="2" fillId="0" borderId="0" xfId="0" applyFont="1" applyAlignment="1">
      <alignment horizontal="left" vertical="top"/>
    </xf>
    <xf numFmtId="1" fontId="3" fillId="0" borderId="0" xfId="0" applyNumberFormat="1" applyFont="1" applyFill="1" applyBorder="1" applyAlignment="1">
      <alignment vertical="top"/>
    </xf>
    <xf numFmtId="1" fontId="3" fillId="0" borderId="0" xfId="0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vertical="top"/>
    </xf>
    <xf numFmtId="41" fontId="4" fillId="0" borderId="0" xfId="2" applyFont="1" applyFill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1" fontId="4" fillId="0" borderId="0" xfId="0" applyNumberFormat="1" applyFont="1" applyFill="1" applyBorder="1" applyAlignment="1">
      <alignment vertical="top" wrapText="1"/>
    </xf>
    <xf numFmtId="41" fontId="4" fillId="0" borderId="0" xfId="2" applyFont="1" applyFill="1" applyBorder="1" applyAlignment="1">
      <alignment vertical="top" wrapText="1"/>
    </xf>
    <xf numFmtId="41" fontId="4" fillId="0" borderId="0" xfId="2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right" vertical="top"/>
    </xf>
    <xf numFmtId="164" fontId="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41" fontId="4" fillId="0" borderId="9" xfId="2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right" vertical="top" wrapText="1"/>
    </xf>
    <xf numFmtId="41" fontId="4" fillId="0" borderId="0" xfId="2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3" fontId="4" fillId="2" borderId="0" xfId="0" applyNumberFormat="1" applyFont="1" applyFill="1" applyBorder="1" applyAlignment="1">
      <alignment horizontal="right" vertical="top" wrapText="1"/>
    </xf>
    <xf numFmtId="3" fontId="4" fillId="2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3" fontId="4" fillId="0" borderId="0" xfId="0" applyNumberFormat="1" applyFont="1" applyFill="1" applyBorder="1" applyAlignment="1">
      <alignment horizontal="right" vertical="top" wrapText="1"/>
    </xf>
    <xf numFmtId="3" fontId="10" fillId="0" borderId="0" xfId="0" applyNumberFormat="1" applyFont="1" applyFill="1" applyBorder="1" applyAlignment="1">
      <alignment horizontal="right" vertical="top" wrapText="1"/>
    </xf>
    <xf numFmtId="3" fontId="10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/>
    </xf>
    <xf numFmtId="3" fontId="6" fillId="0" borderId="0" xfId="0" applyNumberFormat="1" applyFont="1" applyFill="1" applyBorder="1" applyAlignment="1">
      <alignment horizontal="left" vertical="top" wrapText="1"/>
    </xf>
    <xf numFmtId="3" fontId="6" fillId="0" borderId="0" xfId="1" applyNumberFormat="1" applyFont="1" applyFill="1" applyBorder="1" applyAlignment="1">
      <alignment horizontal="left" vertical="top"/>
    </xf>
    <xf numFmtId="0" fontId="12" fillId="0" borderId="0" xfId="0" applyFont="1" applyFill="1" applyAlignment="1">
      <alignment vertical="top"/>
    </xf>
    <xf numFmtId="3" fontId="4" fillId="4" borderId="0" xfId="0" applyNumberFormat="1" applyFont="1" applyFill="1" applyBorder="1" applyAlignment="1">
      <alignment horizontal="right" vertical="top" wrapText="1"/>
    </xf>
    <xf numFmtId="3" fontId="4" fillId="4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top"/>
    </xf>
    <xf numFmtId="3" fontId="6" fillId="0" borderId="0" xfId="0" applyNumberFormat="1" applyFont="1" applyFill="1" applyBorder="1" applyAlignment="1">
      <alignment horizontal="left" vertical="top"/>
    </xf>
    <xf numFmtId="3" fontId="6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Alignment="1">
      <alignment vertical="top"/>
    </xf>
    <xf numFmtId="0" fontId="6" fillId="0" borderId="0" xfId="0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3" fontId="4" fillId="5" borderId="0" xfId="0" applyNumberFormat="1" applyFont="1" applyFill="1" applyBorder="1" applyAlignment="1">
      <alignment horizontal="right" vertical="top" wrapText="1"/>
    </xf>
    <xf numFmtId="3" fontId="10" fillId="0" borderId="0" xfId="1" applyNumberFormat="1" applyFont="1" applyFill="1" applyBorder="1" applyAlignment="1">
      <alignment horizontal="left" vertical="top"/>
    </xf>
    <xf numFmtId="3" fontId="4" fillId="6" borderId="0" xfId="0" applyNumberFormat="1" applyFont="1" applyFill="1" applyBorder="1" applyAlignment="1">
      <alignment horizontal="right" vertical="top" wrapText="1"/>
    </xf>
    <xf numFmtId="3" fontId="4" fillId="6" borderId="0" xfId="0" applyNumberFormat="1" applyFont="1" applyFill="1" applyBorder="1" applyAlignment="1">
      <alignment horizontal="left" vertical="top" wrapText="1"/>
    </xf>
    <xf numFmtId="3" fontId="10" fillId="3" borderId="0" xfId="0" applyNumberFormat="1" applyFont="1" applyFill="1" applyBorder="1" applyAlignment="1">
      <alignment horizontal="right" vertical="top" wrapText="1"/>
    </xf>
    <xf numFmtId="3" fontId="4" fillId="0" borderId="0" xfId="1" applyNumberFormat="1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164" fontId="4" fillId="7" borderId="0" xfId="1" applyNumberFormat="1" applyFont="1" applyFill="1" applyBorder="1" applyAlignment="1">
      <alignment vertical="center" wrapText="1"/>
    </xf>
    <xf numFmtId="3" fontId="4" fillId="7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41" fontId="19" fillId="0" borderId="0" xfId="2" applyFont="1" applyAlignment="1">
      <alignment horizontal="left" vertical="top" wrapText="1"/>
    </xf>
    <xf numFmtId="0" fontId="19" fillId="0" borderId="0" xfId="0" applyFont="1" applyAlignment="1">
      <alignment vertical="top"/>
    </xf>
    <xf numFmtId="164" fontId="2" fillId="0" borderId="0" xfId="0" applyNumberFormat="1" applyFont="1" applyAlignment="1">
      <alignment horizontal="left" vertical="top"/>
    </xf>
    <xf numFmtId="1" fontId="3" fillId="0" borderId="0" xfId="3" applyNumberFormat="1" applyFont="1" applyFill="1" applyBorder="1" applyAlignment="1">
      <alignment vertical="top"/>
    </xf>
    <xf numFmtId="0" fontId="21" fillId="0" borderId="0" xfId="4" applyFont="1"/>
    <xf numFmtId="0" fontId="2" fillId="0" borderId="0" xfId="4" applyFont="1"/>
    <xf numFmtId="0" fontId="2" fillId="0" borderId="0" xfId="4" applyFont="1" applyAlignment="1">
      <alignment horizontal="center"/>
    </xf>
    <xf numFmtId="41" fontId="22" fillId="0" borderId="0" xfId="5" applyFont="1" applyAlignment="1">
      <alignment horizontal="center"/>
    </xf>
    <xf numFmtId="41" fontId="23" fillId="0" borderId="0" xfId="5" applyFont="1" applyAlignment="1">
      <alignment horizontal="right"/>
    </xf>
    <xf numFmtId="0" fontId="23" fillId="8" borderId="21" xfId="5" applyNumberFormat="1" applyFont="1" applyFill="1" applyBorder="1" applyAlignment="1">
      <alignment horizontal="center" vertical="center" wrapText="1"/>
    </xf>
    <xf numFmtId="0" fontId="17" fillId="0" borderId="5" xfId="4" applyFont="1" applyFill="1" applyBorder="1" applyAlignment="1">
      <alignment horizontal="center"/>
    </xf>
    <xf numFmtId="37" fontId="8" fillId="0" borderId="6" xfId="5" applyNumberFormat="1" applyFont="1" applyFill="1" applyBorder="1" applyAlignment="1">
      <alignment horizontal="center"/>
    </xf>
    <xf numFmtId="37" fontId="8" fillId="0" borderId="23" xfId="5" applyNumberFormat="1" applyFont="1" applyFill="1" applyBorder="1" applyAlignment="1">
      <alignment horizontal="center"/>
    </xf>
    <xf numFmtId="37" fontId="8" fillId="0" borderId="7" xfId="5" applyNumberFormat="1" applyFont="1" applyFill="1" applyBorder="1" applyAlignment="1">
      <alignment horizontal="center"/>
    </xf>
    <xf numFmtId="0" fontId="17" fillId="0" borderId="5" xfId="4" applyFont="1" applyFill="1" applyBorder="1" applyAlignment="1">
      <alignment horizontal="center" vertical="center"/>
    </xf>
    <xf numFmtId="41" fontId="8" fillId="0" borderId="6" xfId="5" applyFont="1" applyFill="1" applyBorder="1" applyAlignment="1">
      <alignment vertical="center"/>
    </xf>
    <xf numFmtId="41" fontId="8" fillId="0" borderId="7" xfId="5" applyFont="1" applyFill="1" applyBorder="1" applyAlignment="1">
      <alignment vertical="center"/>
    </xf>
    <xf numFmtId="0" fontId="24" fillId="0" borderId="0" xfId="4" applyFont="1" applyAlignment="1">
      <alignment vertical="center"/>
    </xf>
    <xf numFmtId="0" fontId="2" fillId="0" borderId="5" xfId="4" quotePrefix="1" applyFont="1" applyFill="1" applyBorder="1" applyAlignment="1">
      <alignment horizontal="right" vertical="top"/>
    </xf>
    <xf numFmtId="0" fontId="2" fillId="0" borderId="23" xfId="4" quotePrefix="1" applyFont="1" applyFill="1" applyBorder="1" applyAlignment="1">
      <alignment horizontal="center" vertical="top"/>
    </xf>
    <xf numFmtId="0" fontId="2" fillId="0" borderId="8" xfId="4" applyFont="1" applyFill="1" applyBorder="1" applyAlignment="1">
      <alignment horizontal="left" vertical="top"/>
    </xf>
    <xf numFmtId="41" fontId="16" fillId="0" borderId="6" xfId="5" applyFont="1" applyFill="1" applyBorder="1" applyAlignment="1">
      <alignment vertical="top"/>
    </xf>
    <xf numFmtId="41" fontId="2" fillId="0" borderId="6" xfId="5" quotePrefix="1" applyFont="1" applyFill="1" applyBorder="1" applyAlignment="1">
      <alignment horizontal="center" vertical="top"/>
    </xf>
    <xf numFmtId="41" fontId="16" fillId="0" borderId="7" xfId="5" applyFont="1" applyFill="1" applyBorder="1" applyAlignment="1">
      <alignment vertical="top"/>
    </xf>
    <xf numFmtId="0" fontId="21" fillId="0" borderId="0" xfId="4" applyFont="1" applyAlignment="1">
      <alignment vertical="top"/>
    </xf>
    <xf numFmtId="41" fontId="2" fillId="0" borderId="6" xfId="5" quotePrefix="1" applyFont="1" applyFill="1" applyBorder="1" applyAlignment="1">
      <alignment horizontal="right" vertical="top"/>
    </xf>
    <xf numFmtId="0" fontId="2" fillId="0" borderId="23" xfId="4" quotePrefix="1" applyFont="1" applyFill="1" applyBorder="1" applyAlignment="1">
      <alignment horizontal="center" vertical="top" wrapText="1"/>
    </xf>
    <xf numFmtId="0" fontId="2" fillId="0" borderId="8" xfId="4" applyFont="1" applyFill="1" applyBorder="1" applyAlignment="1">
      <alignment horizontal="left" vertical="top" wrapText="1"/>
    </xf>
    <xf numFmtId="41" fontId="16" fillId="0" borderId="6" xfId="5" quotePrefix="1" applyFont="1" applyFill="1" applyBorder="1" applyAlignment="1">
      <alignment horizontal="right" vertical="top"/>
    </xf>
    <xf numFmtId="41" fontId="16" fillId="0" borderId="6" xfId="5" applyFont="1" applyFill="1" applyBorder="1" applyAlignment="1">
      <alignment vertical="top" wrapText="1"/>
    </xf>
    <xf numFmtId="3" fontId="21" fillId="0" borderId="0" xfId="4" applyNumberFormat="1" applyFont="1" applyAlignment="1">
      <alignment vertical="top"/>
    </xf>
    <xf numFmtId="41" fontId="16" fillId="0" borderId="6" xfId="5" quotePrefix="1" applyFont="1" applyFill="1" applyBorder="1" applyAlignment="1">
      <alignment horizontal="center" vertical="top"/>
    </xf>
    <xf numFmtId="0" fontId="2" fillId="0" borderId="10" xfId="4" quotePrefix="1" applyFont="1" applyFill="1" applyBorder="1" applyAlignment="1">
      <alignment horizontal="right" vertical="top"/>
    </xf>
    <xf numFmtId="0" fontId="2" fillId="0" borderId="14" xfId="4" quotePrefix="1" applyFont="1" applyFill="1" applyBorder="1" applyAlignment="1">
      <alignment horizontal="center" vertical="top" wrapText="1"/>
    </xf>
    <xf numFmtId="0" fontId="2" fillId="0" borderId="13" xfId="4" applyFont="1" applyFill="1" applyBorder="1" applyAlignment="1">
      <alignment horizontal="left" vertical="top" wrapText="1"/>
    </xf>
    <xf numFmtId="41" fontId="16" fillId="0" borderId="11" xfId="5" applyFont="1" applyFill="1" applyBorder="1" applyAlignment="1">
      <alignment vertical="top"/>
    </xf>
    <xf numFmtId="41" fontId="16" fillId="0" borderId="12" xfId="5" applyFont="1" applyFill="1" applyBorder="1" applyAlignment="1">
      <alignment vertical="top"/>
    </xf>
    <xf numFmtId="0" fontId="2" fillId="0" borderId="5" xfId="4" applyFont="1" applyFill="1" applyBorder="1" applyAlignment="1">
      <alignment horizontal="center"/>
    </xf>
    <xf numFmtId="0" fontId="2" fillId="0" borderId="23" xfId="4" applyFont="1" applyFill="1" applyBorder="1" applyAlignment="1">
      <alignment horizontal="left" wrapText="1"/>
    </xf>
    <xf numFmtId="0" fontId="2" fillId="0" borderId="8" xfId="4" applyFont="1" applyFill="1" applyBorder="1" applyAlignment="1">
      <alignment horizontal="left" wrapText="1"/>
    </xf>
    <xf numFmtId="0" fontId="16" fillId="0" borderId="5" xfId="4" quotePrefix="1" applyFont="1" applyFill="1" applyBorder="1" applyAlignment="1">
      <alignment horizontal="right" vertical="top"/>
    </xf>
    <xf numFmtId="0" fontId="2" fillId="0" borderId="8" xfId="4" applyFont="1" applyFill="1" applyBorder="1" applyAlignment="1">
      <alignment vertical="top" wrapText="1"/>
    </xf>
    <xf numFmtId="0" fontId="21" fillId="0" borderId="0" xfId="4" applyFont="1" applyFill="1" applyAlignment="1">
      <alignment vertical="top"/>
    </xf>
    <xf numFmtId="41" fontId="24" fillId="0" borderId="0" xfId="4" applyNumberFormat="1" applyFont="1" applyAlignment="1">
      <alignment vertical="center"/>
    </xf>
    <xf numFmtId="0" fontId="16" fillId="0" borderId="8" xfId="4" applyFont="1" applyFill="1" applyBorder="1" applyAlignment="1">
      <alignment horizontal="left" vertical="top" wrapText="1"/>
    </xf>
    <xf numFmtId="41" fontId="16" fillId="3" borderId="6" xfId="5" applyFont="1" applyFill="1" applyBorder="1" applyAlignment="1">
      <alignment vertical="top"/>
    </xf>
    <xf numFmtId="41" fontId="16" fillId="0" borderId="23" xfId="5" applyFont="1" applyFill="1" applyBorder="1" applyAlignment="1">
      <alignment vertical="top"/>
    </xf>
    <xf numFmtId="0" fontId="2" fillId="3" borderId="5" xfId="4" quotePrefix="1" applyFont="1" applyFill="1" applyBorder="1" applyAlignment="1">
      <alignment horizontal="right" vertical="top"/>
    </xf>
    <xf numFmtId="0" fontId="2" fillId="3" borderId="6" xfId="4" quotePrefix="1" applyFont="1" applyFill="1" applyBorder="1" applyAlignment="1">
      <alignment horizontal="center" vertical="top" wrapText="1"/>
    </xf>
    <xf numFmtId="0" fontId="2" fillId="3" borderId="6" xfId="4" applyFont="1" applyFill="1" applyBorder="1" applyAlignment="1">
      <alignment horizontal="left" vertical="top" wrapText="1"/>
    </xf>
    <xf numFmtId="41" fontId="16" fillId="3" borderId="6" xfId="5" quotePrefix="1" applyFont="1" applyFill="1" applyBorder="1" applyAlignment="1">
      <alignment horizontal="center" vertical="top"/>
    </xf>
    <xf numFmtId="41" fontId="16" fillId="3" borderId="23" xfId="5" applyFont="1" applyFill="1" applyBorder="1" applyAlignment="1">
      <alignment vertical="top"/>
    </xf>
    <xf numFmtId="41" fontId="16" fillId="3" borderId="7" xfId="5" applyFont="1" applyFill="1" applyBorder="1" applyAlignment="1">
      <alignment vertical="top"/>
    </xf>
    <xf numFmtId="41" fontId="8" fillId="0" borderId="25" xfId="5" applyFont="1" applyFill="1" applyBorder="1" applyAlignment="1">
      <alignment vertical="center"/>
    </xf>
    <xf numFmtId="41" fontId="8" fillId="0" borderId="26" xfId="5" applyFont="1" applyFill="1" applyBorder="1" applyAlignment="1">
      <alignment vertical="center"/>
    </xf>
    <xf numFmtId="0" fontId="21" fillId="0" borderId="0" xfId="4" applyFont="1" applyAlignment="1">
      <alignment horizontal="center"/>
    </xf>
    <xf numFmtId="41" fontId="25" fillId="0" borderId="0" xfId="5" applyFont="1"/>
    <xf numFmtId="0" fontId="26" fillId="0" borderId="0" xfId="4" applyFont="1" applyAlignment="1">
      <alignment horizontal="right"/>
    </xf>
    <xf numFmtId="41" fontId="26" fillId="0" borderId="0" xfId="5" applyFont="1" applyAlignment="1"/>
    <xf numFmtId="41" fontId="2" fillId="0" borderId="0" xfId="2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41" fontId="6" fillId="0" borderId="0" xfId="2" applyFont="1" applyFill="1" applyBorder="1" applyAlignment="1">
      <alignment vertical="top" wrapText="1"/>
    </xf>
    <xf numFmtId="41" fontId="5" fillId="0" borderId="0" xfId="2" applyFont="1" applyBorder="1" applyAlignment="1">
      <alignment vertical="top"/>
    </xf>
    <xf numFmtId="41" fontId="5" fillId="0" borderId="0" xfId="2" applyFont="1" applyBorder="1" applyAlignment="1">
      <alignment horizontal="left" vertical="top"/>
    </xf>
    <xf numFmtId="41" fontId="0" fillId="0" borderId="0" xfId="2" applyFont="1"/>
    <xf numFmtId="41" fontId="0" fillId="0" borderId="0" xfId="0" applyNumberFormat="1"/>
    <xf numFmtId="41" fontId="0" fillId="0" borderId="9" xfId="2" applyFont="1" applyBorder="1"/>
    <xf numFmtId="3" fontId="4" fillId="0" borderId="28" xfId="0" applyNumberFormat="1" applyFont="1" applyFill="1" applyBorder="1" applyAlignment="1">
      <alignment horizontal="left" vertical="top" wrapText="1"/>
    </xf>
    <xf numFmtId="41" fontId="4" fillId="0" borderId="28" xfId="2" applyFont="1" applyFill="1" applyBorder="1" applyAlignment="1">
      <alignment horizontal="right" vertical="top" wrapText="1"/>
    </xf>
    <xf numFmtId="3" fontId="10" fillId="0" borderId="28" xfId="0" applyNumberFormat="1" applyFont="1" applyFill="1" applyBorder="1" applyAlignment="1">
      <alignment horizontal="right" vertical="top" wrapText="1"/>
    </xf>
    <xf numFmtId="0" fontId="4" fillId="0" borderId="28" xfId="0" applyFont="1" applyFill="1" applyBorder="1" applyAlignment="1">
      <alignment horizontal="center" vertical="center" wrapText="1"/>
    </xf>
    <xf numFmtId="41" fontId="4" fillId="0" borderId="28" xfId="2" applyFont="1" applyFill="1" applyBorder="1" applyAlignment="1">
      <alignment horizontal="center" vertical="center" wrapText="1"/>
    </xf>
    <xf numFmtId="41" fontId="4" fillId="0" borderId="28" xfId="2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left" vertical="top" wrapText="1"/>
    </xf>
    <xf numFmtId="41" fontId="4" fillId="0" borderId="28" xfId="2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center" vertical="top" wrapText="1"/>
    </xf>
    <xf numFmtId="41" fontId="4" fillId="2" borderId="28" xfId="2" applyFont="1" applyFill="1" applyBorder="1" applyAlignment="1">
      <alignment horizontal="center" vertical="top" wrapText="1"/>
    </xf>
    <xf numFmtId="41" fontId="4" fillId="2" borderId="28" xfId="2" applyFont="1" applyFill="1" applyBorder="1" applyAlignment="1">
      <alignment horizontal="right" vertical="top" wrapText="1"/>
    </xf>
    <xf numFmtId="41" fontId="4" fillId="2" borderId="28" xfId="2" applyFont="1" applyFill="1" applyBorder="1" applyAlignment="1">
      <alignment horizontal="left" vertical="top" wrapText="1"/>
    </xf>
    <xf numFmtId="3" fontId="4" fillId="2" borderId="28" xfId="0" applyNumberFormat="1" applyFont="1" applyFill="1" applyBorder="1" applyAlignment="1">
      <alignment horizontal="right" vertical="top" wrapText="1"/>
    </xf>
    <xf numFmtId="0" fontId="9" fillId="0" borderId="28" xfId="0" applyFont="1" applyFill="1" applyBorder="1" applyAlignment="1">
      <alignment vertical="top" wrapText="1"/>
    </xf>
    <xf numFmtId="41" fontId="9" fillId="0" borderId="28" xfId="2" applyFont="1" applyFill="1" applyBorder="1" applyAlignment="1">
      <alignment vertical="top" wrapText="1"/>
    </xf>
    <xf numFmtId="41" fontId="10" fillId="0" borderId="28" xfId="2" applyFont="1" applyFill="1" applyBorder="1" applyAlignment="1">
      <alignment horizontal="right" vertical="top" wrapText="1"/>
    </xf>
    <xf numFmtId="41" fontId="10" fillId="0" borderId="28" xfId="2" applyFont="1" applyFill="1" applyBorder="1" applyAlignment="1">
      <alignment horizontal="left" vertical="top" wrapText="1"/>
    </xf>
    <xf numFmtId="0" fontId="11" fillId="0" borderId="28" xfId="0" applyFont="1" applyBorder="1" applyAlignment="1">
      <alignment vertical="top" wrapText="1"/>
    </xf>
    <xf numFmtId="0" fontId="4" fillId="0" borderId="28" xfId="0" applyFont="1" applyFill="1" applyBorder="1" applyAlignment="1">
      <alignment horizontal="center" vertical="top" wrapText="1"/>
    </xf>
    <xf numFmtId="41" fontId="4" fillId="0" borderId="28" xfId="2" applyFont="1" applyFill="1" applyBorder="1" applyAlignment="1">
      <alignment horizontal="center" vertical="top" wrapText="1"/>
    </xf>
    <xf numFmtId="41" fontId="4" fillId="0" borderId="28" xfId="2" applyNumberFormat="1" applyFont="1" applyFill="1" applyBorder="1" applyAlignment="1">
      <alignment horizontal="right" vertical="top" wrapText="1"/>
    </xf>
    <xf numFmtId="3" fontId="4" fillId="0" borderId="28" xfId="0" applyNumberFormat="1" applyFont="1" applyFill="1" applyBorder="1" applyAlignment="1">
      <alignment horizontal="right" vertical="top" wrapText="1"/>
    </xf>
    <xf numFmtId="41" fontId="10" fillId="0" borderId="28" xfId="2" applyNumberFormat="1" applyFont="1" applyFill="1" applyBorder="1" applyAlignment="1">
      <alignment horizontal="right" vertical="top" wrapText="1"/>
    </xf>
    <xf numFmtId="0" fontId="10" fillId="0" borderId="28" xfId="0" applyFont="1" applyFill="1" applyBorder="1" applyAlignment="1">
      <alignment horizontal="left" vertical="top" wrapText="1"/>
    </xf>
    <xf numFmtId="41" fontId="6" fillId="0" borderId="28" xfId="2" applyFont="1" applyFill="1" applyBorder="1" applyAlignment="1">
      <alignment horizontal="right" vertical="top" wrapText="1"/>
    </xf>
    <xf numFmtId="41" fontId="6" fillId="0" borderId="28" xfId="2" applyNumberFormat="1" applyFont="1" applyFill="1" applyBorder="1" applyAlignment="1">
      <alignment horizontal="right" vertical="top" wrapText="1"/>
    </xf>
    <xf numFmtId="41" fontId="6" fillId="0" borderId="28" xfId="2" applyFont="1" applyFill="1" applyBorder="1" applyAlignment="1">
      <alignment horizontal="left" vertical="top" wrapText="1"/>
    </xf>
    <xf numFmtId="0" fontId="4" fillId="4" borderId="28" xfId="0" applyFont="1" applyFill="1" applyBorder="1" applyAlignment="1">
      <alignment horizontal="center" vertical="top" wrapText="1"/>
    </xf>
    <xf numFmtId="41" fontId="4" fillId="4" borderId="28" xfId="2" applyFont="1" applyFill="1" applyBorder="1" applyAlignment="1">
      <alignment horizontal="center" vertical="top" wrapText="1"/>
    </xf>
    <xf numFmtId="41" fontId="4" fillId="4" borderId="28" xfId="2" applyFont="1" applyFill="1" applyBorder="1" applyAlignment="1">
      <alignment horizontal="right" vertical="top" wrapText="1"/>
    </xf>
    <xf numFmtId="41" fontId="4" fillId="4" borderId="28" xfId="2" applyNumberFormat="1" applyFont="1" applyFill="1" applyBorder="1" applyAlignment="1">
      <alignment horizontal="right" vertical="top" wrapText="1"/>
    </xf>
    <xf numFmtId="41" fontId="4" fillId="4" borderId="28" xfId="2" applyFont="1" applyFill="1" applyBorder="1" applyAlignment="1">
      <alignment horizontal="left" vertical="top" wrapText="1"/>
    </xf>
    <xf numFmtId="3" fontId="4" fillId="4" borderId="28" xfId="0" applyNumberFormat="1" applyFont="1" applyFill="1" applyBorder="1" applyAlignment="1">
      <alignment horizontal="right" vertical="top" wrapText="1"/>
    </xf>
    <xf numFmtId="0" fontId="13" fillId="0" borderId="28" xfId="0" applyFont="1" applyBorder="1" applyAlignment="1">
      <alignment vertical="top" wrapText="1"/>
    </xf>
    <xf numFmtId="3" fontId="6" fillId="0" borderId="28" xfId="0" applyNumberFormat="1" applyFont="1" applyFill="1" applyBorder="1" applyAlignment="1">
      <alignment horizontal="right" vertical="top" wrapText="1"/>
    </xf>
    <xf numFmtId="0" fontId="9" fillId="0" borderId="28" xfId="0" applyFont="1" applyBorder="1" applyAlignment="1">
      <alignment vertical="top" wrapText="1"/>
    </xf>
    <xf numFmtId="0" fontId="14" fillId="0" borderId="2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0" fontId="6" fillId="0" borderId="28" xfId="0" applyFont="1" applyFill="1" applyBorder="1" applyAlignment="1">
      <alignment vertical="top" wrapText="1"/>
    </xf>
    <xf numFmtId="41" fontId="6" fillId="0" borderId="28" xfId="2" applyFont="1" applyFill="1" applyBorder="1" applyAlignment="1">
      <alignment vertical="top" wrapText="1"/>
    </xf>
    <xf numFmtId="0" fontId="6" fillId="0" borderId="28" xfId="0" applyFont="1" applyFill="1" applyBorder="1" applyAlignment="1">
      <alignment horizontal="right" vertical="top" wrapText="1"/>
    </xf>
    <xf numFmtId="0" fontId="4" fillId="5" borderId="28" xfId="0" applyFont="1" applyFill="1" applyBorder="1" applyAlignment="1">
      <alignment horizontal="center" vertical="top" wrapText="1"/>
    </xf>
    <xf numFmtId="41" fontId="4" fillId="5" borderId="28" xfId="2" applyFont="1" applyFill="1" applyBorder="1" applyAlignment="1">
      <alignment horizontal="center" vertical="top" wrapText="1"/>
    </xf>
    <xf numFmtId="41" fontId="4" fillId="5" borderId="28" xfId="2" applyFont="1" applyFill="1" applyBorder="1" applyAlignment="1">
      <alignment horizontal="right" vertical="top" wrapText="1"/>
    </xf>
    <xf numFmtId="41" fontId="4" fillId="5" borderId="28" xfId="2" applyFont="1" applyFill="1" applyBorder="1" applyAlignment="1">
      <alignment horizontal="left" vertical="top" wrapText="1"/>
    </xf>
    <xf numFmtId="3" fontId="4" fillId="5" borderId="28" xfId="0" applyNumberFormat="1" applyFont="1" applyFill="1" applyBorder="1" applyAlignment="1">
      <alignment horizontal="right" vertical="top" wrapText="1"/>
    </xf>
    <xf numFmtId="0" fontId="4" fillId="0" borderId="28" xfId="0" applyFont="1" applyFill="1" applyBorder="1" applyAlignment="1">
      <alignment vertical="top" wrapText="1"/>
    </xf>
    <xf numFmtId="41" fontId="4" fillId="0" borderId="28" xfId="2" applyFont="1" applyFill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41" fontId="9" fillId="0" borderId="28" xfId="2" applyFont="1" applyBorder="1" applyAlignment="1">
      <alignment vertical="top" wrapText="1"/>
    </xf>
    <xf numFmtId="0" fontId="10" fillId="0" borderId="28" xfId="0" applyFont="1" applyFill="1" applyBorder="1" applyAlignment="1">
      <alignment vertical="top" wrapText="1"/>
    </xf>
    <xf numFmtId="0" fontId="9" fillId="0" borderId="28" xfId="0" applyFont="1" applyFill="1" applyBorder="1" applyAlignment="1">
      <alignment wrapText="1"/>
    </xf>
    <xf numFmtId="0" fontId="4" fillId="6" borderId="28" xfId="0" applyFont="1" applyFill="1" applyBorder="1" applyAlignment="1">
      <alignment horizontal="center" vertical="top" wrapText="1"/>
    </xf>
    <xf numFmtId="41" fontId="4" fillId="6" borderId="28" xfId="2" applyFont="1" applyFill="1" applyBorder="1" applyAlignment="1">
      <alignment horizontal="center" vertical="top" wrapText="1"/>
    </xf>
    <xf numFmtId="41" fontId="4" fillId="6" borderId="28" xfId="2" applyFont="1" applyFill="1" applyBorder="1" applyAlignment="1">
      <alignment horizontal="right" vertical="top" wrapText="1"/>
    </xf>
    <xf numFmtId="41" fontId="4" fillId="6" borderId="28" xfId="2" applyFont="1" applyFill="1" applyBorder="1" applyAlignment="1">
      <alignment horizontal="left" vertical="top" wrapText="1"/>
    </xf>
    <xf numFmtId="3" fontId="4" fillId="6" borderId="28" xfId="0" applyNumberFormat="1" applyFont="1" applyFill="1" applyBorder="1" applyAlignment="1">
      <alignment horizontal="right" vertical="top" wrapText="1"/>
    </xf>
    <xf numFmtId="0" fontId="9" fillId="11" borderId="28" xfId="0" applyFont="1" applyFill="1" applyBorder="1" applyAlignment="1">
      <alignment vertical="top" wrapText="1"/>
    </xf>
    <xf numFmtId="41" fontId="9" fillId="11" borderId="28" xfId="2" applyFont="1" applyFill="1" applyBorder="1" applyAlignment="1">
      <alignment vertical="top" wrapText="1"/>
    </xf>
    <xf numFmtId="41" fontId="10" fillId="11" borderId="28" xfId="2" applyFont="1" applyFill="1" applyBorder="1" applyAlignment="1">
      <alignment horizontal="right" vertical="top" wrapText="1"/>
    </xf>
    <xf numFmtId="0" fontId="11" fillId="0" borderId="28" xfId="0" applyFont="1" applyBorder="1" applyAlignment="1">
      <alignment horizontal="center" vertical="top" wrapText="1"/>
    </xf>
    <xf numFmtId="41" fontId="11" fillId="0" borderId="28" xfId="2" applyFont="1" applyBorder="1" applyAlignment="1">
      <alignment horizontal="center" vertical="top" wrapText="1"/>
    </xf>
    <xf numFmtId="0" fontId="11" fillId="0" borderId="28" xfId="0" applyFont="1" applyFill="1" applyBorder="1" applyAlignment="1">
      <alignment horizontal="center" vertical="top" wrapText="1"/>
    </xf>
    <xf numFmtId="41" fontId="11" fillId="0" borderId="28" xfId="2" applyFont="1" applyFill="1" applyBorder="1" applyAlignment="1">
      <alignment horizontal="center" vertical="top" wrapText="1"/>
    </xf>
    <xf numFmtId="41" fontId="11" fillId="0" borderId="28" xfId="2" applyFont="1" applyBorder="1" applyAlignment="1">
      <alignment vertical="top" wrapText="1"/>
    </xf>
    <xf numFmtId="41" fontId="4" fillId="0" borderId="28" xfId="2" applyFont="1" applyFill="1" applyBorder="1" applyAlignment="1">
      <alignment horizontal="left" vertical="top"/>
    </xf>
    <xf numFmtId="3" fontId="4" fillId="0" borderId="28" xfId="1" applyNumberFormat="1" applyFont="1" applyFill="1" applyBorder="1" applyAlignment="1">
      <alignment horizontal="left" vertical="top"/>
    </xf>
    <xf numFmtId="41" fontId="6" fillId="0" borderId="28" xfId="2" applyFont="1" applyFill="1" applyBorder="1" applyAlignment="1">
      <alignment horizontal="left" vertical="top"/>
    </xf>
    <xf numFmtId="3" fontId="6" fillId="0" borderId="28" xfId="1" applyNumberFormat="1" applyFont="1" applyFill="1" applyBorder="1" applyAlignment="1">
      <alignment horizontal="left" vertical="top"/>
    </xf>
    <xf numFmtId="0" fontId="7" fillId="0" borderId="33" xfId="0" applyFont="1" applyBorder="1" applyAlignment="1">
      <alignment horizontal="center" vertical="center" wrapText="1"/>
    </xf>
    <xf numFmtId="1" fontId="4" fillId="0" borderId="32" xfId="0" applyNumberFormat="1" applyFont="1" applyFill="1" applyBorder="1" applyAlignment="1">
      <alignment vertical="top"/>
    </xf>
    <xf numFmtId="3" fontId="4" fillId="0" borderId="33" xfId="0" applyNumberFormat="1" applyFont="1" applyFill="1" applyBorder="1" applyAlignment="1">
      <alignment horizontal="left" vertical="top" wrapText="1"/>
    </xf>
    <xf numFmtId="3" fontId="4" fillId="2" borderId="33" xfId="0" applyNumberFormat="1" applyFont="1" applyFill="1" applyBorder="1" applyAlignment="1">
      <alignment horizontal="right" vertical="top" wrapText="1"/>
    </xf>
    <xf numFmtId="0" fontId="4" fillId="0" borderId="32" xfId="0" applyFont="1" applyFill="1" applyBorder="1" applyAlignment="1">
      <alignment horizontal="center" vertical="top"/>
    </xf>
    <xf numFmtId="3" fontId="4" fillId="0" borderId="33" xfId="0" applyNumberFormat="1" applyFont="1" applyFill="1" applyBorder="1" applyAlignment="1">
      <alignment horizontal="right" vertical="top" wrapText="1"/>
    </xf>
    <xf numFmtId="1" fontId="10" fillId="0" borderId="32" xfId="0" applyNumberFormat="1" applyFont="1" applyFill="1" applyBorder="1" applyAlignment="1">
      <alignment vertical="top"/>
    </xf>
    <xf numFmtId="3" fontId="10" fillId="0" borderId="33" xfId="0" applyNumberFormat="1" applyFont="1" applyFill="1" applyBorder="1" applyAlignment="1">
      <alignment horizontal="right" vertical="top" wrapText="1"/>
    </xf>
    <xf numFmtId="0" fontId="10" fillId="0" borderId="32" xfId="0" applyFont="1" applyFill="1" applyBorder="1" applyAlignment="1">
      <alignment horizontal="center" vertical="top"/>
    </xf>
    <xf numFmtId="3" fontId="4" fillId="4" borderId="33" xfId="0" applyNumberFormat="1" applyFont="1" applyFill="1" applyBorder="1" applyAlignment="1">
      <alignment horizontal="right" vertical="top" wrapText="1"/>
    </xf>
    <xf numFmtId="3" fontId="6" fillId="0" borderId="33" xfId="0" applyNumberFormat="1" applyFont="1" applyFill="1" applyBorder="1" applyAlignment="1">
      <alignment horizontal="right" vertical="top" wrapText="1"/>
    </xf>
    <xf numFmtId="41" fontId="4" fillId="0" borderId="33" xfId="2" applyFont="1" applyFill="1" applyBorder="1" applyAlignment="1">
      <alignment horizontal="right" vertical="top" wrapText="1"/>
    </xf>
    <xf numFmtId="1" fontId="6" fillId="0" borderId="32" xfId="0" applyNumberFormat="1" applyFont="1" applyFill="1" applyBorder="1" applyAlignment="1">
      <alignment vertical="top"/>
    </xf>
    <xf numFmtId="0" fontId="6" fillId="0" borderId="33" xfId="0" applyFont="1" applyFill="1" applyBorder="1" applyAlignment="1">
      <alignment horizontal="right" vertical="top" wrapText="1"/>
    </xf>
    <xf numFmtId="3" fontId="4" fillId="5" borderId="33" xfId="0" applyNumberFormat="1" applyFont="1" applyFill="1" applyBorder="1" applyAlignment="1">
      <alignment horizontal="right" vertical="top" wrapText="1"/>
    </xf>
    <xf numFmtId="0" fontId="4" fillId="0" borderId="32" xfId="0" applyFont="1" applyFill="1" applyBorder="1" applyAlignment="1">
      <alignment vertical="top"/>
    </xf>
    <xf numFmtId="3" fontId="10" fillId="0" borderId="33" xfId="0" applyNumberFormat="1" applyFont="1" applyFill="1" applyBorder="1" applyAlignment="1">
      <alignment horizontal="left" vertical="top" wrapText="1"/>
    </xf>
    <xf numFmtId="0" fontId="6" fillId="0" borderId="32" xfId="0" applyFont="1" applyFill="1" applyBorder="1" applyAlignment="1">
      <alignment horizontal="center" vertical="top"/>
    </xf>
    <xf numFmtId="1" fontId="4" fillId="0" borderId="32" xfId="0" applyNumberFormat="1" applyFont="1" applyFill="1" applyBorder="1" applyAlignment="1">
      <alignment horizontal="center" vertical="top"/>
    </xf>
    <xf numFmtId="1" fontId="10" fillId="0" borderId="32" xfId="0" applyNumberFormat="1" applyFont="1" applyFill="1" applyBorder="1" applyAlignment="1">
      <alignment horizontal="center" vertical="top"/>
    </xf>
    <xf numFmtId="3" fontId="4" fillId="6" borderId="33" xfId="0" applyNumberFormat="1" applyFont="1" applyFill="1" applyBorder="1" applyAlignment="1">
      <alignment horizontal="right" vertical="top" wrapText="1"/>
    </xf>
    <xf numFmtId="3" fontId="4" fillId="0" borderId="33" xfId="1" applyNumberFormat="1" applyFont="1" applyFill="1" applyBorder="1" applyAlignment="1">
      <alignment horizontal="left" vertical="top"/>
    </xf>
    <xf numFmtId="3" fontId="6" fillId="0" borderId="33" xfId="1" applyNumberFormat="1" applyFont="1" applyFill="1" applyBorder="1" applyAlignment="1">
      <alignment horizontal="left" vertical="top"/>
    </xf>
    <xf numFmtId="1" fontId="6" fillId="7" borderId="34" xfId="0" applyNumberFormat="1" applyFont="1" applyFill="1" applyBorder="1" applyAlignment="1">
      <alignment vertical="center" wrapText="1"/>
    </xf>
    <xf numFmtId="0" fontId="4" fillId="7" borderId="35" xfId="0" applyFont="1" applyFill="1" applyBorder="1" applyAlignment="1">
      <alignment horizontal="center" vertical="center" wrapText="1"/>
    </xf>
    <xf numFmtId="41" fontId="4" fillId="7" borderId="35" xfId="2" applyFont="1" applyFill="1" applyBorder="1" applyAlignment="1">
      <alignment horizontal="center" vertical="center" wrapText="1"/>
    </xf>
    <xf numFmtId="41" fontId="4" fillId="7" borderId="35" xfId="2" applyFont="1" applyFill="1" applyBorder="1" applyAlignment="1">
      <alignment vertical="center" wrapText="1"/>
    </xf>
    <xf numFmtId="41" fontId="4" fillId="7" borderId="35" xfId="2" applyFont="1" applyFill="1" applyBorder="1" applyAlignment="1">
      <alignment horizontal="left" vertical="center" wrapText="1"/>
    </xf>
    <xf numFmtId="164" fontId="4" fillId="7" borderId="35" xfId="1" applyNumberFormat="1" applyFont="1" applyFill="1" applyBorder="1" applyAlignment="1">
      <alignment vertical="center" wrapText="1"/>
    </xf>
    <xf numFmtId="164" fontId="4" fillId="7" borderId="36" xfId="1" applyNumberFormat="1" applyFont="1" applyFill="1" applyBorder="1" applyAlignment="1">
      <alignment vertical="center" wrapText="1"/>
    </xf>
    <xf numFmtId="1" fontId="6" fillId="0" borderId="0" xfId="0" applyNumberFormat="1" applyFont="1" applyFill="1" applyBorder="1" applyAlignment="1">
      <alignment vertical="top"/>
    </xf>
    <xf numFmtId="41" fontId="4" fillId="0" borderId="0" xfId="2" applyFont="1" applyFill="1" applyBorder="1" applyAlignment="1">
      <alignment horizontal="right" vertical="top"/>
    </xf>
    <xf numFmtId="1" fontId="4" fillId="0" borderId="37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41" fontId="4" fillId="0" borderId="38" xfId="2" applyFont="1" applyFill="1" applyBorder="1" applyAlignment="1">
      <alignment horizontal="center" vertical="center" wrapText="1"/>
    </xf>
    <xf numFmtId="41" fontId="4" fillId="0" borderId="38" xfId="2" applyFont="1" applyFill="1" applyBorder="1" applyAlignment="1">
      <alignment horizontal="center" vertical="center"/>
    </xf>
    <xf numFmtId="41" fontId="7" fillId="0" borderId="38" xfId="2" applyFont="1" applyBorder="1" applyAlignment="1">
      <alignment horizontal="center" vertical="center" wrapText="1"/>
    </xf>
    <xf numFmtId="41" fontId="4" fillId="0" borderId="38" xfId="2" applyFont="1" applyFill="1" applyBorder="1" applyAlignment="1">
      <alignment horizontal="left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6" fillId="0" borderId="30" xfId="0" applyFont="1" applyFill="1" applyBorder="1" applyAlignment="1">
      <alignment vertical="top" wrapText="1"/>
    </xf>
    <xf numFmtId="41" fontId="6" fillId="0" borderId="30" xfId="2" applyFont="1" applyFill="1" applyBorder="1" applyAlignment="1">
      <alignment vertical="top" wrapText="1"/>
    </xf>
    <xf numFmtId="0" fontId="27" fillId="0" borderId="30" xfId="2" applyNumberFormat="1" applyFont="1" applyBorder="1" applyAlignment="1">
      <alignment horizontal="center" vertical="top"/>
    </xf>
    <xf numFmtId="41" fontId="5" fillId="0" borderId="30" xfId="2" applyFont="1" applyBorder="1" applyAlignment="1">
      <alignment vertical="top"/>
    </xf>
    <xf numFmtId="41" fontId="5" fillId="0" borderId="30" xfId="2" applyFont="1" applyBorder="1" applyAlignment="1">
      <alignment horizontal="left" vertical="top"/>
    </xf>
    <xf numFmtId="0" fontId="4" fillId="0" borderId="30" xfId="0" applyFont="1" applyFill="1" applyBorder="1" applyAlignment="1">
      <alignment horizontal="right" vertical="top"/>
    </xf>
    <xf numFmtId="0" fontId="4" fillId="0" borderId="35" xfId="2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 wrapText="1"/>
    </xf>
    <xf numFmtId="41" fontId="29" fillId="0" borderId="9" xfId="2" applyFont="1" applyBorder="1" applyAlignment="1">
      <alignment vertical="top"/>
    </xf>
    <xf numFmtId="9" fontId="29" fillId="0" borderId="9" xfId="7" applyFont="1" applyBorder="1" applyAlignment="1">
      <alignment vertical="top"/>
    </xf>
    <xf numFmtId="9" fontId="29" fillId="0" borderId="9" xfId="7" quotePrefix="1" applyFont="1" applyBorder="1" applyAlignment="1">
      <alignment vertical="top"/>
    </xf>
    <xf numFmtId="41" fontId="30" fillId="0" borderId="9" xfId="2" applyFont="1" applyBorder="1" applyAlignment="1">
      <alignment vertical="top"/>
    </xf>
    <xf numFmtId="9" fontId="30" fillId="0" borderId="9" xfId="7" applyFont="1" applyBorder="1" applyAlignment="1">
      <alignment vertical="top"/>
    </xf>
    <xf numFmtId="1" fontId="4" fillId="0" borderId="9" xfId="0" applyNumberFormat="1" applyFont="1" applyFill="1" applyBorder="1" applyAlignment="1">
      <alignment horizontal="left" vertical="center" wrapText="1"/>
    </xf>
    <xf numFmtId="41" fontId="0" fillId="0" borderId="9" xfId="0" applyNumberFormat="1" applyBorder="1" applyAlignment="1">
      <alignment wrapText="1"/>
    </xf>
    <xf numFmtId="41" fontId="0" fillId="0" borderId="9" xfId="2" applyFont="1" applyBorder="1" applyAlignment="1">
      <alignment wrapText="1"/>
    </xf>
    <xf numFmtId="1" fontId="4" fillId="0" borderId="9" xfId="0" applyNumberFormat="1" applyFont="1" applyFill="1" applyBorder="1" applyAlignment="1">
      <alignment vertical="top" wrapText="1"/>
    </xf>
    <xf numFmtId="0" fontId="4" fillId="0" borderId="9" xfId="0" applyFont="1" applyFill="1" applyBorder="1" applyAlignment="1">
      <alignment horizontal="left" vertical="top" wrapText="1"/>
    </xf>
    <xf numFmtId="41" fontId="4" fillId="0" borderId="9" xfId="2" applyFont="1" applyFill="1" applyBorder="1" applyAlignment="1">
      <alignment horizontal="right" vertical="top" wrapText="1"/>
    </xf>
    <xf numFmtId="3" fontId="4" fillId="0" borderId="9" xfId="0" applyNumberFormat="1" applyFont="1" applyFill="1" applyBorder="1" applyAlignment="1">
      <alignment horizontal="left" vertical="top" wrapText="1"/>
    </xf>
    <xf numFmtId="164" fontId="4" fillId="9" borderId="9" xfId="0" applyNumberFormat="1" applyFont="1" applyFill="1" applyBorder="1" applyAlignment="1">
      <alignment horizontal="left" vertical="top" wrapText="1"/>
    </xf>
    <xf numFmtId="0" fontId="4" fillId="9" borderId="9" xfId="0" applyFont="1" applyFill="1" applyBorder="1" applyAlignment="1">
      <alignment horizontal="center" vertical="top" wrapText="1"/>
    </xf>
    <xf numFmtId="41" fontId="4" fillId="9" borderId="9" xfId="2" applyFont="1" applyFill="1" applyBorder="1" applyAlignment="1">
      <alignment horizontal="right" vertical="top" wrapText="1"/>
    </xf>
    <xf numFmtId="0" fontId="9" fillId="0" borderId="9" xfId="0" applyFont="1" applyFill="1" applyBorder="1" applyAlignment="1">
      <alignment vertical="top" wrapText="1"/>
    </xf>
    <xf numFmtId="41" fontId="10" fillId="0" borderId="9" xfId="2" applyFont="1" applyFill="1" applyBorder="1" applyAlignment="1">
      <alignment horizontal="right" vertical="top" wrapText="1"/>
    </xf>
    <xf numFmtId="41" fontId="5" fillId="0" borderId="9" xfId="0" applyNumberFormat="1" applyFont="1" applyBorder="1" applyAlignment="1">
      <alignment wrapText="1"/>
    </xf>
    <xf numFmtId="41" fontId="5" fillId="0" borderId="9" xfId="2" applyFont="1" applyBorder="1" applyAlignment="1">
      <alignment wrapText="1"/>
    </xf>
    <xf numFmtId="0" fontId="4" fillId="0" borderId="9" xfId="0" applyFont="1" applyFill="1" applyBorder="1" applyAlignment="1">
      <alignment horizontal="center" vertical="top" wrapText="1"/>
    </xf>
    <xf numFmtId="0" fontId="11" fillId="0" borderId="9" xfId="0" applyFont="1" applyBorder="1" applyAlignment="1">
      <alignment vertical="top" wrapText="1"/>
    </xf>
    <xf numFmtId="41" fontId="4" fillId="10" borderId="9" xfId="2" applyFont="1" applyFill="1" applyBorder="1" applyAlignment="1">
      <alignment horizontal="right" vertical="top" wrapText="1"/>
    </xf>
    <xf numFmtId="1" fontId="10" fillId="0" borderId="9" xfId="0" applyNumberFormat="1" applyFont="1" applyFill="1" applyBorder="1" applyAlignment="1">
      <alignment vertical="top" wrapText="1"/>
    </xf>
    <xf numFmtId="3" fontId="10" fillId="0" borderId="9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horizontal="center" vertical="top" wrapText="1"/>
    </xf>
    <xf numFmtId="41" fontId="6" fillId="10" borderId="9" xfId="2" applyFont="1" applyFill="1" applyBorder="1" applyAlignment="1">
      <alignment horizontal="right" vertical="top" wrapText="1"/>
    </xf>
    <xf numFmtId="41" fontId="10" fillId="11" borderId="9" xfId="2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horizontal="left" vertical="top" wrapText="1"/>
    </xf>
    <xf numFmtId="41" fontId="6" fillId="0" borderId="9" xfId="2" applyFont="1" applyFill="1" applyBorder="1" applyAlignment="1">
      <alignment horizontal="right" vertical="top" wrapText="1"/>
    </xf>
    <xf numFmtId="164" fontId="4" fillId="4" borderId="9" xfId="0" applyNumberFormat="1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center" vertical="top" wrapText="1"/>
    </xf>
    <xf numFmtId="41" fontId="4" fillId="4" borderId="9" xfId="2" applyFont="1" applyFill="1" applyBorder="1" applyAlignment="1">
      <alignment horizontal="right" vertical="top" wrapText="1"/>
    </xf>
    <xf numFmtId="41" fontId="5" fillId="4" borderId="9" xfId="0" applyNumberFormat="1" applyFont="1" applyFill="1" applyBorder="1" applyAlignment="1">
      <alignment wrapText="1"/>
    </xf>
    <xf numFmtId="3" fontId="4" fillId="4" borderId="9" xfId="0" applyNumberFormat="1" applyFont="1" applyFill="1" applyBorder="1" applyAlignment="1">
      <alignment horizontal="right" vertical="top" wrapText="1"/>
    </xf>
    <xf numFmtId="41" fontId="5" fillId="4" borderId="9" xfId="2" applyFont="1" applyFill="1" applyBorder="1" applyAlignment="1">
      <alignment wrapText="1"/>
    </xf>
    <xf numFmtId="3" fontId="4" fillId="0" borderId="9" xfId="0" applyNumberFormat="1" applyFont="1" applyFill="1" applyBorder="1" applyAlignment="1">
      <alignment horizontal="right" vertical="top" wrapText="1"/>
    </xf>
    <xf numFmtId="0" fontId="13" fillId="0" borderId="9" xfId="0" applyFont="1" applyBorder="1" applyAlignment="1">
      <alignment vertical="top" wrapText="1"/>
    </xf>
    <xf numFmtId="3" fontId="6" fillId="0" borderId="9" xfId="0" applyNumberFormat="1" applyFont="1" applyFill="1" applyBorder="1" applyAlignment="1">
      <alignment horizontal="right" vertical="top" wrapText="1"/>
    </xf>
    <xf numFmtId="0" fontId="9" fillId="0" borderId="9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1" fontId="6" fillId="0" borderId="9" xfId="0" applyNumberFormat="1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right" vertical="top" wrapText="1"/>
    </xf>
    <xf numFmtId="164" fontId="4" fillId="5" borderId="9" xfId="0" applyNumberFormat="1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top" wrapText="1"/>
    </xf>
    <xf numFmtId="41" fontId="4" fillId="5" borderId="9" xfId="2" applyFont="1" applyFill="1" applyBorder="1" applyAlignment="1">
      <alignment horizontal="right" vertical="top" wrapText="1"/>
    </xf>
    <xf numFmtId="3" fontId="4" fillId="5" borderId="9" xfId="0" applyNumberFormat="1" applyFont="1" applyFill="1" applyBorder="1" applyAlignment="1">
      <alignment horizontal="right" vertical="top" wrapText="1"/>
    </xf>
    <xf numFmtId="0" fontId="4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10" fillId="0" borderId="9" xfId="0" applyFont="1" applyFill="1" applyBorder="1" applyAlignment="1">
      <alignment vertical="top" wrapText="1"/>
    </xf>
    <xf numFmtId="1" fontId="4" fillId="0" borderId="9" xfId="0" applyNumberFormat="1" applyFont="1" applyFill="1" applyBorder="1" applyAlignment="1">
      <alignment horizontal="center" vertical="top" wrapText="1"/>
    </xf>
    <xf numFmtId="1" fontId="10" fillId="0" borderId="9" xfId="0" applyNumberFormat="1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wrapText="1"/>
    </xf>
    <xf numFmtId="164" fontId="4" fillId="12" borderId="9" xfId="0" applyNumberFormat="1" applyFont="1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center" vertical="top" wrapText="1"/>
    </xf>
    <xf numFmtId="41" fontId="4" fillId="12" borderId="9" xfId="2" applyFont="1" applyFill="1" applyBorder="1" applyAlignment="1">
      <alignment horizontal="right" vertical="top" wrapText="1"/>
    </xf>
    <xf numFmtId="41" fontId="5" fillId="12" borderId="9" xfId="0" applyNumberFormat="1" applyFont="1" applyFill="1" applyBorder="1" applyAlignment="1">
      <alignment wrapText="1"/>
    </xf>
    <xf numFmtId="3" fontId="4" fillId="12" borderId="9" xfId="0" applyNumberFormat="1" applyFont="1" applyFill="1" applyBorder="1" applyAlignment="1">
      <alignment horizontal="right" vertical="top" wrapText="1"/>
    </xf>
    <xf numFmtId="41" fontId="5" fillId="12" borderId="9" xfId="2" applyFont="1" applyFill="1" applyBorder="1" applyAlignment="1">
      <alignment wrapText="1"/>
    </xf>
    <xf numFmtId="0" fontId="9" fillId="11" borderId="9" xfId="0" applyFont="1" applyFill="1" applyBorder="1" applyAlignment="1">
      <alignment vertical="top" wrapText="1"/>
    </xf>
    <xf numFmtId="41" fontId="10" fillId="11" borderId="9" xfId="2" applyFont="1" applyFill="1" applyBorder="1" applyAlignment="1">
      <alignment horizontal="right" wrapText="1"/>
    </xf>
    <xf numFmtId="3" fontId="10" fillId="11" borderId="9" xfId="0" applyNumberFormat="1" applyFont="1" applyFill="1" applyBorder="1" applyAlignment="1">
      <alignment horizontal="right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3" fontId="4" fillId="0" borderId="9" xfId="1" applyNumberFormat="1" applyFont="1" applyFill="1" applyBorder="1" applyAlignment="1">
      <alignment horizontal="left" vertical="top" wrapText="1"/>
    </xf>
    <xf numFmtId="3" fontId="6" fillId="0" borderId="9" xfId="1" applyNumberFormat="1" applyFont="1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41" fontId="4" fillId="7" borderId="9" xfId="2" applyFont="1" applyFill="1" applyBorder="1" applyAlignment="1">
      <alignment horizontal="center" vertical="center" wrapText="1"/>
    </xf>
    <xf numFmtId="41" fontId="11" fillId="7" borderId="9" xfId="0" applyNumberFormat="1" applyFont="1" applyFill="1" applyBorder="1" applyAlignment="1">
      <alignment horizontal="center" vertical="center" wrapText="1"/>
    </xf>
    <xf numFmtId="164" fontId="4" fillId="7" borderId="9" xfId="1" applyNumberFormat="1" applyFont="1" applyFill="1" applyBorder="1" applyAlignment="1">
      <alignment horizontal="center" vertical="center" wrapText="1"/>
    </xf>
    <xf numFmtId="41" fontId="11" fillId="7" borderId="9" xfId="2" applyFont="1" applyFill="1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vertical="center" wrapText="1"/>
    </xf>
    <xf numFmtId="41" fontId="4" fillId="0" borderId="27" xfId="2" applyFont="1" applyFill="1" applyBorder="1" applyAlignment="1">
      <alignment horizontal="center" vertical="center" wrapText="1"/>
    </xf>
    <xf numFmtId="164" fontId="4" fillId="0" borderId="27" xfId="0" applyNumberFormat="1" applyFont="1" applyFill="1" applyBorder="1" applyAlignment="1">
      <alignment horizontal="center" vertical="center" wrapText="1"/>
    </xf>
    <xf numFmtId="1" fontId="4" fillId="0" borderId="40" xfId="0" applyNumberFormat="1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vertical="top" wrapText="1"/>
    </xf>
    <xf numFmtId="41" fontId="4" fillId="0" borderId="41" xfId="2" applyFont="1" applyFill="1" applyBorder="1" applyAlignment="1">
      <alignment horizontal="center" vertical="center" wrapText="1"/>
    </xf>
    <xf numFmtId="164" fontId="4" fillId="0" borderId="41" xfId="0" applyNumberFormat="1" applyFont="1" applyFill="1" applyBorder="1" applyAlignment="1">
      <alignment horizontal="center" vertical="center" wrapText="1"/>
    </xf>
    <xf numFmtId="164" fontId="4" fillId="0" borderId="42" xfId="0" applyNumberFormat="1" applyFont="1" applyFill="1" applyBorder="1" applyAlignment="1">
      <alignment horizontal="center" vertical="center" wrapText="1"/>
    </xf>
    <xf numFmtId="41" fontId="11" fillId="5" borderId="9" xfId="2" applyFont="1" applyFill="1" applyBorder="1" applyAlignment="1">
      <alignment vertical="top" wrapText="1"/>
    </xf>
    <xf numFmtId="41" fontId="11" fillId="5" borderId="9" xfId="0" applyNumberFormat="1" applyFont="1" applyFill="1" applyBorder="1" applyAlignment="1">
      <alignment vertical="top" wrapText="1"/>
    </xf>
    <xf numFmtId="41" fontId="11" fillId="0" borderId="9" xfId="2" applyFont="1" applyBorder="1" applyAlignment="1">
      <alignment vertical="top" wrapText="1"/>
    </xf>
    <xf numFmtId="41" fontId="11" fillId="0" borderId="9" xfId="0" applyNumberFormat="1" applyFont="1" applyBorder="1" applyAlignment="1">
      <alignment vertical="top" wrapText="1"/>
    </xf>
    <xf numFmtId="41" fontId="11" fillId="9" borderId="9" xfId="2" applyFont="1" applyFill="1" applyBorder="1" applyAlignment="1">
      <alignment vertical="top" wrapText="1"/>
    </xf>
    <xf numFmtId="41" fontId="11" fillId="9" borderId="9" xfId="0" applyNumberFormat="1" applyFont="1" applyFill="1" applyBorder="1" applyAlignment="1">
      <alignment vertical="top" wrapText="1"/>
    </xf>
    <xf numFmtId="41" fontId="29" fillId="0" borderId="9" xfId="2" applyFont="1" applyBorder="1" applyAlignment="1">
      <alignment horizontal="right" vertical="top"/>
    </xf>
    <xf numFmtId="41" fontId="28" fillId="0" borderId="9" xfId="2" applyFont="1" applyBorder="1" applyAlignment="1">
      <alignment horizontal="center" vertical="center" wrapText="1"/>
    </xf>
    <xf numFmtId="41" fontId="30" fillId="0" borderId="9" xfId="2" applyFont="1" applyBorder="1" applyAlignment="1">
      <alignment horizontal="left" vertical="top"/>
    </xf>
    <xf numFmtId="41" fontId="31" fillId="0" borderId="9" xfId="2" applyFont="1" applyBorder="1" applyAlignment="1">
      <alignment vertical="top" wrapText="1"/>
    </xf>
    <xf numFmtId="41" fontId="29" fillId="0" borderId="9" xfId="2" applyFont="1" applyBorder="1" applyAlignment="1">
      <alignment vertical="top" wrapText="1"/>
    </xf>
    <xf numFmtId="9" fontId="28" fillId="0" borderId="9" xfId="7" applyFont="1" applyBorder="1" applyAlignment="1">
      <alignment horizontal="center" vertical="center" wrapText="1"/>
    </xf>
    <xf numFmtId="9" fontId="0" fillId="0" borderId="0" xfId="7" applyFont="1"/>
    <xf numFmtId="9" fontId="29" fillId="0" borderId="9" xfId="7" quotePrefix="1" applyFont="1" applyBorder="1" applyAlignment="1">
      <alignment horizontal="right" vertical="top"/>
    </xf>
    <xf numFmtId="41" fontId="28" fillId="0" borderId="9" xfId="2" applyFont="1" applyBorder="1"/>
    <xf numFmtId="9" fontId="28" fillId="0" borderId="9" xfId="7" applyFont="1" applyBorder="1"/>
    <xf numFmtId="0" fontId="18" fillId="0" borderId="0" xfId="4" applyFont="1" applyAlignment="1">
      <alignment horizontal="center"/>
    </xf>
    <xf numFmtId="41" fontId="31" fillId="0" borderId="9" xfId="2" applyFont="1" applyBorder="1" applyAlignment="1">
      <alignment vertical="top"/>
    </xf>
    <xf numFmtId="41" fontId="31" fillId="0" borderId="9" xfId="2" quotePrefix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8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43" xfId="0" applyBorder="1"/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left" vertical="center"/>
    </xf>
    <xf numFmtId="0" fontId="28" fillId="0" borderId="32" xfId="0" applyFont="1" applyBorder="1" applyAlignment="1">
      <alignment horizontal="left" vertical="center"/>
    </xf>
    <xf numFmtId="0" fontId="28" fillId="0" borderId="34" xfId="0" applyFont="1" applyBorder="1" applyAlignment="1">
      <alignment vertical="center"/>
    </xf>
    <xf numFmtId="41" fontId="0" fillId="0" borderId="38" xfId="2" applyFont="1" applyBorder="1" applyAlignment="1">
      <alignment wrapText="1"/>
    </xf>
    <xf numFmtId="41" fontId="31" fillId="0" borderId="38" xfId="2" applyFont="1" applyBorder="1" applyAlignment="1">
      <alignment wrapText="1"/>
    </xf>
    <xf numFmtId="41" fontId="0" fillId="0" borderId="28" xfId="2" applyFont="1" applyBorder="1" applyAlignment="1">
      <alignment wrapText="1"/>
    </xf>
    <xf numFmtId="41" fontId="0" fillId="0" borderId="35" xfId="2" applyFont="1" applyBorder="1" applyAlignment="1">
      <alignment wrapText="1"/>
    </xf>
    <xf numFmtId="41" fontId="31" fillId="0" borderId="46" xfId="2" applyFont="1" applyBorder="1" applyAlignment="1">
      <alignment wrapText="1"/>
    </xf>
    <xf numFmtId="0" fontId="28" fillId="0" borderId="47" xfId="0" applyFont="1" applyBorder="1" applyAlignment="1">
      <alignment horizontal="center" vertical="center" wrapText="1"/>
    </xf>
    <xf numFmtId="41" fontId="0" fillId="0" borderId="39" xfId="2" applyFont="1" applyBorder="1" applyAlignment="1">
      <alignment wrapText="1"/>
    </xf>
    <xf numFmtId="41" fontId="0" fillId="0" borderId="33" xfId="2" applyFont="1" applyBorder="1" applyAlignment="1">
      <alignment wrapText="1"/>
    </xf>
    <xf numFmtId="41" fontId="0" fillId="0" borderId="36" xfId="2" applyFont="1" applyBorder="1" applyAlignment="1">
      <alignment wrapText="1"/>
    </xf>
    <xf numFmtId="0" fontId="4" fillId="14" borderId="27" xfId="0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vertical="center" wrapText="1"/>
    </xf>
    <xf numFmtId="41" fontId="4" fillId="14" borderId="27" xfId="2" applyNumberFormat="1" applyFon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41" fontId="4" fillId="0" borderId="9" xfId="2" applyNumberFormat="1" applyFont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left" vertical="top" wrapText="1"/>
    </xf>
    <xf numFmtId="41" fontId="4" fillId="14" borderId="9" xfId="2" applyNumberFormat="1" applyFont="1" applyFill="1" applyBorder="1" applyAlignment="1">
      <alignment horizontal="right" vertical="top" wrapText="1"/>
    </xf>
    <xf numFmtId="41" fontId="4" fillId="9" borderId="9" xfId="2" applyNumberFormat="1" applyFont="1" applyFill="1" applyBorder="1" applyAlignment="1">
      <alignment horizontal="right" vertical="top" wrapText="1"/>
    </xf>
    <xf numFmtId="0" fontId="9" fillId="14" borderId="9" xfId="0" applyFont="1" applyFill="1" applyBorder="1" applyAlignment="1">
      <alignment vertical="top" wrapText="1"/>
    </xf>
    <xf numFmtId="41" fontId="10" fillId="14" borderId="9" xfId="2" applyNumberFormat="1" applyFont="1" applyFill="1" applyBorder="1" applyAlignment="1">
      <alignment horizontal="right" vertical="top" wrapText="1"/>
    </xf>
    <xf numFmtId="0" fontId="4" fillId="0" borderId="9" xfId="0" applyFont="1" applyBorder="1" applyAlignment="1">
      <alignment horizontal="center" vertical="top" wrapText="1"/>
    </xf>
    <xf numFmtId="41" fontId="4" fillId="0" borderId="9" xfId="2" applyNumberFormat="1" applyFont="1" applyBorder="1" applyAlignment="1">
      <alignment horizontal="right" vertical="top" wrapText="1"/>
    </xf>
    <xf numFmtId="41" fontId="10" fillId="0" borderId="9" xfId="2" applyNumberFormat="1" applyFont="1" applyBorder="1" applyAlignment="1">
      <alignment horizontal="right" vertical="top" wrapText="1"/>
    </xf>
    <xf numFmtId="0" fontId="10" fillId="14" borderId="9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41" fontId="6" fillId="0" borderId="9" xfId="2" applyNumberFormat="1" applyFont="1" applyBorder="1" applyAlignment="1">
      <alignment horizontal="right" vertical="top" wrapText="1"/>
    </xf>
    <xf numFmtId="41" fontId="4" fillId="4" borderId="9" xfId="2" applyNumberFormat="1" applyFont="1" applyFill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14" borderId="9" xfId="0" applyFont="1" applyFill="1" applyBorder="1" applyAlignment="1">
      <alignment horizontal="center" vertical="top" wrapText="1"/>
    </xf>
    <xf numFmtId="0" fontId="11" fillId="14" borderId="9" xfId="0" applyFont="1" applyFill="1" applyBorder="1" applyAlignment="1">
      <alignment vertical="top" wrapText="1"/>
    </xf>
    <xf numFmtId="0" fontId="13" fillId="14" borderId="9" xfId="0" applyFont="1" applyFill="1" applyBorder="1" applyAlignment="1">
      <alignment vertical="top" wrapText="1"/>
    </xf>
    <xf numFmtId="41" fontId="6" fillId="14" borderId="9" xfId="2" applyNumberFormat="1" applyFont="1" applyFill="1" applyBorder="1" applyAlignment="1">
      <alignment horizontal="right" vertical="top" wrapText="1"/>
    </xf>
    <xf numFmtId="0" fontId="14" fillId="14" borderId="9" xfId="0" applyFont="1" applyFill="1" applyBorder="1" applyAlignment="1">
      <alignment vertical="top" wrapText="1"/>
    </xf>
    <xf numFmtId="3" fontId="10" fillId="0" borderId="9" xfId="0" applyNumberFormat="1" applyFont="1" applyBorder="1" applyAlignment="1">
      <alignment horizontal="right" vertical="top" wrapText="1"/>
    </xf>
    <xf numFmtId="3" fontId="10" fillId="14" borderId="9" xfId="0" applyNumberFormat="1" applyFont="1" applyFill="1" applyBorder="1" applyAlignment="1">
      <alignment horizontal="right" vertical="top" wrapText="1"/>
    </xf>
    <xf numFmtId="3" fontId="4" fillId="14" borderId="9" xfId="0" applyNumberFormat="1" applyFont="1" applyFill="1" applyBorder="1" applyAlignment="1">
      <alignment horizontal="left" vertical="top" wrapText="1"/>
    </xf>
    <xf numFmtId="0" fontId="6" fillId="0" borderId="9" xfId="0" applyFont="1" applyBorder="1" applyAlignment="1">
      <alignment vertical="top" wrapText="1"/>
    </xf>
    <xf numFmtId="41" fontId="4" fillId="5" borderId="9" xfId="2" applyNumberFormat="1" applyFont="1" applyFill="1" applyBorder="1" applyAlignment="1">
      <alignment horizontal="right" vertical="top" wrapText="1"/>
    </xf>
    <xf numFmtId="0" fontId="4" fillId="0" borderId="9" xfId="0" applyFont="1" applyBorder="1" applyAlignment="1">
      <alignment vertical="top" wrapText="1"/>
    </xf>
    <xf numFmtId="0" fontId="5" fillId="14" borderId="9" xfId="0" applyFont="1" applyFill="1" applyBorder="1" applyAlignment="1">
      <alignment vertical="top" wrapText="1"/>
    </xf>
    <xf numFmtId="0" fontId="6" fillId="14" borderId="9" xfId="0" applyFont="1" applyFill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14" borderId="9" xfId="0" applyFont="1" applyFill="1" applyBorder="1" applyAlignment="1">
      <alignment vertical="top" wrapText="1"/>
    </xf>
    <xf numFmtId="0" fontId="9" fillId="14" borderId="9" xfId="0" applyFont="1" applyFill="1" applyBorder="1" applyAlignment="1">
      <alignment wrapText="1"/>
    </xf>
    <xf numFmtId="41" fontId="4" fillId="12" borderId="9" xfId="2" applyNumberFormat="1" applyFont="1" applyFill="1" applyBorder="1" applyAlignment="1">
      <alignment horizontal="right" vertical="top" wrapText="1"/>
    </xf>
    <xf numFmtId="3" fontId="4" fillId="14" borderId="9" xfId="0" applyNumberFormat="1" applyFont="1" applyFill="1" applyBorder="1" applyAlignment="1">
      <alignment horizontal="right" vertical="top" wrapText="1"/>
    </xf>
    <xf numFmtId="0" fontId="11" fillId="14" borderId="9" xfId="0" applyFont="1" applyFill="1" applyBorder="1" applyAlignment="1">
      <alignment horizontal="center" vertical="top" wrapText="1"/>
    </xf>
    <xf numFmtId="41" fontId="4" fillId="7" borderId="9" xfId="2" applyNumberFormat="1" applyFont="1" applyFill="1" applyBorder="1" applyAlignment="1">
      <alignment horizontal="center" vertical="center" wrapText="1"/>
    </xf>
    <xf numFmtId="1" fontId="4" fillId="14" borderId="51" xfId="0" applyNumberFormat="1" applyFont="1" applyFill="1" applyBorder="1" applyAlignment="1">
      <alignment horizontal="center" vertical="center" wrapText="1"/>
    </xf>
    <xf numFmtId="1" fontId="4" fillId="0" borderId="52" xfId="0" applyNumberFormat="1" applyFont="1" applyBorder="1" applyAlignment="1">
      <alignment horizontal="left" vertical="center" wrapText="1"/>
    </xf>
    <xf numFmtId="1" fontId="4" fillId="14" borderId="52" xfId="0" applyNumberFormat="1" applyFont="1" applyFill="1" applyBorder="1" applyAlignment="1">
      <alignment vertical="top" wrapText="1"/>
    </xf>
    <xf numFmtId="164" fontId="4" fillId="9" borderId="52" xfId="0" applyNumberFormat="1" applyFont="1" applyFill="1" applyBorder="1" applyAlignment="1">
      <alignment horizontal="left" vertical="top" wrapText="1"/>
    </xf>
    <xf numFmtId="0" fontId="4" fillId="0" borderId="52" xfId="0" applyFont="1" applyBorder="1" applyAlignment="1">
      <alignment horizontal="center" vertical="top" wrapText="1"/>
    </xf>
    <xf numFmtId="1" fontId="10" fillId="14" borderId="52" xfId="0" applyNumberFormat="1" applyFont="1" applyFill="1" applyBorder="1" applyAlignment="1">
      <alignment vertical="top" wrapText="1"/>
    </xf>
    <xf numFmtId="1" fontId="4" fillId="0" borderId="52" xfId="0" applyNumberFormat="1" applyFont="1" applyBorder="1" applyAlignment="1">
      <alignment vertical="top" wrapText="1"/>
    </xf>
    <xf numFmtId="0" fontId="10" fillId="14" borderId="52" xfId="0" applyFont="1" applyFill="1" applyBorder="1" applyAlignment="1">
      <alignment horizontal="center" vertical="top" wrapText="1"/>
    </xf>
    <xf numFmtId="1" fontId="10" fillId="0" borderId="52" xfId="0" applyNumberFormat="1" applyFont="1" applyBorder="1" applyAlignment="1">
      <alignment vertical="top" wrapText="1"/>
    </xf>
    <xf numFmtId="164" fontId="4" fillId="4" borderId="52" xfId="0" applyNumberFormat="1" applyFont="1" applyFill="1" applyBorder="1" applyAlignment="1">
      <alignment horizontal="left" vertical="top" wrapText="1"/>
    </xf>
    <xf numFmtId="0" fontId="4" fillId="14" borderId="52" xfId="0" applyFont="1" applyFill="1" applyBorder="1" applyAlignment="1">
      <alignment horizontal="center" vertical="top" wrapText="1"/>
    </xf>
    <xf numFmtId="0" fontId="10" fillId="0" borderId="52" xfId="0" applyFont="1" applyBorder="1" applyAlignment="1">
      <alignment horizontal="center" vertical="top" wrapText="1"/>
    </xf>
    <xf numFmtId="1" fontId="6" fillId="0" borderId="52" xfId="0" applyNumberFormat="1" applyFont="1" applyBorder="1" applyAlignment="1">
      <alignment vertical="top" wrapText="1"/>
    </xf>
    <xf numFmtId="164" fontId="4" fillId="5" borderId="52" xfId="0" applyNumberFormat="1" applyFont="1" applyFill="1" applyBorder="1" applyAlignment="1">
      <alignment horizontal="left" vertical="top" wrapText="1"/>
    </xf>
    <xf numFmtId="0" fontId="4" fillId="0" borderId="52" xfId="0" applyFont="1" applyBorder="1" applyAlignment="1">
      <alignment vertical="top" wrapText="1"/>
    </xf>
    <xf numFmtId="0" fontId="6" fillId="14" borderId="52" xfId="0" applyFont="1" applyFill="1" applyBorder="1" applyAlignment="1">
      <alignment horizontal="center" vertical="top" wrapText="1"/>
    </xf>
    <xf numFmtId="0" fontId="6" fillId="0" borderId="52" xfId="0" applyFont="1" applyBorder="1" applyAlignment="1">
      <alignment horizontal="center" vertical="top" wrapText="1"/>
    </xf>
    <xf numFmtId="1" fontId="4" fillId="0" borderId="52" xfId="0" applyNumberFormat="1" applyFont="1" applyBorder="1" applyAlignment="1">
      <alignment horizontal="center" vertical="top" wrapText="1"/>
    </xf>
    <xf numFmtId="1" fontId="10" fillId="14" borderId="52" xfId="0" applyNumberFormat="1" applyFont="1" applyFill="1" applyBorder="1" applyAlignment="1">
      <alignment horizontal="center" vertical="top" wrapText="1"/>
    </xf>
    <xf numFmtId="1" fontId="10" fillId="0" borderId="52" xfId="0" applyNumberFormat="1" applyFont="1" applyBorder="1" applyAlignment="1">
      <alignment horizontal="center" vertical="top" wrapText="1"/>
    </xf>
    <xf numFmtId="164" fontId="4" fillId="12" borderId="52" xfId="0" applyNumberFormat="1" applyFont="1" applyFill="1" applyBorder="1" applyAlignment="1">
      <alignment horizontal="left" vertical="top" wrapText="1"/>
    </xf>
    <xf numFmtId="1" fontId="4" fillId="7" borderId="52" xfId="0" applyNumberFormat="1" applyFont="1" applyFill="1" applyBorder="1" applyAlignment="1">
      <alignment horizontal="center" vertical="center" wrapText="1"/>
    </xf>
    <xf numFmtId="3" fontId="4" fillId="0" borderId="9" xfId="0" applyNumberFormat="1" applyFont="1" applyBorder="1" applyAlignment="1">
      <alignment horizontal="right" vertical="top" wrapText="1"/>
    </xf>
    <xf numFmtId="3" fontId="6" fillId="0" borderId="9" xfId="0" applyNumberFormat="1" applyFont="1" applyBorder="1" applyAlignment="1">
      <alignment horizontal="right" vertical="top" wrapText="1"/>
    </xf>
    <xf numFmtId="3" fontId="4" fillId="0" borderId="9" xfId="0" applyNumberFormat="1" applyFont="1" applyBorder="1" applyAlignment="1">
      <alignment horizontal="left" vertical="top" wrapText="1"/>
    </xf>
    <xf numFmtId="3" fontId="6" fillId="14" borderId="9" xfId="0" applyNumberFormat="1" applyFont="1" applyFill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41" fontId="4" fillId="0" borderId="9" xfId="2" applyNumberFormat="1" applyFont="1" applyFill="1" applyBorder="1" applyAlignment="1">
      <alignment horizontal="center" vertical="center" wrapText="1"/>
    </xf>
    <xf numFmtId="41" fontId="10" fillId="0" borderId="9" xfId="2" applyNumberFormat="1" applyFont="1" applyFill="1" applyBorder="1" applyAlignment="1">
      <alignment horizontal="right" vertical="top" wrapText="1"/>
    </xf>
    <xf numFmtId="41" fontId="10" fillId="8" borderId="9" xfId="2" applyNumberFormat="1" applyFont="1" applyFill="1" applyBorder="1" applyAlignment="1">
      <alignment horizontal="right" vertical="top" wrapText="1"/>
    </xf>
    <xf numFmtId="41" fontId="4" fillId="8" borderId="9" xfId="2" applyNumberFormat="1" applyFont="1" applyFill="1" applyBorder="1" applyAlignment="1">
      <alignment horizontal="right" vertical="top" wrapText="1"/>
    </xf>
    <xf numFmtId="0" fontId="0" fillId="8" borderId="9" xfId="0" applyFill="1" applyBorder="1"/>
    <xf numFmtId="41" fontId="10" fillId="14" borderId="53" xfId="2" applyNumberFormat="1" applyFont="1" applyFill="1" applyBorder="1" applyAlignment="1">
      <alignment horizontal="right" vertical="top" wrapText="1"/>
    </xf>
    <xf numFmtId="41" fontId="11" fillId="7" borderId="53" xfId="2" applyFont="1" applyFill="1" applyBorder="1"/>
    <xf numFmtId="41" fontId="10" fillId="0" borderId="6" xfId="2" applyNumberFormat="1" applyFont="1" applyFill="1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41" fontId="33" fillId="0" borderId="0" xfId="0" applyNumberFormat="1" applyFont="1"/>
    <xf numFmtId="0" fontId="33" fillId="0" borderId="0" xfId="0" applyFont="1"/>
    <xf numFmtId="0" fontId="23" fillId="8" borderId="1" xfId="5" applyNumberFormat="1" applyFont="1" applyFill="1" applyBorder="1" applyAlignment="1">
      <alignment horizontal="center" vertical="center" wrapText="1"/>
    </xf>
    <xf numFmtId="0" fontId="23" fillId="8" borderId="11" xfId="5" applyNumberFormat="1" applyFont="1" applyFill="1" applyBorder="1" applyAlignment="1">
      <alignment horizontal="center" vertical="center" wrapText="1"/>
    </xf>
    <xf numFmtId="41" fontId="23" fillId="8" borderId="17" xfId="5" applyFont="1" applyFill="1" applyBorder="1" applyAlignment="1">
      <alignment horizontal="center" vertical="center" wrapText="1"/>
    </xf>
    <xf numFmtId="41" fontId="23" fillId="8" borderId="18" xfId="5" applyFont="1" applyFill="1" applyBorder="1" applyAlignment="1">
      <alignment horizontal="center" vertical="center" wrapText="1"/>
    </xf>
    <xf numFmtId="41" fontId="23" fillId="8" borderId="3" xfId="5" applyFont="1" applyFill="1" applyBorder="1" applyAlignment="1">
      <alignment horizontal="center" vertical="center" wrapText="1"/>
    </xf>
    <xf numFmtId="41" fontId="23" fillId="8" borderId="1" xfId="5" applyFont="1" applyFill="1" applyBorder="1" applyAlignment="1">
      <alignment horizontal="center" vertical="center" wrapText="1"/>
    </xf>
    <xf numFmtId="41" fontId="23" fillId="8" borderId="11" xfId="5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center"/>
    </xf>
    <xf numFmtId="0" fontId="17" fillId="0" borderId="6" xfId="4" applyFont="1" applyFill="1" applyBorder="1" applyAlignment="1">
      <alignment horizontal="left" vertical="center" wrapText="1"/>
    </xf>
    <xf numFmtId="0" fontId="17" fillId="0" borderId="23" xfId="4" applyFont="1" applyFill="1" applyBorder="1" applyAlignment="1">
      <alignment horizontal="left" vertical="center" wrapText="1"/>
    </xf>
    <xf numFmtId="0" fontId="17" fillId="0" borderId="8" xfId="4" applyFont="1" applyFill="1" applyBorder="1" applyAlignment="1">
      <alignment horizontal="left" vertical="center" wrapText="1"/>
    </xf>
    <xf numFmtId="41" fontId="23" fillId="8" borderId="4" xfId="5" applyFont="1" applyFill="1" applyBorder="1" applyAlignment="1">
      <alignment horizontal="center" vertical="center" wrapText="1"/>
    </xf>
    <xf numFmtId="41" fontId="23" fillId="8" borderId="21" xfId="5" applyFont="1" applyFill="1" applyBorder="1" applyAlignment="1">
      <alignment horizontal="center" vertical="center" wrapText="1"/>
    </xf>
    <xf numFmtId="0" fontId="17" fillId="8" borderId="16" xfId="4" applyFont="1" applyFill="1" applyBorder="1" applyAlignment="1">
      <alignment horizontal="center" vertical="center" wrapText="1"/>
    </xf>
    <xf numFmtId="0" fontId="17" fillId="8" borderId="2" xfId="4" applyFont="1" applyFill="1" applyBorder="1" applyAlignment="1">
      <alignment horizontal="center" vertical="center" wrapText="1"/>
    </xf>
    <xf numFmtId="0" fontId="17" fillId="8" borderId="14" xfId="4" applyFont="1" applyFill="1" applyBorder="1" applyAlignment="1">
      <alignment horizontal="center" vertical="center" wrapText="1"/>
    </xf>
    <xf numFmtId="0" fontId="17" fillId="8" borderId="13" xfId="4" applyFont="1" applyFill="1" applyBorder="1" applyAlignment="1">
      <alignment horizontal="center" vertical="center" wrapText="1"/>
    </xf>
    <xf numFmtId="41" fontId="28" fillId="0" borderId="9" xfId="2" applyFont="1" applyBorder="1" applyAlignment="1">
      <alignment horizontal="center" vertical="center" wrapText="1"/>
    </xf>
    <xf numFmtId="41" fontId="4" fillId="13" borderId="54" xfId="2" applyNumberFormat="1" applyFont="1" applyFill="1" applyBorder="1" applyAlignment="1">
      <alignment horizontal="center" vertical="center" wrapText="1"/>
    </xf>
    <xf numFmtId="41" fontId="10" fillId="3" borderId="9" xfId="2" applyNumberFormat="1" applyFont="1" applyFill="1" applyBorder="1" applyAlignment="1">
      <alignment horizontal="right" vertical="top" wrapText="1"/>
    </xf>
    <xf numFmtId="41" fontId="10" fillId="16" borderId="9" xfId="2" applyNumberFormat="1" applyFont="1" applyFill="1" applyBorder="1" applyAlignment="1">
      <alignment horizontal="right" vertical="top" wrapText="1"/>
    </xf>
    <xf numFmtId="41" fontId="4" fillId="7" borderId="0" xfId="2" applyNumberFormat="1" applyFont="1" applyFill="1" applyBorder="1" applyAlignment="1">
      <alignment horizontal="center" vertical="center" wrapText="1"/>
    </xf>
    <xf numFmtId="41" fontId="4" fillId="13" borderId="57" xfId="2" applyNumberFormat="1" applyFont="1" applyFill="1" applyBorder="1" applyAlignment="1">
      <alignment horizontal="center" vertical="center" wrapText="1"/>
    </xf>
    <xf numFmtId="41" fontId="4" fillId="14" borderId="58" xfId="2" applyNumberFormat="1" applyFont="1" applyFill="1" applyBorder="1" applyAlignment="1">
      <alignment horizontal="center" vertical="center" wrapText="1"/>
    </xf>
    <xf numFmtId="41" fontId="4" fillId="12" borderId="56" xfId="2" applyNumberFormat="1" applyFont="1" applyFill="1" applyBorder="1" applyAlignment="1">
      <alignment horizontal="right" vertical="top" wrapText="1"/>
    </xf>
    <xf numFmtId="41" fontId="4" fillId="14" borderId="56" xfId="2" applyNumberFormat="1" applyFont="1" applyFill="1" applyBorder="1" applyAlignment="1">
      <alignment horizontal="right" vertical="top" wrapText="1"/>
    </xf>
    <xf numFmtId="3" fontId="6" fillId="0" borderId="56" xfId="0" applyNumberFormat="1" applyFont="1" applyBorder="1" applyAlignment="1">
      <alignment horizontal="right" vertical="top" wrapText="1"/>
    </xf>
    <xf numFmtId="41" fontId="10" fillId="14" borderId="56" xfId="2" applyNumberFormat="1" applyFont="1" applyFill="1" applyBorder="1" applyAlignment="1">
      <alignment horizontal="right" vertical="top" wrapText="1"/>
    </xf>
    <xf numFmtId="41" fontId="4" fillId="0" borderId="9" xfId="2" applyNumberFormat="1" applyFont="1" applyFill="1" applyBorder="1" applyAlignment="1">
      <alignment horizontal="right" vertical="top" wrapText="1"/>
    </xf>
    <xf numFmtId="0" fontId="0" fillId="15" borderId="4" xfId="0" applyFill="1" applyBorder="1"/>
    <xf numFmtId="41" fontId="4" fillId="0" borderId="53" xfId="2" applyNumberFormat="1" applyFont="1" applyFill="1" applyBorder="1" applyAlignment="1">
      <alignment horizontal="center" vertical="center" wrapText="1"/>
    </xf>
    <xf numFmtId="1" fontId="10" fillId="0" borderId="52" xfId="0" applyNumberFormat="1" applyFont="1" applyFill="1" applyBorder="1" applyAlignment="1">
      <alignment horizontal="center" vertical="top" wrapText="1"/>
    </xf>
    <xf numFmtId="0" fontId="0" fillId="0" borderId="9" xfId="0" applyFill="1" applyBorder="1"/>
    <xf numFmtId="3" fontId="6" fillId="0" borderId="53" xfId="1" applyNumberFormat="1" applyFont="1" applyFill="1" applyBorder="1" applyAlignment="1">
      <alignment horizontal="left" vertical="top" wrapText="1"/>
    </xf>
    <xf numFmtId="41" fontId="10" fillId="0" borderId="53" xfId="2" applyNumberFormat="1" applyFont="1" applyFill="1" applyBorder="1" applyAlignment="1">
      <alignment horizontal="right" vertical="top" wrapText="1"/>
    </xf>
    <xf numFmtId="41" fontId="10" fillId="0" borderId="56" xfId="2" applyNumberFormat="1" applyFont="1" applyFill="1" applyBorder="1" applyAlignment="1">
      <alignment horizontal="right" vertical="top" wrapText="1"/>
    </xf>
    <xf numFmtId="0" fontId="0" fillId="0" borderId="0" xfId="0" applyFill="1"/>
    <xf numFmtId="0" fontId="9" fillId="0" borderId="9" xfId="0" applyFont="1" applyFill="1" applyBorder="1" applyAlignment="1">
      <alignment horizontal="left" vertical="top" wrapText="1"/>
    </xf>
    <xf numFmtId="0" fontId="9" fillId="14" borderId="9" xfId="0" applyFont="1" applyFill="1" applyBorder="1" applyAlignment="1">
      <alignment horizontal="left" vertical="top" wrapText="1"/>
    </xf>
    <xf numFmtId="0" fontId="11" fillId="14" borderId="9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vertical="top" wrapText="1"/>
    </xf>
    <xf numFmtId="0" fontId="4" fillId="8" borderId="52" xfId="0" applyFont="1" applyFill="1" applyBorder="1" applyAlignment="1">
      <alignment horizontal="center" vertical="top" wrapText="1"/>
    </xf>
    <xf numFmtId="0" fontId="11" fillId="8" borderId="9" xfId="0" applyFont="1" applyFill="1" applyBorder="1" applyAlignment="1">
      <alignment vertical="top" wrapText="1"/>
    </xf>
    <xf numFmtId="41" fontId="4" fillId="8" borderId="9" xfId="2" applyNumberFormat="1" applyFont="1" applyFill="1" applyBorder="1" applyAlignment="1">
      <alignment horizontal="center" vertical="center" wrapText="1"/>
    </xf>
    <xf numFmtId="3" fontId="4" fillId="8" borderId="53" xfId="1" applyNumberFormat="1" applyFont="1" applyFill="1" applyBorder="1" applyAlignment="1">
      <alignment horizontal="left" vertical="top" wrapText="1"/>
    </xf>
    <xf numFmtId="41" fontId="4" fillId="8" borderId="53" xfId="2" applyNumberFormat="1" applyFont="1" applyFill="1" applyBorder="1" applyAlignment="1">
      <alignment horizontal="center" vertical="center" wrapText="1"/>
    </xf>
    <xf numFmtId="3" fontId="6" fillId="8" borderId="9" xfId="0" applyNumberFormat="1" applyFont="1" applyFill="1" applyBorder="1" applyAlignment="1">
      <alignment horizontal="right" vertical="top" wrapText="1"/>
    </xf>
    <xf numFmtId="3" fontId="6" fillId="8" borderId="56" xfId="0" applyNumberFormat="1" applyFont="1" applyFill="1" applyBorder="1" applyAlignment="1">
      <alignment horizontal="right" vertical="top" wrapText="1"/>
    </xf>
    <xf numFmtId="0" fontId="0" fillId="8" borderId="0" xfId="0" applyFill="1"/>
    <xf numFmtId="0" fontId="4" fillId="0" borderId="52" xfId="0" applyFont="1" applyFill="1" applyBorder="1" applyAlignment="1">
      <alignment horizontal="center" vertical="top" wrapText="1"/>
    </xf>
    <xf numFmtId="3" fontId="4" fillId="0" borderId="53" xfId="1" applyNumberFormat="1" applyFont="1" applyFill="1" applyBorder="1" applyAlignment="1">
      <alignment horizontal="left" vertical="top" wrapText="1"/>
    </xf>
    <xf numFmtId="3" fontId="6" fillId="0" borderId="56" xfId="0" applyNumberFormat="1" applyFont="1" applyFill="1" applyBorder="1" applyAlignment="1">
      <alignment horizontal="right" vertical="top" wrapText="1"/>
    </xf>
    <xf numFmtId="0" fontId="11" fillId="8" borderId="9" xfId="0" applyFont="1" applyFill="1" applyBorder="1" applyAlignment="1">
      <alignment horizontal="left" vertical="top" wrapText="1"/>
    </xf>
    <xf numFmtId="1" fontId="10" fillId="8" borderId="52" xfId="0" applyNumberFormat="1" applyFont="1" applyFill="1" applyBorder="1" applyAlignment="1">
      <alignment horizontal="center" vertical="top" wrapText="1"/>
    </xf>
    <xf numFmtId="0" fontId="9" fillId="8" borderId="9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 wrapText="1"/>
    </xf>
    <xf numFmtId="3" fontId="6" fillId="8" borderId="53" xfId="1" applyNumberFormat="1" applyFont="1" applyFill="1" applyBorder="1" applyAlignment="1">
      <alignment horizontal="left" vertical="top" wrapText="1"/>
    </xf>
    <xf numFmtId="41" fontId="10" fillId="8" borderId="53" xfId="2" applyNumberFormat="1" applyFont="1" applyFill="1" applyBorder="1" applyAlignment="1">
      <alignment horizontal="right" vertical="top" wrapText="1"/>
    </xf>
    <xf numFmtId="41" fontId="10" fillId="8" borderId="56" xfId="2" applyNumberFormat="1" applyFont="1" applyFill="1" applyBorder="1" applyAlignment="1">
      <alignment horizontal="right" vertical="top" wrapText="1"/>
    </xf>
    <xf numFmtId="1" fontId="4" fillId="14" borderId="52" xfId="0" applyNumberFormat="1" applyFont="1" applyFill="1" applyBorder="1" applyAlignment="1">
      <alignment horizontal="center" vertical="top" wrapText="1"/>
    </xf>
    <xf numFmtId="41" fontId="4" fillId="14" borderId="53" xfId="2" applyNumberFormat="1" applyFont="1" applyFill="1" applyBorder="1" applyAlignment="1">
      <alignment horizontal="right" vertical="top" wrapText="1"/>
    </xf>
    <xf numFmtId="41" fontId="4" fillId="0" borderId="53" xfId="2" applyNumberFormat="1" applyFont="1" applyFill="1" applyBorder="1" applyAlignment="1">
      <alignment horizontal="right" vertical="top" wrapText="1"/>
    </xf>
    <xf numFmtId="41" fontId="10" fillId="0" borderId="59" xfId="2" applyNumberFormat="1" applyFont="1" applyFill="1" applyBorder="1" applyAlignment="1">
      <alignment horizontal="right" vertical="top" wrapText="1"/>
    </xf>
    <xf numFmtId="1" fontId="4" fillId="7" borderId="0" xfId="0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41" fontId="11" fillId="7" borderId="0" xfId="2" applyFont="1" applyFill="1" applyBorder="1"/>
    <xf numFmtId="0" fontId="34" fillId="0" borderId="0" xfId="0" applyFont="1"/>
    <xf numFmtId="41" fontId="35" fillId="0" borderId="0" xfId="0" applyNumberFormat="1" applyFont="1"/>
    <xf numFmtId="0" fontId="34" fillId="8" borderId="9" xfId="0" applyFont="1" applyFill="1" applyBorder="1"/>
    <xf numFmtId="3" fontId="4" fillId="14" borderId="53" xfId="1" applyNumberFormat="1" applyFont="1" applyFill="1" applyBorder="1" applyAlignment="1">
      <alignment horizontal="left" vertical="top" wrapText="1"/>
    </xf>
    <xf numFmtId="0" fontId="34" fillId="0" borderId="0" xfId="0" applyFont="1" applyFill="1"/>
    <xf numFmtId="3" fontId="4" fillId="8" borderId="9" xfId="0" applyNumberFormat="1" applyFont="1" applyFill="1" applyBorder="1" applyAlignment="1">
      <alignment horizontal="right" vertical="top" wrapText="1"/>
    </xf>
    <xf numFmtId="3" fontId="4" fillId="8" borderId="56" xfId="0" applyNumberFormat="1" applyFont="1" applyFill="1" applyBorder="1" applyAlignment="1">
      <alignment horizontal="right" vertical="top" wrapText="1"/>
    </xf>
    <xf numFmtId="3" fontId="10" fillId="0" borderId="56" xfId="0" applyNumberFormat="1" applyFont="1" applyBorder="1" applyAlignment="1">
      <alignment horizontal="right" vertical="top" wrapText="1"/>
    </xf>
    <xf numFmtId="41" fontId="36" fillId="0" borderId="0" xfId="0" applyNumberFormat="1" applyFont="1"/>
    <xf numFmtId="0" fontId="37" fillId="0" borderId="0" xfId="0" applyFont="1"/>
    <xf numFmtId="41" fontId="10" fillId="14" borderId="6" xfId="2" applyNumberFormat="1" applyFont="1" applyFill="1" applyBorder="1" applyAlignment="1">
      <alignment horizontal="right" vertical="top" wrapText="1"/>
    </xf>
    <xf numFmtId="41" fontId="10" fillId="14" borderId="23" xfId="2" applyNumberFormat="1" applyFont="1" applyFill="1" applyBorder="1" applyAlignment="1">
      <alignment horizontal="right" vertical="top" wrapText="1"/>
    </xf>
    <xf numFmtId="41" fontId="10" fillId="0" borderId="23" xfId="2" applyNumberFormat="1" applyFont="1" applyFill="1" applyBorder="1" applyAlignment="1">
      <alignment horizontal="right" vertical="top" wrapText="1"/>
    </xf>
    <xf numFmtId="0" fontId="37" fillId="0" borderId="9" xfId="0" applyFont="1" applyFill="1" applyBorder="1"/>
    <xf numFmtId="3" fontId="10" fillId="0" borderId="53" xfId="1" applyNumberFormat="1" applyFont="1" applyFill="1" applyBorder="1" applyAlignment="1">
      <alignment horizontal="left" vertical="top" wrapText="1"/>
    </xf>
    <xf numFmtId="0" fontId="37" fillId="8" borderId="9" xfId="0" applyFont="1" applyFill="1" applyBorder="1"/>
    <xf numFmtId="3" fontId="10" fillId="14" borderId="53" xfId="1" applyNumberFormat="1" applyFont="1" applyFill="1" applyBorder="1" applyAlignment="1">
      <alignment horizontal="left" vertical="top" wrapText="1"/>
    </xf>
    <xf numFmtId="0" fontId="37" fillId="0" borderId="0" xfId="0" applyFont="1" applyFill="1"/>
    <xf numFmtId="0" fontId="37" fillId="8" borderId="0" xfId="0" applyFont="1" applyFill="1"/>
    <xf numFmtId="41" fontId="38" fillId="14" borderId="9" xfId="2" applyNumberFormat="1" applyFont="1" applyFill="1" applyBorder="1" applyAlignment="1">
      <alignment horizontal="right" vertical="top" wrapText="1"/>
    </xf>
    <xf numFmtId="41" fontId="23" fillId="14" borderId="9" xfId="2" applyNumberFormat="1" applyFont="1" applyFill="1" applyBorder="1" applyAlignment="1">
      <alignment horizontal="right" vertical="top" wrapText="1"/>
    </xf>
    <xf numFmtId="41" fontId="38" fillId="0" borderId="9" xfId="2" applyNumberFormat="1" applyFont="1" applyFill="1" applyBorder="1" applyAlignment="1">
      <alignment horizontal="right" vertical="top" wrapText="1"/>
    </xf>
    <xf numFmtId="41" fontId="38" fillId="8" borderId="9" xfId="2" applyNumberFormat="1" applyFont="1" applyFill="1" applyBorder="1" applyAlignment="1">
      <alignment horizontal="right" vertical="top" wrapText="1"/>
    </xf>
    <xf numFmtId="3" fontId="39" fillId="0" borderId="9" xfId="0" applyNumberFormat="1" applyFont="1" applyFill="1" applyBorder="1" applyAlignment="1">
      <alignment horizontal="right" vertical="top" wrapText="1"/>
    </xf>
    <xf numFmtId="3" fontId="23" fillId="8" borderId="9" xfId="0" applyNumberFormat="1" applyFont="1" applyFill="1" applyBorder="1" applyAlignment="1">
      <alignment horizontal="right" vertical="top" wrapText="1"/>
    </xf>
    <xf numFmtId="3" fontId="39" fillId="8" borderId="9" xfId="0" applyNumberFormat="1" applyFont="1" applyFill="1" applyBorder="1" applyAlignment="1">
      <alignment horizontal="right" vertical="top" wrapText="1"/>
    </xf>
    <xf numFmtId="1" fontId="32" fillId="17" borderId="51" xfId="0" applyNumberFormat="1" applyFont="1" applyFill="1" applyBorder="1" applyAlignment="1">
      <alignment horizontal="left" vertical="top" wrapText="1"/>
    </xf>
    <xf numFmtId="0" fontId="9" fillId="17" borderId="27" xfId="0" applyFont="1" applyFill="1" applyBorder="1" applyAlignment="1">
      <alignment vertical="top" wrapText="1"/>
    </xf>
    <xf numFmtId="0" fontId="10" fillId="17" borderId="27" xfId="0" applyFont="1" applyFill="1" applyBorder="1" applyAlignment="1">
      <alignment horizontal="left" vertical="top" wrapText="1"/>
    </xf>
    <xf numFmtId="41" fontId="10" fillId="17" borderId="27" xfId="2" applyNumberFormat="1" applyFont="1" applyFill="1" applyBorder="1" applyAlignment="1">
      <alignment horizontal="right" vertical="top" wrapText="1"/>
    </xf>
    <xf numFmtId="0" fontId="0" fillId="18" borderId="27" xfId="0" applyFill="1" applyBorder="1"/>
    <xf numFmtId="3" fontId="6" fillId="17" borderId="64" xfId="1" applyNumberFormat="1" applyFont="1" applyFill="1" applyBorder="1" applyAlignment="1">
      <alignment horizontal="left" vertical="top" wrapText="1"/>
    </xf>
    <xf numFmtId="41" fontId="10" fillId="17" borderId="64" xfId="2" applyNumberFormat="1" applyFont="1" applyFill="1" applyBorder="1" applyAlignment="1">
      <alignment horizontal="right" vertical="top" wrapText="1"/>
    </xf>
    <xf numFmtId="41" fontId="10" fillId="17" borderId="58" xfId="2" applyNumberFormat="1" applyFont="1" applyFill="1" applyBorder="1" applyAlignment="1">
      <alignment horizontal="right" vertical="top" wrapText="1"/>
    </xf>
    <xf numFmtId="41" fontId="38" fillId="17" borderId="27" xfId="2" applyNumberFormat="1" applyFont="1" applyFill="1" applyBorder="1" applyAlignment="1">
      <alignment horizontal="right" vertical="top" wrapText="1"/>
    </xf>
    <xf numFmtId="41" fontId="4" fillId="14" borderId="65" xfId="2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6" xfId="0" applyBorder="1"/>
    <xf numFmtId="41" fontId="4" fillId="12" borderId="66" xfId="2" applyNumberFormat="1" applyFont="1" applyFill="1" applyBorder="1" applyAlignment="1">
      <alignment horizontal="right" vertical="top" wrapText="1"/>
    </xf>
    <xf numFmtId="41" fontId="4" fillId="14" borderId="66" xfId="2" applyNumberFormat="1" applyFont="1" applyFill="1" applyBorder="1" applyAlignment="1">
      <alignment horizontal="right" vertical="top" wrapText="1"/>
    </xf>
    <xf numFmtId="3" fontId="38" fillId="0" borderId="66" xfId="0" applyNumberFormat="1" applyFont="1" applyBorder="1" applyAlignment="1">
      <alignment horizontal="right" vertical="top" wrapText="1"/>
    </xf>
    <xf numFmtId="41" fontId="38" fillId="14" borderId="66" xfId="2" applyNumberFormat="1" applyFont="1" applyFill="1" applyBorder="1" applyAlignment="1">
      <alignment horizontal="right" vertical="top" wrapText="1"/>
    </xf>
    <xf numFmtId="3" fontId="23" fillId="0" borderId="66" xfId="0" applyNumberFormat="1" applyFont="1" applyBorder="1" applyAlignment="1">
      <alignment horizontal="right" vertical="top" wrapText="1"/>
    </xf>
    <xf numFmtId="3" fontId="39" fillId="0" borderId="66" xfId="0" applyNumberFormat="1" applyFont="1" applyBorder="1" applyAlignment="1">
      <alignment horizontal="right" vertical="top" wrapText="1"/>
    </xf>
    <xf numFmtId="41" fontId="23" fillId="14" borderId="66" xfId="2" applyNumberFormat="1" applyFont="1" applyFill="1" applyBorder="1" applyAlignment="1">
      <alignment horizontal="right" vertical="top" wrapText="1"/>
    </xf>
    <xf numFmtId="41" fontId="38" fillId="0" borderId="66" xfId="2" applyNumberFormat="1" applyFont="1" applyFill="1" applyBorder="1" applyAlignment="1">
      <alignment horizontal="right" vertical="top" wrapText="1"/>
    </xf>
    <xf numFmtId="1" fontId="4" fillId="7" borderId="20" xfId="0" applyNumberFormat="1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41" fontId="4" fillId="7" borderId="21" xfId="2" applyNumberFormat="1" applyFont="1" applyFill="1" applyBorder="1" applyAlignment="1">
      <alignment horizontal="center" vertical="center" wrapText="1"/>
    </xf>
    <xf numFmtId="41" fontId="23" fillId="7" borderId="22" xfId="2" applyNumberFormat="1" applyFont="1" applyFill="1" applyBorder="1" applyAlignment="1">
      <alignment horizontal="center" vertical="center" wrapText="1"/>
    </xf>
    <xf numFmtId="41" fontId="0" fillId="0" borderId="67" xfId="0" applyNumberFormat="1" applyBorder="1"/>
    <xf numFmtId="0" fontId="0" fillId="0" borderId="68" xfId="0" applyBorder="1"/>
    <xf numFmtId="0" fontId="0" fillId="0" borderId="70" xfId="0" applyBorder="1"/>
    <xf numFmtId="0" fontId="0" fillId="0" borderId="73" xfId="0" applyBorder="1"/>
    <xf numFmtId="41" fontId="30" fillId="0" borderId="74" xfId="2" applyNumberFormat="1" applyFont="1" applyBorder="1" applyAlignment="1">
      <alignment vertical="top"/>
    </xf>
    <xf numFmtId="41" fontId="0" fillId="0" borderId="75" xfId="0" applyNumberFormat="1" applyBorder="1"/>
    <xf numFmtId="0" fontId="28" fillId="0" borderId="40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9" fontId="30" fillId="0" borderId="74" xfId="7" applyFont="1" applyBorder="1" applyAlignment="1">
      <alignment vertical="top"/>
    </xf>
    <xf numFmtId="165" fontId="30" fillId="0" borderId="74" xfId="7" applyNumberFormat="1" applyFont="1" applyBorder="1" applyAlignment="1">
      <alignment vertical="top"/>
    </xf>
    <xf numFmtId="166" fontId="30" fillId="0" borderId="74" xfId="7" applyNumberFormat="1" applyFont="1" applyBorder="1" applyAlignment="1">
      <alignment vertical="top"/>
    </xf>
    <xf numFmtId="9" fontId="0" fillId="0" borderId="75" xfId="7" applyFont="1" applyBorder="1"/>
    <xf numFmtId="9" fontId="30" fillId="0" borderId="76" xfId="7" applyFont="1" applyBorder="1" applyAlignment="1">
      <alignment vertical="top"/>
    </xf>
    <xf numFmtId="165" fontId="30" fillId="0" borderId="76" xfId="7" applyNumberFormat="1" applyFont="1" applyBorder="1" applyAlignment="1">
      <alignment vertical="top"/>
    </xf>
    <xf numFmtId="9" fontId="0" fillId="0" borderId="77" xfId="7" applyFont="1" applyBorder="1"/>
    <xf numFmtId="41" fontId="29" fillId="0" borderId="67" xfId="2" applyNumberFormat="1" applyFont="1" applyBorder="1" applyAlignment="1">
      <alignment vertical="top"/>
    </xf>
    <xf numFmtId="41" fontId="0" fillId="0" borderId="67" xfId="2" applyNumberFormat="1" applyFont="1" applyBorder="1"/>
    <xf numFmtId="41" fontId="0" fillId="0" borderId="69" xfId="0" applyNumberFormat="1" applyBorder="1"/>
    <xf numFmtId="41" fontId="0" fillId="0" borderId="71" xfId="2" applyNumberFormat="1" applyFont="1" applyBorder="1"/>
    <xf numFmtId="41" fontId="0" fillId="0" borderId="71" xfId="0" applyNumberFormat="1" applyBorder="1"/>
    <xf numFmtId="41" fontId="0" fillId="0" borderId="72" xfId="0" applyNumberFormat="1" applyBorder="1"/>
    <xf numFmtId="1" fontId="0" fillId="0" borderId="0" xfId="0" applyNumberFormat="1"/>
    <xf numFmtId="41" fontId="29" fillId="9" borderId="9" xfId="2" applyFont="1" applyFill="1" applyBorder="1" applyAlignment="1">
      <alignment vertical="top"/>
    </xf>
    <xf numFmtId="1" fontId="0" fillId="0" borderId="67" xfId="0" applyNumberFormat="1" applyBorder="1"/>
    <xf numFmtId="1" fontId="0" fillId="0" borderId="69" xfId="0" applyNumberFormat="1" applyBorder="1"/>
    <xf numFmtId="41" fontId="30" fillId="0" borderId="69" xfId="2" applyFont="1" applyBorder="1" applyAlignment="1">
      <alignment vertical="top"/>
    </xf>
    <xf numFmtId="1" fontId="0" fillId="0" borderId="71" xfId="0" applyNumberFormat="1" applyBorder="1"/>
    <xf numFmtId="1" fontId="0" fillId="0" borderId="72" xfId="0" applyNumberFormat="1" applyBorder="1"/>
    <xf numFmtId="1" fontId="0" fillId="0" borderId="74" xfId="0" applyNumberFormat="1" applyBorder="1"/>
    <xf numFmtId="1" fontId="0" fillId="0" borderId="75" xfId="0" applyNumberFormat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22" fillId="0" borderId="0" xfId="5" applyNumberFormat="1" applyFont="1" applyAlignment="1">
      <alignment horizontal="center"/>
    </xf>
    <xf numFmtId="0" fontId="8" fillId="0" borderId="6" xfId="5" applyNumberFormat="1" applyFont="1" applyFill="1" applyBorder="1" applyAlignment="1">
      <alignment horizontal="center"/>
    </xf>
    <xf numFmtId="0" fontId="8" fillId="0" borderId="6" xfId="5" applyNumberFormat="1" applyFont="1" applyFill="1" applyBorder="1" applyAlignment="1">
      <alignment vertical="center"/>
    </xf>
    <xf numFmtId="0" fontId="2" fillId="0" borderId="6" xfId="5" quotePrefix="1" applyNumberFormat="1" applyFont="1" applyFill="1" applyBorder="1" applyAlignment="1">
      <alignment horizontal="center" vertical="top"/>
    </xf>
    <xf numFmtId="0" fontId="2" fillId="0" borderId="6" xfId="5" quotePrefix="1" applyNumberFormat="1" applyFont="1" applyFill="1" applyBorder="1" applyAlignment="1">
      <alignment horizontal="right" vertical="top"/>
    </xf>
    <xf numFmtId="0" fontId="16" fillId="0" borderId="6" xfId="5" quotePrefix="1" applyNumberFormat="1" applyFont="1" applyFill="1" applyBorder="1" applyAlignment="1">
      <alignment horizontal="left" vertical="top"/>
    </xf>
    <xf numFmtId="0" fontId="16" fillId="0" borderId="6" xfId="5" applyNumberFormat="1" applyFont="1" applyFill="1" applyBorder="1" applyAlignment="1">
      <alignment horizontal="left" vertical="top"/>
    </xf>
    <xf numFmtId="0" fontId="2" fillId="0" borderId="6" xfId="5" quotePrefix="1" applyNumberFormat="1" applyFont="1" applyFill="1" applyBorder="1" applyAlignment="1">
      <alignment horizontal="left" vertical="top"/>
    </xf>
    <xf numFmtId="0" fontId="8" fillId="0" borderId="6" xfId="5" applyNumberFormat="1" applyFont="1" applyFill="1" applyBorder="1" applyAlignment="1">
      <alignment horizontal="left" vertical="center"/>
    </xf>
    <xf numFmtId="0" fontId="16" fillId="0" borderId="11" xfId="5" applyNumberFormat="1" applyFont="1" applyFill="1" applyBorder="1" applyAlignment="1">
      <alignment vertical="top"/>
    </xf>
    <xf numFmtId="0" fontId="2" fillId="0" borderId="0" xfId="4" applyNumberFormat="1" applyFont="1" applyAlignment="1">
      <alignment horizontal="left" vertical="top"/>
    </xf>
    <xf numFmtId="0" fontId="16" fillId="0" borderId="6" xfId="5" quotePrefix="1" applyNumberFormat="1" applyFont="1" applyFill="1" applyBorder="1" applyAlignment="1">
      <alignment horizontal="center" vertical="top"/>
    </xf>
    <xf numFmtId="0" fontId="16" fillId="3" borderId="6" xfId="5" quotePrefix="1" applyNumberFormat="1" applyFont="1" applyFill="1" applyBorder="1" applyAlignment="1">
      <alignment horizontal="center" vertical="top"/>
    </xf>
    <xf numFmtId="0" fontId="25" fillId="0" borderId="0" xfId="5" applyNumberFormat="1" applyFont="1"/>
    <xf numFmtId="0" fontId="17" fillId="8" borderId="3" xfId="4" applyFont="1" applyFill="1" applyBorder="1" applyAlignment="1">
      <alignment horizontal="center" vertical="center" wrapText="1"/>
    </xf>
    <xf numFmtId="0" fontId="17" fillId="8" borderId="81" xfId="4" applyFont="1" applyFill="1" applyBorder="1" applyAlignment="1">
      <alignment horizontal="center" vertical="center" wrapText="1"/>
    </xf>
    <xf numFmtId="0" fontId="17" fillId="0" borderId="8" xfId="4" applyFont="1" applyFill="1" applyBorder="1" applyAlignment="1">
      <alignment horizontal="center"/>
    </xf>
    <xf numFmtId="0" fontId="17" fillId="0" borderId="8" xfId="4" applyFont="1" applyFill="1" applyBorder="1" applyAlignment="1">
      <alignment horizontal="center" vertical="center"/>
    </xf>
    <xf numFmtId="0" fontId="2" fillId="0" borderId="8" xfId="4" quotePrefix="1" applyFont="1" applyFill="1" applyBorder="1" applyAlignment="1">
      <alignment horizontal="right" vertical="top"/>
    </xf>
    <xf numFmtId="0" fontId="2" fillId="0" borderId="13" xfId="4" quotePrefix="1" applyFont="1" applyFill="1" applyBorder="1" applyAlignment="1">
      <alignment horizontal="right" vertical="top"/>
    </xf>
    <xf numFmtId="0" fontId="2" fillId="0" borderId="8" xfId="4" applyFont="1" applyFill="1" applyBorder="1" applyAlignment="1">
      <alignment horizontal="center"/>
    </xf>
    <xf numFmtId="0" fontId="16" fillId="0" borderId="8" xfId="4" quotePrefix="1" applyFont="1" applyFill="1" applyBorder="1" applyAlignment="1">
      <alignment horizontal="right" vertical="top"/>
    </xf>
    <xf numFmtId="0" fontId="2" fillId="3" borderId="8" xfId="4" quotePrefix="1" applyFont="1" applyFill="1" applyBorder="1" applyAlignment="1">
      <alignment horizontal="right" vertical="top"/>
    </xf>
    <xf numFmtId="41" fontId="23" fillId="8" borderId="82" xfId="5" applyFont="1" applyFill="1" applyBorder="1" applyAlignment="1">
      <alignment horizontal="center" vertical="center" wrapText="1"/>
    </xf>
    <xf numFmtId="41" fontId="8" fillId="0" borderId="23" xfId="5" applyFont="1" applyFill="1" applyBorder="1" applyAlignment="1">
      <alignment vertical="center"/>
    </xf>
    <xf numFmtId="41" fontId="16" fillId="0" borderId="14" xfId="5" applyFont="1" applyFill="1" applyBorder="1" applyAlignment="1">
      <alignment vertical="top"/>
    </xf>
    <xf numFmtId="0" fontId="17" fillId="8" borderId="64" xfId="4" applyFont="1" applyFill="1" applyBorder="1" applyAlignment="1">
      <alignment horizontal="center" vertical="center" wrapText="1"/>
    </xf>
    <xf numFmtId="0" fontId="17" fillId="8" borderId="23" xfId="4" applyFont="1" applyFill="1" applyBorder="1" applyAlignment="1">
      <alignment horizontal="center" vertical="center" wrapText="1"/>
    </xf>
    <xf numFmtId="0" fontId="17" fillId="8" borderId="8" xfId="4" applyFont="1" applyFill="1" applyBorder="1" applyAlignment="1">
      <alignment horizontal="center" vertical="center" wrapText="1"/>
    </xf>
    <xf numFmtId="41" fontId="23" fillId="8" borderId="27" xfId="5" applyFont="1" applyFill="1" applyBorder="1" applyAlignment="1">
      <alignment horizontal="center" vertical="center" wrapText="1"/>
    </xf>
    <xf numFmtId="0" fontId="23" fillId="8" borderId="6" xfId="5" applyNumberFormat="1" applyFont="1" applyFill="1" applyBorder="1" applyAlignment="1">
      <alignment horizontal="center" vertical="center" wrapText="1"/>
    </xf>
    <xf numFmtId="41" fontId="23" fillId="8" borderId="6" xfId="5" applyFont="1" applyFill="1" applyBorder="1" applyAlignment="1">
      <alignment horizontal="center" vertical="center" wrapText="1"/>
    </xf>
    <xf numFmtId="41" fontId="23" fillId="8" borderId="58" xfId="5" applyFont="1" applyFill="1" applyBorder="1" applyAlignment="1">
      <alignment horizontal="center" vertical="center" wrapText="1"/>
    </xf>
    <xf numFmtId="41" fontId="23" fillId="8" borderId="83" xfId="5" applyFont="1" applyFill="1" applyBorder="1" applyAlignment="1">
      <alignment horizontal="center" vertical="center" wrapText="1"/>
    </xf>
    <xf numFmtId="41" fontId="23" fillId="8" borderId="64" xfId="5" applyFont="1" applyFill="1" applyBorder="1" applyAlignment="1">
      <alignment horizontal="center" vertical="center" wrapText="1"/>
    </xf>
    <xf numFmtId="0" fontId="17" fillId="0" borderId="2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41" fontId="8" fillId="0" borderId="1" xfId="5" applyFont="1" applyFill="1" applyBorder="1" applyAlignment="1">
      <alignment vertical="center"/>
    </xf>
    <xf numFmtId="0" fontId="8" fillId="0" borderId="1" xfId="5" applyNumberFormat="1" applyFont="1" applyFill="1" applyBorder="1" applyAlignment="1">
      <alignment vertical="center"/>
    </xf>
    <xf numFmtId="41" fontId="8" fillId="0" borderId="16" xfId="5" applyFont="1" applyFill="1" applyBorder="1" applyAlignment="1">
      <alignment vertical="center"/>
    </xf>
    <xf numFmtId="41" fontId="29" fillId="0" borderId="9" xfId="2" applyFont="1" applyFill="1" applyBorder="1" applyAlignment="1">
      <alignment vertical="top"/>
    </xf>
    <xf numFmtId="41" fontId="0" fillId="0" borderId="74" xfId="2" applyFont="1" applyBorder="1"/>
    <xf numFmtId="41" fontId="30" fillId="0" borderId="72" xfId="2" applyFont="1" applyBorder="1" applyAlignment="1">
      <alignment vertical="top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" fontId="0" fillId="0" borderId="0" xfId="0" applyNumberFormat="1" applyFill="1" applyBorder="1"/>
    <xf numFmtId="0" fontId="4" fillId="0" borderId="3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horizontal="center" vertical="top" wrapText="1"/>
    </xf>
    <xf numFmtId="0" fontId="4" fillId="0" borderId="35" xfId="0" applyFont="1" applyFill="1" applyBorder="1" applyAlignment="1">
      <alignment horizontal="center" vertical="top" wrapText="1"/>
    </xf>
    <xf numFmtId="41" fontId="4" fillId="0" borderId="30" xfId="2" applyFont="1" applyFill="1" applyBorder="1" applyAlignment="1">
      <alignment horizontal="center" vertical="center" wrapText="1"/>
    </xf>
    <xf numFmtId="41" fontId="4" fillId="0" borderId="28" xfId="2" applyFont="1" applyFill="1" applyBorder="1" applyAlignment="1">
      <alignment horizontal="center" vertical="center" wrapText="1"/>
    </xf>
    <xf numFmtId="41" fontId="4" fillId="0" borderId="35" xfId="2" applyFont="1" applyFill="1" applyBorder="1" applyAlignment="1">
      <alignment horizontal="center" vertical="center" wrapText="1"/>
    </xf>
    <xf numFmtId="164" fontId="4" fillId="0" borderId="31" xfId="0" applyNumberFormat="1" applyFont="1" applyFill="1" applyBorder="1" applyAlignment="1">
      <alignment horizontal="center" vertical="center" wrapText="1"/>
    </xf>
    <xf numFmtId="164" fontId="4" fillId="0" borderId="33" xfId="0" applyNumberFormat="1" applyFont="1" applyFill="1" applyBorder="1" applyAlignment="1">
      <alignment horizontal="center" vertical="center" wrapText="1"/>
    </xf>
    <xf numFmtId="164" fontId="4" fillId="0" borderId="36" xfId="0" applyNumberFormat="1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top"/>
    </xf>
    <xf numFmtId="0" fontId="4" fillId="0" borderId="28" xfId="0" applyFont="1" applyFill="1" applyBorder="1" applyAlignment="1">
      <alignment horizontal="center" vertical="top"/>
    </xf>
    <xf numFmtId="1" fontId="4" fillId="0" borderId="29" xfId="0" applyNumberFormat="1" applyFont="1" applyFill="1" applyBorder="1" applyAlignment="1">
      <alignment horizontal="center" vertical="center" wrapText="1"/>
    </xf>
    <xf numFmtId="1" fontId="4" fillId="0" borderId="32" xfId="0" applyNumberFormat="1" applyFont="1" applyFill="1" applyBorder="1" applyAlignment="1">
      <alignment horizontal="center" vertical="center" wrapText="1"/>
    </xf>
    <xf numFmtId="1" fontId="4" fillId="0" borderId="34" xfId="0" applyNumberFormat="1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27" fillId="0" borderId="30" xfId="2" applyNumberFormat="1" applyFont="1" applyBorder="1" applyAlignment="1">
      <alignment horizontal="center" vertical="top"/>
    </xf>
    <xf numFmtId="41" fontId="4" fillId="0" borderId="35" xfId="2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 wrapText="1"/>
    </xf>
    <xf numFmtId="41" fontId="4" fillId="0" borderId="28" xfId="2" applyFont="1" applyFill="1" applyBorder="1" applyAlignment="1">
      <alignment horizontal="center" vertical="center"/>
    </xf>
    <xf numFmtId="3" fontId="10" fillId="0" borderId="33" xfId="0" applyNumberFormat="1" applyFont="1" applyFill="1" applyBorder="1" applyAlignment="1">
      <alignment horizontal="left" vertical="top" wrapText="1"/>
    </xf>
    <xf numFmtId="0" fontId="0" fillId="0" borderId="33" xfId="0" applyBorder="1" applyAlignment="1">
      <alignment vertical="top" wrapText="1"/>
    </xf>
    <xf numFmtId="0" fontId="19" fillId="0" borderId="0" xfId="0" applyFont="1" applyAlignment="1">
      <alignment horizontal="left" vertical="top" wrapText="1"/>
    </xf>
    <xf numFmtId="1" fontId="4" fillId="0" borderId="32" xfId="0" applyNumberFormat="1" applyFont="1" applyFill="1" applyBorder="1" applyAlignment="1">
      <alignment horizontal="left" vertical="center" wrapText="1"/>
    </xf>
    <xf numFmtId="1" fontId="4" fillId="0" borderId="28" xfId="0" applyNumberFormat="1" applyFont="1" applyFill="1" applyBorder="1" applyAlignment="1">
      <alignment horizontal="left" vertical="center" wrapText="1"/>
    </xf>
    <xf numFmtId="164" fontId="4" fillId="2" borderId="32" xfId="0" applyNumberFormat="1" applyFont="1" applyFill="1" applyBorder="1" applyAlignment="1">
      <alignment horizontal="left" vertical="top" wrapText="1"/>
    </xf>
    <xf numFmtId="164" fontId="4" fillId="2" borderId="28" xfId="0" applyNumberFormat="1" applyFont="1" applyFill="1" applyBorder="1" applyAlignment="1">
      <alignment horizontal="left" vertical="top" wrapText="1"/>
    </xf>
    <xf numFmtId="164" fontId="4" fillId="4" borderId="32" xfId="0" applyNumberFormat="1" applyFont="1" applyFill="1" applyBorder="1" applyAlignment="1">
      <alignment horizontal="left" vertical="top" wrapText="1"/>
    </xf>
    <xf numFmtId="164" fontId="4" fillId="4" borderId="28" xfId="0" applyNumberFormat="1" applyFont="1" applyFill="1" applyBorder="1" applyAlignment="1">
      <alignment horizontal="left" vertical="top" wrapText="1"/>
    </xf>
    <xf numFmtId="164" fontId="4" fillId="5" borderId="32" xfId="0" applyNumberFormat="1" applyFont="1" applyFill="1" applyBorder="1" applyAlignment="1">
      <alignment horizontal="left" vertical="top" wrapText="1"/>
    </xf>
    <xf numFmtId="164" fontId="4" fillId="5" borderId="28" xfId="0" applyNumberFormat="1" applyFont="1" applyFill="1" applyBorder="1" applyAlignment="1">
      <alignment horizontal="left" vertical="top" wrapText="1"/>
    </xf>
    <xf numFmtId="164" fontId="4" fillId="6" borderId="32" xfId="0" applyNumberFormat="1" applyFont="1" applyFill="1" applyBorder="1" applyAlignment="1">
      <alignment horizontal="left" vertical="top" wrapText="1"/>
    </xf>
    <xf numFmtId="164" fontId="4" fillId="6" borderId="28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center" vertical="top"/>
    </xf>
    <xf numFmtId="1" fontId="3" fillId="0" borderId="0" xfId="3" applyNumberFormat="1" applyFont="1" applyFill="1" applyBorder="1" applyAlignment="1">
      <alignment horizontal="center" vertical="top"/>
    </xf>
    <xf numFmtId="0" fontId="18" fillId="0" borderId="0" xfId="4" applyFont="1" applyAlignment="1">
      <alignment horizontal="center"/>
    </xf>
    <xf numFmtId="0" fontId="17" fillId="0" borderId="23" xfId="4" applyFont="1" applyFill="1" applyBorder="1" applyAlignment="1">
      <alignment horizontal="left" vertical="center" wrapText="1"/>
    </xf>
    <xf numFmtId="0" fontId="17" fillId="0" borderId="8" xfId="4" applyFont="1" applyFill="1" applyBorder="1" applyAlignment="1">
      <alignment horizontal="left" vertical="center" wrapText="1"/>
    </xf>
    <xf numFmtId="0" fontId="17" fillId="0" borderId="24" xfId="4" applyFont="1" applyBorder="1" applyAlignment="1">
      <alignment horizontal="center" vertical="center"/>
    </xf>
    <xf numFmtId="0" fontId="17" fillId="0" borderId="25" xfId="4" applyFont="1" applyBorder="1" applyAlignment="1">
      <alignment horizontal="center" vertical="center"/>
    </xf>
    <xf numFmtId="41" fontId="23" fillId="8" borderId="17" xfId="5" applyFont="1" applyFill="1" applyBorder="1" applyAlignment="1">
      <alignment horizontal="center" vertical="center" wrapText="1"/>
    </xf>
    <xf numFmtId="41" fontId="23" fillId="8" borderId="18" xfId="5" applyFont="1" applyFill="1" applyBorder="1" applyAlignment="1">
      <alignment horizontal="center" vertical="center" wrapText="1"/>
    </xf>
    <xf numFmtId="41" fontId="23" fillId="8" borderId="3" xfId="5" applyFont="1" applyFill="1" applyBorder="1" applyAlignment="1">
      <alignment horizontal="center" vertical="center" wrapText="1"/>
    </xf>
    <xf numFmtId="41" fontId="23" fillId="8" borderId="1" xfId="5" applyFont="1" applyFill="1" applyBorder="1" applyAlignment="1">
      <alignment horizontal="center" vertical="center" wrapText="1"/>
    </xf>
    <xf numFmtId="41" fontId="23" fillId="8" borderId="11" xfId="5" applyFont="1" applyFill="1" applyBorder="1" applyAlignment="1">
      <alignment horizontal="center" vertical="center" wrapText="1"/>
    </xf>
    <xf numFmtId="0" fontId="23" fillId="8" borderId="1" xfId="5" applyNumberFormat="1" applyFont="1" applyFill="1" applyBorder="1" applyAlignment="1">
      <alignment horizontal="center" vertical="center" wrapText="1"/>
    </xf>
    <xf numFmtId="0" fontId="23" fillId="8" borderId="11" xfId="5" applyNumberFormat="1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center"/>
    </xf>
    <xf numFmtId="0" fontId="17" fillId="0" borderId="6" xfId="4" applyFont="1" applyFill="1" applyBorder="1" applyAlignment="1">
      <alignment horizontal="left" vertical="center" wrapText="1"/>
    </xf>
    <xf numFmtId="41" fontId="23" fillId="8" borderId="4" xfId="5" applyFont="1" applyFill="1" applyBorder="1" applyAlignment="1">
      <alignment horizontal="center" vertical="center" wrapText="1"/>
    </xf>
    <xf numFmtId="41" fontId="23" fillId="8" borderId="21" xfId="5" applyFont="1" applyFill="1" applyBorder="1" applyAlignment="1">
      <alignment horizontal="center" vertical="center" wrapText="1"/>
    </xf>
    <xf numFmtId="41" fontId="23" fillId="8" borderId="19" xfId="5" applyFont="1" applyFill="1" applyBorder="1" applyAlignment="1">
      <alignment horizontal="center" vertical="center" wrapText="1"/>
    </xf>
    <xf numFmtId="41" fontId="23" fillId="8" borderId="22" xfId="5" applyFont="1" applyFill="1" applyBorder="1" applyAlignment="1">
      <alignment horizontal="center" vertical="center" wrapText="1"/>
    </xf>
    <xf numFmtId="0" fontId="17" fillId="8" borderId="15" xfId="4" applyFont="1" applyFill="1" applyBorder="1" applyAlignment="1">
      <alignment horizontal="center" vertical="center" wrapText="1"/>
    </xf>
    <xf numFmtId="0" fontId="17" fillId="8" borderId="20" xfId="4" applyFont="1" applyFill="1" applyBorder="1" applyAlignment="1">
      <alignment horizontal="center" vertical="center" wrapText="1"/>
    </xf>
    <xf numFmtId="0" fontId="17" fillId="8" borderId="16" xfId="4" applyFont="1" applyFill="1" applyBorder="1" applyAlignment="1">
      <alignment horizontal="center" vertical="center" wrapText="1"/>
    </xf>
    <xf numFmtId="0" fontId="17" fillId="8" borderId="2" xfId="4" applyFont="1" applyFill="1" applyBorder="1" applyAlignment="1">
      <alignment horizontal="center" vertical="center" wrapText="1"/>
    </xf>
    <xf numFmtId="0" fontId="17" fillId="8" borderId="14" xfId="4" applyFont="1" applyFill="1" applyBorder="1" applyAlignment="1">
      <alignment horizontal="center" vertical="center" wrapText="1"/>
    </xf>
    <xf numFmtId="0" fontId="17" fillId="8" borderId="13" xfId="4" applyFont="1" applyFill="1" applyBorder="1" applyAlignment="1">
      <alignment horizontal="center" vertical="center" wrapText="1"/>
    </xf>
    <xf numFmtId="41" fontId="28" fillId="0" borderId="9" xfId="2" applyFont="1" applyBorder="1" applyAlignment="1">
      <alignment horizontal="center" vertical="center" wrapText="1"/>
    </xf>
    <xf numFmtId="41" fontId="28" fillId="0" borderId="0" xfId="2" applyFont="1" applyAlignment="1">
      <alignment horizontal="center"/>
    </xf>
    <xf numFmtId="0" fontId="31" fillId="0" borderId="39" xfId="0" applyFont="1" applyBorder="1" applyAlignment="1">
      <alignment horizontal="left" vertical="center" wrapText="1"/>
    </xf>
    <xf numFmtId="0" fontId="31" fillId="0" borderId="33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31" fillId="0" borderId="50" xfId="0" applyFont="1" applyBorder="1" applyAlignment="1">
      <alignment horizontal="left" vertical="center" wrapText="1"/>
    </xf>
    <xf numFmtId="1" fontId="4" fillId="13" borderId="60" xfId="0" applyNumberFormat="1" applyFont="1" applyFill="1" applyBorder="1" applyAlignment="1">
      <alignment horizontal="center" vertical="center" wrapText="1"/>
    </xf>
    <xf numFmtId="1" fontId="4" fillId="13" borderId="6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55" xfId="0" applyFont="1" applyFill="1" applyBorder="1" applyAlignment="1">
      <alignment horizontal="center" vertical="center" wrapText="1"/>
    </xf>
    <xf numFmtId="41" fontId="4" fillId="13" borderId="1" xfId="2" applyNumberFormat="1" applyFont="1" applyFill="1" applyBorder="1" applyAlignment="1">
      <alignment horizontal="center" vertical="center" wrapText="1"/>
    </xf>
    <xf numFmtId="41" fontId="4" fillId="13" borderId="55" xfId="2" applyNumberFormat="1" applyFont="1" applyFill="1" applyBorder="1" applyAlignment="1">
      <alignment horizontal="center" vertical="center" wrapText="1"/>
    </xf>
    <xf numFmtId="0" fontId="11" fillId="15" borderId="62" xfId="0" applyFont="1" applyFill="1" applyBorder="1" applyAlignment="1">
      <alignment horizontal="center" vertical="center"/>
    </xf>
    <xf numFmtId="0" fontId="11" fillId="15" borderId="63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15" borderId="4" xfId="0" applyFont="1" applyFill="1" applyBorder="1" applyAlignment="1">
      <alignment horizontal="center" vertical="center"/>
    </xf>
    <xf numFmtId="0" fontId="11" fillId="15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9" xfId="0" applyBorder="1"/>
    <xf numFmtId="0" fontId="0" fillId="0" borderId="9" xfId="0" applyBorder="1" applyAlignment="1">
      <alignment horizontal="center"/>
    </xf>
    <xf numFmtId="1" fontId="0" fillId="0" borderId="9" xfId="0" applyNumberFormat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9" fontId="0" fillId="0" borderId="9" xfId="7" applyFont="1" applyBorder="1"/>
    <xf numFmtId="9" fontId="0" fillId="0" borderId="9" xfId="0" applyNumberFormat="1" applyBorder="1"/>
  </cellXfs>
  <cellStyles count="8">
    <cellStyle name="Comma" xfId="1" builtinId="3"/>
    <cellStyle name="Comma [0]" xfId="2" builtinId="6"/>
    <cellStyle name="Comma [0] 2" xfId="5"/>
    <cellStyle name="Normal" xfId="0" builtinId="0"/>
    <cellStyle name="Normal 2" xfId="3"/>
    <cellStyle name="Normal 2 2" xfId="4"/>
    <cellStyle name="Percent" xfId="7" builtinId="5"/>
    <cellStyle name="Percent 2" xfId="6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rgb="FFFFFF0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 Antiqua"/>
        <scheme val="none"/>
      </font>
      <numFmt numFmtId="33" formatCode="_(* #,##0_);_(* \(#,##0\);_(* &quot;-&quot;_);_(@_)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 Antiqua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hair">
          <color indexed="64"/>
        </top>
        <bottom style="hair">
          <color indexed="64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3" formatCode="_(* #,##0_);_(* \(#,##0\);_(* &quot;-&quot;_);_(@_)"/>
    </dxf>
    <dxf>
      <alignment textRotation="0" wrapText="1" indent="0" justifyLastLine="0" shrinkToFit="0" readingOrder="0"/>
    </dxf>
    <dxf>
      <numFmt numFmtId="33" formatCode="_(* #,##0_);_(* \(#,##0\);_(* &quot;-&quot;_);_(@_)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numFmt numFmtId="167" formatCode="_(* #.##0_);_(* \(#.##0\);_(* &quot;-&quot;??_);_(@_)"/>
      <alignment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 Antiqua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9CECD3"/>
      <color rgb="FFBCF2E1"/>
      <color rgb="FFF9A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Sheet6!$A$16</c:f>
              <c:strCache>
                <c:ptCount val="1"/>
                <c:pt idx="0">
                  <c:v>Belum Efektif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Sheet6!$B$11:$D$11</c15:sqref>
                  </c15:fullRef>
                </c:ext>
              </c:extLst>
              <c:f>Sheet6!$B$11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Sheet6!$B$16:$D$16</c15:sqref>
                  </c15:fullRef>
                </c:ext>
              </c:extLst>
              <c:f>Sheet6!$B$16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Sheet6!$A$14</c:f>
              <c:strCache>
                <c:ptCount val="1"/>
                <c:pt idx="0">
                  <c:v>Selesai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Sheet6!$B$11:$D$11</c15:sqref>
                  </c15:fullRef>
                </c:ext>
              </c:extLst>
              <c:f>Sheet6!$B$11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Sheet6!$B$14:$D$14</c15:sqref>
                  </c15:fullRef>
                </c:ext>
              </c:extLst>
              <c:f>Sheet6!$B$14</c:f>
              <c:numCache>
                <c:formatCode>0</c:formatCode>
                <c:ptCount val="1"/>
                <c:pt idx="0">
                  <c:v>696.17907824999998</c:v>
                </c:pt>
              </c:numCache>
            </c:numRef>
          </c:val>
        </c:ser>
        <c:ser>
          <c:idx val="4"/>
          <c:order val="4"/>
          <c:tx>
            <c:strRef>
              <c:f>Sheet6!$A$15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Sheet6!$B$11:$D$11</c15:sqref>
                  </c15:fullRef>
                </c:ext>
              </c:extLst>
              <c:f>Sheet6!$B$11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Sheet6!$B$15:$D$15</c15:sqref>
                  </c15:fullRef>
                </c:ext>
              </c:extLst>
              <c:f>Sheet6!$B$15</c:f>
              <c:numCache>
                <c:formatCode>0</c:formatCode>
                <c:ptCount val="1"/>
                <c:pt idx="0">
                  <c:v>514.59813081899995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7368"/>
        <c:axId val="154694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Sheet6!$A$12</c15:sqref>
                        </c15:formulaRef>
                      </c:ext>
                    </c:extLst>
                    <c:strCache>
                      <c:ptCount val="1"/>
                      <c:pt idx="0">
                        <c:v>Alokasi (DKPPDN)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Sheet6!$B$11:$D$11</c15:sqref>
                        </c15:fullRef>
                        <c15:formulaRef>
                          <c15:sqref>Sheet6!$B$11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Sheet6!$B$12:$D$12</c15:sqref>
                        </c15:fullRef>
                        <c15:formulaRef>
                          <c15:sqref>Sheet6!$B$12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Sheet6!$A$13</c15:sqref>
                        </c15:formulaRef>
                      </c:ext>
                    </c:extLst>
                    <c:strCache>
                      <c:ptCount val="1"/>
                      <c:pt idx="0">
                        <c:v>Nilai Kontrak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Sheet6!$B$11:$D$11</c15:sqref>
                        </c15:fullRef>
                        <c15:formulaRef>
                          <c15:sqref>Sheet6!$B$11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Sheet6!$B$13:$D$13</c15:sqref>
                        </c15:fullRef>
                        <c15:formulaRef>
                          <c15:sqref>Sheet6!$B$13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1210.777209069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Sheet6!$A$17</c15:sqref>
                        </c15:formulaRef>
                      </c:ext>
                    </c:extLst>
                    <c:strCache>
                      <c:ptCount val="1"/>
                      <c:pt idx="0">
                        <c:v>Belum Kontrak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Sheet6!$B$11:$D$11</c15:sqref>
                        </c15:fullRef>
                        <c15:formulaRef>
                          <c15:sqref>Sheet6!$B$11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Sheet6!$B$17:$D$17</c15:sqref>
                        </c15:fullRef>
                        <c15:formulaRef>
                          <c15:sqref>Sheet6!$B$17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69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4368"/>
        <c:crosses val="autoZero"/>
        <c:auto val="1"/>
        <c:lblAlgn val="ctr"/>
        <c:lblOffset val="100"/>
        <c:noMultiLvlLbl val="0"/>
      </c:catAx>
      <c:valAx>
        <c:axId val="154694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DKPPDN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1.5</c:v>
                </c:pt>
                <c:pt idx="1">
                  <c:v>0.5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1.5</c:v>
                </c:pt>
                <c:pt idx="1">
                  <c:v>0.5</c:v>
                </c:pt>
              </c:numCache>
            </c:numRef>
          </c:val>
        </c:ser>
        <c:ser>
          <c:idx val="1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1.5</c:v>
                </c:pt>
                <c:pt idx="1">
                  <c:v>0.5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1.5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DKPPDN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Sheet4!$D$3:$D$4</c:f>
              <c:numCache>
                <c:formatCode>General</c:formatCode>
                <c:ptCount val="2"/>
                <c:pt idx="0">
                  <c:v>1.48</c:v>
                </c:pt>
                <c:pt idx="1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DKPPDN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Sheet4!$E$3:$E$4</c:f>
              <c:numCache>
                <c:formatCode>General</c:formatCode>
                <c:ptCount val="2"/>
                <c:pt idx="0">
                  <c:v>2.56</c:v>
                </c:pt>
                <c:pt idx="1">
                  <c:v>1.01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Sheet4!$E$3:$E$4</c:f>
              <c:numCache>
                <c:formatCode>General</c:formatCode>
                <c:ptCount val="2"/>
                <c:pt idx="0">
                  <c:v>2.56</c:v>
                </c:pt>
                <c:pt idx="1">
                  <c:v>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DRPPLN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Sheet4!$A$8:$A$9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Sheet4!$D$8:$D$9</c:f>
              <c:numCache>
                <c:formatCode>_(* #,##0_);_(* \(#,##0\);_(* "-"_);_(@_)</c:formatCode>
                <c:ptCount val="2"/>
                <c:pt idx="0">
                  <c:v>4961100</c:v>
                </c:pt>
                <c:pt idx="1">
                  <c:v>590000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Alokasi (DKPPDN)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Sheet1!$C$3:$E$3</c:f>
              <c:numCache>
                <c:formatCode>_(* #,##0_);_(* \(#,##0\);_(* "-"_);_(@_)</c:formatCode>
                <c:ptCount val="3"/>
                <c:pt idx="0">
                  <c:v>1500</c:v>
                </c:pt>
                <c:pt idx="1">
                  <c:v>1485100000</c:v>
                </c:pt>
                <c:pt idx="2">
                  <c:v>2568797100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Nilai Kontrak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A1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Sheet1!$C$4:$E$4</c:f>
              <c:numCache>
                <c:formatCode>_(* #,##0_);_(* \(#,##0\);_(* "-"_);_(@_)</c:formatCode>
                <c:ptCount val="3"/>
                <c:pt idx="0">
                  <c:v>1210.777209069</c:v>
                </c:pt>
                <c:pt idx="1">
                  <c:v>1485039034.5999999</c:v>
                </c:pt>
                <c:pt idx="2">
                  <c:v>1142200340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Selesai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CECD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Sheet1!$C$5:$E$5</c:f>
              <c:numCache>
                <c:formatCode>_(* #,##0_);_(* \(#,##0\);_(* "-"_);_(@_)</c:formatCode>
                <c:ptCount val="3"/>
                <c:pt idx="0">
                  <c:v>696.17907824999998</c:v>
                </c:pt>
                <c:pt idx="1">
                  <c:v>182961305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Sheet1!$C$6:$E$6</c:f>
              <c:numCache>
                <c:formatCode>_(* #,##0_);_(* \(#,##0\);_(* "-"_);_(@_)</c:formatCode>
                <c:ptCount val="3"/>
                <c:pt idx="0">
                  <c:v>204.33446546100001</c:v>
                </c:pt>
                <c:pt idx="1">
                  <c:v>254709033.68000001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Belum Efektif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Sheet1!$C$7:$E$7</c:f>
              <c:numCache>
                <c:formatCode>_(* #,##0_);_(* \(#,##0\);_(*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Belum Kontrak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Sheet1!$C$8:$E$8</c:f>
              <c:numCache>
                <c:formatCode>_(* #,##0_);_(* \(#,##0\);_(* "-"_);_(@_)</c:formatCode>
                <c:ptCount val="3"/>
                <c:pt idx="0">
                  <c:v>240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7384"/>
        <c:axId val="156247776"/>
      </c:lineChart>
      <c:catAx>
        <c:axId val="1562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7776"/>
        <c:crosses val="autoZero"/>
        <c:auto val="1"/>
        <c:lblAlgn val="ctr"/>
        <c:lblOffset val="100"/>
        <c:noMultiLvlLbl val="0"/>
      </c:catAx>
      <c:valAx>
        <c:axId val="1562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Nilai Kontrak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Sheet1!$C$20:$E$20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Sheet1!$C$21:$E$21</c:f>
              <c:numCache>
                <c:formatCode>0%</c:formatCode>
                <c:ptCount val="3"/>
                <c:pt idx="0">
                  <c:v>0.80718480604599996</c:v>
                </c:pt>
                <c:pt idx="1">
                  <c:v>0.99995894862298829</c:v>
                </c:pt>
                <c:pt idx="2">
                  <c:v>0.4446440475972197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Selesai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Sheet1!$C$20:$E$20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Sheet1!$C$22:$E$22</c:f>
              <c:numCache>
                <c:formatCode>0%</c:formatCode>
                <c:ptCount val="3"/>
                <c:pt idx="0">
                  <c:v>0.46411938549999998</c:v>
                </c:pt>
                <c:pt idx="1">
                  <c:v>0.12319796983368124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Sheet1!$C$20:$E$20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Sheet1!$C$23:$E$23</c:f>
              <c:numCache>
                <c:formatCode>0%</c:formatCode>
                <c:ptCount val="3"/>
                <c:pt idx="0">
                  <c:v>0.13622297697400002</c:v>
                </c:pt>
                <c:pt idx="1">
                  <c:v>0.17150968532758737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Belum Efektif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Sheet1!$C$20:$E$20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Sheet1!$C$24:$E$24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Sheet1!$B$25</c:f>
              <c:strCache>
                <c:ptCount val="1"/>
                <c:pt idx="0">
                  <c:v>Belum Kontrak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Sheet1!$C$20:$E$20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Sheet1!$C$25:$E$25</c:f>
              <c:numCache>
                <c:formatCode>0%</c:formatCode>
                <c:ptCount val="3"/>
                <c:pt idx="0">
                  <c:v>0.16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8560"/>
        <c:axId val="156248952"/>
      </c:lineChart>
      <c:catAx>
        <c:axId val="1562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8952"/>
        <c:crosses val="autoZero"/>
        <c:auto val="1"/>
        <c:lblAlgn val="ctr"/>
        <c:lblOffset val="100"/>
        <c:noMultiLvlLbl val="0"/>
      </c:catAx>
      <c:valAx>
        <c:axId val="1562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Sandingan</a:t>
            </a:r>
            <a:r>
              <a:rPr lang="en-US" sz="900" baseline="0"/>
              <a:t> DKPPDN dan Nilai Kontrak Pinjaman  Dalam Negeri Kemhan</a:t>
            </a:r>
          </a:p>
          <a:p>
            <a:pPr>
              <a:defRPr sz="900"/>
            </a:pPr>
            <a:r>
              <a:rPr lang="en-US" sz="900" baseline="0"/>
              <a:t>(Dalam Miliar Rupiah)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Sheet6!$A$12</c:f>
              <c:strCache>
                <c:ptCount val="1"/>
                <c:pt idx="0">
                  <c:v>Alokasi (DKPPDN)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Sheet6!$B$11:$E$11</c15:sqref>
                  </c15:fullRef>
                </c:ext>
              </c:extLst>
              <c:f>Sheet6!$B$11:$D$11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Sheet6!$B$12:$E$12</c15:sqref>
                  </c15:fullRef>
                </c:ext>
              </c:extLst>
              <c:f>Sheet6!$B$12:$D$12</c:f>
              <c:numCache>
                <c:formatCode>0</c:formatCode>
                <c:ptCount val="3"/>
                <c:pt idx="0">
                  <c:v>1500</c:v>
                </c:pt>
                <c:pt idx="1">
                  <c:v>1485.1</c:v>
                </c:pt>
                <c:pt idx="2">
                  <c:v>2568.7970999999998</c:v>
                </c:pt>
              </c:numCache>
            </c:numRef>
          </c:val>
        </c:ser>
        <c:ser>
          <c:idx val="1"/>
          <c:order val="1"/>
          <c:tx>
            <c:strRef>
              <c:f>Sheet6!$A$13</c:f>
              <c:strCache>
                <c:ptCount val="1"/>
                <c:pt idx="0">
                  <c:v>Nilai Kontrak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Sheet6!$B$11:$E$11</c15:sqref>
                  </c15:fullRef>
                </c:ext>
              </c:extLst>
              <c:f>Sheet6!$B$11:$D$11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Sheet6!$B$13:$E$13</c15:sqref>
                  </c15:fullRef>
                </c:ext>
              </c:extLst>
              <c:f>Sheet6!$B$13:$D$13</c:f>
              <c:numCache>
                <c:formatCode>0</c:formatCode>
                <c:ptCount val="3"/>
                <c:pt idx="0">
                  <c:v>1210.777209069</c:v>
                </c:pt>
                <c:pt idx="1">
                  <c:v>1485.0390345999999</c:v>
                </c:pt>
                <c:pt idx="2">
                  <c:v>1077.2003400000001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02216"/>
        <c:axId val="157102600"/>
      </c:barChart>
      <c:catAx>
        <c:axId val="15710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2600"/>
        <c:crosses val="autoZero"/>
        <c:auto val="1"/>
        <c:lblAlgn val="ctr"/>
        <c:lblOffset val="100"/>
        <c:noMultiLvlLbl val="0"/>
      </c:catAx>
      <c:valAx>
        <c:axId val="1571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Sandingan DKPPDN dan Nilai Kontrak</a:t>
            </a:r>
          </a:p>
          <a:p>
            <a:pPr>
              <a:defRPr sz="800"/>
            </a:pPr>
            <a:r>
              <a:rPr lang="en-US" sz="800"/>
              <a:t> Pinjaman Dalam Negeri POLRI</a:t>
            </a:r>
          </a:p>
          <a:p>
            <a:pPr>
              <a:defRPr sz="800"/>
            </a:pPr>
            <a:r>
              <a:rPr lang="en-US" sz="800"/>
              <a:t>(Dalam Miliar Rupiah)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Sheet6!$A$35</c:f>
              <c:strCache>
                <c:ptCount val="1"/>
                <c:pt idx="0">
                  <c:v>Alokasi (DKPPDN)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Sheet6!$B$34:$D$34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Sheet6!$B$35:$D$35</c:f>
              <c:numCache>
                <c:formatCode>0</c:formatCode>
                <c:ptCount val="3"/>
                <c:pt idx="0" formatCode="_(* #,##0_);_(* \(#,##0\);_(* &quot;-&quot;_);_(@_)">
                  <c:v>500</c:v>
                </c:pt>
                <c:pt idx="1">
                  <c:v>320</c:v>
                </c:pt>
                <c:pt idx="2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Sheet6!$A$36</c:f>
              <c:strCache>
                <c:ptCount val="1"/>
                <c:pt idx="0">
                  <c:v>Nilai Kontrak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Sheet6!$B$34:$D$34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Sheet6!$B$36:$D$36</c:f>
              <c:numCache>
                <c:formatCode>0</c:formatCode>
                <c:ptCount val="3"/>
                <c:pt idx="0">
                  <c:v>494.72539726899998</c:v>
                </c:pt>
                <c:pt idx="1">
                  <c:v>318.97035214599998</c:v>
                </c:pt>
                <c:pt idx="2">
                  <c:v>199.499675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7100856"/>
        <c:axId val="157209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Sheet6!$A$37</c15:sqref>
                        </c15:formulaRef>
                      </c:ext>
                    </c:extLst>
                    <c:strCache>
                      <c:ptCount val="1"/>
                      <c:pt idx="0">
                        <c:v>Selesai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Sheet6!$B$34:$D$34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Sheet6!$B$37:$D$37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295.22539726899998</c:v>
                      </c:pt>
                      <c:pt idx="1">
                        <c:v>279.117002146</c:v>
                      </c:pt>
                      <c:pt idx="2">
                        <c:v>29.920999999999999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Sheet6!$A$38</c15:sqref>
                        </c15:formulaRef>
                      </c:ext>
                    </c:extLst>
                    <c:strCache>
                      <c:ptCount val="1"/>
                      <c:pt idx="0">
                        <c:v>Efektif Belum Selesai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Sheet6!$B$34:$D$34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Sheet6!$B$38:$D$38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199.5</c:v>
                      </c:pt>
                      <c:pt idx="1">
                        <c:v>39.853349999999999</c:v>
                      </c:pt>
                      <c:pt idx="2">
                        <c:v>169.578675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71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9344"/>
        <c:crosses val="autoZero"/>
        <c:auto val="1"/>
        <c:lblAlgn val="ctr"/>
        <c:lblOffset val="100"/>
        <c:noMultiLvlLbl val="0"/>
      </c:catAx>
      <c:valAx>
        <c:axId val="157209344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5710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PINJAMAN DALAM NEGERI polri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(dalam miliar rupiah)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Sheet6!$A$37</c:f>
              <c:strCache>
                <c:ptCount val="1"/>
                <c:pt idx="0">
                  <c:v>Selesai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Sheet6!$B$34:$D$34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Sheet6!$B$37:$D$37</c:f>
              <c:numCache>
                <c:formatCode>0</c:formatCode>
                <c:ptCount val="3"/>
                <c:pt idx="0">
                  <c:v>295.22539726899998</c:v>
                </c:pt>
                <c:pt idx="1">
                  <c:v>279.117002146</c:v>
                </c:pt>
                <c:pt idx="2">
                  <c:v>29.920999999999999</c:v>
                </c:pt>
              </c:numCache>
            </c:numRef>
          </c:val>
        </c:ser>
        <c:ser>
          <c:idx val="3"/>
          <c:order val="3"/>
          <c:tx>
            <c:strRef>
              <c:f>Sheet6!$A$38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Sheet6!$B$34:$D$34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Sheet6!$B$38:$D$38</c:f>
              <c:numCache>
                <c:formatCode>0</c:formatCode>
                <c:ptCount val="3"/>
                <c:pt idx="0">
                  <c:v>199.5</c:v>
                </c:pt>
                <c:pt idx="1">
                  <c:v>39.853349999999999</c:v>
                </c:pt>
                <c:pt idx="2">
                  <c:v>169.578675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207952"/>
        <c:axId val="157413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Sheet6!$A$35</c15:sqref>
                        </c15:formulaRef>
                      </c:ext>
                    </c:extLst>
                    <c:strCache>
                      <c:ptCount val="1"/>
                      <c:pt idx="0">
                        <c:v>Alokasi (DKPPDN)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Sheet6!$B$34:$D$34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Sheet6!$B$35:$D$35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_(* #,##0_);_(* \(#,##0\);_(* &quot;-&quot;_);_(@_)">
                        <c:v>500</c:v>
                      </c:pt>
                      <c:pt idx="1">
                        <c:v>320</c:v>
                      </c:pt>
                      <c:pt idx="2">
                        <c:v>1010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Sheet6!$A$36</c15:sqref>
                        </c15:formulaRef>
                      </c:ext>
                    </c:extLst>
                    <c:strCache>
                      <c:ptCount val="1"/>
                      <c:pt idx="0">
                        <c:v>Nilai Kontrak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Sheet6!$B$34:$D$34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Sheet6!$B$36:$D$36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494.72539726899998</c:v>
                      </c:pt>
                      <c:pt idx="1">
                        <c:v>318.97035214599998</c:v>
                      </c:pt>
                      <c:pt idx="2">
                        <c:v>199.499675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72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672"/>
        <c:crosses val="autoZero"/>
        <c:auto val="1"/>
        <c:lblAlgn val="ctr"/>
        <c:lblOffset val="100"/>
        <c:noMultiLvlLbl val="0"/>
      </c:catAx>
      <c:valAx>
        <c:axId val="1574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ALOKASI PINJAMAN DALAM NEGERI </a:t>
            </a:r>
          </a:p>
          <a:p>
            <a:pPr>
              <a:defRPr/>
            </a:pPr>
            <a:r>
              <a:rPr lang="en-US"/>
              <a:t>TAHUN</a:t>
            </a:r>
            <a:r>
              <a:rPr lang="en-US" baseline="0"/>
              <a:t> </a:t>
            </a:r>
            <a:r>
              <a:rPr lang="en-US"/>
              <a:t>2015-2017</a:t>
            </a:r>
          </a:p>
          <a:p>
            <a:pPr>
              <a:defRPr/>
            </a:pPr>
            <a:r>
              <a:rPr lang="en-US"/>
              <a:t>(dalam miliar rupiah)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Sheet8!$A$3</c:f>
              <c:strCache>
                <c:ptCount val="1"/>
                <c:pt idx="0">
                  <c:v>Kemhan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Sheet8!$B$2:$D$2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Sheet8!$B$3:$D$3</c:f>
              <c:numCache>
                <c:formatCode>0</c:formatCode>
                <c:ptCount val="3"/>
                <c:pt idx="0">
                  <c:v>1500</c:v>
                </c:pt>
                <c:pt idx="1">
                  <c:v>1485.1</c:v>
                </c:pt>
                <c:pt idx="2">
                  <c:v>2568.7970999999998</c:v>
                </c:pt>
              </c:numCache>
            </c:numRef>
          </c:val>
        </c:ser>
        <c:ser>
          <c:idx val="1"/>
          <c:order val="1"/>
          <c:tx>
            <c:strRef>
              <c:f>Sheet8!$A$4</c:f>
              <c:strCache>
                <c:ptCount val="1"/>
                <c:pt idx="0">
                  <c:v>POLRI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Sheet8!$B$2:$D$2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Sheet8!$B$4:$D$4</c:f>
              <c:numCache>
                <c:formatCode>0</c:formatCode>
                <c:ptCount val="3"/>
                <c:pt idx="0">
                  <c:v>500</c:v>
                </c:pt>
                <c:pt idx="1">
                  <c:v>320</c:v>
                </c:pt>
                <c:pt idx="2">
                  <c:v>1010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67680448"/>
        <c:axId val="167681624"/>
      </c:barChart>
      <c:catAx>
        <c:axId val="1676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1624"/>
        <c:crosses val="autoZero"/>
        <c:auto val="1"/>
        <c:lblAlgn val="ctr"/>
        <c:lblOffset val="100"/>
        <c:noMultiLvlLbl val="0"/>
      </c:catAx>
      <c:valAx>
        <c:axId val="1676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Sheet8!$A$32</c:f>
              <c:strCache>
                <c:ptCount val="1"/>
                <c:pt idx="0">
                  <c:v>Selesai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Sheet8!$B$30:$E$30</c15:sqref>
                  </c15:fullRef>
                </c:ext>
              </c:extLst>
              <c:f>Sheet8!$B$30:$D$30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Sheet8!$B$32:$E$32</c15:sqref>
                  </c15:fullRef>
                </c:ext>
              </c:extLst>
              <c:f>Sheet8!$B$32:$D$32</c:f>
              <c:numCache>
                <c:formatCode>0%</c:formatCode>
                <c:ptCount val="3"/>
                <c:pt idx="0">
                  <c:v>0.57498528468776788</c:v>
                </c:pt>
                <c:pt idx="1">
                  <c:v>0.12320302748761161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Sheet8!$A$33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Sheet8!$B$30:$E$30</c15:sqref>
                  </c15:fullRef>
                </c:ext>
              </c:extLst>
              <c:f>Sheet8!$B$30:$D$30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Sheet8!$B$33:$E$33</c15:sqref>
                  </c15:fullRef>
                </c:ext>
              </c:extLst>
              <c:f>Sheet8!$B$33:$D$33</c:f>
              <c:numCache>
                <c:formatCode>0%</c:formatCode>
                <c:ptCount val="3"/>
                <c:pt idx="0">
                  <c:v>0.42501471531223206</c:v>
                </c:pt>
                <c:pt idx="1">
                  <c:v>0.45121893363596843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Sheet8!$A$34</c:f>
              <c:strCache>
                <c:ptCount val="1"/>
                <c:pt idx="0">
                  <c:v>Belum Efektif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Sheet8!$B$30:$E$30</c15:sqref>
                  </c15:fullRef>
                </c:ext>
              </c:extLst>
              <c:f>Sheet8!$B$30:$D$30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Sheet8!$B$34:$E$34</c15:sqref>
                  </c15:fullRef>
                </c:ext>
              </c:extLst>
              <c:f>Sheet8!$B$34:$D$34</c:f>
              <c:numCache>
                <c:formatCode>0%</c:formatCode>
                <c:ptCount val="3"/>
                <c:pt idx="0">
                  <c:v>0</c:v>
                </c:pt>
                <c:pt idx="1">
                  <c:v>0.42557803887641998</c:v>
                </c:pt>
                <c:pt idx="2">
                  <c:v>0.9998140178826902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67680056"/>
        <c:axId val="167682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Sheet8!$A$31</c15:sqref>
                        </c15:formulaRef>
                      </c:ext>
                    </c:extLst>
                    <c:strCache>
                      <c:ptCount val="1"/>
                      <c:pt idx="0">
                        <c:v>Nilai Kontrak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Sheet8!$B$30:$E$30</c15:sqref>
                        </c15:fullRef>
                        <c15:formulaRef>
                          <c15:sqref>Sheet8!$B$30:$D$30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Sheet8!$B$31:$E$31</c15:sqref>
                        </c15:fullRef>
                        <c15:formulaRef>
                          <c15:sqref>Sheet8!$B$31:$D$31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1210.777209069</c:v>
                      </c:pt>
                      <c:pt idx="1">
                        <c:v>1485.0390345999999</c:v>
                      </c:pt>
                      <c:pt idx="2">
                        <c:v>1077.2003400000001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Sheet8!$A$35</c15:sqref>
                        </c15:formulaRef>
                      </c:ext>
                    </c:extLst>
                    <c:strCache>
                      <c:ptCount val="1"/>
                      <c:pt idx="0">
                        <c:v>Belum Kontrak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Sheet8!$B$30:$E$30</c15:sqref>
                        </c15:fullRef>
                        <c15:formulaRef>
                          <c15:sqref>Sheet8!$B$30:$D$30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Sheet8!$B$35:$E$35</c15:sqref>
                        </c15:fullRef>
                        <c15:formulaRef>
                          <c15:sqref>Sheet8!$B$35:$D$35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Sheet8!$A$36</c15:sqref>
                        </c15:formulaRef>
                      </c:ext>
                    </c:extLst>
                    <c:strCache>
                      <c:ptCount val="1"/>
                      <c:pt idx="0">
                        <c:v>Jumlah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Sheet8!$B$30:$E$30</c15:sqref>
                        </c15:fullRef>
                        <c15:formulaRef>
                          <c15:sqref>Sheet8!$B$30:$D$30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Sheet8!$B$36:$E$36</c15:sqref>
                        </c15:fullRef>
                        <c15:formulaRef>
                          <c15:sqref>Sheet8!$B$36:$D$36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0.9998140178826902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768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2408"/>
        <c:crosses val="autoZero"/>
        <c:auto val="1"/>
        <c:lblAlgn val="ctr"/>
        <c:lblOffset val="100"/>
        <c:noMultiLvlLbl val="0"/>
      </c:catAx>
      <c:valAx>
        <c:axId val="16768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Sheet8!$A$41</c:f>
              <c:strCache>
                <c:ptCount val="1"/>
                <c:pt idx="0">
                  <c:v>Selesai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Sheet8!$B$39:$E$39</c15:sqref>
                  </c15:fullRef>
                </c:ext>
              </c:extLst>
              <c:f>Sheet8!$B$39:$D$39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Sheet8!$B$41:$E$41</c15:sqref>
                  </c15:fullRef>
                </c:ext>
              </c:extLst>
              <c:f>Sheet8!$B$41:$D$41</c:f>
              <c:numCache>
                <c:formatCode>0%</c:formatCode>
                <c:ptCount val="3"/>
                <c:pt idx="0">
                  <c:v>0.5967459906014797</c:v>
                </c:pt>
                <c:pt idx="1">
                  <c:v>0.87505625606934723</c:v>
                </c:pt>
                <c:pt idx="2">
                  <c:v>0.1499801942033239</c:v>
                </c:pt>
              </c:numCache>
            </c:numRef>
          </c:val>
        </c:ser>
        <c:ser>
          <c:idx val="2"/>
          <c:order val="2"/>
          <c:tx>
            <c:strRef>
              <c:f>Sheet8!$A$42</c:f>
              <c:strCache>
                <c:ptCount val="1"/>
                <c:pt idx="0">
                  <c:v>Efektif Belum Selesai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Sheet8!$B$39:$E$39</c15:sqref>
                  </c15:fullRef>
                </c:ext>
              </c:extLst>
              <c:f>Sheet8!$B$39:$D$39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Sheet8!$B$42:$E$42</c15:sqref>
                  </c15:fullRef>
                </c:ext>
              </c:extLst>
              <c:f>Sheet8!$B$42:$D$42</c:f>
              <c:numCache>
                <c:formatCode>0%</c:formatCode>
                <c:ptCount val="3"/>
                <c:pt idx="0">
                  <c:v>0.4032540093985203</c:v>
                </c:pt>
                <c:pt idx="1">
                  <c:v>0.12494374393065288</c:v>
                </c:pt>
                <c:pt idx="2">
                  <c:v>0.85001980579667613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88575536"/>
        <c:axId val="288575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Sheet8!$A$40</c15:sqref>
                        </c15:formulaRef>
                      </c:ext>
                    </c:extLst>
                    <c:strCache>
                      <c:ptCount val="1"/>
                      <c:pt idx="0">
                        <c:v>Nilai Kontrak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Sheet8!$B$39:$E$39</c15:sqref>
                        </c15:fullRef>
                        <c15:formulaRef>
                          <c15:sqref>Sheet8!$B$39:$D$39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Sheet8!$B$40:$E$40</c15:sqref>
                        </c15:fullRef>
                        <c15:formulaRef>
                          <c15:sqref>Sheet8!$B$40:$D$40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494.72539726899998</c:v>
                      </c:pt>
                      <c:pt idx="1">
                        <c:v>318.97035214599998</c:v>
                      </c:pt>
                      <c:pt idx="2">
                        <c:v>199.499675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Sheet8!$A$43</c15:sqref>
                        </c15:formulaRef>
                      </c:ext>
                    </c:extLst>
                    <c:strCache>
                      <c:ptCount val="1"/>
                      <c:pt idx="0">
                        <c:v>Belum Kontrak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Sheet8!$B$39:$E$39</c15:sqref>
                        </c15:fullRef>
                        <c15:formulaRef>
                          <c15:sqref>Sheet8!$B$39:$D$39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Sheet8!$B$43:$E$43</c15:sqref>
                        </c15:fullRef>
                        <c15:formulaRef>
                          <c15:sqref>Sheet8!$B$43:$D$43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Sheet8!$A$44</c15:sqref>
                        </c15:formulaRef>
                      </c:ext>
                    </c:extLst>
                    <c:strCache>
                      <c:ptCount val="1"/>
                      <c:pt idx="0">
                        <c:v>Belum Efektif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Sheet8!$B$39:$E$39</c15:sqref>
                        </c15:fullRef>
                        <c15:formulaRef>
                          <c15:sqref>Sheet8!$B$39:$D$39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Sheet8!$B$44:$E$44</c15:sqref>
                        </c15:fullRef>
                        <c15:formulaRef>
                          <c15:sqref>Sheet8!$B$44:$D$44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Sheet8!$A$45</c15:sqref>
                        </c15:formulaRef>
                      </c:ext>
                    </c:extLst>
                    <c:strCache>
                      <c:ptCount val="1"/>
                      <c:pt idx="0">
                        <c:v>Jumlah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Sheet8!$B$39:$E$39</c15:sqref>
                        </c15:fullRef>
                        <c15:formulaRef>
                          <c15:sqref>Sheet8!$B$39:$D$39</c15:sqref>
                        </c15:formulaRef>
                      </c:ext>
                    </c:extLst>
                    <c:strCach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Sheet8!$B$45:$E$45</c15:sqref>
                        </c15:fullRef>
                        <c15:formulaRef>
                          <c15:sqref>Sheet8!$B$45:$D$45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857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5928"/>
        <c:crosses val="autoZero"/>
        <c:auto val="1"/>
        <c:lblAlgn val="ctr"/>
        <c:lblOffset val="100"/>
        <c:noMultiLvlLbl val="0"/>
      </c:catAx>
      <c:valAx>
        <c:axId val="2885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DRPLN</a:t>
            </a:r>
            <a:r>
              <a:rPr lang="en-US" baseline="0"/>
              <a:t> KHUSUS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Sheet4!$A$8:$A$9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Sheet4!$B$8:$B$9</c:f>
              <c:numCache>
                <c:formatCode>_(* #,##0_);_(* \(#,##0\);_(* "-"_);_(@_)</c:formatCode>
                <c:ptCount val="2"/>
                <c:pt idx="0">
                  <c:v>7742300</c:v>
                </c:pt>
                <c:pt idx="1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DKPDN</a:t>
            </a:r>
            <a:r>
              <a:rPr lang="en-US" baseline="0"/>
              <a:t>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Sheet4!$A$3:$A$4</c:f>
              <c:strCache>
                <c:ptCount val="2"/>
                <c:pt idx="0">
                  <c:v>Kemhan</c:v>
                </c:pt>
                <c:pt idx="1">
                  <c:v>POLRI</c:v>
                </c:pt>
              </c:strCache>
            </c:strRef>
          </c:cat>
          <c:val>
            <c:numRef>
              <c:f>Sheet4!$B$3:$B$4</c:f>
              <c:numCache>
                <c:formatCode>General</c:formatCode>
                <c:ptCount val="2"/>
                <c:pt idx="0">
                  <c:v>15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6</xdr:col>
      <xdr:colOff>704850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176212</xdr:rowOff>
    </xdr:from>
    <xdr:to>
      <xdr:col>12</xdr:col>
      <xdr:colOff>114300</xdr:colOff>
      <xdr:row>33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33</xdr:row>
      <xdr:rowOff>119062</xdr:rowOff>
    </xdr:from>
    <xdr:to>
      <xdr:col>11</xdr:col>
      <xdr:colOff>552450</xdr:colOff>
      <xdr:row>47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48</xdr:row>
      <xdr:rowOff>33337</xdr:rowOff>
    </xdr:from>
    <xdr:to>
      <xdr:col>11</xdr:col>
      <xdr:colOff>323850</xdr:colOff>
      <xdr:row>62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71437</xdr:rowOff>
    </xdr:from>
    <xdr:to>
      <xdr:col>12</xdr:col>
      <xdr:colOff>419100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18</xdr:row>
      <xdr:rowOff>100012</xdr:rowOff>
    </xdr:from>
    <xdr:to>
      <xdr:col>12</xdr:col>
      <xdr:colOff>409575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33</xdr:row>
      <xdr:rowOff>14287</xdr:rowOff>
    </xdr:from>
    <xdr:to>
      <xdr:col>12</xdr:col>
      <xdr:colOff>447675</xdr:colOff>
      <xdr:row>47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10</xdr:row>
      <xdr:rowOff>61912</xdr:rowOff>
    </xdr:from>
    <xdr:to>
      <xdr:col>14</xdr:col>
      <xdr:colOff>123825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10</xdr:row>
      <xdr:rowOff>90487</xdr:rowOff>
    </xdr:from>
    <xdr:to>
      <xdr:col>6</xdr:col>
      <xdr:colOff>542925</xdr:colOff>
      <xdr:row>24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71437</xdr:rowOff>
    </xdr:from>
    <xdr:to>
      <xdr:col>6</xdr:col>
      <xdr:colOff>533400</xdr:colOff>
      <xdr:row>39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657225</xdr:colOff>
      <xdr:row>25</xdr:row>
      <xdr:rowOff>71437</xdr:rowOff>
    </xdr:from>
    <xdr:to>
      <xdr:col>14</xdr:col>
      <xdr:colOff>104775</xdr:colOff>
      <xdr:row>39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40</xdr:row>
      <xdr:rowOff>71437</xdr:rowOff>
    </xdr:from>
    <xdr:to>
      <xdr:col>6</xdr:col>
      <xdr:colOff>590550</xdr:colOff>
      <xdr:row>54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685800</xdr:colOff>
      <xdr:row>40</xdr:row>
      <xdr:rowOff>76200</xdr:rowOff>
    </xdr:from>
    <xdr:to>
      <xdr:col>14</xdr:col>
      <xdr:colOff>133350</xdr:colOff>
      <xdr:row>54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147637</xdr:rowOff>
    </xdr:from>
    <xdr:to>
      <xdr:col>12</xdr:col>
      <xdr:colOff>323850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42862</xdr:rowOff>
    </xdr:from>
    <xdr:to>
      <xdr:col>12</xdr:col>
      <xdr:colOff>333375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Y113" totalsRowShown="0" headerRowDxfId="39" dataDxfId="37" headerRowBorderDxfId="38" tableBorderDxfId="36">
  <autoFilter ref="A1:Y113"/>
  <tableColumns count="25">
    <tableColumn id="1" name="No." dataDxfId="35"/>
    <tableColumn id="2" name="Kegiatan" dataDxfId="34"/>
    <tableColumn id="3" name=" " dataDxfId="33"/>
    <tableColumn id="4" name="PAGU KEGIATAN PDN 2015-2019" dataDxfId="32"/>
    <tableColumn id="5" name="DKPPDN 2015" dataDxfId="31"/>
    <tableColumn id="6" name="STATUS 2015" dataDxfId="30"/>
    <tableColumn id="7" name="NILAI KONTRAK 2015" dataDxfId="29"/>
    <tableColumn id="15" name="REALISASI PENYERAPAN 2015"/>
    <tableColumn id="23" name="SISA KONTRAK 2015" dataDxfId="28">
      <calculatedColumnFormula>Table3[[#This Row],[REALISASI PENYERAPAN 2015]]-Table3[[#This Row],[NILAI KONTRAK 2015]]</calculatedColumnFormula>
    </tableColumn>
    <tableColumn id="8" name="DKPPDN 2016" dataDxfId="27"/>
    <tableColumn id="18" name="STATUS 2016"/>
    <tableColumn id="17" name="NILAI KONTRAK 2016"/>
    <tableColumn id="21" name="REALISASI PENYERAPAN 2016"/>
    <tableColumn id="24" name="SISA KONTRAK 2016" dataDxfId="26">
      <calculatedColumnFormula>Table3[[#This Row],[NILAI KONTRAK 2016]]-Table3[[#This Row],[REALISASI PENYERAPAN 2016]]</calculatedColumnFormula>
    </tableColumn>
    <tableColumn id="9" name="DKPPDN 2017" dataDxfId="25"/>
    <tableColumn id="20" name="STATUS 2017"/>
    <tableColumn id="19" name="NILAI KONTRAK 2017"/>
    <tableColumn id="22" name="REALISASI PENYERAPAN  2017"/>
    <tableColumn id="25" name="SISA KONTRAK 2017"/>
    <tableColumn id="10" name="RANCANGAN DKPPDN 2018" dataDxfId="24"/>
    <tableColumn id="11" name="Jumlah" dataDxfId="23"/>
    <tableColumn id="12" name="SISA PAGU" dataDxfId="22" dataCellStyle="Comma [0]"/>
    <tableColumn id="14" name="RENC. PENYERAPAN 2018" dataDxfId="21"/>
    <tableColumn id="16" name="RENCANA PENYERAPAN 2019" dataDxfId="20" dataCellStyle="Comma [0]">
      <calculatedColumnFormula>'Kemhan-TNI'!AG8</calculatedColumnFormula>
    </tableColumn>
    <tableColumn id="13" name="DANA YANG BELUM TERSERAP 2015-2016" dataDxfId="19" dataCellStyle="Comma [0]">
      <calculatedColumnFormula>'Kemhan-TNI'!T8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AC58" totalsRowShown="0" headerRowDxfId="18" dataDxfId="17" tableBorderDxfId="16" headerRowCellStyle="Comma [0] 2" dataCellStyle="Comma [0] 2">
  <autoFilter ref="A4:AC58"/>
  <tableColumns count="29">
    <tableColumn id="1" name="Column1"/>
    <tableColumn id="2" name="Column2" dataDxfId="15" dataCellStyle="Normal 2 2"/>
    <tableColumn id="3" name="Column3"/>
    <tableColumn id="4" name="Column4" dataDxfId="14" dataCellStyle="Comma [0] 2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 dataDxfId="13" dataCellStyle="Comma [0] 2"/>
    <tableColumn id="16" name="Column16" dataDxfId="12" dataCellStyle="Comma [0] 2"/>
    <tableColumn id="17" name="Column17" dataDxfId="11" dataCellStyle="Comma [0] 2"/>
    <tableColumn id="18" name="Column18" dataDxfId="10" dataCellStyle="Comma [0] 2"/>
    <tableColumn id="19" name="Column19" dataDxfId="9" dataCellStyle="Comma [0] 2"/>
    <tableColumn id="20" name="Column20" dataDxfId="8" dataCellStyle="Comma [0] 2"/>
    <tableColumn id="21" name="Column21" dataDxfId="7" dataCellStyle="Comma [0] 2"/>
    <tableColumn id="22" name="Column22" dataDxfId="6" dataCellStyle="Comma [0] 2"/>
    <tableColumn id="23" name="Column23" dataDxfId="5" dataCellStyle="Comma [0] 2"/>
    <tableColumn id="24" name="Column24"/>
    <tableColumn id="25" name="Column25" dataDxfId="4" dataCellStyle="Comma [0] 2"/>
    <tableColumn id="26" name="Column26" dataDxfId="3" dataCellStyle="Comma [0] 2"/>
    <tableColumn id="27" name="Column27" dataDxfId="2" dataCellStyle="Comma [0] 2"/>
    <tableColumn id="28" name="Column28" dataDxfId="1" dataCellStyle="Comma [0] 2"/>
    <tableColumn id="29" name="Column29" dataDxfId="0" dataCellStyle="Comma [0]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0"/>
  <sheetViews>
    <sheetView zoomScale="50" zoomScaleNormal="5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F10" sqref="F10"/>
    </sheetView>
  </sheetViews>
  <sheetFormatPr defaultRowHeight="16.5" x14ac:dyDescent="0.25"/>
  <cols>
    <col min="1" max="1" width="6.42578125" style="1" customWidth="1"/>
    <col min="2" max="2" width="50.42578125" style="2" customWidth="1"/>
    <col min="3" max="3" width="22" style="2" hidden="1" customWidth="1"/>
    <col min="4" max="4" width="19.42578125" style="3" hidden="1" customWidth="1"/>
    <col min="5" max="5" width="21" style="3" customWidth="1"/>
    <col min="6" max="6" width="20.28515625" style="3" customWidth="1"/>
    <col min="7" max="7" width="22.5703125" style="3" hidden="1" customWidth="1"/>
    <col min="8" max="8" width="14.85546875" style="3" hidden="1" customWidth="1"/>
    <col min="9" max="10" width="23.140625" style="3" customWidth="1"/>
    <col min="11" max="12" width="20" style="3" customWidth="1"/>
    <col min="13" max="13" width="21.42578125" style="3" customWidth="1"/>
    <col min="14" max="14" width="36.140625" style="4" hidden="1" customWidth="1"/>
    <col min="15" max="15" width="21.85546875" style="4" hidden="1" customWidth="1"/>
    <col min="16" max="19" width="21.85546875" style="4" customWidth="1"/>
    <col min="20" max="20" width="23.85546875" style="4" customWidth="1"/>
    <col min="21" max="21" width="30" style="3" customWidth="1"/>
    <col min="22" max="22" width="27.140625" style="3" customWidth="1"/>
    <col min="23" max="23" width="20.28515625" style="3" hidden="1" customWidth="1"/>
    <col min="24" max="24" width="20.85546875" style="3" hidden="1" customWidth="1"/>
    <col min="25" max="25" width="10.85546875" style="3" hidden="1" customWidth="1"/>
    <col min="26" max="26" width="15.42578125" style="114" hidden="1" customWidth="1"/>
    <col min="27" max="27" width="8.28515625" style="4" hidden="1" customWidth="1"/>
    <col min="28" max="28" width="8.5703125" style="4" hidden="1" customWidth="1"/>
    <col min="29" max="29" width="9.140625" style="4" hidden="1" customWidth="1"/>
    <col min="30" max="30" width="8.85546875" style="5" hidden="1" customWidth="1"/>
    <col min="31" max="33" width="21.85546875" style="5" customWidth="1"/>
    <col min="34" max="35" width="21.85546875" style="5" hidden="1" customWidth="1"/>
    <col min="36" max="36" width="21.85546875" style="5" customWidth="1"/>
    <col min="37" max="37" width="34" style="5" customWidth="1"/>
    <col min="38" max="38" width="24" style="5" customWidth="1"/>
    <col min="39" max="39" width="15.7109375" style="5" bestFit="1" customWidth="1"/>
    <col min="40" max="274" width="9.140625" style="1"/>
    <col min="275" max="275" width="6.42578125" style="1" customWidth="1"/>
    <col min="276" max="276" width="52.42578125" style="1" customWidth="1"/>
    <col min="277" max="277" width="22" style="1" customWidth="1"/>
    <col min="278" max="278" width="19.42578125" style="1" customWidth="1"/>
    <col min="279" max="279" width="21" style="1" customWidth="1"/>
    <col min="280" max="280" width="20.28515625" style="1" customWidth="1"/>
    <col min="281" max="282" width="0" style="1" hidden="1" customWidth="1"/>
    <col min="283" max="283" width="21.42578125" style="1" customWidth="1"/>
    <col min="284" max="285" width="0" style="1" hidden="1" customWidth="1"/>
    <col min="286" max="286" width="21.85546875" style="1" customWidth="1"/>
    <col min="287" max="289" width="19.140625" style="1" customWidth="1"/>
    <col min="290" max="290" width="0" style="1" hidden="1" customWidth="1"/>
    <col min="291" max="291" width="23.28515625" style="1" customWidth="1"/>
    <col min="292" max="292" width="24" style="1" customWidth="1"/>
    <col min="293" max="293" width="8.85546875" style="1" customWidth="1"/>
    <col min="294" max="294" width="26.28515625" style="1" customWidth="1"/>
    <col min="295" max="530" width="9.140625" style="1"/>
    <col min="531" max="531" width="6.42578125" style="1" customWidth="1"/>
    <col min="532" max="532" width="52.42578125" style="1" customWidth="1"/>
    <col min="533" max="533" width="22" style="1" customWidth="1"/>
    <col min="534" max="534" width="19.42578125" style="1" customWidth="1"/>
    <col min="535" max="535" width="21" style="1" customWidth="1"/>
    <col min="536" max="536" width="20.28515625" style="1" customWidth="1"/>
    <col min="537" max="538" width="0" style="1" hidden="1" customWidth="1"/>
    <col min="539" max="539" width="21.42578125" style="1" customWidth="1"/>
    <col min="540" max="541" width="0" style="1" hidden="1" customWidth="1"/>
    <col min="542" max="542" width="21.85546875" style="1" customWidth="1"/>
    <col min="543" max="545" width="19.140625" style="1" customWidth="1"/>
    <col min="546" max="546" width="0" style="1" hidden="1" customWidth="1"/>
    <col min="547" max="547" width="23.28515625" style="1" customWidth="1"/>
    <col min="548" max="548" width="24" style="1" customWidth="1"/>
    <col min="549" max="549" width="8.85546875" style="1" customWidth="1"/>
    <col min="550" max="550" width="26.28515625" style="1" customWidth="1"/>
    <col min="551" max="786" width="9.140625" style="1"/>
    <col min="787" max="787" width="6.42578125" style="1" customWidth="1"/>
    <col min="788" max="788" width="52.42578125" style="1" customWidth="1"/>
    <col min="789" max="789" width="22" style="1" customWidth="1"/>
    <col min="790" max="790" width="19.42578125" style="1" customWidth="1"/>
    <col min="791" max="791" width="21" style="1" customWidth="1"/>
    <col min="792" max="792" width="20.28515625" style="1" customWidth="1"/>
    <col min="793" max="794" width="0" style="1" hidden="1" customWidth="1"/>
    <col min="795" max="795" width="21.42578125" style="1" customWidth="1"/>
    <col min="796" max="797" width="0" style="1" hidden="1" customWidth="1"/>
    <col min="798" max="798" width="21.85546875" style="1" customWidth="1"/>
    <col min="799" max="801" width="19.140625" style="1" customWidth="1"/>
    <col min="802" max="802" width="0" style="1" hidden="1" customWidth="1"/>
    <col min="803" max="803" width="23.28515625" style="1" customWidth="1"/>
    <col min="804" max="804" width="24" style="1" customWidth="1"/>
    <col min="805" max="805" width="8.85546875" style="1" customWidth="1"/>
    <col min="806" max="806" width="26.28515625" style="1" customWidth="1"/>
    <col min="807" max="1042" width="9.140625" style="1"/>
    <col min="1043" max="1043" width="6.42578125" style="1" customWidth="1"/>
    <col min="1044" max="1044" width="52.42578125" style="1" customWidth="1"/>
    <col min="1045" max="1045" width="22" style="1" customWidth="1"/>
    <col min="1046" max="1046" width="19.42578125" style="1" customWidth="1"/>
    <col min="1047" max="1047" width="21" style="1" customWidth="1"/>
    <col min="1048" max="1048" width="20.28515625" style="1" customWidth="1"/>
    <col min="1049" max="1050" width="0" style="1" hidden="1" customWidth="1"/>
    <col min="1051" max="1051" width="21.42578125" style="1" customWidth="1"/>
    <col min="1052" max="1053" width="0" style="1" hidden="1" customWidth="1"/>
    <col min="1054" max="1054" width="21.85546875" style="1" customWidth="1"/>
    <col min="1055" max="1057" width="19.140625" style="1" customWidth="1"/>
    <col min="1058" max="1058" width="0" style="1" hidden="1" customWidth="1"/>
    <col min="1059" max="1059" width="23.28515625" style="1" customWidth="1"/>
    <col min="1060" max="1060" width="24" style="1" customWidth="1"/>
    <col min="1061" max="1061" width="8.85546875" style="1" customWidth="1"/>
    <col min="1062" max="1062" width="26.28515625" style="1" customWidth="1"/>
    <col min="1063" max="1298" width="9.140625" style="1"/>
    <col min="1299" max="1299" width="6.42578125" style="1" customWidth="1"/>
    <col min="1300" max="1300" width="52.42578125" style="1" customWidth="1"/>
    <col min="1301" max="1301" width="22" style="1" customWidth="1"/>
    <col min="1302" max="1302" width="19.42578125" style="1" customWidth="1"/>
    <col min="1303" max="1303" width="21" style="1" customWidth="1"/>
    <col min="1304" max="1304" width="20.28515625" style="1" customWidth="1"/>
    <col min="1305" max="1306" width="0" style="1" hidden="1" customWidth="1"/>
    <col min="1307" max="1307" width="21.42578125" style="1" customWidth="1"/>
    <col min="1308" max="1309" width="0" style="1" hidden="1" customWidth="1"/>
    <col min="1310" max="1310" width="21.85546875" style="1" customWidth="1"/>
    <col min="1311" max="1313" width="19.140625" style="1" customWidth="1"/>
    <col min="1314" max="1314" width="0" style="1" hidden="1" customWidth="1"/>
    <col min="1315" max="1315" width="23.28515625" style="1" customWidth="1"/>
    <col min="1316" max="1316" width="24" style="1" customWidth="1"/>
    <col min="1317" max="1317" width="8.85546875" style="1" customWidth="1"/>
    <col min="1318" max="1318" width="26.28515625" style="1" customWidth="1"/>
    <col min="1319" max="1554" width="9.140625" style="1"/>
    <col min="1555" max="1555" width="6.42578125" style="1" customWidth="1"/>
    <col min="1556" max="1556" width="52.42578125" style="1" customWidth="1"/>
    <col min="1557" max="1557" width="22" style="1" customWidth="1"/>
    <col min="1558" max="1558" width="19.42578125" style="1" customWidth="1"/>
    <col min="1559" max="1559" width="21" style="1" customWidth="1"/>
    <col min="1560" max="1560" width="20.28515625" style="1" customWidth="1"/>
    <col min="1561" max="1562" width="0" style="1" hidden="1" customWidth="1"/>
    <col min="1563" max="1563" width="21.42578125" style="1" customWidth="1"/>
    <col min="1564" max="1565" width="0" style="1" hidden="1" customWidth="1"/>
    <col min="1566" max="1566" width="21.85546875" style="1" customWidth="1"/>
    <col min="1567" max="1569" width="19.140625" style="1" customWidth="1"/>
    <col min="1570" max="1570" width="0" style="1" hidden="1" customWidth="1"/>
    <col min="1571" max="1571" width="23.28515625" style="1" customWidth="1"/>
    <col min="1572" max="1572" width="24" style="1" customWidth="1"/>
    <col min="1573" max="1573" width="8.85546875" style="1" customWidth="1"/>
    <col min="1574" max="1574" width="26.28515625" style="1" customWidth="1"/>
    <col min="1575" max="1810" width="9.140625" style="1"/>
    <col min="1811" max="1811" width="6.42578125" style="1" customWidth="1"/>
    <col min="1812" max="1812" width="52.42578125" style="1" customWidth="1"/>
    <col min="1813" max="1813" width="22" style="1" customWidth="1"/>
    <col min="1814" max="1814" width="19.42578125" style="1" customWidth="1"/>
    <col min="1815" max="1815" width="21" style="1" customWidth="1"/>
    <col min="1816" max="1816" width="20.28515625" style="1" customWidth="1"/>
    <col min="1817" max="1818" width="0" style="1" hidden="1" customWidth="1"/>
    <col min="1819" max="1819" width="21.42578125" style="1" customWidth="1"/>
    <col min="1820" max="1821" width="0" style="1" hidden="1" customWidth="1"/>
    <col min="1822" max="1822" width="21.85546875" style="1" customWidth="1"/>
    <col min="1823" max="1825" width="19.140625" style="1" customWidth="1"/>
    <col min="1826" max="1826" width="0" style="1" hidden="1" customWidth="1"/>
    <col min="1827" max="1827" width="23.28515625" style="1" customWidth="1"/>
    <col min="1828" max="1828" width="24" style="1" customWidth="1"/>
    <col min="1829" max="1829" width="8.85546875" style="1" customWidth="1"/>
    <col min="1830" max="1830" width="26.28515625" style="1" customWidth="1"/>
    <col min="1831" max="2066" width="9.140625" style="1"/>
    <col min="2067" max="2067" width="6.42578125" style="1" customWidth="1"/>
    <col min="2068" max="2068" width="52.42578125" style="1" customWidth="1"/>
    <col min="2069" max="2069" width="22" style="1" customWidth="1"/>
    <col min="2070" max="2070" width="19.42578125" style="1" customWidth="1"/>
    <col min="2071" max="2071" width="21" style="1" customWidth="1"/>
    <col min="2072" max="2072" width="20.28515625" style="1" customWidth="1"/>
    <col min="2073" max="2074" width="0" style="1" hidden="1" customWidth="1"/>
    <col min="2075" max="2075" width="21.42578125" style="1" customWidth="1"/>
    <col min="2076" max="2077" width="0" style="1" hidden="1" customWidth="1"/>
    <col min="2078" max="2078" width="21.85546875" style="1" customWidth="1"/>
    <col min="2079" max="2081" width="19.140625" style="1" customWidth="1"/>
    <col min="2082" max="2082" width="0" style="1" hidden="1" customWidth="1"/>
    <col min="2083" max="2083" width="23.28515625" style="1" customWidth="1"/>
    <col min="2084" max="2084" width="24" style="1" customWidth="1"/>
    <col min="2085" max="2085" width="8.85546875" style="1" customWidth="1"/>
    <col min="2086" max="2086" width="26.28515625" style="1" customWidth="1"/>
    <col min="2087" max="2322" width="9.140625" style="1"/>
    <col min="2323" max="2323" width="6.42578125" style="1" customWidth="1"/>
    <col min="2324" max="2324" width="52.42578125" style="1" customWidth="1"/>
    <col min="2325" max="2325" width="22" style="1" customWidth="1"/>
    <col min="2326" max="2326" width="19.42578125" style="1" customWidth="1"/>
    <col min="2327" max="2327" width="21" style="1" customWidth="1"/>
    <col min="2328" max="2328" width="20.28515625" style="1" customWidth="1"/>
    <col min="2329" max="2330" width="0" style="1" hidden="1" customWidth="1"/>
    <col min="2331" max="2331" width="21.42578125" style="1" customWidth="1"/>
    <col min="2332" max="2333" width="0" style="1" hidden="1" customWidth="1"/>
    <col min="2334" max="2334" width="21.85546875" style="1" customWidth="1"/>
    <col min="2335" max="2337" width="19.140625" style="1" customWidth="1"/>
    <col min="2338" max="2338" width="0" style="1" hidden="1" customWidth="1"/>
    <col min="2339" max="2339" width="23.28515625" style="1" customWidth="1"/>
    <col min="2340" max="2340" width="24" style="1" customWidth="1"/>
    <col min="2341" max="2341" width="8.85546875" style="1" customWidth="1"/>
    <col min="2342" max="2342" width="26.28515625" style="1" customWidth="1"/>
    <col min="2343" max="2578" width="9.140625" style="1"/>
    <col min="2579" max="2579" width="6.42578125" style="1" customWidth="1"/>
    <col min="2580" max="2580" width="52.42578125" style="1" customWidth="1"/>
    <col min="2581" max="2581" width="22" style="1" customWidth="1"/>
    <col min="2582" max="2582" width="19.42578125" style="1" customWidth="1"/>
    <col min="2583" max="2583" width="21" style="1" customWidth="1"/>
    <col min="2584" max="2584" width="20.28515625" style="1" customWidth="1"/>
    <col min="2585" max="2586" width="0" style="1" hidden="1" customWidth="1"/>
    <col min="2587" max="2587" width="21.42578125" style="1" customWidth="1"/>
    <col min="2588" max="2589" width="0" style="1" hidden="1" customWidth="1"/>
    <col min="2590" max="2590" width="21.85546875" style="1" customWidth="1"/>
    <col min="2591" max="2593" width="19.140625" style="1" customWidth="1"/>
    <col min="2594" max="2594" width="0" style="1" hidden="1" customWidth="1"/>
    <col min="2595" max="2595" width="23.28515625" style="1" customWidth="1"/>
    <col min="2596" max="2596" width="24" style="1" customWidth="1"/>
    <col min="2597" max="2597" width="8.85546875" style="1" customWidth="1"/>
    <col min="2598" max="2598" width="26.28515625" style="1" customWidth="1"/>
    <col min="2599" max="2834" width="9.140625" style="1"/>
    <col min="2835" max="2835" width="6.42578125" style="1" customWidth="1"/>
    <col min="2836" max="2836" width="52.42578125" style="1" customWidth="1"/>
    <col min="2837" max="2837" width="22" style="1" customWidth="1"/>
    <col min="2838" max="2838" width="19.42578125" style="1" customWidth="1"/>
    <col min="2839" max="2839" width="21" style="1" customWidth="1"/>
    <col min="2840" max="2840" width="20.28515625" style="1" customWidth="1"/>
    <col min="2841" max="2842" width="0" style="1" hidden="1" customWidth="1"/>
    <col min="2843" max="2843" width="21.42578125" style="1" customWidth="1"/>
    <col min="2844" max="2845" width="0" style="1" hidden="1" customWidth="1"/>
    <col min="2846" max="2846" width="21.85546875" style="1" customWidth="1"/>
    <col min="2847" max="2849" width="19.140625" style="1" customWidth="1"/>
    <col min="2850" max="2850" width="0" style="1" hidden="1" customWidth="1"/>
    <col min="2851" max="2851" width="23.28515625" style="1" customWidth="1"/>
    <col min="2852" max="2852" width="24" style="1" customWidth="1"/>
    <col min="2853" max="2853" width="8.85546875" style="1" customWidth="1"/>
    <col min="2854" max="2854" width="26.28515625" style="1" customWidth="1"/>
    <col min="2855" max="3090" width="9.140625" style="1"/>
    <col min="3091" max="3091" width="6.42578125" style="1" customWidth="1"/>
    <col min="3092" max="3092" width="52.42578125" style="1" customWidth="1"/>
    <col min="3093" max="3093" width="22" style="1" customWidth="1"/>
    <col min="3094" max="3094" width="19.42578125" style="1" customWidth="1"/>
    <col min="3095" max="3095" width="21" style="1" customWidth="1"/>
    <col min="3096" max="3096" width="20.28515625" style="1" customWidth="1"/>
    <col min="3097" max="3098" width="0" style="1" hidden="1" customWidth="1"/>
    <col min="3099" max="3099" width="21.42578125" style="1" customWidth="1"/>
    <col min="3100" max="3101" width="0" style="1" hidden="1" customWidth="1"/>
    <col min="3102" max="3102" width="21.85546875" style="1" customWidth="1"/>
    <col min="3103" max="3105" width="19.140625" style="1" customWidth="1"/>
    <col min="3106" max="3106" width="0" style="1" hidden="1" customWidth="1"/>
    <col min="3107" max="3107" width="23.28515625" style="1" customWidth="1"/>
    <col min="3108" max="3108" width="24" style="1" customWidth="1"/>
    <col min="3109" max="3109" width="8.85546875" style="1" customWidth="1"/>
    <col min="3110" max="3110" width="26.28515625" style="1" customWidth="1"/>
    <col min="3111" max="3346" width="9.140625" style="1"/>
    <col min="3347" max="3347" width="6.42578125" style="1" customWidth="1"/>
    <col min="3348" max="3348" width="52.42578125" style="1" customWidth="1"/>
    <col min="3349" max="3349" width="22" style="1" customWidth="1"/>
    <col min="3350" max="3350" width="19.42578125" style="1" customWidth="1"/>
    <col min="3351" max="3351" width="21" style="1" customWidth="1"/>
    <col min="3352" max="3352" width="20.28515625" style="1" customWidth="1"/>
    <col min="3353" max="3354" width="0" style="1" hidden="1" customWidth="1"/>
    <col min="3355" max="3355" width="21.42578125" style="1" customWidth="1"/>
    <col min="3356" max="3357" width="0" style="1" hidden="1" customWidth="1"/>
    <col min="3358" max="3358" width="21.85546875" style="1" customWidth="1"/>
    <col min="3359" max="3361" width="19.140625" style="1" customWidth="1"/>
    <col min="3362" max="3362" width="0" style="1" hidden="1" customWidth="1"/>
    <col min="3363" max="3363" width="23.28515625" style="1" customWidth="1"/>
    <col min="3364" max="3364" width="24" style="1" customWidth="1"/>
    <col min="3365" max="3365" width="8.85546875" style="1" customWidth="1"/>
    <col min="3366" max="3366" width="26.28515625" style="1" customWidth="1"/>
    <col min="3367" max="3602" width="9.140625" style="1"/>
    <col min="3603" max="3603" width="6.42578125" style="1" customWidth="1"/>
    <col min="3604" max="3604" width="52.42578125" style="1" customWidth="1"/>
    <col min="3605" max="3605" width="22" style="1" customWidth="1"/>
    <col min="3606" max="3606" width="19.42578125" style="1" customWidth="1"/>
    <col min="3607" max="3607" width="21" style="1" customWidth="1"/>
    <col min="3608" max="3608" width="20.28515625" style="1" customWidth="1"/>
    <col min="3609" max="3610" width="0" style="1" hidden="1" customWidth="1"/>
    <col min="3611" max="3611" width="21.42578125" style="1" customWidth="1"/>
    <col min="3612" max="3613" width="0" style="1" hidden="1" customWidth="1"/>
    <col min="3614" max="3614" width="21.85546875" style="1" customWidth="1"/>
    <col min="3615" max="3617" width="19.140625" style="1" customWidth="1"/>
    <col min="3618" max="3618" width="0" style="1" hidden="1" customWidth="1"/>
    <col min="3619" max="3619" width="23.28515625" style="1" customWidth="1"/>
    <col min="3620" max="3620" width="24" style="1" customWidth="1"/>
    <col min="3621" max="3621" width="8.85546875" style="1" customWidth="1"/>
    <col min="3622" max="3622" width="26.28515625" style="1" customWidth="1"/>
    <col min="3623" max="3858" width="9.140625" style="1"/>
    <col min="3859" max="3859" width="6.42578125" style="1" customWidth="1"/>
    <col min="3860" max="3860" width="52.42578125" style="1" customWidth="1"/>
    <col min="3861" max="3861" width="22" style="1" customWidth="1"/>
    <col min="3862" max="3862" width="19.42578125" style="1" customWidth="1"/>
    <col min="3863" max="3863" width="21" style="1" customWidth="1"/>
    <col min="3864" max="3864" width="20.28515625" style="1" customWidth="1"/>
    <col min="3865" max="3866" width="0" style="1" hidden="1" customWidth="1"/>
    <col min="3867" max="3867" width="21.42578125" style="1" customWidth="1"/>
    <col min="3868" max="3869" width="0" style="1" hidden="1" customWidth="1"/>
    <col min="3870" max="3870" width="21.85546875" style="1" customWidth="1"/>
    <col min="3871" max="3873" width="19.140625" style="1" customWidth="1"/>
    <col min="3874" max="3874" width="0" style="1" hidden="1" customWidth="1"/>
    <col min="3875" max="3875" width="23.28515625" style="1" customWidth="1"/>
    <col min="3876" max="3876" width="24" style="1" customWidth="1"/>
    <col min="3877" max="3877" width="8.85546875" style="1" customWidth="1"/>
    <col min="3878" max="3878" width="26.28515625" style="1" customWidth="1"/>
    <col min="3879" max="4114" width="9.140625" style="1"/>
    <col min="4115" max="4115" width="6.42578125" style="1" customWidth="1"/>
    <col min="4116" max="4116" width="52.42578125" style="1" customWidth="1"/>
    <col min="4117" max="4117" width="22" style="1" customWidth="1"/>
    <col min="4118" max="4118" width="19.42578125" style="1" customWidth="1"/>
    <col min="4119" max="4119" width="21" style="1" customWidth="1"/>
    <col min="4120" max="4120" width="20.28515625" style="1" customWidth="1"/>
    <col min="4121" max="4122" width="0" style="1" hidden="1" customWidth="1"/>
    <col min="4123" max="4123" width="21.42578125" style="1" customWidth="1"/>
    <col min="4124" max="4125" width="0" style="1" hidden="1" customWidth="1"/>
    <col min="4126" max="4126" width="21.85546875" style="1" customWidth="1"/>
    <col min="4127" max="4129" width="19.140625" style="1" customWidth="1"/>
    <col min="4130" max="4130" width="0" style="1" hidden="1" customWidth="1"/>
    <col min="4131" max="4131" width="23.28515625" style="1" customWidth="1"/>
    <col min="4132" max="4132" width="24" style="1" customWidth="1"/>
    <col min="4133" max="4133" width="8.85546875" style="1" customWidth="1"/>
    <col min="4134" max="4134" width="26.28515625" style="1" customWidth="1"/>
    <col min="4135" max="4370" width="9.140625" style="1"/>
    <col min="4371" max="4371" width="6.42578125" style="1" customWidth="1"/>
    <col min="4372" max="4372" width="52.42578125" style="1" customWidth="1"/>
    <col min="4373" max="4373" width="22" style="1" customWidth="1"/>
    <col min="4374" max="4374" width="19.42578125" style="1" customWidth="1"/>
    <col min="4375" max="4375" width="21" style="1" customWidth="1"/>
    <col min="4376" max="4376" width="20.28515625" style="1" customWidth="1"/>
    <col min="4377" max="4378" width="0" style="1" hidden="1" customWidth="1"/>
    <col min="4379" max="4379" width="21.42578125" style="1" customWidth="1"/>
    <col min="4380" max="4381" width="0" style="1" hidden="1" customWidth="1"/>
    <col min="4382" max="4382" width="21.85546875" style="1" customWidth="1"/>
    <col min="4383" max="4385" width="19.140625" style="1" customWidth="1"/>
    <col min="4386" max="4386" width="0" style="1" hidden="1" customWidth="1"/>
    <col min="4387" max="4387" width="23.28515625" style="1" customWidth="1"/>
    <col min="4388" max="4388" width="24" style="1" customWidth="1"/>
    <col min="4389" max="4389" width="8.85546875" style="1" customWidth="1"/>
    <col min="4390" max="4390" width="26.28515625" style="1" customWidth="1"/>
    <col min="4391" max="4626" width="9.140625" style="1"/>
    <col min="4627" max="4627" width="6.42578125" style="1" customWidth="1"/>
    <col min="4628" max="4628" width="52.42578125" style="1" customWidth="1"/>
    <col min="4629" max="4629" width="22" style="1" customWidth="1"/>
    <col min="4630" max="4630" width="19.42578125" style="1" customWidth="1"/>
    <col min="4631" max="4631" width="21" style="1" customWidth="1"/>
    <col min="4632" max="4632" width="20.28515625" style="1" customWidth="1"/>
    <col min="4633" max="4634" width="0" style="1" hidden="1" customWidth="1"/>
    <col min="4635" max="4635" width="21.42578125" style="1" customWidth="1"/>
    <col min="4636" max="4637" width="0" style="1" hidden="1" customWidth="1"/>
    <col min="4638" max="4638" width="21.85546875" style="1" customWidth="1"/>
    <col min="4639" max="4641" width="19.140625" style="1" customWidth="1"/>
    <col min="4642" max="4642" width="0" style="1" hidden="1" customWidth="1"/>
    <col min="4643" max="4643" width="23.28515625" style="1" customWidth="1"/>
    <col min="4644" max="4644" width="24" style="1" customWidth="1"/>
    <col min="4645" max="4645" width="8.85546875" style="1" customWidth="1"/>
    <col min="4646" max="4646" width="26.28515625" style="1" customWidth="1"/>
    <col min="4647" max="4882" width="9.140625" style="1"/>
    <col min="4883" max="4883" width="6.42578125" style="1" customWidth="1"/>
    <col min="4884" max="4884" width="52.42578125" style="1" customWidth="1"/>
    <col min="4885" max="4885" width="22" style="1" customWidth="1"/>
    <col min="4886" max="4886" width="19.42578125" style="1" customWidth="1"/>
    <col min="4887" max="4887" width="21" style="1" customWidth="1"/>
    <col min="4888" max="4888" width="20.28515625" style="1" customWidth="1"/>
    <col min="4889" max="4890" width="0" style="1" hidden="1" customWidth="1"/>
    <col min="4891" max="4891" width="21.42578125" style="1" customWidth="1"/>
    <col min="4892" max="4893" width="0" style="1" hidden="1" customWidth="1"/>
    <col min="4894" max="4894" width="21.85546875" style="1" customWidth="1"/>
    <col min="4895" max="4897" width="19.140625" style="1" customWidth="1"/>
    <col min="4898" max="4898" width="0" style="1" hidden="1" customWidth="1"/>
    <col min="4899" max="4899" width="23.28515625" style="1" customWidth="1"/>
    <col min="4900" max="4900" width="24" style="1" customWidth="1"/>
    <col min="4901" max="4901" width="8.85546875" style="1" customWidth="1"/>
    <col min="4902" max="4902" width="26.28515625" style="1" customWidth="1"/>
    <col min="4903" max="5138" width="9.140625" style="1"/>
    <col min="5139" max="5139" width="6.42578125" style="1" customWidth="1"/>
    <col min="5140" max="5140" width="52.42578125" style="1" customWidth="1"/>
    <col min="5141" max="5141" width="22" style="1" customWidth="1"/>
    <col min="5142" max="5142" width="19.42578125" style="1" customWidth="1"/>
    <col min="5143" max="5143" width="21" style="1" customWidth="1"/>
    <col min="5144" max="5144" width="20.28515625" style="1" customWidth="1"/>
    <col min="5145" max="5146" width="0" style="1" hidden="1" customWidth="1"/>
    <col min="5147" max="5147" width="21.42578125" style="1" customWidth="1"/>
    <col min="5148" max="5149" width="0" style="1" hidden="1" customWidth="1"/>
    <col min="5150" max="5150" width="21.85546875" style="1" customWidth="1"/>
    <col min="5151" max="5153" width="19.140625" style="1" customWidth="1"/>
    <col min="5154" max="5154" width="0" style="1" hidden="1" customWidth="1"/>
    <col min="5155" max="5155" width="23.28515625" style="1" customWidth="1"/>
    <col min="5156" max="5156" width="24" style="1" customWidth="1"/>
    <col min="5157" max="5157" width="8.85546875" style="1" customWidth="1"/>
    <col min="5158" max="5158" width="26.28515625" style="1" customWidth="1"/>
    <col min="5159" max="5394" width="9.140625" style="1"/>
    <col min="5395" max="5395" width="6.42578125" style="1" customWidth="1"/>
    <col min="5396" max="5396" width="52.42578125" style="1" customWidth="1"/>
    <col min="5397" max="5397" width="22" style="1" customWidth="1"/>
    <col min="5398" max="5398" width="19.42578125" style="1" customWidth="1"/>
    <col min="5399" max="5399" width="21" style="1" customWidth="1"/>
    <col min="5400" max="5400" width="20.28515625" style="1" customWidth="1"/>
    <col min="5401" max="5402" width="0" style="1" hidden="1" customWidth="1"/>
    <col min="5403" max="5403" width="21.42578125" style="1" customWidth="1"/>
    <col min="5404" max="5405" width="0" style="1" hidden="1" customWidth="1"/>
    <col min="5406" max="5406" width="21.85546875" style="1" customWidth="1"/>
    <col min="5407" max="5409" width="19.140625" style="1" customWidth="1"/>
    <col min="5410" max="5410" width="0" style="1" hidden="1" customWidth="1"/>
    <col min="5411" max="5411" width="23.28515625" style="1" customWidth="1"/>
    <col min="5412" max="5412" width="24" style="1" customWidth="1"/>
    <col min="5413" max="5413" width="8.85546875" style="1" customWidth="1"/>
    <col min="5414" max="5414" width="26.28515625" style="1" customWidth="1"/>
    <col min="5415" max="5650" width="9.140625" style="1"/>
    <col min="5651" max="5651" width="6.42578125" style="1" customWidth="1"/>
    <col min="5652" max="5652" width="52.42578125" style="1" customWidth="1"/>
    <col min="5653" max="5653" width="22" style="1" customWidth="1"/>
    <col min="5654" max="5654" width="19.42578125" style="1" customWidth="1"/>
    <col min="5655" max="5655" width="21" style="1" customWidth="1"/>
    <col min="5656" max="5656" width="20.28515625" style="1" customWidth="1"/>
    <col min="5657" max="5658" width="0" style="1" hidden="1" customWidth="1"/>
    <col min="5659" max="5659" width="21.42578125" style="1" customWidth="1"/>
    <col min="5660" max="5661" width="0" style="1" hidden="1" customWidth="1"/>
    <col min="5662" max="5662" width="21.85546875" style="1" customWidth="1"/>
    <col min="5663" max="5665" width="19.140625" style="1" customWidth="1"/>
    <col min="5666" max="5666" width="0" style="1" hidden="1" customWidth="1"/>
    <col min="5667" max="5667" width="23.28515625" style="1" customWidth="1"/>
    <col min="5668" max="5668" width="24" style="1" customWidth="1"/>
    <col min="5669" max="5669" width="8.85546875" style="1" customWidth="1"/>
    <col min="5670" max="5670" width="26.28515625" style="1" customWidth="1"/>
    <col min="5671" max="5906" width="9.140625" style="1"/>
    <col min="5907" max="5907" width="6.42578125" style="1" customWidth="1"/>
    <col min="5908" max="5908" width="52.42578125" style="1" customWidth="1"/>
    <col min="5909" max="5909" width="22" style="1" customWidth="1"/>
    <col min="5910" max="5910" width="19.42578125" style="1" customWidth="1"/>
    <col min="5911" max="5911" width="21" style="1" customWidth="1"/>
    <col min="5912" max="5912" width="20.28515625" style="1" customWidth="1"/>
    <col min="5913" max="5914" width="0" style="1" hidden="1" customWidth="1"/>
    <col min="5915" max="5915" width="21.42578125" style="1" customWidth="1"/>
    <col min="5916" max="5917" width="0" style="1" hidden="1" customWidth="1"/>
    <col min="5918" max="5918" width="21.85546875" style="1" customWidth="1"/>
    <col min="5919" max="5921" width="19.140625" style="1" customWidth="1"/>
    <col min="5922" max="5922" width="0" style="1" hidden="1" customWidth="1"/>
    <col min="5923" max="5923" width="23.28515625" style="1" customWidth="1"/>
    <col min="5924" max="5924" width="24" style="1" customWidth="1"/>
    <col min="5925" max="5925" width="8.85546875" style="1" customWidth="1"/>
    <col min="5926" max="5926" width="26.28515625" style="1" customWidth="1"/>
    <col min="5927" max="6162" width="9.140625" style="1"/>
    <col min="6163" max="6163" width="6.42578125" style="1" customWidth="1"/>
    <col min="6164" max="6164" width="52.42578125" style="1" customWidth="1"/>
    <col min="6165" max="6165" width="22" style="1" customWidth="1"/>
    <col min="6166" max="6166" width="19.42578125" style="1" customWidth="1"/>
    <col min="6167" max="6167" width="21" style="1" customWidth="1"/>
    <col min="6168" max="6168" width="20.28515625" style="1" customWidth="1"/>
    <col min="6169" max="6170" width="0" style="1" hidden="1" customWidth="1"/>
    <col min="6171" max="6171" width="21.42578125" style="1" customWidth="1"/>
    <col min="6172" max="6173" width="0" style="1" hidden="1" customWidth="1"/>
    <col min="6174" max="6174" width="21.85546875" style="1" customWidth="1"/>
    <col min="6175" max="6177" width="19.140625" style="1" customWidth="1"/>
    <col min="6178" max="6178" width="0" style="1" hidden="1" customWidth="1"/>
    <col min="6179" max="6179" width="23.28515625" style="1" customWidth="1"/>
    <col min="6180" max="6180" width="24" style="1" customWidth="1"/>
    <col min="6181" max="6181" width="8.85546875" style="1" customWidth="1"/>
    <col min="6182" max="6182" width="26.28515625" style="1" customWidth="1"/>
    <col min="6183" max="6418" width="9.140625" style="1"/>
    <col min="6419" max="6419" width="6.42578125" style="1" customWidth="1"/>
    <col min="6420" max="6420" width="52.42578125" style="1" customWidth="1"/>
    <col min="6421" max="6421" width="22" style="1" customWidth="1"/>
    <col min="6422" max="6422" width="19.42578125" style="1" customWidth="1"/>
    <col min="6423" max="6423" width="21" style="1" customWidth="1"/>
    <col min="6424" max="6424" width="20.28515625" style="1" customWidth="1"/>
    <col min="6425" max="6426" width="0" style="1" hidden="1" customWidth="1"/>
    <col min="6427" max="6427" width="21.42578125" style="1" customWidth="1"/>
    <col min="6428" max="6429" width="0" style="1" hidden="1" customWidth="1"/>
    <col min="6430" max="6430" width="21.85546875" style="1" customWidth="1"/>
    <col min="6431" max="6433" width="19.140625" style="1" customWidth="1"/>
    <col min="6434" max="6434" width="0" style="1" hidden="1" customWidth="1"/>
    <col min="6435" max="6435" width="23.28515625" style="1" customWidth="1"/>
    <col min="6436" max="6436" width="24" style="1" customWidth="1"/>
    <col min="6437" max="6437" width="8.85546875" style="1" customWidth="1"/>
    <col min="6438" max="6438" width="26.28515625" style="1" customWidth="1"/>
    <col min="6439" max="6674" width="9.140625" style="1"/>
    <col min="6675" max="6675" width="6.42578125" style="1" customWidth="1"/>
    <col min="6676" max="6676" width="52.42578125" style="1" customWidth="1"/>
    <col min="6677" max="6677" width="22" style="1" customWidth="1"/>
    <col min="6678" max="6678" width="19.42578125" style="1" customWidth="1"/>
    <col min="6679" max="6679" width="21" style="1" customWidth="1"/>
    <col min="6680" max="6680" width="20.28515625" style="1" customWidth="1"/>
    <col min="6681" max="6682" width="0" style="1" hidden="1" customWidth="1"/>
    <col min="6683" max="6683" width="21.42578125" style="1" customWidth="1"/>
    <col min="6684" max="6685" width="0" style="1" hidden="1" customWidth="1"/>
    <col min="6686" max="6686" width="21.85546875" style="1" customWidth="1"/>
    <col min="6687" max="6689" width="19.140625" style="1" customWidth="1"/>
    <col min="6690" max="6690" width="0" style="1" hidden="1" customWidth="1"/>
    <col min="6691" max="6691" width="23.28515625" style="1" customWidth="1"/>
    <col min="6692" max="6692" width="24" style="1" customWidth="1"/>
    <col min="6693" max="6693" width="8.85546875" style="1" customWidth="1"/>
    <col min="6694" max="6694" width="26.28515625" style="1" customWidth="1"/>
    <col min="6695" max="6930" width="9.140625" style="1"/>
    <col min="6931" max="6931" width="6.42578125" style="1" customWidth="1"/>
    <col min="6932" max="6932" width="52.42578125" style="1" customWidth="1"/>
    <col min="6933" max="6933" width="22" style="1" customWidth="1"/>
    <col min="6934" max="6934" width="19.42578125" style="1" customWidth="1"/>
    <col min="6935" max="6935" width="21" style="1" customWidth="1"/>
    <col min="6936" max="6936" width="20.28515625" style="1" customWidth="1"/>
    <col min="6937" max="6938" width="0" style="1" hidden="1" customWidth="1"/>
    <col min="6939" max="6939" width="21.42578125" style="1" customWidth="1"/>
    <col min="6940" max="6941" width="0" style="1" hidden="1" customWidth="1"/>
    <col min="6942" max="6942" width="21.85546875" style="1" customWidth="1"/>
    <col min="6943" max="6945" width="19.140625" style="1" customWidth="1"/>
    <col min="6946" max="6946" width="0" style="1" hidden="1" customWidth="1"/>
    <col min="6947" max="6947" width="23.28515625" style="1" customWidth="1"/>
    <col min="6948" max="6948" width="24" style="1" customWidth="1"/>
    <col min="6949" max="6949" width="8.85546875" style="1" customWidth="1"/>
    <col min="6950" max="6950" width="26.28515625" style="1" customWidth="1"/>
    <col min="6951" max="7186" width="9.140625" style="1"/>
    <col min="7187" max="7187" width="6.42578125" style="1" customWidth="1"/>
    <col min="7188" max="7188" width="52.42578125" style="1" customWidth="1"/>
    <col min="7189" max="7189" width="22" style="1" customWidth="1"/>
    <col min="7190" max="7190" width="19.42578125" style="1" customWidth="1"/>
    <col min="7191" max="7191" width="21" style="1" customWidth="1"/>
    <col min="7192" max="7192" width="20.28515625" style="1" customWidth="1"/>
    <col min="7193" max="7194" width="0" style="1" hidden="1" customWidth="1"/>
    <col min="7195" max="7195" width="21.42578125" style="1" customWidth="1"/>
    <col min="7196" max="7197" width="0" style="1" hidden="1" customWidth="1"/>
    <col min="7198" max="7198" width="21.85546875" style="1" customWidth="1"/>
    <col min="7199" max="7201" width="19.140625" style="1" customWidth="1"/>
    <col min="7202" max="7202" width="0" style="1" hidden="1" customWidth="1"/>
    <col min="7203" max="7203" width="23.28515625" style="1" customWidth="1"/>
    <col min="7204" max="7204" width="24" style="1" customWidth="1"/>
    <col min="7205" max="7205" width="8.85546875" style="1" customWidth="1"/>
    <col min="7206" max="7206" width="26.28515625" style="1" customWidth="1"/>
    <col min="7207" max="7442" width="9.140625" style="1"/>
    <col min="7443" max="7443" width="6.42578125" style="1" customWidth="1"/>
    <col min="7444" max="7444" width="52.42578125" style="1" customWidth="1"/>
    <col min="7445" max="7445" width="22" style="1" customWidth="1"/>
    <col min="7446" max="7446" width="19.42578125" style="1" customWidth="1"/>
    <col min="7447" max="7447" width="21" style="1" customWidth="1"/>
    <col min="7448" max="7448" width="20.28515625" style="1" customWidth="1"/>
    <col min="7449" max="7450" width="0" style="1" hidden="1" customWidth="1"/>
    <col min="7451" max="7451" width="21.42578125" style="1" customWidth="1"/>
    <col min="7452" max="7453" width="0" style="1" hidden="1" customWidth="1"/>
    <col min="7454" max="7454" width="21.85546875" style="1" customWidth="1"/>
    <col min="7455" max="7457" width="19.140625" style="1" customWidth="1"/>
    <col min="7458" max="7458" width="0" style="1" hidden="1" customWidth="1"/>
    <col min="7459" max="7459" width="23.28515625" style="1" customWidth="1"/>
    <col min="7460" max="7460" width="24" style="1" customWidth="1"/>
    <col min="7461" max="7461" width="8.85546875" style="1" customWidth="1"/>
    <col min="7462" max="7462" width="26.28515625" style="1" customWidth="1"/>
    <col min="7463" max="7698" width="9.140625" style="1"/>
    <col min="7699" max="7699" width="6.42578125" style="1" customWidth="1"/>
    <col min="7700" max="7700" width="52.42578125" style="1" customWidth="1"/>
    <col min="7701" max="7701" width="22" style="1" customWidth="1"/>
    <col min="7702" max="7702" width="19.42578125" style="1" customWidth="1"/>
    <col min="7703" max="7703" width="21" style="1" customWidth="1"/>
    <col min="7704" max="7704" width="20.28515625" style="1" customWidth="1"/>
    <col min="7705" max="7706" width="0" style="1" hidden="1" customWidth="1"/>
    <col min="7707" max="7707" width="21.42578125" style="1" customWidth="1"/>
    <col min="7708" max="7709" width="0" style="1" hidden="1" customWidth="1"/>
    <col min="7710" max="7710" width="21.85546875" style="1" customWidth="1"/>
    <col min="7711" max="7713" width="19.140625" style="1" customWidth="1"/>
    <col min="7714" max="7714" width="0" style="1" hidden="1" customWidth="1"/>
    <col min="7715" max="7715" width="23.28515625" style="1" customWidth="1"/>
    <col min="7716" max="7716" width="24" style="1" customWidth="1"/>
    <col min="7717" max="7717" width="8.85546875" style="1" customWidth="1"/>
    <col min="7718" max="7718" width="26.28515625" style="1" customWidth="1"/>
    <col min="7719" max="7954" width="9.140625" style="1"/>
    <col min="7955" max="7955" width="6.42578125" style="1" customWidth="1"/>
    <col min="7956" max="7956" width="52.42578125" style="1" customWidth="1"/>
    <col min="7957" max="7957" width="22" style="1" customWidth="1"/>
    <col min="7958" max="7958" width="19.42578125" style="1" customWidth="1"/>
    <col min="7959" max="7959" width="21" style="1" customWidth="1"/>
    <col min="7960" max="7960" width="20.28515625" style="1" customWidth="1"/>
    <col min="7961" max="7962" width="0" style="1" hidden="1" customWidth="1"/>
    <col min="7963" max="7963" width="21.42578125" style="1" customWidth="1"/>
    <col min="7964" max="7965" width="0" style="1" hidden="1" customWidth="1"/>
    <col min="7966" max="7966" width="21.85546875" style="1" customWidth="1"/>
    <col min="7967" max="7969" width="19.140625" style="1" customWidth="1"/>
    <col min="7970" max="7970" width="0" style="1" hidden="1" customWidth="1"/>
    <col min="7971" max="7971" width="23.28515625" style="1" customWidth="1"/>
    <col min="7972" max="7972" width="24" style="1" customWidth="1"/>
    <col min="7973" max="7973" width="8.85546875" style="1" customWidth="1"/>
    <col min="7974" max="7974" width="26.28515625" style="1" customWidth="1"/>
    <col min="7975" max="8210" width="9.140625" style="1"/>
    <col min="8211" max="8211" width="6.42578125" style="1" customWidth="1"/>
    <col min="8212" max="8212" width="52.42578125" style="1" customWidth="1"/>
    <col min="8213" max="8213" width="22" style="1" customWidth="1"/>
    <col min="8214" max="8214" width="19.42578125" style="1" customWidth="1"/>
    <col min="8215" max="8215" width="21" style="1" customWidth="1"/>
    <col min="8216" max="8216" width="20.28515625" style="1" customWidth="1"/>
    <col min="8217" max="8218" width="0" style="1" hidden="1" customWidth="1"/>
    <col min="8219" max="8219" width="21.42578125" style="1" customWidth="1"/>
    <col min="8220" max="8221" width="0" style="1" hidden="1" customWidth="1"/>
    <col min="8222" max="8222" width="21.85546875" style="1" customWidth="1"/>
    <col min="8223" max="8225" width="19.140625" style="1" customWidth="1"/>
    <col min="8226" max="8226" width="0" style="1" hidden="1" customWidth="1"/>
    <col min="8227" max="8227" width="23.28515625" style="1" customWidth="1"/>
    <col min="8228" max="8228" width="24" style="1" customWidth="1"/>
    <col min="8229" max="8229" width="8.85546875" style="1" customWidth="1"/>
    <col min="8230" max="8230" width="26.28515625" style="1" customWidth="1"/>
    <col min="8231" max="8466" width="9.140625" style="1"/>
    <col min="8467" max="8467" width="6.42578125" style="1" customWidth="1"/>
    <col min="8468" max="8468" width="52.42578125" style="1" customWidth="1"/>
    <col min="8469" max="8469" width="22" style="1" customWidth="1"/>
    <col min="8470" max="8470" width="19.42578125" style="1" customWidth="1"/>
    <col min="8471" max="8471" width="21" style="1" customWidth="1"/>
    <col min="8472" max="8472" width="20.28515625" style="1" customWidth="1"/>
    <col min="8473" max="8474" width="0" style="1" hidden="1" customWidth="1"/>
    <col min="8475" max="8475" width="21.42578125" style="1" customWidth="1"/>
    <col min="8476" max="8477" width="0" style="1" hidden="1" customWidth="1"/>
    <col min="8478" max="8478" width="21.85546875" style="1" customWidth="1"/>
    <col min="8479" max="8481" width="19.140625" style="1" customWidth="1"/>
    <col min="8482" max="8482" width="0" style="1" hidden="1" customWidth="1"/>
    <col min="8483" max="8483" width="23.28515625" style="1" customWidth="1"/>
    <col min="8484" max="8484" width="24" style="1" customWidth="1"/>
    <col min="8485" max="8485" width="8.85546875" style="1" customWidth="1"/>
    <col min="8486" max="8486" width="26.28515625" style="1" customWidth="1"/>
    <col min="8487" max="8722" width="9.140625" style="1"/>
    <col min="8723" max="8723" width="6.42578125" style="1" customWidth="1"/>
    <col min="8724" max="8724" width="52.42578125" style="1" customWidth="1"/>
    <col min="8725" max="8725" width="22" style="1" customWidth="1"/>
    <col min="8726" max="8726" width="19.42578125" style="1" customWidth="1"/>
    <col min="8727" max="8727" width="21" style="1" customWidth="1"/>
    <col min="8728" max="8728" width="20.28515625" style="1" customWidth="1"/>
    <col min="8729" max="8730" width="0" style="1" hidden="1" customWidth="1"/>
    <col min="8731" max="8731" width="21.42578125" style="1" customWidth="1"/>
    <col min="8732" max="8733" width="0" style="1" hidden="1" customWidth="1"/>
    <col min="8734" max="8734" width="21.85546875" style="1" customWidth="1"/>
    <col min="8735" max="8737" width="19.140625" style="1" customWidth="1"/>
    <col min="8738" max="8738" width="0" style="1" hidden="1" customWidth="1"/>
    <col min="8739" max="8739" width="23.28515625" style="1" customWidth="1"/>
    <col min="8740" max="8740" width="24" style="1" customWidth="1"/>
    <col min="8741" max="8741" width="8.85546875" style="1" customWidth="1"/>
    <col min="8742" max="8742" width="26.28515625" style="1" customWidth="1"/>
    <col min="8743" max="8978" width="9.140625" style="1"/>
    <col min="8979" max="8979" width="6.42578125" style="1" customWidth="1"/>
    <col min="8980" max="8980" width="52.42578125" style="1" customWidth="1"/>
    <col min="8981" max="8981" width="22" style="1" customWidth="1"/>
    <col min="8982" max="8982" width="19.42578125" style="1" customWidth="1"/>
    <col min="8983" max="8983" width="21" style="1" customWidth="1"/>
    <col min="8984" max="8984" width="20.28515625" style="1" customWidth="1"/>
    <col min="8985" max="8986" width="0" style="1" hidden="1" customWidth="1"/>
    <col min="8987" max="8987" width="21.42578125" style="1" customWidth="1"/>
    <col min="8988" max="8989" width="0" style="1" hidden="1" customWidth="1"/>
    <col min="8990" max="8990" width="21.85546875" style="1" customWidth="1"/>
    <col min="8991" max="8993" width="19.140625" style="1" customWidth="1"/>
    <col min="8994" max="8994" width="0" style="1" hidden="1" customWidth="1"/>
    <col min="8995" max="8995" width="23.28515625" style="1" customWidth="1"/>
    <col min="8996" max="8996" width="24" style="1" customWidth="1"/>
    <col min="8997" max="8997" width="8.85546875" style="1" customWidth="1"/>
    <col min="8998" max="8998" width="26.28515625" style="1" customWidth="1"/>
    <col min="8999" max="9234" width="9.140625" style="1"/>
    <col min="9235" max="9235" width="6.42578125" style="1" customWidth="1"/>
    <col min="9236" max="9236" width="52.42578125" style="1" customWidth="1"/>
    <col min="9237" max="9237" width="22" style="1" customWidth="1"/>
    <col min="9238" max="9238" width="19.42578125" style="1" customWidth="1"/>
    <col min="9239" max="9239" width="21" style="1" customWidth="1"/>
    <col min="9240" max="9240" width="20.28515625" style="1" customWidth="1"/>
    <col min="9241" max="9242" width="0" style="1" hidden="1" customWidth="1"/>
    <col min="9243" max="9243" width="21.42578125" style="1" customWidth="1"/>
    <col min="9244" max="9245" width="0" style="1" hidden="1" customWidth="1"/>
    <col min="9246" max="9246" width="21.85546875" style="1" customWidth="1"/>
    <col min="9247" max="9249" width="19.140625" style="1" customWidth="1"/>
    <col min="9250" max="9250" width="0" style="1" hidden="1" customWidth="1"/>
    <col min="9251" max="9251" width="23.28515625" style="1" customWidth="1"/>
    <col min="9252" max="9252" width="24" style="1" customWidth="1"/>
    <col min="9253" max="9253" width="8.85546875" style="1" customWidth="1"/>
    <col min="9254" max="9254" width="26.28515625" style="1" customWidth="1"/>
    <col min="9255" max="9490" width="9.140625" style="1"/>
    <col min="9491" max="9491" width="6.42578125" style="1" customWidth="1"/>
    <col min="9492" max="9492" width="52.42578125" style="1" customWidth="1"/>
    <col min="9493" max="9493" width="22" style="1" customWidth="1"/>
    <col min="9494" max="9494" width="19.42578125" style="1" customWidth="1"/>
    <col min="9495" max="9495" width="21" style="1" customWidth="1"/>
    <col min="9496" max="9496" width="20.28515625" style="1" customWidth="1"/>
    <col min="9497" max="9498" width="0" style="1" hidden="1" customWidth="1"/>
    <col min="9499" max="9499" width="21.42578125" style="1" customWidth="1"/>
    <col min="9500" max="9501" width="0" style="1" hidden="1" customWidth="1"/>
    <col min="9502" max="9502" width="21.85546875" style="1" customWidth="1"/>
    <col min="9503" max="9505" width="19.140625" style="1" customWidth="1"/>
    <col min="9506" max="9506" width="0" style="1" hidden="1" customWidth="1"/>
    <col min="9507" max="9507" width="23.28515625" style="1" customWidth="1"/>
    <col min="9508" max="9508" width="24" style="1" customWidth="1"/>
    <col min="9509" max="9509" width="8.85546875" style="1" customWidth="1"/>
    <col min="9510" max="9510" width="26.28515625" style="1" customWidth="1"/>
    <col min="9511" max="9746" width="9.140625" style="1"/>
    <col min="9747" max="9747" width="6.42578125" style="1" customWidth="1"/>
    <col min="9748" max="9748" width="52.42578125" style="1" customWidth="1"/>
    <col min="9749" max="9749" width="22" style="1" customWidth="1"/>
    <col min="9750" max="9750" width="19.42578125" style="1" customWidth="1"/>
    <col min="9751" max="9751" width="21" style="1" customWidth="1"/>
    <col min="9752" max="9752" width="20.28515625" style="1" customWidth="1"/>
    <col min="9753" max="9754" width="0" style="1" hidden="1" customWidth="1"/>
    <col min="9755" max="9755" width="21.42578125" style="1" customWidth="1"/>
    <col min="9756" max="9757" width="0" style="1" hidden="1" customWidth="1"/>
    <col min="9758" max="9758" width="21.85546875" style="1" customWidth="1"/>
    <col min="9759" max="9761" width="19.140625" style="1" customWidth="1"/>
    <col min="9762" max="9762" width="0" style="1" hidden="1" customWidth="1"/>
    <col min="9763" max="9763" width="23.28515625" style="1" customWidth="1"/>
    <col min="9764" max="9764" width="24" style="1" customWidth="1"/>
    <col min="9765" max="9765" width="8.85546875" style="1" customWidth="1"/>
    <col min="9766" max="9766" width="26.28515625" style="1" customWidth="1"/>
    <col min="9767" max="10002" width="9.140625" style="1"/>
    <col min="10003" max="10003" width="6.42578125" style="1" customWidth="1"/>
    <col min="10004" max="10004" width="52.42578125" style="1" customWidth="1"/>
    <col min="10005" max="10005" width="22" style="1" customWidth="1"/>
    <col min="10006" max="10006" width="19.42578125" style="1" customWidth="1"/>
    <col min="10007" max="10007" width="21" style="1" customWidth="1"/>
    <col min="10008" max="10008" width="20.28515625" style="1" customWidth="1"/>
    <col min="10009" max="10010" width="0" style="1" hidden="1" customWidth="1"/>
    <col min="10011" max="10011" width="21.42578125" style="1" customWidth="1"/>
    <col min="10012" max="10013" width="0" style="1" hidden="1" customWidth="1"/>
    <col min="10014" max="10014" width="21.85546875" style="1" customWidth="1"/>
    <col min="10015" max="10017" width="19.140625" style="1" customWidth="1"/>
    <col min="10018" max="10018" width="0" style="1" hidden="1" customWidth="1"/>
    <col min="10019" max="10019" width="23.28515625" style="1" customWidth="1"/>
    <col min="10020" max="10020" width="24" style="1" customWidth="1"/>
    <col min="10021" max="10021" width="8.85546875" style="1" customWidth="1"/>
    <col min="10022" max="10022" width="26.28515625" style="1" customWidth="1"/>
    <col min="10023" max="10258" width="9.140625" style="1"/>
    <col min="10259" max="10259" width="6.42578125" style="1" customWidth="1"/>
    <col min="10260" max="10260" width="52.42578125" style="1" customWidth="1"/>
    <col min="10261" max="10261" width="22" style="1" customWidth="1"/>
    <col min="10262" max="10262" width="19.42578125" style="1" customWidth="1"/>
    <col min="10263" max="10263" width="21" style="1" customWidth="1"/>
    <col min="10264" max="10264" width="20.28515625" style="1" customWidth="1"/>
    <col min="10265" max="10266" width="0" style="1" hidden="1" customWidth="1"/>
    <col min="10267" max="10267" width="21.42578125" style="1" customWidth="1"/>
    <col min="10268" max="10269" width="0" style="1" hidden="1" customWidth="1"/>
    <col min="10270" max="10270" width="21.85546875" style="1" customWidth="1"/>
    <col min="10271" max="10273" width="19.140625" style="1" customWidth="1"/>
    <col min="10274" max="10274" width="0" style="1" hidden="1" customWidth="1"/>
    <col min="10275" max="10275" width="23.28515625" style="1" customWidth="1"/>
    <col min="10276" max="10276" width="24" style="1" customWidth="1"/>
    <col min="10277" max="10277" width="8.85546875" style="1" customWidth="1"/>
    <col min="10278" max="10278" width="26.28515625" style="1" customWidth="1"/>
    <col min="10279" max="10514" width="9.140625" style="1"/>
    <col min="10515" max="10515" width="6.42578125" style="1" customWidth="1"/>
    <col min="10516" max="10516" width="52.42578125" style="1" customWidth="1"/>
    <col min="10517" max="10517" width="22" style="1" customWidth="1"/>
    <col min="10518" max="10518" width="19.42578125" style="1" customWidth="1"/>
    <col min="10519" max="10519" width="21" style="1" customWidth="1"/>
    <col min="10520" max="10520" width="20.28515625" style="1" customWidth="1"/>
    <col min="10521" max="10522" width="0" style="1" hidden="1" customWidth="1"/>
    <col min="10523" max="10523" width="21.42578125" style="1" customWidth="1"/>
    <col min="10524" max="10525" width="0" style="1" hidden="1" customWidth="1"/>
    <col min="10526" max="10526" width="21.85546875" style="1" customWidth="1"/>
    <col min="10527" max="10529" width="19.140625" style="1" customWidth="1"/>
    <col min="10530" max="10530" width="0" style="1" hidden="1" customWidth="1"/>
    <col min="10531" max="10531" width="23.28515625" style="1" customWidth="1"/>
    <col min="10532" max="10532" width="24" style="1" customWidth="1"/>
    <col min="10533" max="10533" width="8.85546875" style="1" customWidth="1"/>
    <col min="10534" max="10534" width="26.28515625" style="1" customWidth="1"/>
    <col min="10535" max="10770" width="9.140625" style="1"/>
    <col min="10771" max="10771" width="6.42578125" style="1" customWidth="1"/>
    <col min="10772" max="10772" width="52.42578125" style="1" customWidth="1"/>
    <col min="10773" max="10773" width="22" style="1" customWidth="1"/>
    <col min="10774" max="10774" width="19.42578125" style="1" customWidth="1"/>
    <col min="10775" max="10775" width="21" style="1" customWidth="1"/>
    <col min="10776" max="10776" width="20.28515625" style="1" customWidth="1"/>
    <col min="10777" max="10778" width="0" style="1" hidden="1" customWidth="1"/>
    <col min="10779" max="10779" width="21.42578125" style="1" customWidth="1"/>
    <col min="10780" max="10781" width="0" style="1" hidden="1" customWidth="1"/>
    <col min="10782" max="10782" width="21.85546875" style="1" customWidth="1"/>
    <col min="10783" max="10785" width="19.140625" style="1" customWidth="1"/>
    <col min="10786" max="10786" width="0" style="1" hidden="1" customWidth="1"/>
    <col min="10787" max="10787" width="23.28515625" style="1" customWidth="1"/>
    <col min="10788" max="10788" width="24" style="1" customWidth="1"/>
    <col min="10789" max="10789" width="8.85546875" style="1" customWidth="1"/>
    <col min="10790" max="10790" width="26.28515625" style="1" customWidth="1"/>
    <col min="10791" max="11026" width="9.140625" style="1"/>
    <col min="11027" max="11027" width="6.42578125" style="1" customWidth="1"/>
    <col min="11028" max="11028" width="52.42578125" style="1" customWidth="1"/>
    <col min="11029" max="11029" width="22" style="1" customWidth="1"/>
    <col min="11030" max="11030" width="19.42578125" style="1" customWidth="1"/>
    <col min="11031" max="11031" width="21" style="1" customWidth="1"/>
    <col min="11032" max="11032" width="20.28515625" style="1" customWidth="1"/>
    <col min="11033" max="11034" width="0" style="1" hidden="1" customWidth="1"/>
    <col min="11035" max="11035" width="21.42578125" style="1" customWidth="1"/>
    <col min="11036" max="11037" width="0" style="1" hidden="1" customWidth="1"/>
    <col min="11038" max="11038" width="21.85546875" style="1" customWidth="1"/>
    <col min="11039" max="11041" width="19.140625" style="1" customWidth="1"/>
    <col min="11042" max="11042" width="0" style="1" hidden="1" customWidth="1"/>
    <col min="11043" max="11043" width="23.28515625" style="1" customWidth="1"/>
    <col min="11044" max="11044" width="24" style="1" customWidth="1"/>
    <col min="11045" max="11045" width="8.85546875" style="1" customWidth="1"/>
    <col min="11046" max="11046" width="26.28515625" style="1" customWidth="1"/>
    <col min="11047" max="11282" width="9.140625" style="1"/>
    <col min="11283" max="11283" width="6.42578125" style="1" customWidth="1"/>
    <col min="11284" max="11284" width="52.42578125" style="1" customWidth="1"/>
    <col min="11285" max="11285" width="22" style="1" customWidth="1"/>
    <col min="11286" max="11286" width="19.42578125" style="1" customWidth="1"/>
    <col min="11287" max="11287" width="21" style="1" customWidth="1"/>
    <col min="11288" max="11288" width="20.28515625" style="1" customWidth="1"/>
    <col min="11289" max="11290" width="0" style="1" hidden="1" customWidth="1"/>
    <col min="11291" max="11291" width="21.42578125" style="1" customWidth="1"/>
    <col min="11292" max="11293" width="0" style="1" hidden="1" customWidth="1"/>
    <col min="11294" max="11294" width="21.85546875" style="1" customWidth="1"/>
    <col min="11295" max="11297" width="19.140625" style="1" customWidth="1"/>
    <col min="11298" max="11298" width="0" style="1" hidden="1" customWidth="1"/>
    <col min="11299" max="11299" width="23.28515625" style="1" customWidth="1"/>
    <col min="11300" max="11300" width="24" style="1" customWidth="1"/>
    <col min="11301" max="11301" width="8.85546875" style="1" customWidth="1"/>
    <col min="11302" max="11302" width="26.28515625" style="1" customWidth="1"/>
    <col min="11303" max="11538" width="9.140625" style="1"/>
    <col min="11539" max="11539" width="6.42578125" style="1" customWidth="1"/>
    <col min="11540" max="11540" width="52.42578125" style="1" customWidth="1"/>
    <col min="11541" max="11541" width="22" style="1" customWidth="1"/>
    <col min="11542" max="11542" width="19.42578125" style="1" customWidth="1"/>
    <col min="11543" max="11543" width="21" style="1" customWidth="1"/>
    <col min="11544" max="11544" width="20.28515625" style="1" customWidth="1"/>
    <col min="11545" max="11546" width="0" style="1" hidden="1" customWidth="1"/>
    <col min="11547" max="11547" width="21.42578125" style="1" customWidth="1"/>
    <col min="11548" max="11549" width="0" style="1" hidden="1" customWidth="1"/>
    <col min="11550" max="11550" width="21.85546875" style="1" customWidth="1"/>
    <col min="11551" max="11553" width="19.140625" style="1" customWidth="1"/>
    <col min="11554" max="11554" width="0" style="1" hidden="1" customWidth="1"/>
    <col min="11555" max="11555" width="23.28515625" style="1" customWidth="1"/>
    <col min="11556" max="11556" width="24" style="1" customWidth="1"/>
    <col min="11557" max="11557" width="8.85546875" style="1" customWidth="1"/>
    <col min="11558" max="11558" width="26.28515625" style="1" customWidth="1"/>
    <col min="11559" max="11794" width="9.140625" style="1"/>
    <col min="11795" max="11795" width="6.42578125" style="1" customWidth="1"/>
    <col min="11796" max="11796" width="52.42578125" style="1" customWidth="1"/>
    <col min="11797" max="11797" width="22" style="1" customWidth="1"/>
    <col min="11798" max="11798" width="19.42578125" style="1" customWidth="1"/>
    <col min="11799" max="11799" width="21" style="1" customWidth="1"/>
    <col min="11800" max="11800" width="20.28515625" style="1" customWidth="1"/>
    <col min="11801" max="11802" width="0" style="1" hidden="1" customWidth="1"/>
    <col min="11803" max="11803" width="21.42578125" style="1" customWidth="1"/>
    <col min="11804" max="11805" width="0" style="1" hidden="1" customWidth="1"/>
    <col min="11806" max="11806" width="21.85546875" style="1" customWidth="1"/>
    <col min="11807" max="11809" width="19.140625" style="1" customWidth="1"/>
    <col min="11810" max="11810" width="0" style="1" hidden="1" customWidth="1"/>
    <col min="11811" max="11811" width="23.28515625" style="1" customWidth="1"/>
    <col min="11812" max="11812" width="24" style="1" customWidth="1"/>
    <col min="11813" max="11813" width="8.85546875" style="1" customWidth="1"/>
    <col min="11814" max="11814" width="26.28515625" style="1" customWidth="1"/>
    <col min="11815" max="12050" width="9.140625" style="1"/>
    <col min="12051" max="12051" width="6.42578125" style="1" customWidth="1"/>
    <col min="12052" max="12052" width="52.42578125" style="1" customWidth="1"/>
    <col min="12053" max="12053" width="22" style="1" customWidth="1"/>
    <col min="12054" max="12054" width="19.42578125" style="1" customWidth="1"/>
    <col min="12055" max="12055" width="21" style="1" customWidth="1"/>
    <col min="12056" max="12056" width="20.28515625" style="1" customWidth="1"/>
    <col min="12057" max="12058" width="0" style="1" hidden="1" customWidth="1"/>
    <col min="12059" max="12059" width="21.42578125" style="1" customWidth="1"/>
    <col min="12060" max="12061" width="0" style="1" hidden="1" customWidth="1"/>
    <col min="12062" max="12062" width="21.85546875" style="1" customWidth="1"/>
    <col min="12063" max="12065" width="19.140625" style="1" customWidth="1"/>
    <col min="12066" max="12066" width="0" style="1" hidden="1" customWidth="1"/>
    <col min="12067" max="12067" width="23.28515625" style="1" customWidth="1"/>
    <col min="12068" max="12068" width="24" style="1" customWidth="1"/>
    <col min="12069" max="12069" width="8.85546875" style="1" customWidth="1"/>
    <col min="12070" max="12070" width="26.28515625" style="1" customWidth="1"/>
    <col min="12071" max="12306" width="9.140625" style="1"/>
    <col min="12307" max="12307" width="6.42578125" style="1" customWidth="1"/>
    <col min="12308" max="12308" width="52.42578125" style="1" customWidth="1"/>
    <col min="12309" max="12309" width="22" style="1" customWidth="1"/>
    <col min="12310" max="12310" width="19.42578125" style="1" customWidth="1"/>
    <col min="12311" max="12311" width="21" style="1" customWidth="1"/>
    <col min="12312" max="12312" width="20.28515625" style="1" customWidth="1"/>
    <col min="12313" max="12314" width="0" style="1" hidden="1" customWidth="1"/>
    <col min="12315" max="12315" width="21.42578125" style="1" customWidth="1"/>
    <col min="12316" max="12317" width="0" style="1" hidden="1" customWidth="1"/>
    <col min="12318" max="12318" width="21.85546875" style="1" customWidth="1"/>
    <col min="12319" max="12321" width="19.140625" style="1" customWidth="1"/>
    <col min="12322" max="12322" width="0" style="1" hidden="1" customWidth="1"/>
    <col min="12323" max="12323" width="23.28515625" style="1" customWidth="1"/>
    <col min="12324" max="12324" width="24" style="1" customWidth="1"/>
    <col min="12325" max="12325" width="8.85546875" style="1" customWidth="1"/>
    <col min="12326" max="12326" width="26.28515625" style="1" customWidth="1"/>
    <col min="12327" max="12562" width="9.140625" style="1"/>
    <col min="12563" max="12563" width="6.42578125" style="1" customWidth="1"/>
    <col min="12564" max="12564" width="52.42578125" style="1" customWidth="1"/>
    <col min="12565" max="12565" width="22" style="1" customWidth="1"/>
    <col min="12566" max="12566" width="19.42578125" style="1" customWidth="1"/>
    <col min="12567" max="12567" width="21" style="1" customWidth="1"/>
    <col min="12568" max="12568" width="20.28515625" style="1" customWidth="1"/>
    <col min="12569" max="12570" width="0" style="1" hidden="1" customWidth="1"/>
    <col min="12571" max="12571" width="21.42578125" style="1" customWidth="1"/>
    <col min="12572" max="12573" width="0" style="1" hidden="1" customWidth="1"/>
    <col min="12574" max="12574" width="21.85546875" style="1" customWidth="1"/>
    <col min="12575" max="12577" width="19.140625" style="1" customWidth="1"/>
    <col min="12578" max="12578" width="0" style="1" hidden="1" customWidth="1"/>
    <col min="12579" max="12579" width="23.28515625" style="1" customWidth="1"/>
    <col min="12580" max="12580" width="24" style="1" customWidth="1"/>
    <col min="12581" max="12581" width="8.85546875" style="1" customWidth="1"/>
    <col min="12582" max="12582" width="26.28515625" style="1" customWidth="1"/>
    <col min="12583" max="12818" width="9.140625" style="1"/>
    <col min="12819" max="12819" width="6.42578125" style="1" customWidth="1"/>
    <col min="12820" max="12820" width="52.42578125" style="1" customWidth="1"/>
    <col min="12821" max="12821" width="22" style="1" customWidth="1"/>
    <col min="12822" max="12822" width="19.42578125" style="1" customWidth="1"/>
    <col min="12823" max="12823" width="21" style="1" customWidth="1"/>
    <col min="12824" max="12824" width="20.28515625" style="1" customWidth="1"/>
    <col min="12825" max="12826" width="0" style="1" hidden="1" customWidth="1"/>
    <col min="12827" max="12827" width="21.42578125" style="1" customWidth="1"/>
    <col min="12828" max="12829" width="0" style="1" hidden="1" customWidth="1"/>
    <col min="12830" max="12830" width="21.85546875" style="1" customWidth="1"/>
    <col min="12831" max="12833" width="19.140625" style="1" customWidth="1"/>
    <col min="12834" max="12834" width="0" style="1" hidden="1" customWidth="1"/>
    <col min="12835" max="12835" width="23.28515625" style="1" customWidth="1"/>
    <col min="12836" max="12836" width="24" style="1" customWidth="1"/>
    <col min="12837" max="12837" width="8.85546875" style="1" customWidth="1"/>
    <col min="12838" max="12838" width="26.28515625" style="1" customWidth="1"/>
    <col min="12839" max="13074" width="9.140625" style="1"/>
    <col min="13075" max="13075" width="6.42578125" style="1" customWidth="1"/>
    <col min="13076" max="13076" width="52.42578125" style="1" customWidth="1"/>
    <col min="13077" max="13077" width="22" style="1" customWidth="1"/>
    <col min="13078" max="13078" width="19.42578125" style="1" customWidth="1"/>
    <col min="13079" max="13079" width="21" style="1" customWidth="1"/>
    <col min="13080" max="13080" width="20.28515625" style="1" customWidth="1"/>
    <col min="13081" max="13082" width="0" style="1" hidden="1" customWidth="1"/>
    <col min="13083" max="13083" width="21.42578125" style="1" customWidth="1"/>
    <col min="13084" max="13085" width="0" style="1" hidden="1" customWidth="1"/>
    <col min="13086" max="13086" width="21.85546875" style="1" customWidth="1"/>
    <col min="13087" max="13089" width="19.140625" style="1" customWidth="1"/>
    <col min="13090" max="13090" width="0" style="1" hidden="1" customWidth="1"/>
    <col min="13091" max="13091" width="23.28515625" style="1" customWidth="1"/>
    <col min="13092" max="13092" width="24" style="1" customWidth="1"/>
    <col min="13093" max="13093" width="8.85546875" style="1" customWidth="1"/>
    <col min="13094" max="13094" width="26.28515625" style="1" customWidth="1"/>
    <col min="13095" max="13330" width="9.140625" style="1"/>
    <col min="13331" max="13331" width="6.42578125" style="1" customWidth="1"/>
    <col min="13332" max="13332" width="52.42578125" style="1" customWidth="1"/>
    <col min="13333" max="13333" width="22" style="1" customWidth="1"/>
    <col min="13334" max="13334" width="19.42578125" style="1" customWidth="1"/>
    <col min="13335" max="13335" width="21" style="1" customWidth="1"/>
    <col min="13336" max="13336" width="20.28515625" style="1" customWidth="1"/>
    <col min="13337" max="13338" width="0" style="1" hidden="1" customWidth="1"/>
    <col min="13339" max="13339" width="21.42578125" style="1" customWidth="1"/>
    <col min="13340" max="13341" width="0" style="1" hidden="1" customWidth="1"/>
    <col min="13342" max="13342" width="21.85546875" style="1" customWidth="1"/>
    <col min="13343" max="13345" width="19.140625" style="1" customWidth="1"/>
    <col min="13346" max="13346" width="0" style="1" hidden="1" customWidth="1"/>
    <col min="13347" max="13347" width="23.28515625" style="1" customWidth="1"/>
    <col min="13348" max="13348" width="24" style="1" customWidth="1"/>
    <col min="13349" max="13349" width="8.85546875" style="1" customWidth="1"/>
    <col min="13350" max="13350" width="26.28515625" style="1" customWidth="1"/>
    <col min="13351" max="13586" width="9.140625" style="1"/>
    <col min="13587" max="13587" width="6.42578125" style="1" customWidth="1"/>
    <col min="13588" max="13588" width="52.42578125" style="1" customWidth="1"/>
    <col min="13589" max="13589" width="22" style="1" customWidth="1"/>
    <col min="13590" max="13590" width="19.42578125" style="1" customWidth="1"/>
    <col min="13591" max="13591" width="21" style="1" customWidth="1"/>
    <col min="13592" max="13592" width="20.28515625" style="1" customWidth="1"/>
    <col min="13593" max="13594" width="0" style="1" hidden="1" customWidth="1"/>
    <col min="13595" max="13595" width="21.42578125" style="1" customWidth="1"/>
    <col min="13596" max="13597" width="0" style="1" hidden="1" customWidth="1"/>
    <col min="13598" max="13598" width="21.85546875" style="1" customWidth="1"/>
    <col min="13599" max="13601" width="19.140625" style="1" customWidth="1"/>
    <col min="13602" max="13602" width="0" style="1" hidden="1" customWidth="1"/>
    <col min="13603" max="13603" width="23.28515625" style="1" customWidth="1"/>
    <col min="13604" max="13604" width="24" style="1" customWidth="1"/>
    <col min="13605" max="13605" width="8.85546875" style="1" customWidth="1"/>
    <col min="13606" max="13606" width="26.28515625" style="1" customWidth="1"/>
    <col min="13607" max="13842" width="9.140625" style="1"/>
    <col min="13843" max="13843" width="6.42578125" style="1" customWidth="1"/>
    <col min="13844" max="13844" width="52.42578125" style="1" customWidth="1"/>
    <col min="13845" max="13845" width="22" style="1" customWidth="1"/>
    <col min="13846" max="13846" width="19.42578125" style="1" customWidth="1"/>
    <col min="13847" max="13847" width="21" style="1" customWidth="1"/>
    <col min="13848" max="13848" width="20.28515625" style="1" customWidth="1"/>
    <col min="13849" max="13850" width="0" style="1" hidden="1" customWidth="1"/>
    <col min="13851" max="13851" width="21.42578125" style="1" customWidth="1"/>
    <col min="13852" max="13853" width="0" style="1" hidden="1" customWidth="1"/>
    <col min="13854" max="13854" width="21.85546875" style="1" customWidth="1"/>
    <col min="13855" max="13857" width="19.140625" style="1" customWidth="1"/>
    <col min="13858" max="13858" width="0" style="1" hidden="1" customWidth="1"/>
    <col min="13859" max="13859" width="23.28515625" style="1" customWidth="1"/>
    <col min="13860" max="13860" width="24" style="1" customWidth="1"/>
    <col min="13861" max="13861" width="8.85546875" style="1" customWidth="1"/>
    <col min="13862" max="13862" width="26.28515625" style="1" customWidth="1"/>
    <col min="13863" max="14098" width="9.140625" style="1"/>
    <col min="14099" max="14099" width="6.42578125" style="1" customWidth="1"/>
    <col min="14100" max="14100" width="52.42578125" style="1" customWidth="1"/>
    <col min="14101" max="14101" width="22" style="1" customWidth="1"/>
    <col min="14102" max="14102" width="19.42578125" style="1" customWidth="1"/>
    <col min="14103" max="14103" width="21" style="1" customWidth="1"/>
    <col min="14104" max="14104" width="20.28515625" style="1" customWidth="1"/>
    <col min="14105" max="14106" width="0" style="1" hidden="1" customWidth="1"/>
    <col min="14107" max="14107" width="21.42578125" style="1" customWidth="1"/>
    <col min="14108" max="14109" width="0" style="1" hidden="1" customWidth="1"/>
    <col min="14110" max="14110" width="21.85546875" style="1" customWidth="1"/>
    <col min="14111" max="14113" width="19.140625" style="1" customWidth="1"/>
    <col min="14114" max="14114" width="0" style="1" hidden="1" customWidth="1"/>
    <col min="14115" max="14115" width="23.28515625" style="1" customWidth="1"/>
    <col min="14116" max="14116" width="24" style="1" customWidth="1"/>
    <col min="14117" max="14117" width="8.85546875" style="1" customWidth="1"/>
    <col min="14118" max="14118" width="26.28515625" style="1" customWidth="1"/>
    <col min="14119" max="14354" width="9.140625" style="1"/>
    <col min="14355" max="14355" width="6.42578125" style="1" customWidth="1"/>
    <col min="14356" max="14356" width="52.42578125" style="1" customWidth="1"/>
    <col min="14357" max="14357" width="22" style="1" customWidth="1"/>
    <col min="14358" max="14358" width="19.42578125" style="1" customWidth="1"/>
    <col min="14359" max="14359" width="21" style="1" customWidth="1"/>
    <col min="14360" max="14360" width="20.28515625" style="1" customWidth="1"/>
    <col min="14361" max="14362" width="0" style="1" hidden="1" customWidth="1"/>
    <col min="14363" max="14363" width="21.42578125" style="1" customWidth="1"/>
    <col min="14364" max="14365" width="0" style="1" hidden="1" customWidth="1"/>
    <col min="14366" max="14366" width="21.85546875" style="1" customWidth="1"/>
    <col min="14367" max="14369" width="19.140625" style="1" customWidth="1"/>
    <col min="14370" max="14370" width="0" style="1" hidden="1" customWidth="1"/>
    <col min="14371" max="14371" width="23.28515625" style="1" customWidth="1"/>
    <col min="14372" max="14372" width="24" style="1" customWidth="1"/>
    <col min="14373" max="14373" width="8.85546875" style="1" customWidth="1"/>
    <col min="14374" max="14374" width="26.28515625" style="1" customWidth="1"/>
    <col min="14375" max="14610" width="9.140625" style="1"/>
    <col min="14611" max="14611" width="6.42578125" style="1" customWidth="1"/>
    <col min="14612" max="14612" width="52.42578125" style="1" customWidth="1"/>
    <col min="14613" max="14613" width="22" style="1" customWidth="1"/>
    <col min="14614" max="14614" width="19.42578125" style="1" customWidth="1"/>
    <col min="14615" max="14615" width="21" style="1" customWidth="1"/>
    <col min="14616" max="14616" width="20.28515625" style="1" customWidth="1"/>
    <col min="14617" max="14618" width="0" style="1" hidden="1" customWidth="1"/>
    <col min="14619" max="14619" width="21.42578125" style="1" customWidth="1"/>
    <col min="14620" max="14621" width="0" style="1" hidden="1" customWidth="1"/>
    <col min="14622" max="14622" width="21.85546875" style="1" customWidth="1"/>
    <col min="14623" max="14625" width="19.140625" style="1" customWidth="1"/>
    <col min="14626" max="14626" width="0" style="1" hidden="1" customWidth="1"/>
    <col min="14627" max="14627" width="23.28515625" style="1" customWidth="1"/>
    <col min="14628" max="14628" width="24" style="1" customWidth="1"/>
    <col min="14629" max="14629" width="8.85546875" style="1" customWidth="1"/>
    <col min="14630" max="14630" width="26.28515625" style="1" customWidth="1"/>
    <col min="14631" max="14866" width="9.140625" style="1"/>
    <col min="14867" max="14867" width="6.42578125" style="1" customWidth="1"/>
    <col min="14868" max="14868" width="52.42578125" style="1" customWidth="1"/>
    <col min="14869" max="14869" width="22" style="1" customWidth="1"/>
    <col min="14870" max="14870" width="19.42578125" style="1" customWidth="1"/>
    <col min="14871" max="14871" width="21" style="1" customWidth="1"/>
    <col min="14872" max="14872" width="20.28515625" style="1" customWidth="1"/>
    <col min="14873" max="14874" width="0" style="1" hidden="1" customWidth="1"/>
    <col min="14875" max="14875" width="21.42578125" style="1" customWidth="1"/>
    <col min="14876" max="14877" width="0" style="1" hidden="1" customWidth="1"/>
    <col min="14878" max="14878" width="21.85546875" style="1" customWidth="1"/>
    <col min="14879" max="14881" width="19.140625" style="1" customWidth="1"/>
    <col min="14882" max="14882" width="0" style="1" hidden="1" customWidth="1"/>
    <col min="14883" max="14883" width="23.28515625" style="1" customWidth="1"/>
    <col min="14884" max="14884" width="24" style="1" customWidth="1"/>
    <col min="14885" max="14885" width="8.85546875" style="1" customWidth="1"/>
    <col min="14886" max="14886" width="26.28515625" style="1" customWidth="1"/>
    <col min="14887" max="15122" width="9.140625" style="1"/>
    <col min="15123" max="15123" width="6.42578125" style="1" customWidth="1"/>
    <col min="15124" max="15124" width="52.42578125" style="1" customWidth="1"/>
    <col min="15125" max="15125" width="22" style="1" customWidth="1"/>
    <col min="15126" max="15126" width="19.42578125" style="1" customWidth="1"/>
    <col min="15127" max="15127" width="21" style="1" customWidth="1"/>
    <col min="15128" max="15128" width="20.28515625" style="1" customWidth="1"/>
    <col min="15129" max="15130" width="0" style="1" hidden="1" customWidth="1"/>
    <col min="15131" max="15131" width="21.42578125" style="1" customWidth="1"/>
    <col min="15132" max="15133" width="0" style="1" hidden="1" customWidth="1"/>
    <col min="15134" max="15134" width="21.85546875" style="1" customWidth="1"/>
    <col min="15135" max="15137" width="19.140625" style="1" customWidth="1"/>
    <col min="15138" max="15138" width="0" style="1" hidden="1" customWidth="1"/>
    <col min="15139" max="15139" width="23.28515625" style="1" customWidth="1"/>
    <col min="15140" max="15140" width="24" style="1" customWidth="1"/>
    <col min="15141" max="15141" width="8.85546875" style="1" customWidth="1"/>
    <col min="15142" max="15142" width="26.28515625" style="1" customWidth="1"/>
    <col min="15143" max="15378" width="9.140625" style="1"/>
    <col min="15379" max="15379" width="6.42578125" style="1" customWidth="1"/>
    <col min="15380" max="15380" width="52.42578125" style="1" customWidth="1"/>
    <col min="15381" max="15381" width="22" style="1" customWidth="1"/>
    <col min="15382" max="15382" width="19.42578125" style="1" customWidth="1"/>
    <col min="15383" max="15383" width="21" style="1" customWidth="1"/>
    <col min="15384" max="15384" width="20.28515625" style="1" customWidth="1"/>
    <col min="15385" max="15386" width="0" style="1" hidden="1" customWidth="1"/>
    <col min="15387" max="15387" width="21.42578125" style="1" customWidth="1"/>
    <col min="15388" max="15389" width="0" style="1" hidden="1" customWidth="1"/>
    <col min="15390" max="15390" width="21.85546875" style="1" customWidth="1"/>
    <col min="15391" max="15393" width="19.140625" style="1" customWidth="1"/>
    <col min="15394" max="15394" width="0" style="1" hidden="1" customWidth="1"/>
    <col min="15395" max="15395" width="23.28515625" style="1" customWidth="1"/>
    <col min="15396" max="15396" width="24" style="1" customWidth="1"/>
    <col min="15397" max="15397" width="8.85546875" style="1" customWidth="1"/>
    <col min="15398" max="15398" width="26.28515625" style="1" customWidth="1"/>
    <col min="15399" max="15634" width="9.140625" style="1"/>
    <col min="15635" max="15635" width="6.42578125" style="1" customWidth="1"/>
    <col min="15636" max="15636" width="52.42578125" style="1" customWidth="1"/>
    <col min="15637" max="15637" width="22" style="1" customWidth="1"/>
    <col min="15638" max="15638" width="19.42578125" style="1" customWidth="1"/>
    <col min="15639" max="15639" width="21" style="1" customWidth="1"/>
    <col min="15640" max="15640" width="20.28515625" style="1" customWidth="1"/>
    <col min="15641" max="15642" width="0" style="1" hidden="1" customWidth="1"/>
    <col min="15643" max="15643" width="21.42578125" style="1" customWidth="1"/>
    <col min="15644" max="15645" width="0" style="1" hidden="1" customWidth="1"/>
    <col min="15646" max="15646" width="21.85546875" style="1" customWidth="1"/>
    <col min="15647" max="15649" width="19.140625" style="1" customWidth="1"/>
    <col min="15650" max="15650" width="0" style="1" hidden="1" customWidth="1"/>
    <col min="15651" max="15651" width="23.28515625" style="1" customWidth="1"/>
    <col min="15652" max="15652" width="24" style="1" customWidth="1"/>
    <col min="15653" max="15653" width="8.85546875" style="1" customWidth="1"/>
    <col min="15654" max="15654" width="26.28515625" style="1" customWidth="1"/>
    <col min="15655" max="15890" width="9.140625" style="1"/>
    <col min="15891" max="15891" width="6.42578125" style="1" customWidth="1"/>
    <col min="15892" max="15892" width="52.42578125" style="1" customWidth="1"/>
    <col min="15893" max="15893" width="22" style="1" customWidth="1"/>
    <col min="15894" max="15894" width="19.42578125" style="1" customWidth="1"/>
    <col min="15895" max="15895" width="21" style="1" customWidth="1"/>
    <col min="15896" max="15896" width="20.28515625" style="1" customWidth="1"/>
    <col min="15897" max="15898" width="0" style="1" hidden="1" customWidth="1"/>
    <col min="15899" max="15899" width="21.42578125" style="1" customWidth="1"/>
    <col min="15900" max="15901" width="0" style="1" hidden="1" customWidth="1"/>
    <col min="15902" max="15902" width="21.85546875" style="1" customWidth="1"/>
    <col min="15903" max="15905" width="19.140625" style="1" customWidth="1"/>
    <col min="15906" max="15906" width="0" style="1" hidden="1" customWidth="1"/>
    <col min="15907" max="15907" width="23.28515625" style="1" customWidth="1"/>
    <col min="15908" max="15908" width="24" style="1" customWidth="1"/>
    <col min="15909" max="15909" width="8.85546875" style="1" customWidth="1"/>
    <col min="15910" max="15910" width="26.28515625" style="1" customWidth="1"/>
    <col min="15911" max="16146" width="9.140625" style="1"/>
    <col min="16147" max="16147" width="6.42578125" style="1" customWidth="1"/>
    <col min="16148" max="16148" width="52.42578125" style="1" customWidth="1"/>
    <col min="16149" max="16149" width="22" style="1" customWidth="1"/>
    <col min="16150" max="16150" width="19.42578125" style="1" customWidth="1"/>
    <col min="16151" max="16151" width="21" style="1" customWidth="1"/>
    <col min="16152" max="16152" width="20.28515625" style="1" customWidth="1"/>
    <col min="16153" max="16154" width="0" style="1" hidden="1" customWidth="1"/>
    <col min="16155" max="16155" width="21.42578125" style="1" customWidth="1"/>
    <col min="16156" max="16157" width="0" style="1" hidden="1" customWidth="1"/>
    <col min="16158" max="16158" width="21.85546875" style="1" customWidth="1"/>
    <col min="16159" max="16161" width="19.140625" style="1" customWidth="1"/>
    <col min="16162" max="16162" width="0" style="1" hidden="1" customWidth="1"/>
    <col min="16163" max="16163" width="23.28515625" style="1" customWidth="1"/>
    <col min="16164" max="16164" width="24" style="1" customWidth="1"/>
    <col min="16165" max="16165" width="8.85546875" style="1" customWidth="1"/>
    <col min="16166" max="16166" width="26.28515625" style="1" customWidth="1"/>
    <col min="16167" max="16384" width="9.140625" style="1"/>
  </cols>
  <sheetData>
    <row r="1" spans="1:39" ht="16.5" customHeight="1" x14ac:dyDescent="0.25"/>
    <row r="2" spans="1:39" ht="20.25" x14ac:dyDescent="0.25">
      <c r="A2" s="677" t="s">
        <v>206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  <c r="P2" s="677"/>
      <c r="Q2" s="677"/>
      <c r="R2" s="677"/>
      <c r="S2" s="677"/>
      <c r="T2" s="677"/>
      <c r="U2" s="677"/>
      <c r="V2" s="677"/>
      <c r="W2" s="677"/>
      <c r="X2" s="677"/>
      <c r="Y2" s="677"/>
      <c r="Z2" s="67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8"/>
    </row>
    <row r="3" spans="1:39" ht="18.7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8"/>
      <c r="O3" s="9"/>
      <c r="P3" s="9"/>
      <c r="Q3" s="9"/>
      <c r="R3" s="9"/>
      <c r="S3" s="9"/>
      <c r="T3" s="9"/>
      <c r="U3" s="10"/>
      <c r="V3" s="10"/>
      <c r="W3" s="10"/>
      <c r="X3" s="10"/>
      <c r="Y3" s="10"/>
      <c r="Z3" s="14"/>
      <c r="AA3" s="10"/>
      <c r="AB3" s="10"/>
      <c r="AC3" s="10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ht="18.75" x14ac:dyDescent="0.25">
      <c r="A4" s="11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3"/>
      <c r="V4" s="13"/>
      <c r="W4" s="13"/>
      <c r="X4" s="13"/>
      <c r="Y4" s="13"/>
      <c r="Z4" s="22"/>
      <c r="AA4" s="14"/>
      <c r="AB4" s="14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ht="19.5" thickBot="1" x14ac:dyDescent="0.3">
      <c r="A5" s="223"/>
      <c r="B5" s="117"/>
      <c r="C5" s="117"/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224"/>
      <c r="O5" s="224"/>
      <c r="P5" s="224"/>
      <c r="Q5" s="224"/>
      <c r="R5" s="224"/>
      <c r="S5" s="224"/>
      <c r="T5" s="224"/>
      <c r="U5" s="119"/>
      <c r="V5" s="119"/>
      <c r="W5" s="119"/>
      <c r="X5" s="119"/>
      <c r="Y5" s="119"/>
      <c r="Z5" s="120"/>
      <c r="AA5" s="224"/>
      <c r="AB5" s="224"/>
      <c r="AC5" s="224"/>
      <c r="AD5" s="16"/>
      <c r="AE5" s="16"/>
      <c r="AF5" s="16"/>
      <c r="AG5" s="16"/>
      <c r="AH5" s="16"/>
      <c r="AI5" s="16"/>
      <c r="AJ5" s="16"/>
      <c r="AK5" s="16" t="s">
        <v>0</v>
      </c>
      <c r="AL5" s="16"/>
      <c r="AM5" s="16"/>
    </row>
    <row r="6" spans="1:39" ht="20.25" x14ac:dyDescent="0.25">
      <c r="A6" s="653" t="s">
        <v>1</v>
      </c>
      <c r="B6" s="656" t="s">
        <v>2</v>
      </c>
      <c r="C6" s="233"/>
      <c r="D6" s="234"/>
      <c r="E6" s="645" t="s">
        <v>205</v>
      </c>
      <c r="F6" s="659">
        <v>2015</v>
      </c>
      <c r="G6" s="659"/>
      <c r="H6" s="659"/>
      <c r="I6" s="659"/>
      <c r="J6" s="659"/>
      <c r="K6" s="659"/>
      <c r="L6" s="235"/>
      <c r="M6" s="659">
        <v>2016</v>
      </c>
      <c r="N6" s="659"/>
      <c r="O6" s="659"/>
      <c r="P6" s="659"/>
      <c r="Q6" s="659"/>
      <c r="R6" s="659"/>
      <c r="S6" s="645" t="s">
        <v>143</v>
      </c>
      <c r="T6" s="645" t="s">
        <v>215</v>
      </c>
      <c r="U6" s="645" t="s">
        <v>203</v>
      </c>
      <c r="V6" s="645" t="s">
        <v>143</v>
      </c>
      <c r="W6" s="645" t="s">
        <v>204</v>
      </c>
      <c r="X6" s="645" t="s">
        <v>9</v>
      </c>
      <c r="Y6" s="236"/>
      <c r="Z6" s="237"/>
      <c r="AA6" s="645" t="s">
        <v>10</v>
      </c>
      <c r="AB6" s="645"/>
      <c r="AC6" s="645"/>
      <c r="AD6" s="238"/>
      <c r="AE6" s="642" t="s">
        <v>230</v>
      </c>
      <c r="AF6" s="651"/>
      <c r="AG6" s="651"/>
      <c r="AH6" s="642" t="s">
        <v>232</v>
      </c>
      <c r="AI6" s="642" t="s">
        <v>234</v>
      </c>
      <c r="AJ6" s="642" t="s">
        <v>233</v>
      </c>
      <c r="AK6" s="648" t="s">
        <v>12</v>
      </c>
      <c r="AL6" s="16"/>
      <c r="AM6" s="16"/>
    </row>
    <row r="7" spans="1:39" ht="32.25" customHeight="1" x14ac:dyDescent="0.25">
      <c r="A7" s="654"/>
      <c r="B7" s="657"/>
      <c r="C7" s="657" t="s">
        <v>3</v>
      </c>
      <c r="D7" s="646" t="s">
        <v>4</v>
      </c>
      <c r="E7" s="646"/>
      <c r="F7" s="663" t="s">
        <v>5</v>
      </c>
      <c r="G7" s="663" t="s">
        <v>6</v>
      </c>
      <c r="H7" s="663"/>
      <c r="I7" s="646" t="s">
        <v>210</v>
      </c>
      <c r="J7" s="646" t="s">
        <v>213</v>
      </c>
      <c r="K7" s="646" t="s">
        <v>209</v>
      </c>
      <c r="L7" s="646" t="s">
        <v>143</v>
      </c>
      <c r="M7" s="646" t="s">
        <v>6</v>
      </c>
      <c r="N7" s="646" t="s">
        <v>7</v>
      </c>
      <c r="O7" s="646" t="s">
        <v>8</v>
      </c>
      <c r="P7" s="646" t="s">
        <v>211</v>
      </c>
      <c r="Q7" s="646" t="s">
        <v>214</v>
      </c>
      <c r="R7" s="646" t="s">
        <v>212</v>
      </c>
      <c r="S7" s="646"/>
      <c r="T7" s="646"/>
      <c r="U7" s="646"/>
      <c r="V7" s="646"/>
      <c r="W7" s="646"/>
      <c r="X7" s="646"/>
      <c r="Y7" s="646" t="s">
        <v>202</v>
      </c>
      <c r="Z7" s="646" t="s">
        <v>12</v>
      </c>
      <c r="AA7" s="646"/>
      <c r="AB7" s="646"/>
      <c r="AC7" s="646"/>
      <c r="AD7" s="661" t="s">
        <v>11</v>
      </c>
      <c r="AE7" s="652"/>
      <c r="AF7" s="652"/>
      <c r="AG7" s="652"/>
      <c r="AH7" s="643"/>
      <c r="AI7" s="643"/>
      <c r="AJ7" s="643"/>
      <c r="AK7" s="649"/>
      <c r="AL7" s="17"/>
      <c r="AM7" s="17"/>
    </row>
    <row r="8" spans="1:39" ht="66" customHeight="1" thickBot="1" x14ac:dyDescent="0.3">
      <c r="A8" s="655"/>
      <c r="B8" s="658"/>
      <c r="C8" s="658"/>
      <c r="D8" s="647"/>
      <c r="E8" s="647"/>
      <c r="F8" s="660"/>
      <c r="G8" s="660" t="s">
        <v>13</v>
      </c>
      <c r="H8" s="660" t="s">
        <v>14</v>
      </c>
      <c r="I8" s="660"/>
      <c r="J8" s="647"/>
      <c r="K8" s="660"/>
      <c r="L8" s="647"/>
      <c r="M8" s="647"/>
      <c r="N8" s="647"/>
      <c r="O8" s="647"/>
      <c r="P8" s="660"/>
      <c r="Q8" s="660"/>
      <c r="R8" s="660"/>
      <c r="S8" s="647"/>
      <c r="T8" s="647"/>
      <c r="U8" s="647"/>
      <c r="V8" s="647"/>
      <c r="W8" s="647"/>
      <c r="X8" s="647"/>
      <c r="Y8" s="647"/>
      <c r="Z8" s="647"/>
      <c r="AA8" s="239">
        <v>2017</v>
      </c>
      <c r="AB8" s="239">
        <v>2018</v>
      </c>
      <c r="AC8" s="239">
        <v>2019</v>
      </c>
      <c r="AD8" s="662"/>
      <c r="AE8" s="240" t="s">
        <v>216</v>
      </c>
      <c r="AF8" s="240" t="s">
        <v>231</v>
      </c>
      <c r="AG8" s="240" t="s">
        <v>218</v>
      </c>
      <c r="AH8" s="644"/>
      <c r="AI8" s="644"/>
      <c r="AJ8" s="644"/>
      <c r="AK8" s="650"/>
      <c r="AL8" s="17"/>
      <c r="AM8" s="18"/>
    </row>
    <row r="9" spans="1:39" ht="24" customHeight="1" x14ac:dyDescent="0.25">
      <c r="A9" s="225"/>
      <c r="B9" s="226"/>
      <c r="C9" s="226"/>
      <c r="D9" s="227"/>
      <c r="E9" s="228"/>
      <c r="F9" s="228"/>
      <c r="G9" s="228"/>
      <c r="H9" s="228"/>
      <c r="I9" s="228"/>
      <c r="J9" s="228"/>
      <c r="K9" s="228"/>
      <c r="L9" s="228"/>
      <c r="M9" s="228"/>
      <c r="N9" s="229"/>
      <c r="O9" s="229"/>
      <c r="P9" s="229"/>
      <c r="Q9" s="229"/>
      <c r="R9" s="229"/>
      <c r="S9" s="229"/>
      <c r="T9" s="229"/>
      <c r="U9" s="228"/>
      <c r="V9" s="228"/>
      <c r="W9" s="228"/>
      <c r="X9" s="228"/>
      <c r="Y9" s="228"/>
      <c r="Z9" s="230"/>
      <c r="AA9" s="229"/>
      <c r="AB9" s="229"/>
      <c r="AC9" s="229"/>
      <c r="AD9" s="231"/>
      <c r="AE9" s="231"/>
      <c r="AF9" s="231"/>
      <c r="AG9" s="231"/>
      <c r="AH9" s="231"/>
      <c r="AI9" s="231"/>
      <c r="AJ9" s="231"/>
      <c r="AK9" s="232"/>
      <c r="AL9" s="18" t="s">
        <v>201</v>
      </c>
      <c r="AM9" s="18"/>
    </row>
    <row r="10" spans="1:39" ht="18.75" x14ac:dyDescent="0.25">
      <c r="A10" s="667" t="s">
        <v>15</v>
      </c>
      <c r="B10" s="668"/>
      <c r="C10" s="127" t="s">
        <v>16</v>
      </c>
      <c r="D10" s="128"/>
      <c r="E10" s="129">
        <f>E120</f>
        <v>15000000000</v>
      </c>
      <c r="F10" s="129">
        <f>SUM(F12,F35,F69,F95)</f>
        <v>1390000000</v>
      </c>
      <c r="G10" s="129">
        <f t="shared" ref="G10:K10" si="0">SUM(G12,G35,G69,G95)</f>
        <v>2615825000</v>
      </c>
      <c r="H10" s="129">
        <f t="shared" si="0"/>
        <v>440010538.03590667</v>
      </c>
      <c r="I10" s="129">
        <f t="shared" si="0"/>
        <v>1550772384.3940001</v>
      </c>
      <c r="J10" s="129">
        <f t="shared" si="0"/>
        <v>1287116732.1570001</v>
      </c>
      <c r="K10" s="129">
        <f t="shared" si="0"/>
        <v>263655652.23699999</v>
      </c>
      <c r="L10" s="129"/>
      <c r="M10" s="129">
        <f>M120</f>
        <v>1485100000</v>
      </c>
      <c r="N10" s="129"/>
      <c r="O10" s="129">
        <f>O120</f>
        <v>12124900000</v>
      </c>
      <c r="P10" s="129"/>
      <c r="Q10" s="129"/>
      <c r="R10" s="129"/>
      <c r="S10" s="129"/>
      <c r="T10" s="129"/>
      <c r="U10" s="129">
        <f>+U12+U35+U69+U95</f>
        <v>3236797100</v>
      </c>
      <c r="V10" s="129"/>
      <c r="W10" s="129">
        <f>+W12+W35+W69+W95</f>
        <v>7468700900</v>
      </c>
      <c r="X10" s="129">
        <f>+X12+X35+X69+X95</f>
        <v>9556102900</v>
      </c>
      <c r="Y10" s="129">
        <f t="shared" ref="Y10:AF10" si="1">+Y12+Y35+Y69+Y95</f>
        <v>4518739550</v>
      </c>
      <c r="Z10" s="129">
        <f t="shared" si="1"/>
        <v>0</v>
      </c>
      <c r="AA10" s="129">
        <f t="shared" si="1"/>
        <v>5157105555</v>
      </c>
      <c r="AB10" s="129">
        <f t="shared" si="1"/>
        <v>4252427042</v>
      </c>
      <c r="AC10" s="129">
        <f t="shared" si="1"/>
        <v>2715367403</v>
      </c>
      <c r="AD10" s="129">
        <f t="shared" si="1"/>
        <v>0</v>
      </c>
      <c r="AE10" s="129">
        <f t="shared" si="1"/>
        <v>3687786200</v>
      </c>
      <c r="AF10" s="129">
        <f t="shared" si="1"/>
        <v>2246057240</v>
      </c>
      <c r="AG10" s="129">
        <f>+AG12+AG35+AG69+AG95</f>
        <v>3437328960</v>
      </c>
      <c r="AH10" s="129">
        <f t="shared" ref="AH10:AJ10" si="2">+AH12+AH35+AH69+AH95</f>
        <v>7921708304</v>
      </c>
      <c r="AI10" s="129">
        <f t="shared" si="2"/>
        <v>4254928960</v>
      </c>
      <c r="AJ10" s="129">
        <f t="shared" si="2"/>
        <v>9016094845.8369999</v>
      </c>
      <c r="AK10" s="193"/>
      <c r="AL10" s="18"/>
      <c r="AM10" s="18"/>
    </row>
    <row r="11" spans="1:39" s="24" customFormat="1" ht="12.75" customHeight="1" x14ac:dyDescent="0.25">
      <c r="A11" s="194"/>
      <c r="B11" s="130"/>
      <c r="C11" s="130"/>
      <c r="D11" s="131"/>
      <c r="E11" s="125"/>
      <c r="F11" s="125"/>
      <c r="G11" s="125"/>
      <c r="H11" s="125"/>
      <c r="I11" s="125"/>
      <c r="J11" s="125"/>
      <c r="K11" s="125"/>
      <c r="L11" s="125"/>
      <c r="M11" s="125"/>
      <c r="N11" s="131"/>
      <c r="O11" s="131"/>
      <c r="P11" s="131"/>
      <c r="Q11" s="131"/>
      <c r="R11" s="131"/>
      <c r="S11" s="131"/>
      <c r="T11" s="131"/>
      <c r="U11" s="125"/>
      <c r="V11" s="125"/>
      <c r="W11" s="125"/>
      <c r="X11" s="125"/>
      <c r="Y11" s="125"/>
      <c r="Z11" s="131"/>
      <c r="AA11" s="131"/>
      <c r="AB11" s="131"/>
      <c r="AC11" s="131"/>
      <c r="AD11" s="124"/>
      <c r="AE11" s="124"/>
      <c r="AF11" s="124"/>
      <c r="AG11" s="124"/>
      <c r="AH11" s="124"/>
      <c r="AI11" s="124"/>
      <c r="AJ11" s="124"/>
      <c r="AK11" s="195"/>
      <c r="AL11" s="23"/>
      <c r="AM11" s="23"/>
    </row>
    <row r="12" spans="1:39" ht="18.75" x14ac:dyDescent="0.25">
      <c r="A12" s="669" t="s">
        <v>17</v>
      </c>
      <c r="B12" s="670"/>
      <c r="C12" s="132" t="s">
        <v>18</v>
      </c>
      <c r="D12" s="133"/>
      <c r="E12" s="134">
        <f>E14+E22+E26+E30</f>
        <v>881500000</v>
      </c>
      <c r="F12" s="134">
        <f>F14+F22+F26+F30</f>
        <v>154000000</v>
      </c>
      <c r="G12" s="134">
        <f t="shared" ref="G12:K12" si="3">G14+G22+G26+G30</f>
        <v>174325000</v>
      </c>
      <c r="H12" s="134">
        <f t="shared" si="3"/>
        <v>9482.8252690491609</v>
      </c>
      <c r="I12" s="134">
        <f t="shared" si="3"/>
        <v>106111547.39400001</v>
      </c>
      <c r="J12" s="134">
        <f t="shared" si="3"/>
        <v>99696126.957000002</v>
      </c>
      <c r="K12" s="134">
        <f t="shared" si="3"/>
        <v>6415420.436999999</v>
      </c>
      <c r="L12" s="134"/>
      <c r="M12" s="134">
        <f>M14+M22+M26+M30</f>
        <v>70100000</v>
      </c>
      <c r="N12" s="134">
        <f t="shared" ref="N12:R12" si="4">N14+N22+N26+N30</f>
        <v>0</v>
      </c>
      <c r="O12" s="134">
        <f t="shared" si="4"/>
        <v>657400000</v>
      </c>
      <c r="P12" s="134">
        <f t="shared" si="4"/>
        <v>70086230</v>
      </c>
      <c r="Q12" s="134">
        <f t="shared" si="4"/>
        <v>56756230</v>
      </c>
      <c r="R12" s="134">
        <f t="shared" si="4"/>
        <v>13330000</v>
      </c>
      <c r="S12" s="134"/>
      <c r="T12" s="134"/>
      <c r="U12" s="134">
        <f>SUM(U14,U22,U26,U30)</f>
        <v>244703800</v>
      </c>
      <c r="V12" s="134"/>
      <c r="W12" s="134">
        <f>SUM(W15:W33)</f>
        <v>712607600</v>
      </c>
      <c r="X12" s="134">
        <f>X14+X22+X26+X30</f>
        <v>412696200</v>
      </c>
      <c r="Y12" s="134">
        <f>Y14+Y22+Y26+Y30</f>
        <v>160536200</v>
      </c>
      <c r="Z12" s="135"/>
      <c r="AA12" s="134">
        <f t="shared" ref="AA12:AC12" si="5">AA14+AA22+AA26+AA30</f>
        <v>318871625</v>
      </c>
      <c r="AB12" s="134">
        <f t="shared" si="5"/>
        <v>212021140</v>
      </c>
      <c r="AC12" s="134">
        <f t="shared" si="5"/>
        <v>126507235</v>
      </c>
      <c r="AD12" s="136"/>
      <c r="AE12" s="134">
        <f>SUM(AE14,AE22,AE26,AE30)</f>
        <v>344536200</v>
      </c>
      <c r="AF12" s="134">
        <f t="shared" ref="AF12:AG12" si="6">SUM(AF14,AF22,AF26,AF30)</f>
        <v>154307240</v>
      </c>
      <c r="AG12" s="134">
        <f t="shared" si="6"/>
        <v>105228960</v>
      </c>
      <c r="AH12" s="134">
        <f>SUM(AH14,AH22,AH26,AH30)</f>
        <v>412341040</v>
      </c>
      <c r="AI12" s="134">
        <f t="shared" ref="AI12:AJ12" si="7">SUM(AI14,AI22,AI26,AI30)</f>
        <v>105228960</v>
      </c>
      <c r="AJ12" s="134">
        <f t="shared" si="7"/>
        <v>608985420.43700004</v>
      </c>
      <c r="AK12" s="196"/>
      <c r="AL12" s="25"/>
      <c r="AM12" s="26"/>
    </row>
    <row r="13" spans="1:39" s="27" customFormat="1" ht="14.25" customHeight="1" x14ac:dyDescent="0.25">
      <c r="A13" s="194"/>
      <c r="B13" s="137"/>
      <c r="C13" s="137"/>
      <c r="D13" s="138"/>
      <c r="E13" s="139"/>
      <c r="F13" s="139"/>
      <c r="G13" s="139"/>
      <c r="H13" s="139"/>
      <c r="I13" s="139"/>
      <c r="J13" s="139"/>
      <c r="K13" s="139"/>
      <c r="L13" s="139"/>
      <c r="M13" s="139"/>
      <c r="N13" s="131"/>
      <c r="O13" s="131"/>
      <c r="P13" s="131"/>
      <c r="Q13" s="131"/>
      <c r="R13" s="131"/>
      <c r="S13" s="131"/>
      <c r="T13" s="131"/>
      <c r="U13" s="139"/>
      <c r="V13" s="139"/>
      <c r="W13" s="139"/>
      <c r="X13" s="139"/>
      <c r="Y13" s="139"/>
      <c r="Z13" s="140"/>
      <c r="AA13" s="131"/>
      <c r="AB13" s="131"/>
      <c r="AC13" s="131"/>
      <c r="AD13" s="124"/>
      <c r="AE13" s="124"/>
      <c r="AF13" s="124"/>
      <c r="AG13" s="124"/>
      <c r="AH13" s="124"/>
      <c r="AI13" s="124"/>
      <c r="AJ13" s="124"/>
      <c r="AK13" s="195"/>
      <c r="AL13" s="23"/>
      <c r="AM13" s="23"/>
    </row>
    <row r="14" spans="1:39" ht="18.75" x14ac:dyDescent="0.25">
      <c r="A14" s="197">
        <v>1</v>
      </c>
      <c r="B14" s="141" t="s">
        <v>19</v>
      </c>
      <c r="C14" s="142" t="s">
        <v>20</v>
      </c>
      <c r="D14" s="143"/>
      <c r="E14" s="125">
        <f>SUM(E15:E20)</f>
        <v>470000000</v>
      </c>
      <c r="F14" s="125">
        <f>SUM(F15:F20)</f>
        <v>40000000</v>
      </c>
      <c r="G14" s="125">
        <f t="shared" ref="G14:K14" si="8">SUM(G15:G20)</f>
        <v>81000000</v>
      </c>
      <c r="H14" s="125">
        <f t="shared" si="8"/>
        <v>9114.7000000000007</v>
      </c>
      <c r="I14" s="125">
        <f t="shared" si="8"/>
        <v>37588420</v>
      </c>
      <c r="J14" s="125">
        <f t="shared" si="8"/>
        <v>35828558</v>
      </c>
      <c r="K14" s="125">
        <f t="shared" si="8"/>
        <v>1759862</v>
      </c>
      <c r="L14" s="125"/>
      <c r="M14" s="125">
        <f>SUM(M15:M20)</f>
        <v>30000000</v>
      </c>
      <c r="N14" s="125">
        <f t="shared" ref="N14:S14" si="9">SUM(N15:N20)</f>
        <v>0</v>
      </c>
      <c r="O14" s="125">
        <f t="shared" si="9"/>
        <v>400000000</v>
      </c>
      <c r="P14" s="125">
        <f t="shared" si="9"/>
        <v>29986230</v>
      </c>
      <c r="Q14" s="125">
        <f t="shared" si="9"/>
        <v>29986230</v>
      </c>
      <c r="R14" s="125">
        <f t="shared" si="9"/>
        <v>0</v>
      </c>
      <c r="S14" s="144">
        <f t="shared" si="9"/>
        <v>0</v>
      </c>
      <c r="T14" s="139"/>
      <c r="U14" s="125">
        <f>SUM(U15:U20)</f>
        <v>155000000</v>
      </c>
      <c r="V14" s="144">
        <f t="shared" ref="V14" si="10">SUM(V15:V20)</f>
        <v>0</v>
      </c>
      <c r="W14" s="125">
        <f>SUM(W15:W20)</f>
        <v>225000000</v>
      </c>
      <c r="X14" s="125">
        <f>SUM(X15:X20)</f>
        <v>245000000</v>
      </c>
      <c r="Y14" s="125">
        <f>SUM(Y15:Y20)</f>
        <v>100000000</v>
      </c>
      <c r="Z14" s="131"/>
      <c r="AA14" s="125">
        <f t="shared" ref="AA14:AC14" si="11">SUM(AA15:AA20)</f>
        <v>210000000</v>
      </c>
      <c r="AB14" s="125">
        <f t="shared" si="11"/>
        <v>135000000</v>
      </c>
      <c r="AC14" s="125">
        <f t="shared" si="11"/>
        <v>55000000</v>
      </c>
      <c r="AD14" s="145"/>
      <c r="AE14" s="125">
        <f>SUM(AE15:AE20)</f>
        <v>245000000</v>
      </c>
      <c r="AF14" s="125">
        <f t="shared" ref="AF14:AI14" si="12">SUM(AF15:AF20)</f>
        <v>120000000</v>
      </c>
      <c r="AG14" s="125">
        <f t="shared" si="12"/>
        <v>40000000</v>
      </c>
      <c r="AH14" s="125">
        <f t="shared" si="12"/>
        <v>275000000</v>
      </c>
      <c r="AI14" s="125">
        <f t="shared" si="12"/>
        <v>40000000</v>
      </c>
      <c r="AJ14" s="125">
        <f>SUM(AJ15:AJ20)</f>
        <v>401759862</v>
      </c>
      <c r="AK14" s="198"/>
      <c r="AL14" s="28"/>
      <c r="AM14" s="23"/>
    </row>
    <row r="15" spans="1:39" s="31" customFormat="1" ht="18.75" customHeight="1" x14ac:dyDescent="0.25">
      <c r="A15" s="199"/>
      <c r="B15" s="137" t="s">
        <v>21</v>
      </c>
      <c r="C15" s="137" t="s">
        <v>22</v>
      </c>
      <c r="D15" s="138">
        <f>+E15/8</f>
        <v>10000000</v>
      </c>
      <c r="E15" s="139">
        <v>80000000</v>
      </c>
      <c r="F15" s="139">
        <v>20000000</v>
      </c>
      <c r="G15" s="139">
        <v>20000000</v>
      </c>
      <c r="H15" s="139">
        <f>+G15/D15</f>
        <v>2</v>
      </c>
      <c r="I15" s="139">
        <v>17598620</v>
      </c>
      <c r="J15" s="139">
        <v>15838758</v>
      </c>
      <c r="K15" s="139">
        <f>I15-J15</f>
        <v>1759862</v>
      </c>
      <c r="L15" s="146" t="s">
        <v>223</v>
      </c>
      <c r="M15" s="139">
        <v>0</v>
      </c>
      <c r="N15" s="140" t="s">
        <v>23</v>
      </c>
      <c r="O15" s="139">
        <f t="shared" ref="O15:O20" si="13">+E15-F15-M15</f>
        <v>60000000</v>
      </c>
      <c r="P15" s="139"/>
      <c r="Q15" s="139"/>
      <c r="R15" s="139">
        <f t="shared" ref="R15:R16" si="14">P15-Q15</f>
        <v>0</v>
      </c>
      <c r="S15" s="146"/>
      <c r="T15" s="139">
        <f>SUM(K15,R15)</f>
        <v>1759862</v>
      </c>
      <c r="U15" s="139">
        <v>0</v>
      </c>
      <c r="V15" s="146">
        <v>0</v>
      </c>
      <c r="W15" s="139">
        <f>+F15+M15+U15</f>
        <v>20000000</v>
      </c>
      <c r="X15" s="139">
        <f t="shared" ref="X15:X20" si="15">+E15-F15-M15-U15</f>
        <v>60000000</v>
      </c>
      <c r="Y15" s="139">
        <v>20000000</v>
      </c>
      <c r="Z15" s="140"/>
      <c r="AA15" s="139">
        <v>20000000</v>
      </c>
      <c r="AB15" s="139">
        <v>20000000</v>
      </c>
      <c r="AC15" s="139">
        <v>20000000</v>
      </c>
      <c r="AD15" s="126">
        <f t="shared" ref="AD15:AD20" si="16">+O15-AA15-AB15-AC15</f>
        <v>0</v>
      </c>
      <c r="AE15" s="126">
        <v>60000000</v>
      </c>
      <c r="AF15" s="126">
        <v>20000000</v>
      </c>
      <c r="AG15" s="126">
        <v>40000000</v>
      </c>
      <c r="AH15" s="126">
        <f>SUM(AF15,U15,R15)</f>
        <v>20000000</v>
      </c>
      <c r="AI15" s="126">
        <v>40000000</v>
      </c>
      <c r="AJ15" s="126">
        <f>SUM(AE15,U15,T15)</f>
        <v>61759862</v>
      </c>
      <c r="AK15" s="200" t="s">
        <v>201</v>
      </c>
      <c r="AL15" s="29"/>
      <c r="AM15" s="30"/>
    </row>
    <row r="16" spans="1:39" s="27" customFormat="1" ht="18.75" customHeight="1" x14ac:dyDescent="0.25">
      <c r="A16" s="194"/>
      <c r="B16" s="137" t="s">
        <v>24</v>
      </c>
      <c r="C16" s="137" t="s">
        <v>25</v>
      </c>
      <c r="D16" s="138">
        <f>+E16/5</f>
        <v>26000000</v>
      </c>
      <c r="E16" s="139">
        <v>130000000</v>
      </c>
      <c r="F16" s="139">
        <v>0</v>
      </c>
      <c r="G16" s="139">
        <v>0</v>
      </c>
      <c r="H16" s="139"/>
      <c r="I16" s="139"/>
      <c r="J16" s="139"/>
      <c r="K16" s="139"/>
      <c r="L16" s="146"/>
      <c r="M16" s="139">
        <v>0</v>
      </c>
      <c r="N16" s="140"/>
      <c r="O16" s="139">
        <f t="shared" si="13"/>
        <v>130000000</v>
      </c>
      <c r="P16" s="139"/>
      <c r="Q16" s="139"/>
      <c r="R16" s="139">
        <f t="shared" si="14"/>
        <v>0</v>
      </c>
      <c r="S16" s="146"/>
      <c r="T16" s="139">
        <f t="shared" ref="T16:T34" si="17">SUM(K16,R16)</f>
        <v>0</v>
      </c>
      <c r="U16" s="139">
        <v>45000000</v>
      </c>
      <c r="V16" s="146" t="s">
        <v>227</v>
      </c>
      <c r="W16" s="139">
        <f t="shared" ref="W16:W20" si="18">+F16+M16+U16</f>
        <v>45000000</v>
      </c>
      <c r="X16" s="139">
        <f t="shared" si="15"/>
        <v>85000000</v>
      </c>
      <c r="Y16" s="139">
        <v>45000000</v>
      </c>
      <c r="Z16" s="140"/>
      <c r="AA16" s="139">
        <v>70000000</v>
      </c>
      <c r="AB16" s="139">
        <v>60000000</v>
      </c>
      <c r="AC16" s="139">
        <v>0</v>
      </c>
      <c r="AD16" s="126">
        <f t="shared" si="16"/>
        <v>0</v>
      </c>
      <c r="AE16" s="126">
        <v>85000000</v>
      </c>
      <c r="AF16" s="126"/>
      <c r="AG16" s="126"/>
      <c r="AH16" s="126">
        <f t="shared" ref="AH16:AH20" si="19">SUM(AF16,U16,R16)</f>
        <v>45000000</v>
      </c>
      <c r="AI16" s="126"/>
      <c r="AJ16" s="126">
        <f t="shared" ref="AJ16:AJ20" si="20">SUM(AE16,U16,T16)</f>
        <v>130000000</v>
      </c>
      <c r="AK16" s="200"/>
      <c r="AL16" s="29"/>
      <c r="AM16" s="32"/>
    </row>
    <row r="17" spans="1:39" s="27" customFormat="1" ht="18.75" customHeight="1" x14ac:dyDescent="0.25">
      <c r="A17" s="194"/>
      <c r="B17" s="137" t="s">
        <v>26</v>
      </c>
      <c r="C17" s="137" t="s">
        <v>27</v>
      </c>
      <c r="D17" s="138">
        <f>+E17/9090</f>
        <v>2200.2200220022</v>
      </c>
      <c r="E17" s="139">
        <v>20000000</v>
      </c>
      <c r="F17" s="139">
        <v>0</v>
      </c>
      <c r="G17" s="139">
        <v>20000000</v>
      </c>
      <c r="H17" s="139">
        <f>+G17/D17</f>
        <v>9090</v>
      </c>
      <c r="I17" s="139"/>
      <c r="J17" s="139"/>
      <c r="K17" s="139"/>
      <c r="L17" s="146"/>
      <c r="M17" s="139">
        <v>20000000</v>
      </c>
      <c r="N17" s="140" t="s">
        <v>23</v>
      </c>
      <c r="O17" s="139">
        <f t="shared" si="13"/>
        <v>0</v>
      </c>
      <c r="P17" s="139">
        <v>19999980</v>
      </c>
      <c r="Q17" s="139">
        <v>19999980</v>
      </c>
      <c r="R17" s="139">
        <f>P17-Q17</f>
        <v>0</v>
      </c>
      <c r="S17" s="146" t="s">
        <v>222</v>
      </c>
      <c r="T17" s="139">
        <f t="shared" si="17"/>
        <v>0</v>
      </c>
      <c r="U17" s="139">
        <v>0</v>
      </c>
      <c r="V17" s="146"/>
      <c r="W17" s="139">
        <f t="shared" si="18"/>
        <v>20000000</v>
      </c>
      <c r="X17" s="139">
        <f t="shared" si="15"/>
        <v>0</v>
      </c>
      <c r="Y17" s="139">
        <v>0</v>
      </c>
      <c r="Z17" s="140"/>
      <c r="AA17" s="139"/>
      <c r="AB17" s="139"/>
      <c r="AC17" s="139"/>
      <c r="AD17" s="126">
        <f t="shared" si="16"/>
        <v>0</v>
      </c>
      <c r="AE17" s="126"/>
      <c r="AF17" s="126"/>
      <c r="AG17" s="126"/>
      <c r="AH17" s="126">
        <f t="shared" si="19"/>
        <v>0</v>
      </c>
      <c r="AI17" s="126"/>
      <c r="AJ17" s="126">
        <f t="shared" si="20"/>
        <v>0</v>
      </c>
      <c r="AK17" s="200"/>
      <c r="AL17" s="29"/>
      <c r="AM17" s="32"/>
    </row>
    <row r="18" spans="1:39" s="27" customFormat="1" ht="18.75" customHeight="1" x14ac:dyDescent="0.25">
      <c r="A18" s="194"/>
      <c r="B18" s="137" t="s">
        <v>28</v>
      </c>
      <c r="C18" s="137" t="s">
        <v>29</v>
      </c>
      <c r="D18" s="138">
        <f>+E18/100</f>
        <v>1000000</v>
      </c>
      <c r="E18" s="139">
        <v>100000000</v>
      </c>
      <c r="F18" s="139">
        <v>20000000</v>
      </c>
      <c r="G18" s="139">
        <v>20000000</v>
      </c>
      <c r="H18" s="139">
        <f>+G18/D18</f>
        <v>20</v>
      </c>
      <c r="I18" s="139">
        <v>19989800</v>
      </c>
      <c r="J18" s="139">
        <v>19989800</v>
      </c>
      <c r="K18" s="139">
        <f>I18-J18</f>
        <v>0</v>
      </c>
      <c r="L18" s="146" t="s">
        <v>222</v>
      </c>
      <c r="M18" s="139">
        <v>0</v>
      </c>
      <c r="N18" s="140" t="s">
        <v>30</v>
      </c>
      <c r="O18" s="139">
        <f t="shared" si="13"/>
        <v>80000000</v>
      </c>
      <c r="P18" s="139"/>
      <c r="Q18" s="139"/>
      <c r="R18" s="139">
        <f t="shared" ref="R18:R34" si="21">P18-Q18</f>
        <v>0</v>
      </c>
      <c r="S18" s="146"/>
      <c r="T18" s="139">
        <f t="shared" si="17"/>
        <v>0</v>
      </c>
      <c r="U18" s="139">
        <v>20000000</v>
      </c>
      <c r="V18" s="146" t="s">
        <v>225</v>
      </c>
      <c r="W18" s="139">
        <f t="shared" si="18"/>
        <v>40000000</v>
      </c>
      <c r="X18" s="139">
        <f t="shared" si="15"/>
        <v>60000000</v>
      </c>
      <c r="Y18" s="139">
        <v>15000000</v>
      </c>
      <c r="Z18" s="140"/>
      <c r="AA18" s="139">
        <v>60000000</v>
      </c>
      <c r="AB18" s="139">
        <v>20000000</v>
      </c>
      <c r="AC18" s="139">
        <v>0</v>
      </c>
      <c r="AD18" s="126">
        <f t="shared" si="16"/>
        <v>0</v>
      </c>
      <c r="AE18" s="126">
        <v>60000000</v>
      </c>
      <c r="AF18" s="126">
        <v>60000000</v>
      </c>
      <c r="AG18" s="126"/>
      <c r="AH18" s="126">
        <f t="shared" si="19"/>
        <v>80000000</v>
      </c>
      <c r="AI18" s="126"/>
      <c r="AJ18" s="126">
        <f t="shared" si="20"/>
        <v>80000000</v>
      </c>
      <c r="AK18" s="200"/>
      <c r="AL18" s="29"/>
      <c r="AM18" s="32"/>
    </row>
    <row r="19" spans="1:39" s="27" customFormat="1" ht="18.75" customHeight="1" x14ac:dyDescent="0.25">
      <c r="A19" s="194"/>
      <c r="B19" s="137" t="s">
        <v>31</v>
      </c>
      <c r="C19" s="137" t="s">
        <v>32</v>
      </c>
      <c r="D19" s="138">
        <f>+E19/9</f>
        <v>8888888.8888888881</v>
      </c>
      <c r="E19" s="139">
        <v>80000000</v>
      </c>
      <c r="F19" s="139">
        <v>0</v>
      </c>
      <c r="G19" s="139">
        <v>12000000</v>
      </c>
      <c r="H19" s="139">
        <f>+G19/D19</f>
        <v>1.35</v>
      </c>
      <c r="I19" s="139"/>
      <c r="J19" s="139"/>
      <c r="K19" s="139"/>
      <c r="L19" s="146"/>
      <c r="M19" s="139">
        <v>10000000</v>
      </c>
      <c r="N19" s="140" t="s">
        <v>33</v>
      </c>
      <c r="O19" s="139">
        <f t="shared" si="13"/>
        <v>70000000</v>
      </c>
      <c r="P19" s="139">
        <v>9986250</v>
      </c>
      <c r="Q19" s="139">
        <v>9986250</v>
      </c>
      <c r="R19" s="139">
        <f t="shared" si="21"/>
        <v>0</v>
      </c>
      <c r="S19" s="146" t="s">
        <v>222</v>
      </c>
      <c r="T19" s="139">
        <f t="shared" si="17"/>
        <v>0</v>
      </c>
      <c r="U19" s="139">
        <v>70000000</v>
      </c>
      <c r="V19" s="146" t="s">
        <v>225</v>
      </c>
      <c r="W19" s="139">
        <f t="shared" si="18"/>
        <v>80000000</v>
      </c>
      <c r="X19" s="139">
        <f t="shared" si="15"/>
        <v>0</v>
      </c>
      <c r="Y19" s="139">
        <v>0</v>
      </c>
      <c r="Z19" s="140"/>
      <c r="AA19" s="139">
        <v>30000000</v>
      </c>
      <c r="AB19" s="139">
        <v>20000000</v>
      </c>
      <c r="AC19" s="139">
        <v>20000000</v>
      </c>
      <c r="AD19" s="126">
        <f t="shared" si="16"/>
        <v>0</v>
      </c>
      <c r="AE19" s="126"/>
      <c r="AF19" s="126"/>
      <c r="AG19" s="126"/>
      <c r="AH19" s="126">
        <f t="shared" si="19"/>
        <v>70000000</v>
      </c>
      <c r="AI19" s="126"/>
      <c r="AJ19" s="126">
        <f t="shared" si="20"/>
        <v>70000000</v>
      </c>
      <c r="AK19" s="200"/>
      <c r="AL19" s="29"/>
      <c r="AM19" s="32"/>
    </row>
    <row r="20" spans="1:39" s="27" customFormat="1" ht="18.75" customHeight="1" x14ac:dyDescent="0.25">
      <c r="A20" s="194"/>
      <c r="B20" s="137" t="s">
        <v>34</v>
      </c>
      <c r="C20" s="137" t="s">
        <v>32</v>
      </c>
      <c r="D20" s="138">
        <f>+E20/9</f>
        <v>6666666.666666667</v>
      </c>
      <c r="E20" s="139">
        <v>60000000</v>
      </c>
      <c r="F20" s="139">
        <v>0</v>
      </c>
      <c r="G20" s="139">
        <v>9000000</v>
      </c>
      <c r="H20" s="139">
        <f>+G20/D20</f>
        <v>1.3499999999999999</v>
      </c>
      <c r="I20" s="139"/>
      <c r="J20" s="139"/>
      <c r="K20" s="139"/>
      <c r="L20" s="146"/>
      <c r="M20" s="139">
        <v>0</v>
      </c>
      <c r="N20" s="140"/>
      <c r="O20" s="139">
        <f t="shared" si="13"/>
        <v>60000000</v>
      </c>
      <c r="P20" s="139"/>
      <c r="Q20" s="139"/>
      <c r="R20" s="139">
        <f t="shared" si="21"/>
        <v>0</v>
      </c>
      <c r="S20" s="146"/>
      <c r="T20" s="139">
        <f t="shared" si="17"/>
        <v>0</v>
      </c>
      <c r="U20" s="139">
        <v>20000000</v>
      </c>
      <c r="V20" s="146" t="s">
        <v>227</v>
      </c>
      <c r="W20" s="139">
        <f t="shared" si="18"/>
        <v>20000000</v>
      </c>
      <c r="X20" s="139">
        <f t="shared" si="15"/>
        <v>40000000</v>
      </c>
      <c r="Y20" s="139">
        <v>20000000</v>
      </c>
      <c r="Z20" s="140"/>
      <c r="AA20" s="139">
        <v>30000000</v>
      </c>
      <c r="AB20" s="139">
        <v>15000000</v>
      </c>
      <c r="AC20" s="139">
        <v>15000000</v>
      </c>
      <c r="AD20" s="126">
        <f t="shared" si="16"/>
        <v>0</v>
      </c>
      <c r="AE20" s="126">
        <v>40000000</v>
      </c>
      <c r="AF20" s="126">
        <v>40000000</v>
      </c>
      <c r="AG20" s="126"/>
      <c r="AH20" s="126">
        <f t="shared" si="19"/>
        <v>60000000</v>
      </c>
      <c r="AI20" s="126"/>
      <c r="AJ20" s="126">
        <f t="shared" si="20"/>
        <v>60000000</v>
      </c>
      <c r="AK20" s="200"/>
      <c r="AL20" s="29"/>
      <c r="AM20" s="32"/>
    </row>
    <row r="21" spans="1:39" s="27" customFormat="1" ht="18.75" customHeight="1" x14ac:dyDescent="0.25">
      <c r="A21" s="194"/>
      <c r="B21" s="137"/>
      <c r="C21" s="137"/>
      <c r="D21" s="138"/>
      <c r="E21" s="139"/>
      <c r="F21" s="139"/>
      <c r="G21" s="139"/>
      <c r="H21" s="139"/>
      <c r="I21" s="139"/>
      <c r="J21" s="139"/>
      <c r="K21" s="139"/>
      <c r="L21" s="146"/>
      <c r="M21" s="139"/>
      <c r="N21" s="140"/>
      <c r="O21" s="139"/>
      <c r="P21" s="139"/>
      <c r="Q21" s="139"/>
      <c r="R21" s="139">
        <f t="shared" si="21"/>
        <v>0</v>
      </c>
      <c r="S21" s="146"/>
      <c r="T21" s="139">
        <f t="shared" si="17"/>
        <v>0</v>
      </c>
      <c r="U21" s="139"/>
      <c r="V21" s="146"/>
      <c r="W21" s="139"/>
      <c r="X21" s="139"/>
      <c r="Y21" s="139"/>
      <c r="Z21" s="140"/>
      <c r="AA21" s="139"/>
      <c r="AB21" s="139"/>
      <c r="AC21" s="139"/>
      <c r="AD21" s="126"/>
      <c r="AE21" s="126"/>
      <c r="AF21" s="126"/>
      <c r="AG21" s="126"/>
      <c r="AH21" s="126"/>
      <c r="AI21" s="126"/>
      <c r="AJ21" s="126"/>
      <c r="AK21" s="200"/>
      <c r="AL21" s="29"/>
      <c r="AM21" s="23"/>
    </row>
    <row r="22" spans="1:39" ht="18.75" customHeight="1" x14ac:dyDescent="0.25">
      <c r="A22" s="197">
        <v>2</v>
      </c>
      <c r="B22" s="141" t="s">
        <v>35</v>
      </c>
      <c r="C22" s="142" t="s">
        <v>36</v>
      </c>
      <c r="D22" s="143"/>
      <c r="E22" s="125">
        <f>SUM(E23:E24)</f>
        <v>71000000</v>
      </c>
      <c r="F22" s="125">
        <f>SUM(F23:F24)</f>
        <v>32940000</v>
      </c>
      <c r="G22" s="125">
        <f>SUM(G23:G24)</f>
        <v>12600000</v>
      </c>
      <c r="H22" s="125"/>
      <c r="I22" s="125">
        <v>32939895</v>
      </c>
      <c r="J22" s="125">
        <v>32939895</v>
      </c>
      <c r="K22" s="139">
        <f>I22-J22</f>
        <v>0</v>
      </c>
      <c r="L22" s="144"/>
      <c r="M22" s="125">
        <f>SUM(M23:M24)</f>
        <v>10100000</v>
      </c>
      <c r="N22" s="125">
        <f t="shared" ref="N22:S22" si="22">SUM(N23:N24)</f>
        <v>0</v>
      </c>
      <c r="O22" s="125">
        <f t="shared" si="22"/>
        <v>27960000</v>
      </c>
      <c r="P22" s="125">
        <f t="shared" si="22"/>
        <v>10100000</v>
      </c>
      <c r="Q22" s="125">
        <f t="shared" si="22"/>
        <v>4270000</v>
      </c>
      <c r="R22" s="125">
        <f t="shared" si="22"/>
        <v>5830000</v>
      </c>
      <c r="S22" s="144">
        <f t="shared" si="22"/>
        <v>0</v>
      </c>
      <c r="T22" s="139">
        <f t="shared" si="17"/>
        <v>5830000</v>
      </c>
      <c r="U22" s="125">
        <f>SUM(U23:U24)</f>
        <v>27800000</v>
      </c>
      <c r="V22" s="125">
        <f t="shared" ref="V22:W22" si="23">SUM(V23:V24)</f>
        <v>0</v>
      </c>
      <c r="W22" s="125">
        <f t="shared" si="23"/>
        <v>70840000</v>
      </c>
      <c r="X22" s="125">
        <f t="shared" ref="X22:AC22" si="24">SUM(X23:X24)</f>
        <v>160000</v>
      </c>
      <c r="Y22" s="125">
        <f t="shared" ref="Y22" si="25">SUM(Y23:Y24)</f>
        <v>0</v>
      </c>
      <c r="Z22" s="131"/>
      <c r="AA22" s="125">
        <f t="shared" si="24"/>
        <v>27960105</v>
      </c>
      <c r="AB22" s="125">
        <f t="shared" si="24"/>
        <v>0</v>
      </c>
      <c r="AC22" s="125">
        <f t="shared" si="24"/>
        <v>0</v>
      </c>
      <c r="AD22" s="145"/>
      <c r="AE22" s="125">
        <f>SUM(AE23:AE24)</f>
        <v>0</v>
      </c>
      <c r="AF22" s="125">
        <f t="shared" ref="AF22:AJ22" si="26">SUM(AF23:AF24)</f>
        <v>0</v>
      </c>
      <c r="AG22" s="125">
        <f t="shared" si="26"/>
        <v>0</v>
      </c>
      <c r="AH22" s="125">
        <f t="shared" si="26"/>
        <v>33630000</v>
      </c>
      <c r="AI22" s="125">
        <f t="shared" si="26"/>
        <v>0</v>
      </c>
      <c r="AJ22" s="125">
        <f t="shared" si="26"/>
        <v>33630000</v>
      </c>
      <c r="AK22" s="198"/>
      <c r="AL22" s="28"/>
      <c r="AM22" s="23"/>
    </row>
    <row r="23" spans="1:39" s="34" customFormat="1" ht="18.75" customHeight="1" x14ac:dyDescent="0.25">
      <c r="A23" s="201"/>
      <c r="B23" s="137" t="s">
        <v>37</v>
      </c>
      <c r="C23" s="137" t="s">
        <v>38</v>
      </c>
      <c r="D23" s="138">
        <f>+E23/22600</f>
        <v>907.07964601769913</v>
      </c>
      <c r="E23" s="139">
        <v>20500000</v>
      </c>
      <c r="F23" s="139">
        <v>20340000</v>
      </c>
      <c r="G23" s="139">
        <v>0</v>
      </c>
      <c r="H23" s="139"/>
      <c r="I23" s="139"/>
      <c r="J23" s="139"/>
      <c r="K23" s="139">
        <f>I23-J23</f>
        <v>0</v>
      </c>
      <c r="L23" s="146" t="s">
        <v>222</v>
      </c>
      <c r="M23" s="139">
        <v>0</v>
      </c>
      <c r="N23" s="140"/>
      <c r="O23" s="139">
        <f>+E23-F23-M23</f>
        <v>160000</v>
      </c>
      <c r="P23" s="139"/>
      <c r="Q23" s="139"/>
      <c r="R23" s="139">
        <f t="shared" si="21"/>
        <v>0</v>
      </c>
      <c r="S23" s="146"/>
      <c r="T23" s="139">
        <f t="shared" si="17"/>
        <v>0</v>
      </c>
      <c r="U23" s="139">
        <v>0</v>
      </c>
      <c r="V23" s="146"/>
      <c r="W23" s="139">
        <f>+F23+M23+U23</f>
        <v>20340000</v>
      </c>
      <c r="X23" s="139">
        <f>+E23-F23-M23-U23</f>
        <v>160000</v>
      </c>
      <c r="Y23" s="139">
        <v>0</v>
      </c>
      <c r="Z23" s="140"/>
      <c r="AA23" s="139">
        <v>0</v>
      </c>
      <c r="AB23" s="139">
        <v>0</v>
      </c>
      <c r="AC23" s="139">
        <v>0</v>
      </c>
      <c r="AD23" s="126">
        <f>+O23-AA23-AB23-AC23</f>
        <v>160000</v>
      </c>
      <c r="AE23" s="126"/>
      <c r="AF23" s="126"/>
      <c r="AG23" s="126"/>
      <c r="AH23" s="126">
        <f t="shared" ref="AH23:AH24" si="27">SUM(AF23,U23,R23)</f>
        <v>0</v>
      </c>
      <c r="AI23" s="126"/>
      <c r="AJ23" s="126">
        <f t="shared" ref="AJ23:AJ24" si="28">SUM(AE23,U23,T23)</f>
        <v>0</v>
      </c>
      <c r="AK23" s="200"/>
      <c r="AL23" s="29"/>
      <c r="AM23" s="33"/>
    </row>
    <row r="24" spans="1:39" s="27" customFormat="1" ht="18.75" x14ac:dyDescent="0.25">
      <c r="A24" s="194"/>
      <c r="B24" s="137" t="s">
        <v>39</v>
      </c>
      <c r="C24" s="137" t="s">
        <v>40</v>
      </c>
      <c r="D24" s="138">
        <f>+E24/10000</f>
        <v>5050</v>
      </c>
      <c r="E24" s="139">
        <v>50500000</v>
      </c>
      <c r="F24" s="139">
        <v>12600000</v>
      </c>
      <c r="G24" s="139">
        <v>12600000</v>
      </c>
      <c r="H24" s="139">
        <f>+G24/D24</f>
        <v>2495.0495049504952</v>
      </c>
      <c r="I24" s="139"/>
      <c r="J24" s="139"/>
      <c r="K24" s="139">
        <f>I24-J24</f>
        <v>0</v>
      </c>
      <c r="L24" s="146" t="s">
        <v>222</v>
      </c>
      <c r="M24" s="139">
        <v>10100000</v>
      </c>
      <c r="N24" s="140" t="s">
        <v>33</v>
      </c>
      <c r="O24" s="139">
        <f>+E24-F24-M24</f>
        <v>27800000</v>
      </c>
      <c r="P24" s="139">
        <v>10100000</v>
      </c>
      <c r="Q24" s="139">
        <v>4270000</v>
      </c>
      <c r="R24" s="139">
        <f t="shared" si="21"/>
        <v>5830000</v>
      </c>
      <c r="S24" s="146" t="s">
        <v>223</v>
      </c>
      <c r="T24" s="139">
        <f t="shared" si="17"/>
        <v>5830000</v>
      </c>
      <c r="U24" s="139">
        <v>27800000</v>
      </c>
      <c r="V24" s="146" t="s">
        <v>225</v>
      </c>
      <c r="W24" s="139">
        <f>+F24+M24+U24</f>
        <v>50500000</v>
      </c>
      <c r="X24" s="139">
        <f>+E24-F24-M24-U24</f>
        <v>0</v>
      </c>
      <c r="Y24" s="139">
        <v>0</v>
      </c>
      <c r="Z24" s="140"/>
      <c r="AA24" s="139">
        <v>27960105</v>
      </c>
      <c r="AB24" s="139">
        <v>0</v>
      </c>
      <c r="AC24" s="139">
        <v>0</v>
      </c>
      <c r="AD24" s="126">
        <f>+O24-AA24-AB24-AC24</f>
        <v>-160105</v>
      </c>
      <c r="AE24" s="126"/>
      <c r="AF24" s="126"/>
      <c r="AG24" s="126"/>
      <c r="AH24" s="126">
        <f t="shared" si="27"/>
        <v>33630000</v>
      </c>
      <c r="AI24" s="126"/>
      <c r="AJ24" s="126">
        <f t="shared" si="28"/>
        <v>33630000</v>
      </c>
      <c r="AK24" s="200"/>
      <c r="AL24" s="29"/>
      <c r="AM24" s="23"/>
    </row>
    <row r="25" spans="1:39" s="27" customFormat="1" ht="18.75" customHeight="1" x14ac:dyDescent="0.25">
      <c r="A25" s="194"/>
      <c r="B25" s="137"/>
      <c r="C25" s="137"/>
      <c r="D25" s="138"/>
      <c r="E25" s="139"/>
      <c r="F25" s="139"/>
      <c r="G25" s="139"/>
      <c r="H25" s="139"/>
      <c r="I25" s="139"/>
      <c r="J25" s="139"/>
      <c r="K25" s="139">
        <v>0</v>
      </c>
      <c r="L25" s="146"/>
      <c r="M25" s="139"/>
      <c r="N25" s="140"/>
      <c r="O25" s="139"/>
      <c r="P25" s="139"/>
      <c r="Q25" s="139"/>
      <c r="R25" s="139">
        <f t="shared" si="21"/>
        <v>0</v>
      </c>
      <c r="S25" s="146"/>
      <c r="T25" s="139">
        <f t="shared" si="17"/>
        <v>0</v>
      </c>
      <c r="U25" s="139"/>
      <c r="V25" s="146"/>
      <c r="W25" s="139"/>
      <c r="X25" s="139"/>
      <c r="Y25" s="139"/>
      <c r="Z25" s="140"/>
      <c r="AA25" s="139"/>
      <c r="AB25" s="139"/>
      <c r="AC25" s="139"/>
      <c r="AD25" s="126"/>
      <c r="AE25" s="126"/>
      <c r="AF25" s="126"/>
      <c r="AG25" s="126"/>
      <c r="AH25" s="126"/>
      <c r="AI25" s="126"/>
      <c r="AJ25" s="126"/>
      <c r="AK25" s="200"/>
      <c r="AL25" s="29"/>
      <c r="AM25" s="23"/>
    </row>
    <row r="26" spans="1:39" ht="18.75" customHeight="1" x14ac:dyDescent="0.25">
      <c r="A26" s="197">
        <v>3</v>
      </c>
      <c r="B26" s="141" t="s">
        <v>41</v>
      </c>
      <c r="C26" s="142" t="s">
        <v>36</v>
      </c>
      <c r="D26" s="143"/>
      <c r="E26" s="125">
        <f>SUM(E27:E28)</f>
        <v>244000000</v>
      </c>
      <c r="F26" s="125">
        <f>SUM(F27:F28)</f>
        <v>61463800</v>
      </c>
      <c r="G26" s="125">
        <f t="shared" ref="G26:K26" si="29">SUM(G27:G28)</f>
        <v>60821200</v>
      </c>
      <c r="H26" s="125">
        <f t="shared" si="29"/>
        <v>0.2828893023255814</v>
      </c>
      <c r="I26" s="125">
        <f t="shared" si="29"/>
        <v>16960998.649999999</v>
      </c>
      <c r="J26" s="125">
        <f t="shared" si="29"/>
        <v>16960998.649999999</v>
      </c>
      <c r="K26" s="125">
        <f t="shared" si="29"/>
        <v>0</v>
      </c>
      <c r="L26" s="144">
        <f>SUM(L27:L28)</f>
        <v>0</v>
      </c>
      <c r="M26" s="125">
        <f>SUM(M27:M28)</f>
        <v>30000000</v>
      </c>
      <c r="N26" s="125">
        <f t="shared" ref="N26:S26" si="30">SUM(N27:N28)</f>
        <v>0</v>
      </c>
      <c r="O26" s="125">
        <f t="shared" si="30"/>
        <v>152536200</v>
      </c>
      <c r="P26" s="125">
        <f t="shared" si="30"/>
        <v>30000000</v>
      </c>
      <c r="Q26" s="125">
        <f t="shared" si="30"/>
        <v>22500000</v>
      </c>
      <c r="R26" s="125">
        <f t="shared" si="30"/>
        <v>7500000</v>
      </c>
      <c r="S26" s="144">
        <f t="shared" si="30"/>
        <v>0</v>
      </c>
      <c r="T26" s="139">
        <f t="shared" si="17"/>
        <v>7500000</v>
      </c>
      <c r="U26" s="125">
        <f>SUM(U27:U28)</f>
        <v>42000000</v>
      </c>
      <c r="V26" s="125">
        <f t="shared" ref="V26:W26" si="31">SUM(V27:V28)</f>
        <v>0</v>
      </c>
      <c r="W26" s="125">
        <f t="shared" si="31"/>
        <v>133463800</v>
      </c>
      <c r="X26" s="125">
        <f t="shared" ref="X26:AC26" si="32">SUM(X27:X28)</f>
        <v>110536200</v>
      </c>
      <c r="Y26" s="125">
        <f t="shared" ref="Y26" si="33">SUM(Y27:Y28)</f>
        <v>41536200</v>
      </c>
      <c r="Z26" s="131"/>
      <c r="AA26" s="125">
        <f t="shared" si="32"/>
        <v>50600000</v>
      </c>
      <c r="AB26" s="125">
        <f t="shared" si="32"/>
        <v>52600000</v>
      </c>
      <c r="AC26" s="125">
        <f t="shared" si="32"/>
        <v>49336095</v>
      </c>
      <c r="AD26" s="145"/>
      <c r="AE26" s="125">
        <f>SUM(AE27:AE28)</f>
        <v>81536200</v>
      </c>
      <c r="AF26" s="125">
        <f t="shared" ref="AF26:AJ26" si="34">SUM(AF27:AF28)</f>
        <v>16307240</v>
      </c>
      <c r="AG26" s="125">
        <f t="shared" si="34"/>
        <v>65228960</v>
      </c>
      <c r="AH26" s="125">
        <f t="shared" si="34"/>
        <v>65807240</v>
      </c>
      <c r="AI26" s="125">
        <f t="shared" si="34"/>
        <v>65228960</v>
      </c>
      <c r="AJ26" s="125">
        <f t="shared" si="34"/>
        <v>131036200</v>
      </c>
      <c r="AK26" s="198"/>
      <c r="AL26" s="28"/>
      <c r="AM26" s="23"/>
    </row>
    <row r="27" spans="1:39" s="27" customFormat="1" ht="18.75" x14ac:dyDescent="0.25">
      <c r="A27" s="194"/>
      <c r="B27" s="137" t="s">
        <v>42</v>
      </c>
      <c r="C27" s="147" t="s">
        <v>43</v>
      </c>
      <c r="D27" s="140">
        <f>+E27</f>
        <v>215000000</v>
      </c>
      <c r="E27" s="139">
        <v>215000000</v>
      </c>
      <c r="F27" s="139">
        <v>61463800</v>
      </c>
      <c r="G27" s="139">
        <v>60821200</v>
      </c>
      <c r="H27" s="139">
        <f>+G27/D27</f>
        <v>0.2828893023255814</v>
      </c>
      <c r="I27" s="139">
        <v>16960998.649999999</v>
      </c>
      <c r="J27" s="139">
        <v>16960998.649999999</v>
      </c>
      <c r="K27" s="139">
        <f>I27-J27</f>
        <v>0</v>
      </c>
      <c r="L27" s="146" t="s">
        <v>222</v>
      </c>
      <c r="M27" s="139">
        <v>30000000</v>
      </c>
      <c r="N27" s="140" t="s">
        <v>33</v>
      </c>
      <c r="O27" s="139">
        <f>+E27-F27-M27</f>
        <v>123536200</v>
      </c>
      <c r="P27" s="139">
        <v>30000000</v>
      </c>
      <c r="Q27" s="139">
        <v>22500000</v>
      </c>
      <c r="R27" s="139">
        <f t="shared" si="21"/>
        <v>7500000</v>
      </c>
      <c r="S27" s="146" t="s">
        <v>223</v>
      </c>
      <c r="T27" s="139">
        <f t="shared" si="17"/>
        <v>7500000</v>
      </c>
      <c r="U27" s="139">
        <v>42000000</v>
      </c>
      <c r="V27" s="146" t="s">
        <v>225</v>
      </c>
      <c r="W27" s="139">
        <f>+F27+M27+U27</f>
        <v>133463800</v>
      </c>
      <c r="X27" s="139">
        <f>+E27-F27-M27-U27</f>
        <v>81536200</v>
      </c>
      <c r="Y27" s="139">
        <v>41536200</v>
      </c>
      <c r="Z27" s="140"/>
      <c r="AA27" s="139">
        <v>41000000</v>
      </c>
      <c r="AB27" s="139">
        <v>43000000</v>
      </c>
      <c r="AC27" s="139">
        <v>39736095</v>
      </c>
      <c r="AD27" s="126">
        <f>+O27-AA27-AB27-AC27</f>
        <v>-199895</v>
      </c>
      <c r="AE27" s="126">
        <v>81536200</v>
      </c>
      <c r="AF27" s="126">
        <v>16307240</v>
      </c>
      <c r="AG27" s="126">
        <v>65228960</v>
      </c>
      <c r="AH27" s="126">
        <f t="shared" ref="AH27" si="35">SUM(AF27,U27,R27)</f>
        <v>65807240</v>
      </c>
      <c r="AI27" s="126">
        <v>65228960</v>
      </c>
      <c r="AJ27" s="126">
        <f t="shared" ref="AJ27" si="36">SUM(AE27,U27,T27)</f>
        <v>131036200</v>
      </c>
      <c r="AK27" s="200"/>
      <c r="AL27" s="29"/>
      <c r="AM27" s="23"/>
    </row>
    <row r="28" spans="1:39" s="27" customFormat="1" ht="18.75" customHeight="1" x14ac:dyDescent="0.25">
      <c r="A28" s="194"/>
      <c r="B28" s="137" t="s">
        <v>44</v>
      </c>
      <c r="C28" s="137" t="s">
        <v>45</v>
      </c>
      <c r="D28" s="138">
        <f>+E28/1200</f>
        <v>24166.666666666668</v>
      </c>
      <c r="E28" s="139">
        <v>29000000</v>
      </c>
      <c r="F28" s="139">
        <v>0</v>
      </c>
      <c r="G28" s="139">
        <v>0</v>
      </c>
      <c r="H28" s="139">
        <f>+G28/D28</f>
        <v>0</v>
      </c>
      <c r="I28" s="139">
        <v>0</v>
      </c>
      <c r="J28" s="139">
        <v>0</v>
      </c>
      <c r="K28" s="139">
        <v>0</v>
      </c>
      <c r="L28" s="146"/>
      <c r="M28" s="139">
        <v>0</v>
      </c>
      <c r="N28" s="140"/>
      <c r="O28" s="139">
        <f>+E28-F28-M28</f>
        <v>29000000</v>
      </c>
      <c r="P28" s="139"/>
      <c r="Q28" s="139"/>
      <c r="R28" s="139">
        <f t="shared" si="21"/>
        <v>0</v>
      </c>
      <c r="S28" s="146"/>
      <c r="T28" s="139">
        <f t="shared" si="17"/>
        <v>0</v>
      </c>
      <c r="U28" s="139">
        <v>0</v>
      </c>
      <c r="V28" s="146"/>
      <c r="W28" s="139">
        <f>+F28+M28+U28</f>
        <v>0</v>
      </c>
      <c r="X28" s="139">
        <f>+E28-F28-M28-U28</f>
        <v>29000000</v>
      </c>
      <c r="Y28" s="139">
        <v>0</v>
      </c>
      <c r="Z28" s="140"/>
      <c r="AA28" s="139">
        <v>9600000</v>
      </c>
      <c r="AB28" s="139">
        <v>9600000</v>
      </c>
      <c r="AC28" s="139">
        <v>9600000</v>
      </c>
      <c r="AD28" s="126">
        <f>+O28-AA28-AB28-AC28</f>
        <v>200000</v>
      </c>
      <c r="AE28" s="126"/>
      <c r="AF28" s="126"/>
      <c r="AG28" s="126"/>
      <c r="AH28" s="126"/>
      <c r="AI28" s="126"/>
      <c r="AJ28" s="126"/>
      <c r="AK28" s="200"/>
      <c r="AL28" s="29"/>
      <c r="AM28" s="23"/>
    </row>
    <row r="29" spans="1:39" s="27" customFormat="1" ht="18.75" customHeight="1" x14ac:dyDescent="0.25">
      <c r="A29" s="194"/>
      <c r="B29" s="137"/>
      <c r="C29" s="137"/>
      <c r="D29" s="138"/>
      <c r="E29" s="139"/>
      <c r="F29" s="139"/>
      <c r="G29" s="139"/>
      <c r="H29" s="139"/>
      <c r="I29" s="139"/>
      <c r="J29" s="139"/>
      <c r="K29" s="139"/>
      <c r="L29" s="146"/>
      <c r="M29" s="139"/>
      <c r="N29" s="140"/>
      <c r="O29" s="139"/>
      <c r="P29" s="139"/>
      <c r="Q29" s="139"/>
      <c r="R29" s="139">
        <f t="shared" si="21"/>
        <v>0</v>
      </c>
      <c r="S29" s="146"/>
      <c r="T29" s="139">
        <f t="shared" si="17"/>
        <v>0</v>
      </c>
      <c r="U29" s="139"/>
      <c r="V29" s="146"/>
      <c r="W29" s="139"/>
      <c r="X29" s="139"/>
      <c r="Y29" s="139"/>
      <c r="Z29" s="140"/>
      <c r="AA29" s="139"/>
      <c r="AB29" s="139"/>
      <c r="AC29" s="139"/>
      <c r="AD29" s="126"/>
      <c r="AE29" s="126"/>
      <c r="AF29" s="126"/>
      <c r="AG29" s="126"/>
      <c r="AH29" s="126"/>
      <c r="AI29" s="126"/>
      <c r="AJ29" s="126"/>
      <c r="AK29" s="200"/>
      <c r="AL29" s="29"/>
      <c r="AM29" s="23"/>
    </row>
    <row r="30" spans="1:39" ht="18.75" customHeight="1" x14ac:dyDescent="0.25">
      <c r="A30" s="197">
        <v>4</v>
      </c>
      <c r="B30" s="141" t="s">
        <v>46</v>
      </c>
      <c r="C30" s="142" t="s">
        <v>47</v>
      </c>
      <c r="D30" s="143"/>
      <c r="E30" s="125">
        <f>SUM(E31:E33)</f>
        <v>96500000</v>
      </c>
      <c r="F30" s="125">
        <f>SUM(F31:F33)</f>
        <v>19596200</v>
      </c>
      <c r="G30" s="125">
        <f t="shared" ref="G30:K30" si="37">SUM(G31:G33)</f>
        <v>19903800</v>
      </c>
      <c r="H30" s="125">
        <f t="shared" si="37"/>
        <v>367.84237974683543</v>
      </c>
      <c r="I30" s="125">
        <f t="shared" si="37"/>
        <v>18622233.743999999</v>
      </c>
      <c r="J30" s="125">
        <f t="shared" si="37"/>
        <v>13966675.307</v>
      </c>
      <c r="K30" s="125">
        <f t="shared" si="37"/>
        <v>4655558.436999999</v>
      </c>
      <c r="L30" s="144">
        <f>SUM(L31:L33)</f>
        <v>0</v>
      </c>
      <c r="M30" s="125">
        <f>SUM(M31:M33)</f>
        <v>0</v>
      </c>
      <c r="N30" s="125">
        <f t="shared" ref="N30:S30" si="38">SUM(N31:N33)</f>
        <v>0</v>
      </c>
      <c r="O30" s="125">
        <f t="shared" si="38"/>
        <v>76903800</v>
      </c>
      <c r="P30" s="125">
        <f t="shared" si="38"/>
        <v>0</v>
      </c>
      <c r="Q30" s="125">
        <f t="shared" si="38"/>
        <v>0</v>
      </c>
      <c r="R30" s="125">
        <f t="shared" si="38"/>
        <v>0</v>
      </c>
      <c r="S30" s="144">
        <f t="shared" si="38"/>
        <v>0</v>
      </c>
      <c r="T30" s="139">
        <f t="shared" si="17"/>
        <v>4655558.436999999</v>
      </c>
      <c r="U30" s="125">
        <f>SUM(U31:U33)</f>
        <v>19903800</v>
      </c>
      <c r="V30" s="125">
        <f t="shared" ref="V30:W30" si="39">SUM(V31:V33)</f>
        <v>0</v>
      </c>
      <c r="W30" s="125">
        <f t="shared" si="39"/>
        <v>39500000</v>
      </c>
      <c r="X30" s="125">
        <f t="shared" ref="X30:AC30" si="40">SUM(X31:X33)</f>
        <v>57000000</v>
      </c>
      <c r="Y30" s="125">
        <f t="shared" ref="Y30" si="41">SUM(Y31:Y33)</f>
        <v>19000000</v>
      </c>
      <c r="Z30" s="131"/>
      <c r="AA30" s="125">
        <f t="shared" si="40"/>
        <v>30311520</v>
      </c>
      <c r="AB30" s="125">
        <f t="shared" si="40"/>
        <v>24421140</v>
      </c>
      <c r="AC30" s="125">
        <f t="shared" si="40"/>
        <v>22171140</v>
      </c>
      <c r="AD30" s="145"/>
      <c r="AE30" s="125">
        <f>SUM(AE31:AE33)</f>
        <v>18000000</v>
      </c>
      <c r="AF30" s="125">
        <f t="shared" ref="AF30:AJ30" si="42">SUM(AF31:AF33)</f>
        <v>18000000</v>
      </c>
      <c r="AG30" s="125">
        <f t="shared" si="42"/>
        <v>0</v>
      </c>
      <c r="AH30" s="125">
        <f t="shared" si="42"/>
        <v>37903800</v>
      </c>
      <c r="AI30" s="125">
        <f t="shared" si="42"/>
        <v>0</v>
      </c>
      <c r="AJ30" s="125">
        <f t="shared" si="42"/>
        <v>42559358.436999999</v>
      </c>
      <c r="AK30" s="198"/>
      <c r="AL30" s="28"/>
      <c r="AM30" s="23"/>
    </row>
    <row r="31" spans="1:39" s="34" customFormat="1" ht="18.75" customHeight="1" x14ac:dyDescent="0.25">
      <c r="A31" s="201"/>
      <c r="B31" s="137" t="s">
        <v>48</v>
      </c>
      <c r="C31" s="147" t="s">
        <v>49</v>
      </c>
      <c r="D31" s="140">
        <f>+E31/730</f>
        <v>54109.589041095889</v>
      </c>
      <c r="E31" s="139">
        <v>39500000</v>
      </c>
      <c r="F31" s="139">
        <v>19596200</v>
      </c>
      <c r="G31" s="139">
        <v>19903800</v>
      </c>
      <c r="H31" s="139">
        <f>+G31/D31</f>
        <v>367.84237974683543</v>
      </c>
      <c r="I31" s="139">
        <v>18622233.743999999</v>
      </c>
      <c r="J31" s="139">
        <v>13966675.307</v>
      </c>
      <c r="K31" s="139">
        <f>I31-J31</f>
        <v>4655558.436999999</v>
      </c>
      <c r="L31" s="146" t="s">
        <v>223</v>
      </c>
      <c r="M31" s="139">
        <v>0</v>
      </c>
      <c r="N31" s="140" t="s">
        <v>23</v>
      </c>
      <c r="O31" s="139">
        <f>+E31-F31-M31</f>
        <v>19903800</v>
      </c>
      <c r="P31" s="139"/>
      <c r="Q31" s="139"/>
      <c r="R31" s="139">
        <f t="shared" si="21"/>
        <v>0</v>
      </c>
      <c r="S31" s="146"/>
      <c r="T31" s="139">
        <f t="shared" si="17"/>
        <v>4655558.436999999</v>
      </c>
      <c r="U31" s="139">
        <v>19903800</v>
      </c>
      <c r="V31" s="146" t="s">
        <v>225</v>
      </c>
      <c r="W31" s="139">
        <f>+F31+M31+U31</f>
        <v>39500000</v>
      </c>
      <c r="X31" s="139">
        <f>+E31-F31-M31-U31</f>
        <v>0</v>
      </c>
      <c r="Y31" s="139">
        <v>0</v>
      </c>
      <c r="Z31" s="140"/>
      <c r="AA31" s="139">
        <v>7961520</v>
      </c>
      <c r="AB31" s="139">
        <v>5971140</v>
      </c>
      <c r="AC31" s="139">
        <v>5971140</v>
      </c>
      <c r="AD31" s="126">
        <f>+O31-AA31-AB31-AC31</f>
        <v>0</v>
      </c>
      <c r="AE31" s="126"/>
      <c r="AF31" s="126"/>
      <c r="AG31" s="126"/>
      <c r="AH31" s="126">
        <f t="shared" ref="AH31:AH33" si="43">SUM(AF31,U31,R31)</f>
        <v>19903800</v>
      </c>
      <c r="AI31" s="126"/>
      <c r="AJ31" s="126">
        <f t="shared" ref="AJ31:AJ33" si="44">SUM(AE31,U31,T31)</f>
        <v>24559358.436999999</v>
      </c>
      <c r="AK31" s="200"/>
      <c r="AL31" s="29"/>
      <c r="AM31" s="33"/>
    </row>
    <row r="32" spans="1:39" s="31" customFormat="1" ht="18.75" customHeight="1" x14ac:dyDescent="0.25">
      <c r="A32" s="199"/>
      <c r="B32" s="137" t="s">
        <v>50</v>
      </c>
      <c r="C32" s="147" t="s">
        <v>51</v>
      </c>
      <c r="D32" s="140">
        <f>+E32/130</f>
        <v>300000</v>
      </c>
      <c r="E32" s="139">
        <v>39000000</v>
      </c>
      <c r="F32" s="139">
        <v>0</v>
      </c>
      <c r="G32" s="139">
        <v>0</v>
      </c>
      <c r="H32" s="139">
        <f>+G32/D32</f>
        <v>0</v>
      </c>
      <c r="I32" s="139">
        <v>0</v>
      </c>
      <c r="J32" s="139">
        <v>0</v>
      </c>
      <c r="K32" s="139">
        <v>0</v>
      </c>
      <c r="L32" s="146"/>
      <c r="M32" s="139">
        <v>0</v>
      </c>
      <c r="N32" s="140"/>
      <c r="O32" s="139">
        <f>+E32-F32-M32</f>
        <v>39000000</v>
      </c>
      <c r="P32" s="139"/>
      <c r="Q32" s="139"/>
      <c r="R32" s="139">
        <f t="shared" si="21"/>
        <v>0</v>
      </c>
      <c r="S32" s="146"/>
      <c r="T32" s="139">
        <f t="shared" si="17"/>
        <v>0</v>
      </c>
      <c r="U32" s="139">
        <v>0</v>
      </c>
      <c r="V32" s="146"/>
      <c r="W32" s="139">
        <f>+F32+M32+U32</f>
        <v>0</v>
      </c>
      <c r="X32" s="139">
        <f>+E32-F32-M32-U32</f>
        <v>39000000</v>
      </c>
      <c r="Y32" s="139">
        <v>19000000</v>
      </c>
      <c r="Z32" s="140"/>
      <c r="AA32" s="139">
        <v>15600000</v>
      </c>
      <c r="AB32" s="139">
        <v>11700000</v>
      </c>
      <c r="AC32" s="139">
        <v>11700000</v>
      </c>
      <c r="AD32" s="126">
        <f>+O32-AA32-AB32-AC32</f>
        <v>0</v>
      </c>
      <c r="AE32" s="126"/>
      <c r="AF32" s="126"/>
      <c r="AG32" s="126"/>
      <c r="AH32" s="126">
        <f t="shared" si="43"/>
        <v>0</v>
      </c>
      <c r="AI32" s="126"/>
      <c r="AJ32" s="126">
        <f t="shared" si="44"/>
        <v>0</v>
      </c>
      <c r="AK32" s="200"/>
      <c r="AL32" s="29"/>
      <c r="AM32" s="30"/>
    </row>
    <row r="33" spans="1:39" s="27" customFormat="1" ht="18.75" customHeight="1" x14ac:dyDescent="0.25">
      <c r="A33" s="194"/>
      <c r="B33" s="137" t="s">
        <v>52</v>
      </c>
      <c r="C33" s="147" t="s">
        <v>43</v>
      </c>
      <c r="D33" s="140">
        <f>+E33</f>
        <v>18000000</v>
      </c>
      <c r="E33" s="139">
        <v>18000000</v>
      </c>
      <c r="F33" s="139">
        <v>0</v>
      </c>
      <c r="G33" s="139">
        <v>0</v>
      </c>
      <c r="H33" s="139">
        <f>+G33/D33</f>
        <v>0</v>
      </c>
      <c r="I33" s="139">
        <v>0</v>
      </c>
      <c r="J33" s="139">
        <v>0</v>
      </c>
      <c r="K33" s="139">
        <v>0</v>
      </c>
      <c r="L33" s="146"/>
      <c r="M33" s="139">
        <v>0</v>
      </c>
      <c r="N33" s="140"/>
      <c r="O33" s="139">
        <f>+E33-F33-M33</f>
        <v>18000000</v>
      </c>
      <c r="P33" s="139"/>
      <c r="Q33" s="139"/>
      <c r="R33" s="139">
        <f t="shared" si="21"/>
        <v>0</v>
      </c>
      <c r="S33" s="146"/>
      <c r="T33" s="139">
        <f t="shared" si="17"/>
        <v>0</v>
      </c>
      <c r="U33" s="139">
        <v>0</v>
      </c>
      <c r="V33" s="146"/>
      <c r="W33" s="139">
        <f>+F33+M33+U33</f>
        <v>0</v>
      </c>
      <c r="X33" s="139">
        <f>+E33-F33-M33-U33</f>
        <v>18000000</v>
      </c>
      <c r="Y33" s="139">
        <v>0</v>
      </c>
      <c r="Z33" s="140"/>
      <c r="AA33" s="139">
        <v>6750000</v>
      </c>
      <c r="AB33" s="139">
        <v>6750000</v>
      </c>
      <c r="AC33" s="139">
        <v>4500000</v>
      </c>
      <c r="AD33" s="126">
        <f>+O33-AA33-AB33-AC33</f>
        <v>0</v>
      </c>
      <c r="AE33" s="126">
        <v>18000000</v>
      </c>
      <c r="AF33" s="126">
        <v>18000000</v>
      </c>
      <c r="AG33" s="126"/>
      <c r="AH33" s="126">
        <f t="shared" si="43"/>
        <v>18000000</v>
      </c>
      <c r="AI33" s="126"/>
      <c r="AJ33" s="126">
        <f t="shared" si="44"/>
        <v>18000000</v>
      </c>
      <c r="AK33" s="200"/>
      <c r="AL33" s="29"/>
      <c r="AM33" s="23"/>
    </row>
    <row r="34" spans="1:39" s="27" customFormat="1" ht="18.75" customHeight="1" x14ac:dyDescent="0.25">
      <c r="A34" s="194"/>
      <c r="B34" s="137"/>
      <c r="C34" s="137"/>
      <c r="D34" s="138"/>
      <c r="E34" s="148"/>
      <c r="F34" s="148"/>
      <c r="G34" s="148"/>
      <c r="H34" s="148"/>
      <c r="I34" s="148"/>
      <c r="J34" s="148"/>
      <c r="K34" s="148"/>
      <c r="L34" s="149"/>
      <c r="M34" s="148"/>
      <c r="N34" s="131"/>
      <c r="O34" s="131"/>
      <c r="P34" s="131"/>
      <c r="Q34" s="131"/>
      <c r="R34" s="139">
        <f t="shared" si="21"/>
        <v>0</v>
      </c>
      <c r="S34" s="149"/>
      <c r="T34" s="139">
        <f t="shared" si="17"/>
        <v>0</v>
      </c>
      <c r="U34" s="148"/>
      <c r="V34" s="149"/>
      <c r="W34" s="148"/>
      <c r="X34" s="148"/>
      <c r="Y34" s="148"/>
      <c r="Z34" s="150"/>
      <c r="AA34" s="131"/>
      <c r="AB34" s="131"/>
      <c r="AC34" s="131"/>
      <c r="AD34" s="124"/>
      <c r="AE34" s="124"/>
      <c r="AF34" s="124"/>
      <c r="AG34" s="124"/>
      <c r="AH34" s="124"/>
      <c r="AI34" s="124"/>
      <c r="AJ34" s="124"/>
      <c r="AK34" s="195"/>
      <c r="AL34" s="23"/>
      <c r="AM34" s="23"/>
    </row>
    <row r="35" spans="1:39" ht="18.75" customHeight="1" x14ac:dyDescent="0.25">
      <c r="A35" s="671" t="s">
        <v>53</v>
      </c>
      <c r="B35" s="672"/>
      <c r="C35" s="151" t="s">
        <v>54</v>
      </c>
      <c r="D35" s="152"/>
      <c r="E35" s="153">
        <f>E37+E40+E45+E48+E51+E57+E60+E65</f>
        <v>4089000000</v>
      </c>
      <c r="F35" s="153">
        <f>F37+F40+F45+F48+F51+F57+F60+F65</f>
        <v>446000000</v>
      </c>
      <c r="G35" s="153">
        <f t="shared" ref="G35:K35" si="45">G37+G40+G45+G48+G51+G57+G60+G65</f>
        <v>550250000</v>
      </c>
      <c r="H35" s="153">
        <f t="shared" si="45"/>
        <v>47.308359788359788</v>
      </c>
      <c r="I35" s="153">
        <f t="shared" si="45"/>
        <v>315897484.79999995</v>
      </c>
      <c r="J35" s="153">
        <f t="shared" si="45"/>
        <v>315897484.79999995</v>
      </c>
      <c r="K35" s="153">
        <f t="shared" si="45"/>
        <v>0</v>
      </c>
      <c r="L35" s="153">
        <f>L37+L40+L45+L48+L51+L57+L60+L65</f>
        <v>0</v>
      </c>
      <c r="M35" s="153">
        <f>M37+M40+M45+M48+M51+M57+M60+M65</f>
        <v>765000000</v>
      </c>
      <c r="N35" s="153">
        <f t="shared" ref="N35:R35" si="46">N37+N40+N45+N48+N51+N57+N60+N65</f>
        <v>0</v>
      </c>
      <c r="O35" s="153">
        <f t="shared" si="46"/>
        <v>2878000000</v>
      </c>
      <c r="P35" s="153">
        <f t="shared" si="46"/>
        <v>555986300</v>
      </c>
      <c r="Q35" s="153">
        <f t="shared" si="46"/>
        <v>191745890</v>
      </c>
      <c r="R35" s="153">
        <f t="shared" si="46"/>
        <v>364240410</v>
      </c>
      <c r="S35" s="154">
        <f>S37+S40+S45+S48+S51+S57+S60+S65</f>
        <v>0</v>
      </c>
      <c r="T35" s="153"/>
      <c r="U35" s="153">
        <f>SUM(U38:U66)</f>
        <v>1483000000</v>
      </c>
      <c r="V35" s="154">
        <f t="shared" ref="V35" si="47">SUM(V38:V66)</f>
        <v>0</v>
      </c>
      <c r="W35" s="153">
        <f>SUM(W38:W66)</f>
        <v>3807000000</v>
      </c>
      <c r="X35" s="153">
        <f>X37+X40+X45+X48+X51+X57+X60+X65</f>
        <v>2063000000</v>
      </c>
      <c r="Y35" s="153">
        <f>Y37+Y40+Y45+Y48+Y51+Y57+Y60+Y65</f>
        <v>1028500000</v>
      </c>
      <c r="Z35" s="155"/>
      <c r="AA35" s="153">
        <f t="shared" ref="AA35:AC35" si="48">AA37+AA40+AA45+AA48+AA51+AA57+AA60+AA65</f>
        <v>979233930</v>
      </c>
      <c r="AB35" s="153">
        <f t="shared" si="48"/>
        <v>1057405902</v>
      </c>
      <c r="AC35" s="153">
        <f t="shared" si="48"/>
        <v>841360168</v>
      </c>
      <c r="AD35" s="156"/>
      <c r="AE35" s="156">
        <f>SUM(AE37,AE40,AE45,AE48,AE51,AE57,AE60,AE65)</f>
        <v>1332000000</v>
      </c>
      <c r="AF35" s="156">
        <f t="shared" ref="AF35:AG35" si="49">SUM(AF37,AF40,AF45,AF48,AF51,AF57,AF60,AF65)</f>
        <v>1659000000</v>
      </c>
      <c r="AG35" s="156">
        <f t="shared" si="49"/>
        <v>1053600000</v>
      </c>
      <c r="AH35" s="153">
        <f>SUM(AH38:AH66)</f>
        <v>5465530820</v>
      </c>
      <c r="AI35" s="153">
        <f t="shared" ref="AI35:AJ35" si="50">SUM(AI38:AI66)</f>
        <v>1871200000</v>
      </c>
      <c r="AJ35" s="153">
        <f t="shared" si="50"/>
        <v>4575530820</v>
      </c>
      <c r="AK35" s="202"/>
      <c r="AL35" s="35"/>
      <c r="AM35" s="36"/>
    </row>
    <row r="36" spans="1:39" s="37" customFormat="1" ht="18.75" customHeight="1" x14ac:dyDescent="0.25">
      <c r="A36" s="194"/>
      <c r="B36" s="130"/>
      <c r="C36" s="130"/>
      <c r="D36" s="131"/>
      <c r="E36" s="125"/>
      <c r="F36" s="125"/>
      <c r="G36" s="125"/>
      <c r="H36" s="125"/>
      <c r="I36" s="125"/>
      <c r="J36" s="125"/>
      <c r="K36" s="125"/>
      <c r="L36" s="144"/>
      <c r="M36" s="125"/>
      <c r="N36" s="131"/>
      <c r="O36" s="125"/>
      <c r="P36" s="125"/>
      <c r="Q36" s="125"/>
      <c r="R36" s="125"/>
      <c r="S36" s="144"/>
      <c r="T36" s="125"/>
      <c r="U36" s="125"/>
      <c r="V36" s="144"/>
      <c r="W36" s="125"/>
      <c r="X36" s="125"/>
      <c r="Y36" s="125"/>
      <c r="Z36" s="131"/>
      <c r="AA36" s="125"/>
      <c r="AB36" s="125"/>
      <c r="AC36" s="125"/>
      <c r="AD36" s="145"/>
      <c r="AE36" s="145"/>
      <c r="AF36" s="145"/>
      <c r="AG36" s="145"/>
      <c r="AH36" s="145"/>
      <c r="AI36" s="145"/>
      <c r="AJ36" s="145"/>
      <c r="AK36" s="198"/>
      <c r="AL36" s="28"/>
      <c r="AM36" s="23"/>
    </row>
    <row r="37" spans="1:39" ht="18.75" customHeight="1" x14ac:dyDescent="0.25">
      <c r="A37" s="197">
        <v>1</v>
      </c>
      <c r="B37" s="141" t="s">
        <v>35</v>
      </c>
      <c r="C37" s="142" t="s">
        <v>55</v>
      </c>
      <c r="D37" s="143"/>
      <c r="E37" s="125">
        <f>SUM(E38:E38)</f>
        <v>540000000</v>
      </c>
      <c r="F37" s="125">
        <f>SUM(F38:F38)</f>
        <v>89000000</v>
      </c>
      <c r="G37" s="125">
        <f t="shared" ref="G37:K37" si="51">SUM(G38:G38)</f>
        <v>89000000</v>
      </c>
      <c r="H37" s="125">
        <f t="shared" si="51"/>
        <v>0.82407407407407407</v>
      </c>
      <c r="I37" s="125">
        <f t="shared" si="51"/>
        <v>88999094.099999994</v>
      </c>
      <c r="J37" s="125">
        <f t="shared" si="51"/>
        <v>88999094.099999994</v>
      </c>
      <c r="K37" s="125">
        <f t="shared" si="51"/>
        <v>0</v>
      </c>
      <c r="L37" s="144">
        <f>SUM(L38:L38)</f>
        <v>0</v>
      </c>
      <c r="M37" s="125">
        <f>SUM(M38:M38)</f>
        <v>9000000</v>
      </c>
      <c r="N37" s="125">
        <f t="shared" ref="N37:Q37" si="52">SUM(N38:N38)</f>
        <v>0</v>
      </c>
      <c r="O37" s="125">
        <f t="shared" si="52"/>
        <v>442000000</v>
      </c>
      <c r="P37" s="125">
        <f t="shared" si="52"/>
        <v>9000000</v>
      </c>
      <c r="Q37" s="125">
        <f t="shared" si="52"/>
        <v>4050000</v>
      </c>
      <c r="R37" s="125">
        <f>SUM(R38:R38)</f>
        <v>4950000</v>
      </c>
      <c r="S37" s="125">
        <f t="shared" ref="S37:W37" si="53">SUM(S38:S38)</f>
        <v>0</v>
      </c>
      <c r="T37" s="125">
        <f t="shared" si="53"/>
        <v>4950000</v>
      </c>
      <c r="U37" s="125">
        <f t="shared" si="53"/>
        <v>147000000</v>
      </c>
      <c r="V37" s="125">
        <f t="shared" si="53"/>
        <v>0</v>
      </c>
      <c r="W37" s="125">
        <f t="shared" si="53"/>
        <v>245000000</v>
      </c>
      <c r="X37" s="125">
        <f t="shared" ref="X37:AC37" si="54">SUM(X38:X38)</f>
        <v>295000000</v>
      </c>
      <c r="Y37" s="125">
        <f t="shared" si="54"/>
        <v>145000000</v>
      </c>
      <c r="Z37" s="131"/>
      <c r="AA37" s="125">
        <f t="shared" si="54"/>
        <v>151000000</v>
      </c>
      <c r="AB37" s="125">
        <f t="shared" si="54"/>
        <v>151000000</v>
      </c>
      <c r="AC37" s="125">
        <f t="shared" si="54"/>
        <v>140000000</v>
      </c>
      <c r="AD37" s="145"/>
      <c r="AE37" s="125">
        <f>SUM(AE38:AE38)</f>
        <v>295000000</v>
      </c>
      <c r="AF37" s="125">
        <f t="shared" ref="AF37:AJ37" si="55">SUM(AF38:AF38)</f>
        <v>59000000</v>
      </c>
      <c r="AG37" s="125">
        <f t="shared" si="55"/>
        <v>236000000</v>
      </c>
      <c r="AH37" s="125">
        <f t="shared" si="55"/>
        <v>210950000</v>
      </c>
      <c r="AI37" s="125">
        <f t="shared" si="55"/>
        <v>236000000</v>
      </c>
      <c r="AJ37" s="125">
        <f t="shared" si="55"/>
        <v>446950000</v>
      </c>
      <c r="AK37" s="198"/>
      <c r="AL37" s="28"/>
      <c r="AM37" s="23"/>
    </row>
    <row r="38" spans="1:39" s="27" customFormat="1" ht="18.75" x14ac:dyDescent="0.25">
      <c r="A38" s="194"/>
      <c r="B38" s="137" t="s">
        <v>56</v>
      </c>
      <c r="C38" s="137" t="s">
        <v>25</v>
      </c>
      <c r="D38" s="138">
        <f>+E38/5</f>
        <v>108000000</v>
      </c>
      <c r="E38" s="139">
        <v>540000000</v>
      </c>
      <c r="F38" s="139">
        <v>89000000</v>
      </c>
      <c r="G38" s="139">
        <v>89000000</v>
      </c>
      <c r="H38" s="139">
        <f>+G38/D38</f>
        <v>0.82407407407407407</v>
      </c>
      <c r="I38" s="139">
        <v>88999094.099999994</v>
      </c>
      <c r="J38" s="139">
        <v>88999094.099999994</v>
      </c>
      <c r="K38" s="139">
        <f>I38-J38</f>
        <v>0</v>
      </c>
      <c r="L38" s="146" t="s">
        <v>223</v>
      </c>
      <c r="M38" s="139">
        <v>9000000</v>
      </c>
      <c r="N38" s="140" t="s">
        <v>33</v>
      </c>
      <c r="O38" s="139">
        <f>+E38-F38-M38</f>
        <v>442000000</v>
      </c>
      <c r="P38" s="139">
        <v>9000000</v>
      </c>
      <c r="Q38" s="139">
        <v>4050000</v>
      </c>
      <c r="R38" s="139">
        <f>P38-Q38</f>
        <v>4950000</v>
      </c>
      <c r="S38" s="146" t="s">
        <v>223</v>
      </c>
      <c r="T38" s="139">
        <f>SUM(K38,R38)</f>
        <v>4950000</v>
      </c>
      <c r="U38" s="139">
        <v>147000000</v>
      </c>
      <c r="V38" s="146" t="s">
        <v>225</v>
      </c>
      <c r="W38" s="139">
        <f>+F38+M38+U38</f>
        <v>245000000</v>
      </c>
      <c r="X38" s="139">
        <f>+E38-F38-M38-U38</f>
        <v>295000000</v>
      </c>
      <c r="Y38" s="139">
        <v>145000000</v>
      </c>
      <c r="Z38" s="140"/>
      <c r="AA38" s="139">
        <v>151000000</v>
      </c>
      <c r="AB38" s="139">
        <v>151000000</v>
      </c>
      <c r="AC38" s="139">
        <v>140000000</v>
      </c>
      <c r="AD38" s="126">
        <f>+O38-AA38-AB38-AC38</f>
        <v>0</v>
      </c>
      <c r="AE38" s="126">
        <v>295000000</v>
      </c>
      <c r="AF38" s="126">
        <v>59000000</v>
      </c>
      <c r="AG38" s="126">
        <v>236000000</v>
      </c>
      <c r="AH38" s="126">
        <f t="shared" ref="AH38" si="56">SUM(AF38,U38,R38)</f>
        <v>210950000</v>
      </c>
      <c r="AI38" s="126">
        <v>236000000</v>
      </c>
      <c r="AJ38" s="126">
        <f t="shared" ref="AJ38" si="57">SUM(AE38,U38,T38)</f>
        <v>446950000</v>
      </c>
      <c r="AK38" s="200"/>
      <c r="AL38" s="29"/>
      <c r="AM38" s="32">
        <f>+O38/3</f>
        <v>147333333.33333334</v>
      </c>
    </row>
    <row r="39" spans="1:39" s="27" customFormat="1" ht="18.75" customHeight="1" x14ac:dyDescent="0.25">
      <c r="A39" s="194"/>
      <c r="B39" s="130"/>
      <c r="C39" s="130"/>
      <c r="D39" s="131"/>
      <c r="E39" s="125"/>
      <c r="F39" s="125"/>
      <c r="G39" s="125"/>
      <c r="H39" s="125"/>
      <c r="I39" s="125"/>
      <c r="J39" s="125"/>
      <c r="K39" s="125"/>
      <c r="L39" s="144"/>
      <c r="M39" s="125"/>
      <c r="N39" s="131"/>
      <c r="O39" s="125"/>
      <c r="P39" s="125"/>
      <c r="Q39" s="125"/>
      <c r="R39" s="139"/>
      <c r="S39" s="144"/>
      <c r="T39" s="139">
        <f t="shared" ref="T39:T66" si="58">SUM(K39,R39)</f>
        <v>0</v>
      </c>
      <c r="U39" s="125"/>
      <c r="V39" s="144"/>
      <c r="W39" s="125"/>
      <c r="X39" s="125"/>
      <c r="Y39" s="125"/>
      <c r="Z39" s="131"/>
      <c r="AA39" s="125"/>
      <c r="AB39" s="125"/>
      <c r="AC39" s="125"/>
      <c r="AD39" s="145"/>
      <c r="AE39" s="145"/>
      <c r="AF39" s="145"/>
      <c r="AG39" s="145"/>
      <c r="AH39" s="145"/>
      <c r="AI39" s="145"/>
      <c r="AJ39" s="145"/>
      <c r="AK39" s="198"/>
      <c r="AL39" s="28"/>
      <c r="AM39" s="23" t="e">
        <f>+#REF!*3</f>
        <v>#REF!</v>
      </c>
    </row>
    <row r="40" spans="1:39" ht="18.75" customHeight="1" x14ac:dyDescent="0.25">
      <c r="A40" s="197">
        <v>2</v>
      </c>
      <c r="B40" s="157" t="s">
        <v>57</v>
      </c>
      <c r="C40" s="142" t="s">
        <v>47</v>
      </c>
      <c r="D40" s="143"/>
      <c r="E40" s="125">
        <f>SUM(E41:E43)</f>
        <v>1810000000</v>
      </c>
      <c r="F40" s="125">
        <f>SUM(F41:F43)</f>
        <v>180000000</v>
      </c>
      <c r="G40" s="125">
        <f t="shared" ref="G40:K40" si="59">SUM(G41:G43)</f>
        <v>150000000</v>
      </c>
      <c r="H40" s="125">
        <f t="shared" si="59"/>
        <v>13.714285714285714</v>
      </c>
      <c r="I40" s="125">
        <f t="shared" si="59"/>
        <v>50000000</v>
      </c>
      <c r="J40" s="125">
        <f t="shared" si="59"/>
        <v>50000000</v>
      </c>
      <c r="K40" s="125">
        <f t="shared" si="59"/>
        <v>0</v>
      </c>
      <c r="L40" s="144">
        <f>SUM(L41:L43)</f>
        <v>0</v>
      </c>
      <c r="M40" s="125">
        <f>SUM(M41:M43)</f>
        <v>20000000</v>
      </c>
      <c r="N40" s="125">
        <f t="shared" ref="N40:R40" si="60">SUM(N41:N43)</f>
        <v>0</v>
      </c>
      <c r="O40" s="125">
        <f t="shared" si="60"/>
        <v>1610000000</v>
      </c>
      <c r="P40" s="125">
        <f t="shared" si="60"/>
        <v>20000000</v>
      </c>
      <c r="Q40" s="125">
        <f t="shared" si="60"/>
        <v>13000000</v>
      </c>
      <c r="R40" s="125">
        <f t="shared" si="60"/>
        <v>7000000</v>
      </c>
      <c r="S40" s="125">
        <f t="shared" ref="S40" si="61">SUM(S41:S43)</f>
        <v>0</v>
      </c>
      <c r="T40" s="125">
        <f t="shared" ref="T40" si="62">SUM(T41:T43)</f>
        <v>7000000</v>
      </c>
      <c r="U40" s="125">
        <f t="shared" ref="U40" si="63">SUM(U41:U43)</f>
        <v>383000000</v>
      </c>
      <c r="V40" s="125">
        <f t="shared" ref="V40" si="64">SUM(V41:V43)</f>
        <v>0</v>
      </c>
      <c r="W40" s="125">
        <f t="shared" ref="W40" si="65">SUM(W41:W43)</f>
        <v>583000000</v>
      </c>
      <c r="X40" s="125">
        <f t="shared" ref="X40:AC40" si="66">SUM(X41:X43)</f>
        <v>1227000000</v>
      </c>
      <c r="Y40" s="125">
        <f t="shared" ref="Y40" si="67">SUM(Y41:Y43)</f>
        <v>613500000</v>
      </c>
      <c r="Z40" s="131"/>
      <c r="AA40" s="125">
        <f t="shared" si="66"/>
        <v>544500000</v>
      </c>
      <c r="AB40" s="125">
        <f t="shared" si="66"/>
        <v>632505000</v>
      </c>
      <c r="AC40" s="125">
        <f t="shared" si="66"/>
        <v>432995000</v>
      </c>
      <c r="AD40" s="145"/>
      <c r="AE40" s="125">
        <f t="shared" ref="AE40" si="68">SUM(AE41:AE43)</f>
        <v>807000000</v>
      </c>
      <c r="AF40" s="125">
        <f t="shared" ref="AF40" si="69">SUM(AF41:AF43)</f>
        <v>1554000000</v>
      </c>
      <c r="AG40" s="125">
        <f t="shared" ref="AG40:AJ40" si="70">SUM(AG41:AG43)</f>
        <v>633600000</v>
      </c>
      <c r="AH40" s="125">
        <f t="shared" si="70"/>
        <v>1944000000</v>
      </c>
      <c r="AI40" s="125">
        <f t="shared" si="70"/>
        <v>633600000</v>
      </c>
      <c r="AJ40" s="125">
        <f t="shared" si="70"/>
        <v>1197000000</v>
      </c>
      <c r="AK40" s="198"/>
      <c r="AL40" s="28"/>
      <c r="AM40" s="23"/>
    </row>
    <row r="41" spans="1:39" s="34" customFormat="1" ht="18.75" x14ac:dyDescent="0.25">
      <c r="A41" s="201"/>
      <c r="B41" s="137" t="s">
        <v>58</v>
      </c>
      <c r="C41" s="137" t="s">
        <v>59</v>
      </c>
      <c r="D41" s="138">
        <f>+E41/130</f>
        <v>10000000</v>
      </c>
      <c r="E41" s="139">
        <v>1300000000</v>
      </c>
      <c r="F41" s="139">
        <v>130000000</v>
      </c>
      <c r="G41" s="139">
        <v>130000000</v>
      </c>
      <c r="H41" s="139">
        <f>+G41/D41</f>
        <v>13</v>
      </c>
      <c r="I41" s="139"/>
      <c r="J41" s="139"/>
      <c r="K41" s="139"/>
      <c r="L41" s="146" t="s">
        <v>228</v>
      </c>
      <c r="M41" s="139">
        <v>20000000</v>
      </c>
      <c r="N41" s="140" t="s">
        <v>33</v>
      </c>
      <c r="O41" s="139">
        <f>+E41-F41-M41</f>
        <v>1150000000</v>
      </c>
      <c r="P41" s="139">
        <v>20000000</v>
      </c>
      <c r="Q41" s="139">
        <v>13000000</v>
      </c>
      <c r="R41" s="139">
        <f t="shared" ref="R41:R66" si="71">P41-Q41</f>
        <v>7000000</v>
      </c>
      <c r="S41" s="146" t="s">
        <v>223</v>
      </c>
      <c r="T41" s="139">
        <f t="shared" si="58"/>
        <v>7000000</v>
      </c>
      <c r="U41" s="139">
        <v>383000000</v>
      </c>
      <c r="V41" s="146" t="s">
        <v>225</v>
      </c>
      <c r="W41" s="139">
        <f>+F41+M41+U41</f>
        <v>533000000</v>
      </c>
      <c r="X41" s="139">
        <f>+E41-F41-M41-U41</f>
        <v>767000000</v>
      </c>
      <c r="Y41" s="139">
        <f>+X41/2</f>
        <v>383500000</v>
      </c>
      <c r="Z41" s="140"/>
      <c r="AA41" s="139">
        <v>418500000</v>
      </c>
      <c r="AB41" s="139">
        <v>460350000</v>
      </c>
      <c r="AC41" s="139">
        <v>271150000</v>
      </c>
      <c r="AD41" s="126">
        <f>+O41-AA41-AB41-AC41</f>
        <v>0</v>
      </c>
      <c r="AE41" s="126">
        <v>767000000</v>
      </c>
      <c r="AF41" s="126">
        <v>1534000000</v>
      </c>
      <c r="AG41" s="126">
        <v>613600000</v>
      </c>
      <c r="AH41" s="126">
        <f t="shared" ref="AH41:AH43" si="72">SUM(AF41,U41,R41)</f>
        <v>1924000000</v>
      </c>
      <c r="AI41" s="126">
        <v>613600000</v>
      </c>
      <c r="AJ41" s="126">
        <f t="shared" ref="AJ41:AJ43" si="73">SUM(AE41,U41,T41)</f>
        <v>1157000000</v>
      </c>
      <c r="AK41" s="200"/>
      <c r="AL41" s="29"/>
      <c r="AM41" s="32"/>
    </row>
    <row r="42" spans="1:39" s="34" customFormat="1" ht="18.75" customHeight="1" x14ac:dyDescent="0.25">
      <c r="A42" s="201"/>
      <c r="B42" s="137" t="s">
        <v>60</v>
      </c>
      <c r="C42" s="137" t="s">
        <v>61</v>
      </c>
      <c r="D42" s="138">
        <f>+E42/28</f>
        <v>13214285.714285715</v>
      </c>
      <c r="E42" s="139">
        <v>370000000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/>
      <c r="L42" s="146"/>
      <c r="M42" s="139">
        <v>0</v>
      </c>
      <c r="N42" s="140"/>
      <c r="O42" s="139">
        <f>+E42-F42-M42</f>
        <v>370000000</v>
      </c>
      <c r="P42" s="139"/>
      <c r="Q42" s="139"/>
      <c r="R42" s="139">
        <f t="shared" si="71"/>
        <v>0</v>
      </c>
      <c r="S42" s="146"/>
      <c r="T42" s="139">
        <f t="shared" si="58"/>
        <v>0</v>
      </c>
      <c r="U42" s="139">
        <v>0</v>
      </c>
      <c r="V42" s="146"/>
      <c r="W42" s="139">
        <f>+F42+M42+U42</f>
        <v>0</v>
      </c>
      <c r="X42" s="139">
        <f>+E42-F42-M42-U42</f>
        <v>370000000</v>
      </c>
      <c r="Y42" s="139">
        <f>+X42/2</f>
        <v>185000000</v>
      </c>
      <c r="Z42" s="140"/>
      <c r="AA42" s="139">
        <v>96000000</v>
      </c>
      <c r="AB42" s="139">
        <v>142155000</v>
      </c>
      <c r="AC42" s="139">
        <v>131845000</v>
      </c>
      <c r="AD42" s="126">
        <f>+O42-AA42-AB42-AC42</f>
        <v>0</v>
      </c>
      <c r="AE42" s="126"/>
      <c r="AF42" s="126"/>
      <c r="AG42" s="126"/>
      <c r="AH42" s="126">
        <f t="shared" si="72"/>
        <v>0</v>
      </c>
      <c r="AI42" s="126"/>
      <c r="AJ42" s="126">
        <f t="shared" si="73"/>
        <v>0</v>
      </c>
      <c r="AK42" s="200"/>
      <c r="AL42" s="29"/>
      <c r="AM42" s="38"/>
    </row>
    <row r="43" spans="1:39" s="27" customFormat="1" ht="18.75" customHeight="1" x14ac:dyDescent="0.25">
      <c r="A43" s="194"/>
      <c r="B43" s="137" t="s">
        <v>62</v>
      </c>
      <c r="C43" s="137" t="s">
        <v>25</v>
      </c>
      <c r="D43" s="138">
        <f>+E43/5</f>
        <v>28000000</v>
      </c>
      <c r="E43" s="139">
        <v>140000000</v>
      </c>
      <c r="F43" s="139">
        <v>50000000</v>
      </c>
      <c r="G43" s="139">
        <v>20000000</v>
      </c>
      <c r="H43" s="139">
        <f>+G43/D43</f>
        <v>0.7142857142857143</v>
      </c>
      <c r="I43" s="139">
        <v>50000000</v>
      </c>
      <c r="J43" s="139">
        <v>50000000</v>
      </c>
      <c r="K43" s="148">
        <f>I43-J43</f>
        <v>0</v>
      </c>
      <c r="L43" s="146" t="s">
        <v>222</v>
      </c>
      <c r="M43" s="139">
        <v>0</v>
      </c>
      <c r="N43" s="140"/>
      <c r="O43" s="139">
        <f>+E43-F43-M43</f>
        <v>90000000</v>
      </c>
      <c r="P43" s="139"/>
      <c r="Q43" s="139"/>
      <c r="R43" s="139">
        <f t="shared" si="71"/>
        <v>0</v>
      </c>
      <c r="S43" s="146"/>
      <c r="T43" s="139">
        <f t="shared" si="58"/>
        <v>0</v>
      </c>
      <c r="U43" s="139">
        <v>0</v>
      </c>
      <c r="V43" s="146"/>
      <c r="W43" s="139">
        <f>+F43+M43+U43</f>
        <v>50000000</v>
      </c>
      <c r="X43" s="139">
        <f>+E43-F43-M43-U43</f>
        <v>90000000</v>
      </c>
      <c r="Y43" s="139">
        <f>+X43/2</f>
        <v>45000000</v>
      </c>
      <c r="Z43" s="140"/>
      <c r="AA43" s="139">
        <v>30000000</v>
      </c>
      <c r="AB43" s="139">
        <v>30000000</v>
      </c>
      <c r="AC43" s="139">
        <v>30000000</v>
      </c>
      <c r="AD43" s="126">
        <f>+O43-AA43-AB43-AC43</f>
        <v>0</v>
      </c>
      <c r="AE43" s="126">
        <v>40000000</v>
      </c>
      <c r="AF43" s="126">
        <v>20000000</v>
      </c>
      <c r="AG43" s="126">
        <v>20000000</v>
      </c>
      <c r="AH43" s="126">
        <f t="shared" si="72"/>
        <v>20000000</v>
      </c>
      <c r="AI43" s="126">
        <v>20000000</v>
      </c>
      <c r="AJ43" s="126">
        <f t="shared" si="73"/>
        <v>40000000</v>
      </c>
      <c r="AK43" s="200"/>
      <c r="AL43" s="29"/>
      <c r="AM43" s="32"/>
    </row>
    <row r="44" spans="1:39" s="27" customFormat="1" ht="18.75" customHeight="1" x14ac:dyDescent="0.25">
      <c r="A44" s="194"/>
      <c r="B44" s="137"/>
      <c r="C44" s="137"/>
      <c r="D44" s="138"/>
      <c r="E44" s="148"/>
      <c r="F44" s="148"/>
      <c r="G44" s="148"/>
      <c r="H44" s="148"/>
      <c r="I44" s="148"/>
      <c r="J44" s="148"/>
      <c r="K44" s="148"/>
      <c r="L44" s="149"/>
      <c r="M44" s="148"/>
      <c r="N44" s="150"/>
      <c r="O44" s="148"/>
      <c r="P44" s="148"/>
      <c r="Q44" s="148"/>
      <c r="R44" s="139"/>
      <c r="S44" s="149"/>
      <c r="T44" s="139">
        <f t="shared" si="58"/>
        <v>0</v>
      </c>
      <c r="U44" s="148"/>
      <c r="V44" s="149"/>
      <c r="W44" s="148"/>
      <c r="X44" s="148"/>
      <c r="Y44" s="148"/>
      <c r="Z44" s="150"/>
      <c r="AA44" s="148"/>
      <c r="AB44" s="148"/>
      <c r="AC44" s="148"/>
      <c r="AD44" s="158"/>
      <c r="AE44" s="158"/>
      <c r="AF44" s="158"/>
      <c r="AG44" s="158"/>
      <c r="AH44" s="158"/>
      <c r="AI44" s="158"/>
      <c r="AJ44" s="158"/>
      <c r="AK44" s="203"/>
      <c r="AL44" s="39"/>
      <c r="AM44" s="23"/>
    </row>
    <row r="45" spans="1:39" ht="18.75" customHeight="1" x14ac:dyDescent="0.25">
      <c r="A45" s="197">
        <v>3</v>
      </c>
      <c r="B45" s="157" t="s">
        <v>63</v>
      </c>
      <c r="C45" s="142" t="s">
        <v>55</v>
      </c>
      <c r="D45" s="138"/>
      <c r="E45" s="125">
        <f>SUM(E46:E46)</f>
        <v>375000000</v>
      </c>
      <c r="F45" s="125">
        <f>SUM(F46:F46)</f>
        <v>25000000</v>
      </c>
      <c r="G45" s="125">
        <f t="shared" ref="G45:J45" si="74">SUM(G46:G46)</f>
        <v>31250000</v>
      </c>
      <c r="H45" s="125">
        <f t="shared" si="74"/>
        <v>9.5</v>
      </c>
      <c r="I45" s="125">
        <f t="shared" si="74"/>
        <v>24999899</v>
      </c>
      <c r="J45" s="125">
        <f t="shared" si="74"/>
        <v>24999899</v>
      </c>
      <c r="K45" s="125"/>
      <c r="L45" s="144">
        <f>SUM(L46:L46)</f>
        <v>0</v>
      </c>
      <c r="M45" s="125">
        <f>SUM(M46:M46)</f>
        <v>10000000</v>
      </c>
      <c r="N45" s="125">
        <f t="shared" ref="N45:R45" si="75">SUM(N46:N46)</f>
        <v>0</v>
      </c>
      <c r="O45" s="125">
        <f t="shared" si="75"/>
        <v>340000000</v>
      </c>
      <c r="P45" s="125">
        <f t="shared" si="75"/>
        <v>10000000</v>
      </c>
      <c r="Q45" s="125">
        <f t="shared" si="75"/>
        <v>6500000</v>
      </c>
      <c r="R45" s="125">
        <f t="shared" si="75"/>
        <v>3500000</v>
      </c>
      <c r="S45" s="125">
        <f t="shared" ref="S45" si="76">SUM(S46:S46)</f>
        <v>0</v>
      </c>
      <c r="T45" s="125">
        <f t="shared" ref="T45" si="77">SUM(T46:T46)</f>
        <v>3500000</v>
      </c>
      <c r="U45" s="125">
        <f t="shared" ref="U45" si="78">SUM(U46:U46)</f>
        <v>110000000</v>
      </c>
      <c r="V45" s="125">
        <f t="shared" ref="V45" si="79">SUM(V46:V46)</f>
        <v>0</v>
      </c>
      <c r="W45" s="125">
        <f t="shared" ref="W45" si="80">SUM(W46:W46)</f>
        <v>145000000</v>
      </c>
      <c r="X45" s="125">
        <f t="shared" ref="X45:AC45" si="81">SUM(X46:X46)</f>
        <v>230000000</v>
      </c>
      <c r="Y45" s="125">
        <f t="shared" si="81"/>
        <v>115000000</v>
      </c>
      <c r="Z45" s="131"/>
      <c r="AA45" s="125">
        <f t="shared" si="81"/>
        <v>104750000</v>
      </c>
      <c r="AB45" s="125">
        <f t="shared" si="81"/>
        <v>115150000</v>
      </c>
      <c r="AC45" s="125">
        <f t="shared" si="81"/>
        <v>120100000</v>
      </c>
      <c r="AD45" s="145"/>
      <c r="AE45" s="125">
        <f t="shared" ref="AE45" si="82">SUM(AE46:AE46)</f>
        <v>230000000</v>
      </c>
      <c r="AF45" s="125">
        <f t="shared" ref="AF45" si="83">SUM(AF46:AF46)</f>
        <v>46000000</v>
      </c>
      <c r="AG45" s="125">
        <f t="shared" ref="AG45:AJ45" si="84">SUM(AG46:AG46)</f>
        <v>184000000</v>
      </c>
      <c r="AH45" s="125">
        <f t="shared" si="84"/>
        <v>159500000</v>
      </c>
      <c r="AI45" s="125">
        <f t="shared" si="84"/>
        <v>184000000</v>
      </c>
      <c r="AJ45" s="125">
        <f t="shared" si="84"/>
        <v>343500000</v>
      </c>
      <c r="AK45" s="198"/>
      <c r="AL45" s="28"/>
      <c r="AM45" s="23"/>
    </row>
    <row r="46" spans="1:39" s="40" customFormat="1" ht="18.75" x14ac:dyDescent="0.25">
      <c r="A46" s="201"/>
      <c r="B46" s="159" t="s">
        <v>64</v>
      </c>
      <c r="C46" s="159" t="s">
        <v>65</v>
      </c>
      <c r="D46" s="138">
        <f>+E46/114</f>
        <v>3289473.6842105263</v>
      </c>
      <c r="E46" s="139">
        <v>375000000</v>
      </c>
      <c r="F46" s="139">
        <v>25000000</v>
      </c>
      <c r="G46" s="139">
        <v>31250000</v>
      </c>
      <c r="H46" s="139">
        <f>+G46/D46</f>
        <v>9.5</v>
      </c>
      <c r="I46" s="139">
        <v>24999899</v>
      </c>
      <c r="J46" s="139">
        <v>24999899</v>
      </c>
      <c r="K46" s="148">
        <f>I46-J46</f>
        <v>0</v>
      </c>
      <c r="L46" s="146" t="s">
        <v>222</v>
      </c>
      <c r="M46" s="139">
        <v>10000000</v>
      </c>
      <c r="N46" s="140" t="s">
        <v>33</v>
      </c>
      <c r="O46" s="139">
        <f>+E46-F46-M46</f>
        <v>340000000</v>
      </c>
      <c r="P46" s="139">
        <v>10000000</v>
      </c>
      <c r="Q46" s="139">
        <v>6500000</v>
      </c>
      <c r="R46" s="139">
        <f t="shared" si="71"/>
        <v>3500000</v>
      </c>
      <c r="S46" s="146" t="s">
        <v>223</v>
      </c>
      <c r="T46" s="139">
        <f t="shared" si="58"/>
        <v>3500000</v>
      </c>
      <c r="U46" s="139">
        <v>110000000</v>
      </c>
      <c r="V46" s="146" t="s">
        <v>225</v>
      </c>
      <c r="W46" s="139">
        <f>+F46+M46+U46</f>
        <v>145000000</v>
      </c>
      <c r="X46" s="139">
        <f>+E46-F46-M46-U46</f>
        <v>230000000</v>
      </c>
      <c r="Y46" s="139">
        <f>+X46/2</f>
        <v>115000000</v>
      </c>
      <c r="Z46" s="140"/>
      <c r="AA46" s="139">
        <v>104750000</v>
      </c>
      <c r="AB46" s="139">
        <v>115150000</v>
      </c>
      <c r="AC46" s="139">
        <v>120100000</v>
      </c>
      <c r="AD46" s="126">
        <f>+O46-AA46-AB46-AC46</f>
        <v>0</v>
      </c>
      <c r="AE46" s="126">
        <v>230000000</v>
      </c>
      <c r="AF46" s="126">
        <v>46000000</v>
      </c>
      <c r="AG46" s="126">
        <v>184000000</v>
      </c>
      <c r="AH46" s="126">
        <f t="shared" ref="AH46" si="85">SUM(AF46,U46,R46)</f>
        <v>159500000</v>
      </c>
      <c r="AI46" s="126">
        <v>184000000</v>
      </c>
      <c r="AJ46" s="126">
        <f t="shared" ref="AJ46" si="86">SUM(AE46,U46,T46)</f>
        <v>343500000</v>
      </c>
      <c r="AK46" s="200"/>
      <c r="AL46" s="29"/>
      <c r="AM46" s="32"/>
    </row>
    <row r="47" spans="1:39" s="27" customFormat="1" ht="18.75" customHeight="1" x14ac:dyDescent="0.25">
      <c r="A47" s="194"/>
      <c r="B47" s="137"/>
      <c r="C47" s="137"/>
      <c r="D47" s="138">
        <f>+E47/130</f>
        <v>0</v>
      </c>
      <c r="E47" s="148"/>
      <c r="F47" s="148"/>
      <c r="G47" s="148"/>
      <c r="H47" s="148"/>
      <c r="I47" s="148"/>
      <c r="J47" s="148"/>
      <c r="K47" s="148"/>
      <c r="L47" s="149"/>
      <c r="M47" s="148"/>
      <c r="N47" s="150"/>
      <c r="O47" s="148"/>
      <c r="P47" s="148"/>
      <c r="Q47" s="148"/>
      <c r="R47" s="139"/>
      <c r="S47" s="149"/>
      <c r="T47" s="139">
        <f t="shared" si="58"/>
        <v>0</v>
      </c>
      <c r="U47" s="148"/>
      <c r="V47" s="149"/>
      <c r="W47" s="148"/>
      <c r="X47" s="148"/>
      <c r="Y47" s="148"/>
      <c r="Z47" s="150"/>
      <c r="AA47" s="148"/>
      <c r="AB47" s="148"/>
      <c r="AC47" s="148"/>
      <c r="AD47" s="158"/>
      <c r="AE47" s="158"/>
      <c r="AF47" s="158"/>
      <c r="AG47" s="158"/>
      <c r="AH47" s="158"/>
      <c r="AI47" s="158"/>
      <c r="AJ47" s="158"/>
      <c r="AK47" s="203"/>
      <c r="AL47" s="39"/>
      <c r="AM47" s="23"/>
    </row>
    <row r="48" spans="1:39" ht="18.75" x14ac:dyDescent="0.25">
      <c r="A48" s="197">
        <v>4</v>
      </c>
      <c r="B48" s="141" t="s">
        <v>66</v>
      </c>
      <c r="C48" s="142" t="s">
        <v>55</v>
      </c>
      <c r="D48" s="138">
        <f>+E48/130</f>
        <v>1153846.1538461538</v>
      </c>
      <c r="E48" s="125">
        <f>SUM(E49:E49)</f>
        <v>150000000</v>
      </c>
      <c r="F48" s="125">
        <f>SUM(F49:F49)</f>
        <v>0</v>
      </c>
      <c r="G48" s="125">
        <f t="shared" ref="G48:K48" si="87">SUM(G49:G49)</f>
        <v>75000000</v>
      </c>
      <c r="H48" s="125">
        <f t="shared" si="87"/>
        <v>2</v>
      </c>
      <c r="I48" s="125">
        <f t="shared" si="87"/>
        <v>0</v>
      </c>
      <c r="J48" s="125">
        <f t="shared" si="87"/>
        <v>0</v>
      </c>
      <c r="K48" s="125">
        <f t="shared" si="87"/>
        <v>0</v>
      </c>
      <c r="L48" s="144">
        <f>SUM(L49:L49)</f>
        <v>0</v>
      </c>
      <c r="M48" s="125">
        <f>SUM(M49:M49)</f>
        <v>150000000</v>
      </c>
      <c r="N48" s="125">
        <f t="shared" ref="N48:R48" si="88">SUM(N49:N49)</f>
        <v>0</v>
      </c>
      <c r="O48" s="125">
        <f t="shared" si="88"/>
        <v>0</v>
      </c>
      <c r="P48" s="125">
        <f t="shared" si="88"/>
        <v>0</v>
      </c>
      <c r="Q48" s="125">
        <f t="shared" si="88"/>
        <v>0</v>
      </c>
      <c r="R48" s="125">
        <f t="shared" si="88"/>
        <v>0</v>
      </c>
      <c r="S48" s="125">
        <f t="shared" ref="S48" si="89">SUM(S49:S49)</f>
        <v>0</v>
      </c>
      <c r="T48" s="125">
        <f t="shared" ref="T48" si="90">SUM(T49:T49)</f>
        <v>0</v>
      </c>
      <c r="U48" s="125">
        <f t="shared" ref="U48" si="91">SUM(U49:U49)</f>
        <v>0</v>
      </c>
      <c r="V48" s="125">
        <f t="shared" ref="V48" si="92">SUM(V49:V49)</f>
        <v>0</v>
      </c>
      <c r="W48" s="125">
        <f t="shared" ref="W48" si="93">SUM(W49:W49)</f>
        <v>150000000</v>
      </c>
      <c r="X48" s="125">
        <f>SUM(X49:X49)</f>
        <v>0</v>
      </c>
      <c r="Y48" s="125">
        <f>SUM(Y49:Y49)</f>
        <v>0</v>
      </c>
      <c r="Z48" s="131"/>
      <c r="AA48" s="125"/>
      <c r="AB48" s="125"/>
      <c r="AC48" s="125"/>
      <c r="AD48" s="145"/>
      <c r="AE48" s="125">
        <f t="shared" ref="AE48" si="94">SUM(AE49:AE49)</f>
        <v>0</v>
      </c>
      <c r="AF48" s="125">
        <f t="shared" ref="AF48" si="95">SUM(AF49:AF49)</f>
        <v>0</v>
      </c>
      <c r="AG48" s="125">
        <f t="shared" ref="AG48:AJ48" si="96">SUM(AG49:AG49)</f>
        <v>0</v>
      </c>
      <c r="AH48" s="125">
        <f t="shared" si="96"/>
        <v>0</v>
      </c>
      <c r="AI48" s="125">
        <f t="shared" si="96"/>
        <v>0</v>
      </c>
      <c r="AJ48" s="125">
        <f t="shared" si="96"/>
        <v>0</v>
      </c>
      <c r="AK48" s="198"/>
      <c r="AL48" s="28"/>
      <c r="AM48" s="23"/>
    </row>
    <row r="49" spans="1:39" s="27" customFormat="1" ht="37.5" x14ac:dyDescent="0.25">
      <c r="A49" s="194"/>
      <c r="B49" s="137" t="s">
        <v>67</v>
      </c>
      <c r="C49" s="137" t="s">
        <v>68</v>
      </c>
      <c r="D49" s="138">
        <f>+E49/4</f>
        <v>37500000</v>
      </c>
      <c r="E49" s="139">
        <v>150000000</v>
      </c>
      <c r="F49" s="139">
        <v>0</v>
      </c>
      <c r="G49" s="139">
        <f>+D49*2</f>
        <v>75000000</v>
      </c>
      <c r="H49" s="139">
        <f>+G49/D49</f>
        <v>2</v>
      </c>
      <c r="I49" s="139"/>
      <c r="J49" s="139"/>
      <c r="K49" s="139"/>
      <c r="L49" s="146"/>
      <c r="M49" s="139">
        <v>150000000</v>
      </c>
      <c r="N49" s="140"/>
      <c r="O49" s="139">
        <f>+E49-F49-M49</f>
        <v>0</v>
      </c>
      <c r="P49" s="139"/>
      <c r="Q49" s="139"/>
      <c r="R49" s="139">
        <f t="shared" si="71"/>
        <v>0</v>
      </c>
      <c r="S49" s="146" t="s">
        <v>225</v>
      </c>
      <c r="T49" s="139">
        <f t="shared" si="58"/>
        <v>0</v>
      </c>
      <c r="U49" s="139">
        <v>0</v>
      </c>
      <c r="V49" s="146"/>
      <c r="W49" s="139">
        <f>+F49+M49+U49</f>
        <v>150000000</v>
      </c>
      <c r="X49" s="139">
        <f>+E49-F49-M49-U49</f>
        <v>0</v>
      </c>
      <c r="Y49" s="139">
        <v>0</v>
      </c>
      <c r="Z49" s="140"/>
      <c r="AA49" s="139"/>
      <c r="AB49" s="139"/>
      <c r="AC49" s="139"/>
      <c r="AD49" s="126">
        <f>+O49-AA49-AB49-AC49</f>
        <v>0</v>
      </c>
      <c r="AE49" s="126"/>
      <c r="AF49" s="126"/>
      <c r="AG49" s="126"/>
      <c r="AH49" s="126">
        <f t="shared" ref="AH49" si="97">SUM(AF49,U49,R49)</f>
        <v>0</v>
      </c>
      <c r="AI49" s="126"/>
      <c r="AJ49" s="126">
        <f t="shared" ref="AJ49" si="98">SUM(AE49,U49,T49)</f>
        <v>0</v>
      </c>
      <c r="AK49" s="200"/>
      <c r="AL49" s="29"/>
      <c r="AM49" s="38"/>
    </row>
    <row r="50" spans="1:39" s="27" customFormat="1" ht="18.75" customHeight="1" x14ac:dyDescent="0.25">
      <c r="A50" s="194"/>
      <c r="B50" s="137"/>
      <c r="C50" s="137"/>
      <c r="D50" s="138">
        <f>+E50/130</f>
        <v>0</v>
      </c>
      <c r="E50" s="148"/>
      <c r="F50" s="148"/>
      <c r="G50" s="148"/>
      <c r="H50" s="148"/>
      <c r="I50" s="148"/>
      <c r="J50" s="148"/>
      <c r="K50" s="148"/>
      <c r="L50" s="149"/>
      <c r="M50" s="148"/>
      <c r="N50" s="150"/>
      <c r="O50" s="148"/>
      <c r="P50" s="148"/>
      <c r="Q50" s="148"/>
      <c r="R50" s="139"/>
      <c r="S50" s="149"/>
      <c r="T50" s="139">
        <f t="shared" si="58"/>
        <v>0</v>
      </c>
      <c r="U50" s="148"/>
      <c r="V50" s="149"/>
      <c r="W50" s="148"/>
      <c r="X50" s="148"/>
      <c r="Y50" s="148"/>
      <c r="Z50" s="150"/>
      <c r="AA50" s="148"/>
      <c r="AB50" s="148"/>
      <c r="AC50" s="148"/>
      <c r="AD50" s="158"/>
      <c r="AE50" s="158"/>
      <c r="AF50" s="158"/>
      <c r="AG50" s="158"/>
      <c r="AH50" s="158"/>
      <c r="AI50" s="158"/>
      <c r="AJ50" s="158"/>
      <c r="AK50" s="203"/>
      <c r="AL50" s="39"/>
      <c r="AM50" s="23"/>
    </row>
    <row r="51" spans="1:39" ht="18.75" customHeight="1" x14ac:dyDescent="0.25">
      <c r="A51" s="197">
        <v>5</v>
      </c>
      <c r="B51" s="141" t="s">
        <v>69</v>
      </c>
      <c r="C51" s="142" t="s">
        <v>70</v>
      </c>
      <c r="D51" s="138">
        <f>+E51/130</f>
        <v>2123076.923076923</v>
      </c>
      <c r="E51" s="125">
        <f>SUM(E52:E55)</f>
        <v>276000000</v>
      </c>
      <c r="F51" s="125">
        <f>SUM(F52:F55)</f>
        <v>60000000</v>
      </c>
      <c r="G51" s="125">
        <f t="shared" ref="G51:K51" si="99">SUM(G52:G55)</f>
        <v>128000000</v>
      </c>
      <c r="H51" s="125">
        <f t="shared" si="99"/>
        <v>20.5</v>
      </c>
      <c r="I51" s="125">
        <f t="shared" si="99"/>
        <v>59920000</v>
      </c>
      <c r="J51" s="125">
        <f t="shared" si="99"/>
        <v>59920000</v>
      </c>
      <c r="K51" s="125">
        <f t="shared" si="99"/>
        <v>0</v>
      </c>
      <c r="L51" s="144">
        <f>SUM(L52:L55)</f>
        <v>0</v>
      </c>
      <c r="M51" s="125">
        <f>SUM(M52:M55)</f>
        <v>196000000</v>
      </c>
      <c r="N51" s="125">
        <f t="shared" ref="N51:R51" si="100">SUM(N52:N55)</f>
        <v>0</v>
      </c>
      <c r="O51" s="125">
        <f t="shared" si="100"/>
        <v>20000000</v>
      </c>
      <c r="P51" s="125">
        <f t="shared" si="100"/>
        <v>137000000</v>
      </c>
      <c r="Q51" s="125">
        <f t="shared" si="100"/>
        <v>54800000</v>
      </c>
      <c r="R51" s="125">
        <f t="shared" si="100"/>
        <v>82200000</v>
      </c>
      <c r="S51" s="125">
        <f t="shared" ref="S51" si="101">SUM(S52:S55)</f>
        <v>0</v>
      </c>
      <c r="T51" s="125">
        <f t="shared" ref="T51" si="102">SUM(T52:T55)</f>
        <v>82200000</v>
      </c>
      <c r="U51" s="125">
        <f t="shared" ref="U51" si="103">SUM(U52:U55)</f>
        <v>20000000</v>
      </c>
      <c r="V51" s="125">
        <f t="shared" ref="V51" si="104">SUM(V52:V55)</f>
        <v>0</v>
      </c>
      <c r="W51" s="125">
        <f t="shared" ref="W51" si="105">SUM(W52:W55)</f>
        <v>276000000</v>
      </c>
      <c r="X51" s="125">
        <f t="shared" ref="X51:AC51" si="106">SUM(X52:X55)</f>
        <v>0</v>
      </c>
      <c r="Y51" s="125">
        <f t="shared" ref="Y51" si="107">SUM(Y52:Y55)</f>
        <v>0</v>
      </c>
      <c r="Z51" s="131"/>
      <c r="AA51" s="125">
        <f t="shared" si="106"/>
        <v>20000000</v>
      </c>
      <c r="AB51" s="125">
        <f t="shared" si="106"/>
        <v>0</v>
      </c>
      <c r="AC51" s="125">
        <f t="shared" si="106"/>
        <v>0</v>
      </c>
      <c r="AD51" s="145"/>
      <c r="AE51" s="125">
        <f t="shared" ref="AE51" si="108">SUM(AE52:AE55)</f>
        <v>0</v>
      </c>
      <c r="AF51" s="125">
        <f t="shared" ref="AF51" si="109">SUM(AF52:AF55)</f>
        <v>0</v>
      </c>
      <c r="AG51" s="125">
        <f t="shared" ref="AG51:AJ51" si="110">SUM(AG52:AG55)</f>
        <v>0</v>
      </c>
      <c r="AH51" s="125">
        <f t="shared" si="110"/>
        <v>102200000</v>
      </c>
      <c r="AI51" s="125">
        <f t="shared" si="110"/>
        <v>0</v>
      </c>
      <c r="AJ51" s="125">
        <f t="shared" si="110"/>
        <v>102200000</v>
      </c>
      <c r="AK51" s="198"/>
      <c r="AL51" s="28"/>
      <c r="AM51" s="23"/>
    </row>
    <row r="52" spans="1:39" s="27" customFormat="1" ht="18.75" customHeight="1" x14ac:dyDescent="0.25">
      <c r="A52" s="194"/>
      <c r="B52" s="137" t="s">
        <v>71</v>
      </c>
      <c r="C52" s="137" t="s">
        <v>72</v>
      </c>
      <c r="D52" s="138">
        <f>+E52/2</f>
        <v>40000000</v>
      </c>
      <c r="E52" s="148">
        <v>80000000</v>
      </c>
      <c r="F52" s="148">
        <v>60000000</v>
      </c>
      <c r="G52" s="148">
        <v>20000000</v>
      </c>
      <c r="H52" s="139">
        <f>+G52/D52</f>
        <v>0.5</v>
      </c>
      <c r="I52" s="139">
        <v>59920000</v>
      </c>
      <c r="J52" s="139">
        <v>59920000</v>
      </c>
      <c r="K52" s="148">
        <f>I52-J52</f>
        <v>0</v>
      </c>
      <c r="L52" s="149" t="s">
        <v>222</v>
      </c>
      <c r="M52" s="148">
        <v>0</v>
      </c>
      <c r="N52" s="140" t="s">
        <v>23</v>
      </c>
      <c r="O52" s="139">
        <f>+E52-F52-M52</f>
        <v>20000000</v>
      </c>
      <c r="P52" s="139"/>
      <c r="Q52" s="139"/>
      <c r="R52" s="139">
        <f t="shared" si="71"/>
        <v>0</v>
      </c>
      <c r="S52" s="149"/>
      <c r="T52" s="139">
        <f t="shared" si="58"/>
        <v>0</v>
      </c>
      <c r="U52" s="148">
        <v>20000000</v>
      </c>
      <c r="V52" s="149" t="s">
        <v>225</v>
      </c>
      <c r="W52" s="139">
        <f>+F52+M52+U52</f>
        <v>80000000</v>
      </c>
      <c r="X52" s="139">
        <f>+E52-F52-M52-U52</f>
        <v>0</v>
      </c>
      <c r="Y52" s="139">
        <v>0</v>
      </c>
      <c r="Z52" s="140"/>
      <c r="AA52" s="139">
        <v>20000000</v>
      </c>
      <c r="AB52" s="139">
        <v>0</v>
      </c>
      <c r="AC52" s="139">
        <v>0</v>
      </c>
      <c r="AD52" s="126">
        <f>+O52-AA52-AB52-AC52</f>
        <v>0</v>
      </c>
      <c r="AE52" s="126"/>
      <c r="AF52" s="126"/>
      <c r="AG52" s="126"/>
      <c r="AH52" s="126">
        <f t="shared" ref="AH52:AH55" si="111">SUM(AF52,U52,R52)</f>
        <v>20000000</v>
      </c>
      <c r="AI52" s="126"/>
      <c r="AJ52" s="126">
        <f t="shared" ref="AJ52:AJ55" si="112">SUM(AE52,U52,T52)</f>
        <v>20000000</v>
      </c>
      <c r="AK52" s="200"/>
      <c r="AL52" s="29"/>
      <c r="AM52" s="32"/>
    </row>
    <row r="53" spans="1:39" s="27" customFormat="1" ht="18.75" customHeight="1" x14ac:dyDescent="0.25">
      <c r="A53" s="194"/>
      <c r="B53" s="137" t="s">
        <v>73</v>
      </c>
      <c r="C53" s="137" t="s">
        <v>74</v>
      </c>
      <c r="D53" s="138">
        <f>+E53/10</f>
        <v>8800000</v>
      </c>
      <c r="E53" s="148">
        <v>88000000</v>
      </c>
      <c r="F53" s="148">
        <v>0</v>
      </c>
      <c r="G53" s="148">
        <v>0</v>
      </c>
      <c r="H53" s="148">
        <v>0</v>
      </c>
      <c r="I53" s="148">
        <v>0</v>
      </c>
      <c r="J53" s="148">
        <v>0</v>
      </c>
      <c r="K53" s="139">
        <v>0</v>
      </c>
      <c r="L53" s="149"/>
      <c r="M53" s="148">
        <v>88000000</v>
      </c>
      <c r="N53" s="140"/>
      <c r="O53" s="139">
        <f>+E53-F53-M53</f>
        <v>0</v>
      </c>
      <c r="P53" s="139">
        <v>88000000</v>
      </c>
      <c r="Q53" s="139">
        <v>35200000</v>
      </c>
      <c r="R53" s="139">
        <f t="shared" si="71"/>
        <v>52800000</v>
      </c>
      <c r="S53" s="149" t="s">
        <v>223</v>
      </c>
      <c r="T53" s="139">
        <f t="shared" si="58"/>
        <v>52800000</v>
      </c>
      <c r="U53" s="148">
        <v>0</v>
      </c>
      <c r="V53" s="149"/>
      <c r="W53" s="139">
        <f>+F53+M53+U53</f>
        <v>88000000</v>
      </c>
      <c r="X53" s="139">
        <f>+E53-F53-M53-U53</f>
        <v>0</v>
      </c>
      <c r="Y53" s="139">
        <v>0</v>
      </c>
      <c r="Z53" s="140"/>
      <c r="AA53" s="139"/>
      <c r="AB53" s="139"/>
      <c r="AC53" s="139"/>
      <c r="AD53" s="126">
        <f>+O53-AA53-AB53-AC53</f>
        <v>0</v>
      </c>
      <c r="AE53" s="126"/>
      <c r="AF53" s="126"/>
      <c r="AG53" s="126"/>
      <c r="AH53" s="126">
        <f t="shared" si="111"/>
        <v>52800000</v>
      </c>
      <c r="AI53" s="126"/>
      <c r="AJ53" s="126">
        <f t="shared" si="112"/>
        <v>52800000</v>
      </c>
      <c r="AK53" s="200"/>
      <c r="AL53" s="29"/>
      <c r="AM53" s="32"/>
    </row>
    <row r="54" spans="1:39" s="27" customFormat="1" ht="18.75" customHeight="1" x14ac:dyDescent="0.25">
      <c r="A54" s="194"/>
      <c r="B54" s="137" t="s">
        <v>75</v>
      </c>
      <c r="C54" s="137" t="s">
        <v>74</v>
      </c>
      <c r="D54" s="138">
        <f>+E54/10</f>
        <v>5900000</v>
      </c>
      <c r="E54" s="148">
        <v>59000000</v>
      </c>
      <c r="F54" s="148">
        <v>0</v>
      </c>
      <c r="G54" s="148">
        <v>59000000</v>
      </c>
      <c r="H54" s="139">
        <f>+G54/D54</f>
        <v>10</v>
      </c>
      <c r="I54" s="139">
        <v>0</v>
      </c>
      <c r="J54" s="139">
        <v>0</v>
      </c>
      <c r="K54" s="139">
        <v>0</v>
      </c>
      <c r="L54" s="149"/>
      <c r="M54" s="148">
        <v>59000000</v>
      </c>
      <c r="N54" s="140"/>
      <c r="O54" s="139">
        <f>+E54-F54-M54</f>
        <v>0</v>
      </c>
      <c r="P54" s="139"/>
      <c r="Q54" s="139"/>
      <c r="R54" s="139">
        <f t="shared" si="71"/>
        <v>0</v>
      </c>
      <c r="S54" s="149" t="s">
        <v>223</v>
      </c>
      <c r="T54" s="139">
        <f t="shared" si="58"/>
        <v>0</v>
      </c>
      <c r="U54" s="148">
        <v>0</v>
      </c>
      <c r="V54" s="149"/>
      <c r="W54" s="139">
        <f>+F54+M54+U54</f>
        <v>59000000</v>
      </c>
      <c r="X54" s="139">
        <f>+E54-F54-M54-U54</f>
        <v>0</v>
      </c>
      <c r="Y54" s="139">
        <v>0</v>
      </c>
      <c r="Z54" s="140"/>
      <c r="AA54" s="139"/>
      <c r="AB54" s="139"/>
      <c r="AC54" s="139"/>
      <c r="AD54" s="126">
        <f>+O54-AA54-AB54-AC54</f>
        <v>0</v>
      </c>
      <c r="AE54" s="126"/>
      <c r="AF54" s="126"/>
      <c r="AG54" s="126"/>
      <c r="AH54" s="126">
        <f t="shared" si="111"/>
        <v>0</v>
      </c>
      <c r="AI54" s="126"/>
      <c r="AJ54" s="126">
        <f t="shared" si="112"/>
        <v>0</v>
      </c>
      <c r="AK54" s="200"/>
      <c r="AL54" s="29"/>
      <c r="AM54" s="32"/>
    </row>
    <row r="55" spans="1:39" s="27" customFormat="1" ht="37.5" x14ac:dyDescent="0.25">
      <c r="A55" s="194"/>
      <c r="B55" s="137" t="s">
        <v>76</v>
      </c>
      <c r="C55" s="137" t="s">
        <v>74</v>
      </c>
      <c r="D55" s="138">
        <f>+E55/10</f>
        <v>4900000</v>
      </c>
      <c r="E55" s="148">
        <v>49000000</v>
      </c>
      <c r="F55" s="148">
        <v>0</v>
      </c>
      <c r="G55" s="148">
        <v>49000000</v>
      </c>
      <c r="H55" s="139">
        <f>+G55/D55</f>
        <v>10</v>
      </c>
      <c r="I55" s="139">
        <v>0</v>
      </c>
      <c r="J55" s="139">
        <v>0</v>
      </c>
      <c r="K55" s="139">
        <v>0</v>
      </c>
      <c r="L55" s="149"/>
      <c r="M55" s="148">
        <v>49000000</v>
      </c>
      <c r="N55" s="140"/>
      <c r="O55" s="139">
        <f>+E55-F55-M55</f>
        <v>0</v>
      </c>
      <c r="P55" s="139">
        <v>49000000</v>
      </c>
      <c r="Q55" s="139">
        <v>19600000</v>
      </c>
      <c r="R55" s="139">
        <f t="shared" si="71"/>
        <v>29400000</v>
      </c>
      <c r="S55" s="149" t="s">
        <v>223</v>
      </c>
      <c r="T55" s="139">
        <f t="shared" si="58"/>
        <v>29400000</v>
      </c>
      <c r="U55" s="148">
        <v>0</v>
      </c>
      <c r="V55" s="149"/>
      <c r="W55" s="139">
        <f>+F55+M55+U55</f>
        <v>49000000</v>
      </c>
      <c r="X55" s="139">
        <f>+E55-F55-M55-U55</f>
        <v>0</v>
      </c>
      <c r="Y55" s="139">
        <v>0</v>
      </c>
      <c r="Z55" s="140"/>
      <c r="AA55" s="139"/>
      <c r="AB55" s="139"/>
      <c r="AC55" s="139"/>
      <c r="AD55" s="126">
        <f>+O55-AA55-AB55-AC55</f>
        <v>0</v>
      </c>
      <c r="AE55" s="126"/>
      <c r="AF55" s="126"/>
      <c r="AG55" s="126"/>
      <c r="AH55" s="126">
        <f t="shared" si="111"/>
        <v>29400000</v>
      </c>
      <c r="AI55" s="126"/>
      <c r="AJ55" s="126">
        <f t="shared" si="112"/>
        <v>29400000</v>
      </c>
      <c r="AK55" s="200"/>
      <c r="AL55" s="29"/>
      <c r="AM55" s="32"/>
    </row>
    <row r="56" spans="1:39" s="27" customFormat="1" ht="18.75" customHeight="1" x14ac:dyDescent="0.25">
      <c r="A56" s="194"/>
      <c r="B56" s="137"/>
      <c r="C56" s="137"/>
      <c r="D56" s="138"/>
      <c r="E56" s="148"/>
      <c r="F56" s="148"/>
      <c r="G56" s="148"/>
      <c r="H56" s="148"/>
      <c r="I56" s="148"/>
      <c r="J56" s="148"/>
      <c r="K56" s="148"/>
      <c r="L56" s="149"/>
      <c r="M56" s="148"/>
      <c r="N56" s="150"/>
      <c r="O56" s="148"/>
      <c r="P56" s="148"/>
      <c r="Q56" s="148"/>
      <c r="R56" s="139"/>
      <c r="S56" s="149"/>
      <c r="T56" s="139"/>
      <c r="U56" s="148"/>
      <c r="V56" s="149"/>
      <c r="W56" s="148"/>
      <c r="X56" s="148"/>
      <c r="Y56" s="148"/>
      <c r="Z56" s="150"/>
      <c r="AA56" s="148"/>
      <c r="AB56" s="148"/>
      <c r="AC56" s="148"/>
      <c r="AD56" s="158"/>
      <c r="AE56" s="158"/>
      <c r="AF56" s="158"/>
      <c r="AG56" s="158"/>
      <c r="AH56" s="158"/>
      <c r="AI56" s="158"/>
      <c r="AJ56" s="158"/>
      <c r="AK56" s="203"/>
      <c r="AL56" s="39"/>
      <c r="AM56" s="23"/>
    </row>
    <row r="57" spans="1:39" ht="18.75" customHeight="1" x14ac:dyDescent="0.25">
      <c r="A57" s="197">
        <v>6</v>
      </c>
      <c r="B57" s="160" t="s">
        <v>41</v>
      </c>
      <c r="C57" s="142" t="s">
        <v>55</v>
      </c>
      <c r="D57" s="143"/>
      <c r="E57" s="125">
        <f>SUM(E58:E58)</f>
        <v>500000000</v>
      </c>
      <c r="F57" s="125">
        <f>SUM(F58)</f>
        <v>34000000</v>
      </c>
      <c r="G57" s="125">
        <f t="shared" ref="G57:K57" si="113">SUM(G58)</f>
        <v>77000000</v>
      </c>
      <c r="H57" s="125">
        <f t="shared" si="113"/>
        <v>0.77</v>
      </c>
      <c r="I57" s="125">
        <f t="shared" si="113"/>
        <v>33999743.299999997</v>
      </c>
      <c r="J57" s="125">
        <f t="shared" si="113"/>
        <v>33999743.299999997</v>
      </c>
      <c r="K57" s="125">
        <f t="shared" si="113"/>
        <v>0</v>
      </c>
      <c r="L57" s="144">
        <f>SUM(L58:L58)</f>
        <v>0</v>
      </c>
      <c r="M57" s="125">
        <f>SUM(M58:M58)</f>
        <v>0</v>
      </c>
      <c r="N57" s="125">
        <f t="shared" ref="N57:R57" si="114">SUM(N58:N58)</f>
        <v>0</v>
      </c>
      <c r="O57" s="125">
        <f t="shared" si="114"/>
        <v>466000000</v>
      </c>
      <c r="P57" s="125">
        <f t="shared" si="114"/>
        <v>0</v>
      </c>
      <c r="Q57" s="125">
        <f t="shared" si="114"/>
        <v>0</v>
      </c>
      <c r="R57" s="125">
        <f t="shared" si="114"/>
        <v>0</v>
      </c>
      <c r="S57" s="125">
        <f t="shared" ref="S57" si="115">SUM(S58:S58)</f>
        <v>0</v>
      </c>
      <c r="T57" s="125">
        <f t="shared" ref="T57" si="116">SUM(T58:T58)</f>
        <v>0</v>
      </c>
      <c r="U57" s="125">
        <f t="shared" ref="U57" si="117">SUM(U58:U58)</f>
        <v>155000000</v>
      </c>
      <c r="V57" s="125">
        <f t="shared" ref="V57" si="118">SUM(V58:V58)</f>
        <v>0</v>
      </c>
      <c r="W57" s="125">
        <f t="shared" ref="W57" si="119">SUM(W58:W58)</f>
        <v>189000000</v>
      </c>
      <c r="X57" s="125">
        <f t="shared" ref="X57:AC57" si="120">SUM(X58:X58)</f>
        <v>311000000</v>
      </c>
      <c r="Y57" s="125">
        <f t="shared" si="120"/>
        <v>155000000</v>
      </c>
      <c r="Z57" s="131"/>
      <c r="AA57" s="125">
        <f t="shared" si="120"/>
        <v>158983930</v>
      </c>
      <c r="AB57" s="125">
        <f t="shared" si="120"/>
        <v>158750902</v>
      </c>
      <c r="AC57" s="125">
        <f t="shared" si="120"/>
        <v>148265168</v>
      </c>
      <c r="AD57" s="145"/>
      <c r="AE57" s="125">
        <f t="shared" ref="AE57" si="121">SUM(AE58:AE58)</f>
        <v>0</v>
      </c>
      <c r="AF57" s="125">
        <f t="shared" ref="AF57" si="122">SUM(AF58:AF58)</f>
        <v>0</v>
      </c>
      <c r="AG57" s="125">
        <f t="shared" ref="AG57:AI57" si="123">SUM(AG58:AG58)</f>
        <v>0</v>
      </c>
      <c r="AH57" s="125">
        <f t="shared" si="123"/>
        <v>155000000</v>
      </c>
      <c r="AI57" s="125">
        <f t="shared" si="123"/>
        <v>0</v>
      </c>
      <c r="AJ57" s="125">
        <f>SUM(AJ58:AJ58)</f>
        <v>155000000</v>
      </c>
      <c r="AK57" s="198"/>
      <c r="AL57" s="28"/>
      <c r="AM57" s="23"/>
    </row>
    <row r="58" spans="1:39" s="27" customFormat="1" ht="18.75" x14ac:dyDescent="0.25">
      <c r="A58" s="194"/>
      <c r="B58" s="137" t="s">
        <v>77</v>
      </c>
      <c r="C58" s="137" t="s">
        <v>25</v>
      </c>
      <c r="D58" s="138">
        <f>+E58/5</f>
        <v>100000000</v>
      </c>
      <c r="E58" s="148">
        <v>500000000</v>
      </c>
      <c r="F58" s="148">
        <v>34000000</v>
      </c>
      <c r="G58" s="148">
        <v>77000000</v>
      </c>
      <c r="H58" s="139">
        <f>+G58/D58</f>
        <v>0.77</v>
      </c>
      <c r="I58" s="139">
        <v>33999743.299999997</v>
      </c>
      <c r="J58" s="139">
        <v>33999743.299999997</v>
      </c>
      <c r="K58" s="148">
        <f>I58-J58</f>
        <v>0</v>
      </c>
      <c r="L58" s="149" t="s">
        <v>222</v>
      </c>
      <c r="M58" s="148">
        <v>0</v>
      </c>
      <c r="N58" s="140" t="s">
        <v>33</v>
      </c>
      <c r="O58" s="139">
        <f>+E58-F58-M58</f>
        <v>466000000</v>
      </c>
      <c r="P58" s="139"/>
      <c r="Q58" s="139"/>
      <c r="R58" s="139">
        <f t="shared" si="71"/>
        <v>0</v>
      </c>
      <c r="S58" s="149"/>
      <c r="T58" s="139">
        <f t="shared" si="58"/>
        <v>0</v>
      </c>
      <c r="U58" s="148">
        <v>155000000</v>
      </c>
      <c r="V58" s="149" t="s">
        <v>225</v>
      </c>
      <c r="W58" s="139">
        <f>+F58+M58+U58</f>
        <v>189000000</v>
      </c>
      <c r="X58" s="139">
        <f>+E58-F58-M58-U58</f>
        <v>311000000</v>
      </c>
      <c r="Y58" s="139">
        <v>155000000</v>
      </c>
      <c r="Z58" s="140"/>
      <c r="AA58" s="139">
        <v>158983930</v>
      </c>
      <c r="AB58" s="139">
        <v>158750902</v>
      </c>
      <c r="AC58" s="139">
        <v>148265168</v>
      </c>
      <c r="AD58" s="126">
        <f>+O58-AA58-AB58-AC58</f>
        <v>0</v>
      </c>
      <c r="AE58" s="126"/>
      <c r="AF58" s="126"/>
      <c r="AG58" s="126"/>
      <c r="AH58" s="126">
        <f t="shared" ref="AH58" si="124">SUM(AF58,U58,R58)</f>
        <v>155000000</v>
      </c>
      <c r="AI58" s="126"/>
      <c r="AJ58" s="126">
        <f t="shared" ref="AJ58" si="125">SUM(AE58,U58,T58)</f>
        <v>155000000</v>
      </c>
      <c r="AK58" s="200"/>
      <c r="AL58" s="29"/>
      <c r="AM58" s="32"/>
    </row>
    <row r="59" spans="1:39" s="27" customFormat="1" ht="18.75" customHeight="1" x14ac:dyDescent="0.25">
      <c r="A59" s="194"/>
      <c r="B59" s="137"/>
      <c r="C59" s="137"/>
      <c r="D59" s="138"/>
      <c r="E59" s="148"/>
      <c r="F59" s="148"/>
      <c r="G59" s="148"/>
      <c r="H59" s="148"/>
      <c r="I59" s="148"/>
      <c r="J59" s="148"/>
      <c r="K59" s="148"/>
      <c r="L59" s="149"/>
      <c r="M59" s="148"/>
      <c r="N59" s="150"/>
      <c r="O59" s="148"/>
      <c r="P59" s="148"/>
      <c r="Q59" s="148"/>
      <c r="R59" s="139"/>
      <c r="S59" s="149"/>
      <c r="T59" s="139">
        <f t="shared" si="58"/>
        <v>0</v>
      </c>
      <c r="U59" s="148"/>
      <c r="V59" s="149"/>
      <c r="W59" s="148"/>
      <c r="X59" s="148"/>
      <c r="Y59" s="148"/>
      <c r="Z59" s="150"/>
      <c r="AA59" s="148"/>
      <c r="AB59" s="148"/>
      <c r="AC59" s="148"/>
      <c r="AD59" s="158"/>
      <c r="AE59" s="158"/>
      <c r="AF59" s="158"/>
      <c r="AG59" s="158"/>
      <c r="AH59" s="158"/>
      <c r="AI59" s="158"/>
      <c r="AJ59" s="158"/>
      <c r="AK59" s="203"/>
      <c r="AL59" s="39"/>
      <c r="AM59" s="23"/>
    </row>
    <row r="60" spans="1:39" ht="18.75" customHeight="1" x14ac:dyDescent="0.25">
      <c r="A60" s="197">
        <v>7</v>
      </c>
      <c r="B60" s="161" t="s">
        <v>78</v>
      </c>
      <c r="C60" s="142" t="s">
        <v>47</v>
      </c>
      <c r="D60" s="143"/>
      <c r="E60" s="125">
        <f>SUM(E61:E63)</f>
        <v>58000000</v>
      </c>
      <c r="F60" s="125">
        <f>SUM(F61:F63)</f>
        <v>58000000</v>
      </c>
      <c r="G60" s="125">
        <f t="shared" ref="G60:K60" si="126">SUM(G61:G63)</f>
        <v>0</v>
      </c>
      <c r="H60" s="125">
        <f t="shared" si="126"/>
        <v>0</v>
      </c>
      <c r="I60" s="125">
        <f t="shared" si="126"/>
        <v>57978748.399999999</v>
      </c>
      <c r="J60" s="125">
        <f t="shared" si="126"/>
        <v>57978748.399999999</v>
      </c>
      <c r="K60" s="125">
        <f t="shared" si="126"/>
        <v>0</v>
      </c>
      <c r="L60" s="144">
        <f>SUM(L61:L63)</f>
        <v>0</v>
      </c>
      <c r="M60" s="125">
        <f>SUM(M61:M63)</f>
        <v>0</v>
      </c>
      <c r="N60" s="125">
        <f t="shared" ref="N60:Q60" si="127">SUM(N61:N63)</f>
        <v>0</v>
      </c>
      <c r="O60" s="125">
        <f t="shared" si="127"/>
        <v>0</v>
      </c>
      <c r="P60" s="125">
        <f t="shared" si="127"/>
        <v>0</v>
      </c>
      <c r="Q60" s="125">
        <f t="shared" si="127"/>
        <v>0</v>
      </c>
      <c r="R60" s="125">
        <f>SUM(R61:R63)</f>
        <v>0</v>
      </c>
      <c r="S60" s="144">
        <f t="shared" ref="S60" si="128">SUM(S61:S63)</f>
        <v>0</v>
      </c>
      <c r="T60" s="139">
        <f>SUM(K60,R60)</f>
        <v>0</v>
      </c>
      <c r="U60" s="125">
        <f>SUM(U61:U63)</f>
        <v>0</v>
      </c>
      <c r="V60" s="125">
        <f t="shared" ref="V60:W60" si="129">SUM(V61:V63)</f>
        <v>0</v>
      </c>
      <c r="W60" s="125">
        <f t="shared" si="129"/>
        <v>58000000</v>
      </c>
      <c r="X60" s="125">
        <f>SUM(X61:X63)</f>
        <v>0</v>
      </c>
      <c r="Y60" s="125">
        <f>SUM(Y61:Y63)</f>
        <v>0</v>
      </c>
      <c r="Z60" s="131"/>
      <c r="AA60" s="125"/>
      <c r="AB60" s="125"/>
      <c r="AC60" s="125"/>
      <c r="AD60" s="125"/>
      <c r="AE60" s="125">
        <f>SUM(AE61:AE63)</f>
        <v>0</v>
      </c>
      <c r="AF60" s="125">
        <f t="shared" ref="AF60:AJ60" si="130">SUM(AF61:AF63)</f>
        <v>0</v>
      </c>
      <c r="AG60" s="125">
        <f t="shared" si="130"/>
        <v>0</v>
      </c>
      <c r="AH60" s="125">
        <f t="shared" si="130"/>
        <v>0</v>
      </c>
      <c r="AI60" s="125">
        <f t="shared" si="130"/>
        <v>0</v>
      </c>
      <c r="AJ60" s="125">
        <f t="shared" si="130"/>
        <v>0</v>
      </c>
      <c r="AK60" s="204"/>
      <c r="AL60" s="21"/>
      <c r="AM60" s="23"/>
    </row>
    <row r="61" spans="1:39" s="40" customFormat="1" ht="18.75" customHeight="1" x14ac:dyDescent="0.25">
      <c r="A61" s="201"/>
      <c r="B61" s="159" t="s">
        <v>79</v>
      </c>
      <c r="C61" s="159" t="s">
        <v>43</v>
      </c>
      <c r="D61" s="138">
        <f>+E61/1</f>
        <v>32000000</v>
      </c>
      <c r="E61" s="139">
        <v>32000000</v>
      </c>
      <c r="F61" s="139">
        <v>32000000</v>
      </c>
      <c r="G61" s="139">
        <v>0</v>
      </c>
      <c r="H61" s="139"/>
      <c r="I61" s="139">
        <v>31999324.399999999</v>
      </c>
      <c r="J61" s="139">
        <v>31999324.399999999</v>
      </c>
      <c r="K61" s="148">
        <f>I61-J61</f>
        <v>0</v>
      </c>
      <c r="L61" s="146" t="s">
        <v>222</v>
      </c>
      <c r="M61" s="139">
        <v>0</v>
      </c>
      <c r="N61" s="140"/>
      <c r="O61" s="139">
        <f>+E61-F61-M61</f>
        <v>0</v>
      </c>
      <c r="P61" s="139"/>
      <c r="Q61" s="139"/>
      <c r="R61" s="139">
        <f t="shared" si="71"/>
        <v>0</v>
      </c>
      <c r="S61" s="146"/>
      <c r="T61" s="139">
        <f t="shared" si="58"/>
        <v>0</v>
      </c>
      <c r="U61" s="139">
        <v>0</v>
      </c>
      <c r="V61" s="146"/>
      <c r="W61" s="139">
        <f>+F61+M61+U61</f>
        <v>32000000</v>
      </c>
      <c r="X61" s="139">
        <f>+E61-F61-M61-U61</f>
        <v>0</v>
      </c>
      <c r="Y61" s="139">
        <v>0</v>
      </c>
      <c r="Z61" s="140"/>
      <c r="AA61" s="139"/>
      <c r="AB61" s="139"/>
      <c r="AC61" s="139"/>
      <c r="AD61" s="126"/>
      <c r="AE61" s="126"/>
      <c r="AF61" s="126"/>
      <c r="AG61" s="126"/>
      <c r="AH61" s="126">
        <f t="shared" ref="AH61:AH63" si="131">SUM(AF61,U61,R61)</f>
        <v>0</v>
      </c>
      <c r="AI61" s="126"/>
      <c r="AJ61" s="126">
        <f t="shared" ref="AJ61:AJ63" si="132">SUM(AE61,U61,T61)</f>
        <v>0</v>
      </c>
      <c r="AK61" s="200"/>
      <c r="AL61" s="29"/>
      <c r="AM61" s="32"/>
    </row>
    <row r="62" spans="1:39" s="27" customFormat="1" ht="18.75" customHeight="1" x14ac:dyDescent="0.25">
      <c r="A62" s="194"/>
      <c r="B62" s="137" t="s">
        <v>80</v>
      </c>
      <c r="C62" s="137" t="s">
        <v>43</v>
      </c>
      <c r="D62" s="138">
        <f>+E62/1</f>
        <v>17000000</v>
      </c>
      <c r="E62" s="148">
        <v>17000000</v>
      </c>
      <c r="F62" s="148">
        <v>17000000</v>
      </c>
      <c r="G62" s="148">
        <v>0</v>
      </c>
      <c r="H62" s="148"/>
      <c r="I62" s="148">
        <v>16994824</v>
      </c>
      <c r="J62" s="148">
        <v>16994824</v>
      </c>
      <c r="K62" s="148">
        <f>I62-J62</f>
        <v>0</v>
      </c>
      <c r="L62" s="149" t="s">
        <v>222</v>
      </c>
      <c r="M62" s="148">
        <v>0</v>
      </c>
      <c r="N62" s="140"/>
      <c r="O62" s="139">
        <f>+E62-F62-M62</f>
        <v>0</v>
      </c>
      <c r="P62" s="139"/>
      <c r="Q62" s="139"/>
      <c r="R62" s="139">
        <f t="shared" si="71"/>
        <v>0</v>
      </c>
      <c r="S62" s="149"/>
      <c r="T62" s="139">
        <f t="shared" si="58"/>
        <v>0</v>
      </c>
      <c r="U62" s="148">
        <v>0</v>
      </c>
      <c r="V62" s="149"/>
      <c r="W62" s="139">
        <f>+F62+M62+U62</f>
        <v>17000000</v>
      </c>
      <c r="X62" s="139">
        <f>+E62-F62-M62-U62</f>
        <v>0</v>
      </c>
      <c r="Y62" s="139">
        <v>0</v>
      </c>
      <c r="Z62" s="140"/>
      <c r="AA62" s="139"/>
      <c r="AB62" s="139"/>
      <c r="AC62" s="139"/>
      <c r="AD62" s="126">
        <f>+O62-AA62-AB62-AC62</f>
        <v>0</v>
      </c>
      <c r="AE62" s="126"/>
      <c r="AF62" s="126"/>
      <c r="AG62" s="126"/>
      <c r="AH62" s="126">
        <f t="shared" si="131"/>
        <v>0</v>
      </c>
      <c r="AI62" s="126"/>
      <c r="AJ62" s="126">
        <f t="shared" si="132"/>
        <v>0</v>
      </c>
      <c r="AK62" s="200"/>
      <c r="AL62" s="29"/>
      <c r="AM62" s="32"/>
    </row>
    <row r="63" spans="1:39" s="27" customFormat="1" ht="18.75" customHeight="1" x14ac:dyDescent="0.25">
      <c r="A63" s="194"/>
      <c r="B63" s="137" t="s">
        <v>52</v>
      </c>
      <c r="C63" s="137" t="s">
        <v>43</v>
      </c>
      <c r="D63" s="138">
        <f>+E63/1</f>
        <v>9000000</v>
      </c>
      <c r="E63" s="148">
        <v>9000000</v>
      </c>
      <c r="F63" s="148">
        <v>9000000</v>
      </c>
      <c r="G63" s="148">
        <v>0</v>
      </c>
      <c r="H63" s="148"/>
      <c r="I63" s="148">
        <v>8984600</v>
      </c>
      <c r="J63" s="148">
        <v>8984600</v>
      </c>
      <c r="K63" s="148">
        <f>I63-J63</f>
        <v>0</v>
      </c>
      <c r="L63" s="149" t="s">
        <v>222</v>
      </c>
      <c r="M63" s="148">
        <v>0</v>
      </c>
      <c r="N63" s="140"/>
      <c r="O63" s="139">
        <f>+E63-F63-M63</f>
        <v>0</v>
      </c>
      <c r="P63" s="139"/>
      <c r="Q63" s="139"/>
      <c r="R63" s="139">
        <f t="shared" si="71"/>
        <v>0</v>
      </c>
      <c r="S63" s="149"/>
      <c r="T63" s="139">
        <f t="shared" si="58"/>
        <v>0</v>
      </c>
      <c r="U63" s="148">
        <v>0</v>
      </c>
      <c r="V63" s="149"/>
      <c r="W63" s="139">
        <f>+F63+M63+U63</f>
        <v>9000000</v>
      </c>
      <c r="X63" s="139">
        <f>+E63-F63-M63-U63</f>
        <v>0</v>
      </c>
      <c r="Y63" s="139">
        <v>0</v>
      </c>
      <c r="Z63" s="140"/>
      <c r="AA63" s="139"/>
      <c r="AB63" s="139"/>
      <c r="AC63" s="139"/>
      <c r="AD63" s="126">
        <f>+O63-AA63-AB63-AC63</f>
        <v>0</v>
      </c>
      <c r="AE63" s="126"/>
      <c r="AF63" s="126"/>
      <c r="AG63" s="126"/>
      <c r="AH63" s="126">
        <f t="shared" si="131"/>
        <v>0</v>
      </c>
      <c r="AI63" s="126"/>
      <c r="AJ63" s="126">
        <f t="shared" si="132"/>
        <v>0</v>
      </c>
      <c r="AK63" s="200"/>
      <c r="AL63" s="29"/>
      <c r="AM63" s="32"/>
    </row>
    <row r="64" spans="1:39" s="27" customFormat="1" ht="18.75" customHeight="1" x14ac:dyDescent="0.25">
      <c r="A64" s="194"/>
      <c r="B64" s="137"/>
      <c r="C64" s="137"/>
      <c r="D64" s="138"/>
      <c r="E64" s="148"/>
      <c r="F64" s="148"/>
      <c r="G64" s="148"/>
      <c r="H64" s="148"/>
      <c r="I64" s="148"/>
      <c r="J64" s="148"/>
      <c r="K64" s="148"/>
      <c r="L64" s="149"/>
      <c r="M64" s="148"/>
      <c r="N64" s="150"/>
      <c r="O64" s="148"/>
      <c r="P64" s="148"/>
      <c r="Q64" s="148"/>
      <c r="R64" s="139"/>
      <c r="S64" s="149"/>
      <c r="T64" s="139"/>
      <c r="U64" s="148"/>
      <c r="V64" s="149"/>
      <c r="W64" s="148"/>
      <c r="X64" s="148"/>
      <c r="Y64" s="148"/>
      <c r="Z64" s="150"/>
      <c r="AA64" s="148"/>
      <c r="AB64" s="148"/>
      <c r="AC64" s="148"/>
      <c r="AD64" s="126">
        <f>+O64-AA64-AB64-AC64</f>
        <v>0</v>
      </c>
      <c r="AE64" s="126"/>
      <c r="AF64" s="126"/>
      <c r="AG64" s="126"/>
      <c r="AH64" s="126"/>
      <c r="AI64" s="126"/>
      <c r="AJ64" s="126"/>
      <c r="AK64" s="203"/>
      <c r="AL64" s="39"/>
      <c r="AM64" s="23"/>
    </row>
    <row r="65" spans="1:39" s="27" customFormat="1" ht="18.75" customHeight="1" x14ac:dyDescent="0.25">
      <c r="A65" s="197">
        <v>8</v>
      </c>
      <c r="B65" s="157" t="s">
        <v>81</v>
      </c>
      <c r="C65" s="142" t="s">
        <v>55</v>
      </c>
      <c r="D65" s="143"/>
      <c r="E65" s="125">
        <f>SUM(E66)</f>
        <v>380000000</v>
      </c>
      <c r="F65" s="125">
        <f>SUM(F66)</f>
        <v>0</v>
      </c>
      <c r="G65" s="125">
        <f t="shared" ref="G65:K65" si="133">SUM(G66)</f>
        <v>0</v>
      </c>
      <c r="H65" s="125">
        <f t="shared" si="133"/>
        <v>0</v>
      </c>
      <c r="I65" s="125">
        <f t="shared" si="133"/>
        <v>0</v>
      </c>
      <c r="J65" s="125">
        <f t="shared" si="133"/>
        <v>0</v>
      </c>
      <c r="K65" s="125">
        <f t="shared" si="133"/>
        <v>0</v>
      </c>
      <c r="L65" s="144">
        <f>SUM(L66)</f>
        <v>0</v>
      </c>
      <c r="M65" s="125">
        <f>SUM(M66)</f>
        <v>380000000</v>
      </c>
      <c r="N65" s="125">
        <f t="shared" ref="N65:R65" si="134">SUM(N66)</f>
        <v>0</v>
      </c>
      <c r="O65" s="125">
        <f t="shared" si="134"/>
        <v>0</v>
      </c>
      <c r="P65" s="125">
        <f t="shared" si="134"/>
        <v>379986300</v>
      </c>
      <c r="Q65" s="125">
        <f t="shared" si="134"/>
        <v>113395890</v>
      </c>
      <c r="R65" s="125">
        <f t="shared" si="134"/>
        <v>266590410</v>
      </c>
      <c r="S65" s="125">
        <f t="shared" ref="S65" si="135">SUM(S66)</f>
        <v>0</v>
      </c>
      <c r="T65" s="125">
        <f t="shared" ref="T65" si="136">SUM(T66)</f>
        <v>266590410</v>
      </c>
      <c r="U65" s="125">
        <f t="shared" ref="U65" si="137">SUM(U66)</f>
        <v>0</v>
      </c>
      <c r="V65" s="125">
        <f t="shared" ref="V65" si="138">SUM(V66)</f>
        <v>0</v>
      </c>
      <c r="W65" s="125">
        <f t="shared" ref="W65" si="139">SUM(W66)</f>
        <v>380000000</v>
      </c>
      <c r="X65" s="125">
        <f t="shared" ref="X65:AC65" si="140">SUM(X66)</f>
        <v>0</v>
      </c>
      <c r="Y65" s="125">
        <f t="shared" si="140"/>
        <v>0</v>
      </c>
      <c r="Z65" s="131"/>
      <c r="AA65" s="125">
        <f t="shared" si="140"/>
        <v>0</v>
      </c>
      <c r="AB65" s="125">
        <f t="shared" si="140"/>
        <v>0</v>
      </c>
      <c r="AC65" s="125">
        <f t="shared" si="140"/>
        <v>0</v>
      </c>
      <c r="AD65" s="145"/>
      <c r="AE65" s="125">
        <f t="shared" ref="AE65" si="141">SUM(AE66)</f>
        <v>0</v>
      </c>
      <c r="AF65" s="125">
        <f t="shared" ref="AF65" si="142">SUM(AF66)</f>
        <v>0</v>
      </c>
      <c r="AG65" s="125">
        <f t="shared" ref="AG65:AJ65" si="143">SUM(AG66)</f>
        <v>0</v>
      </c>
      <c r="AH65" s="125">
        <f t="shared" si="143"/>
        <v>266590410</v>
      </c>
      <c r="AI65" s="125">
        <f t="shared" si="143"/>
        <v>0</v>
      </c>
      <c r="AJ65" s="125">
        <f t="shared" si="143"/>
        <v>266590410</v>
      </c>
      <c r="AK65" s="198"/>
      <c r="AL65" s="28"/>
      <c r="AM65" s="23"/>
    </row>
    <row r="66" spans="1:39" s="27" customFormat="1" ht="18.75" customHeight="1" x14ac:dyDescent="0.25">
      <c r="A66" s="194"/>
      <c r="B66" s="137" t="s">
        <v>82</v>
      </c>
      <c r="C66" s="137" t="s">
        <v>83</v>
      </c>
      <c r="D66" s="138">
        <f>+E66/2</f>
        <v>190000000</v>
      </c>
      <c r="E66" s="148">
        <v>380000000</v>
      </c>
      <c r="F66" s="148">
        <v>0</v>
      </c>
      <c r="G66" s="148">
        <v>0</v>
      </c>
      <c r="H66" s="148">
        <v>0</v>
      </c>
      <c r="I66" s="148">
        <v>0</v>
      </c>
      <c r="J66" s="148">
        <v>0</v>
      </c>
      <c r="K66" s="148">
        <v>0</v>
      </c>
      <c r="L66" s="149"/>
      <c r="M66" s="148">
        <v>380000000</v>
      </c>
      <c r="N66" s="140"/>
      <c r="O66" s="139">
        <f>+E66-F66-M66</f>
        <v>0</v>
      </c>
      <c r="P66" s="139">
        <v>379986300</v>
      </c>
      <c r="Q66" s="139">
        <v>113395890</v>
      </c>
      <c r="R66" s="139">
        <f t="shared" si="71"/>
        <v>266590410</v>
      </c>
      <c r="S66" s="149" t="s">
        <v>223</v>
      </c>
      <c r="T66" s="139">
        <f t="shared" si="58"/>
        <v>266590410</v>
      </c>
      <c r="U66" s="148">
        <v>0</v>
      </c>
      <c r="V66" s="149"/>
      <c r="W66" s="139">
        <f>+F66+M66+U66</f>
        <v>380000000</v>
      </c>
      <c r="X66" s="139">
        <f>+E66-F66-M66-U66</f>
        <v>0</v>
      </c>
      <c r="Y66" s="139">
        <v>0</v>
      </c>
      <c r="Z66" s="140"/>
      <c r="AA66" s="139"/>
      <c r="AB66" s="139"/>
      <c r="AC66" s="139"/>
      <c r="AD66" s="126">
        <f>+O66-AA66-AB66-AC66</f>
        <v>0</v>
      </c>
      <c r="AE66" s="126"/>
      <c r="AF66" s="126"/>
      <c r="AG66" s="126"/>
      <c r="AH66" s="126">
        <f t="shared" ref="AH66" si="144">SUM(AF66,U66,R66)</f>
        <v>266590410</v>
      </c>
      <c r="AI66" s="126"/>
      <c r="AJ66" s="126">
        <f t="shared" ref="AJ66" si="145">SUM(AE66,U66,T66)</f>
        <v>266590410</v>
      </c>
      <c r="AK66" s="200"/>
      <c r="AL66" s="29"/>
      <c r="AM66" s="32"/>
    </row>
    <row r="67" spans="1:39" s="37" customFormat="1" ht="18.75" customHeight="1" x14ac:dyDescent="0.25">
      <c r="A67" s="194"/>
      <c r="B67" s="130"/>
      <c r="C67" s="130"/>
      <c r="D67" s="131"/>
      <c r="E67" s="125"/>
      <c r="F67" s="125"/>
      <c r="G67" s="125"/>
      <c r="H67" s="125"/>
      <c r="I67" s="125"/>
      <c r="J67" s="125"/>
      <c r="K67" s="125"/>
      <c r="L67" s="144"/>
      <c r="M67" s="125"/>
      <c r="N67" s="131"/>
      <c r="O67" s="125"/>
      <c r="P67" s="125"/>
      <c r="Q67" s="125"/>
      <c r="R67" s="139"/>
      <c r="S67" s="144"/>
      <c r="T67" s="139"/>
      <c r="U67" s="125"/>
      <c r="V67" s="144"/>
      <c r="W67" s="125"/>
      <c r="X67" s="125"/>
      <c r="Y67" s="125"/>
      <c r="Z67" s="131"/>
      <c r="AA67" s="125"/>
      <c r="AB67" s="125"/>
      <c r="AC67" s="125"/>
      <c r="AD67" s="145"/>
      <c r="AE67" s="145"/>
      <c r="AF67" s="145"/>
      <c r="AG67" s="145"/>
      <c r="AH67" s="145"/>
      <c r="AI67" s="145"/>
      <c r="AJ67" s="145"/>
      <c r="AK67" s="198"/>
      <c r="AL67" s="28"/>
      <c r="AM67" s="23"/>
    </row>
    <row r="68" spans="1:39" s="42" customFormat="1" ht="18.75" customHeight="1" x14ac:dyDescent="0.25">
      <c r="A68" s="205"/>
      <c r="B68" s="162"/>
      <c r="C68" s="162"/>
      <c r="D68" s="163"/>
      <c r="E68" s="148"/>
      <c r="F68" s="148"/>
      <c r="G68" s="148"/>
      <c r="H68" s="148"/>
      <c r="I68" s="148"/>
      <c r="J68" s="148"/>
      <c r="K68" s="148"/>
      <c r="L68" s="149"/>
      <c r="M68" s="148"/>
      <c r="N68" s="150"/>
      <c r="O68" s="148"/>
      <c r="P68" s="148"/>
      <c r="Q68" s="148"/>
      <c r="R68" s="139"/>
      <c r="S68" s="149"/>
      <c r="T68" s="139"/>
      <c r="U68" s="148"/>
      <c r="V68" s="149"/>
      <c r="W68" s="148"/>
      <c r="X68" s="148"/>
      <c r="Y68" s="148"/>
      <c r="Z68" s="150"/>
      <c r="AA68" s="148"/>
      <c r="AB68" s="148"/>
      <c r="AC68" s="148"/>
      <c r="AD68" s="164"/>
      <c r="AE68" s="164"/>
      <c r="AF68" s="164"/>
      <c r="AG68" s="164"/>
      <c r="AH68" s="164"/>
      <c r="AI68" s="164"/>
      <c r="AJ68" s="164"/>
      <c r="AK68" s="206"/>
      <c r="AL68" s="41"/>
      <c r="AM68" s="38"/>
    </row>
    <row r="69" spans="1:39" ht="18.75" customHeight="1" x14ac:dyDescent="0.25">
      <c r="A69" s="673" t="s">
        <v>84</v>
      </c>
      <c r="B69" s="674"/>
      <c r="C69" s="165" t="s">
        <v>85</v>
      </c>
      <c r="D69" s="166"/>
      <c r="E69" s="167">
        <f>E71+E74+E77+E83+E88+E91</f>
        <v>6962500000</v>
      </c>
      <c r="F69" s="167">
        <f>F71+F74+F77+F83+F88+F91</f>
        <v>450000000</v>
      </c>
      <c r="G69" s="167">
        <f t="shared" ref="G69:K69" si="146">G71+G74+G77+G83+G88+G91</f>
        <v>599250000</v>
      </c>
      <c r="H69" s="167">
        <f t="shared" si="146"/>
        <v>2.35</v>
      </c>
      <c r="I69" s="167">
        <f t="shared" si="146"/>
        <v>449988174.19999999</v>
      </c>
      <c r="J69" s="167">
        <f t="shared" si="146"/>
        <v>288744083.19999999</v>
      </c>
      <c r="K69" s="167">
        <f t="shared" si="146"/>
        <v>161244091</v>
      </c>
      <c r="L69" s="167">
        <f>L71+L74+L77+L83+L88+L91</f>
        <v>0</v>
      </c>
      <c r="M69" s="167">
        <f>M71+M74+M77+M83+M88+M91</f>
        <v>350000000</v>
      </c>
      <c r="N69" s="167">
        <f t="shared" ref="N69:Q69" si="147">N71+N74+N77+N83+N88+N91</f>
        <v>0</v>
      </c>
      <c r="O69" s="167">
        <f t="shared" si="147"/>
        <v>6162500000</v>
      </c>
      <c r="P69" s="167">
        <f t="shared" si="147"/>
        <v>104991429</v>
      </c>
      <c r="Q69" s="167">
        <f t="shared" si="147"/>
        <v>2998285</v>
      </c>
      <c r="R69" s="167">
        <f>R71+R74+R77+R83+R88+R91</f>
        <v>101993144</v>
      </c>
      <c r="S69" s="167">
        <f t="shared" ref="S69:W69" si="148">S71+S74+S77+S83+S88+S91</f>
        <v>0</v>
      </c>
      <c r="T69" s="167">
        <f t="shared" si="148"/>
        <v>263237235</v>
      </c>
      <c r="U69" s="167">
        <f t="shared" si="148"/>
        <v>1052500000</v>
      </c>
      <c r="V69" s="167">
        <f t="shared" si="148"/>
        <v>0</v>
      </c>
      <c r="W69" s="167">
        <f t="shared" si="148"/>
        <v>1852500000</v>
      </c>
      <c r="X69" s="167">
        <f>X71+X74+X77+X83+X88+X91</f>
        <v>5110000000</v>
      </c>
      <c r="Y69" s="167">
        <f t="shared" ref="Y69" si="149">Y71+Y74+Y77+Y83+Y88+Y91</f>
        <v>2995000000</v>
      </c>
      <c r="Z69" s="168"/>
      <c r="AA69" s="167">
        <f t="shared" ref="AA69:AC69" si="150">AA71+AA74+AA77+AA83+AA88+AA91</f>
        <v>2455000000</v>
      </c>
      <c r="AB69" s="167">
        <f t="shared" si="150"/>
        <v>2220000000</v>
      </c>
      <c r="AC69" s="167">
        <f t="shared" si="150"/>
        <v>1487500000</v>
      </c>
      <c r="AD69" s="169"/>
      <c r="AE69" s="169">
        <f>SUM(AE71,AE74,AE77,AE83,AE88,AE91)</f>
        <v>2011250000</v>
      </c>
      <c r="AF69" s="169">
        <f t="shared" ref="AF69:AG69" si="151">SUM(AF71,AF74,AF77,AF83,AF88,AF91)</f>
        <v>432750000</v>
      </c>
      <c r="AG69" s="169">
        <f t="shared" si="151"/>
        <v>2278500000</v>
      </c>
      <c r="AH69" s="167">
        <f t="shared" ref="AH69:AJ69" si="152">AH71+AH74+AH77+AH83+AH88+AH91</f>
        <v>1587243144</v>
      </c>
      <c r="AI69" s="167">
        <f t="shared" si="152"/>
        <v>2278500000</v>
      </c>
      <c r="AJ69" s="167">
        <f t="shared" si="152"/>
        <v>3326987235</v>
      </c>
      <c r="AK69" s="207"/>
      <c r="AL69" s="43"/>
      <c r="AM69" s="43"/>
    </row>
    <row r="70" spans="1:39" s="37" customFormat="1" ht="18.75" customHeight="1" x14ac:dyDescent="0.25">
      <c r="A70" s="208"/>
      <c r="B70" s="170"/>
      <c r="C70" s="170"/>
      <c r="D70" s="171"/>
      <c r="E70" s="125"/>
      <c r="F70" s="125"/>
      <c r="G70" s="125"/>
      <c r="H70" s="125"/>
      <c r="I70" s="125"/>
      <c r="J70" s="125"/>
      <c r="K70" s="125"/>
      <c r="L70" s="144"/>
      <c r="M70" s="125"/>
      <c r="N70" s="131"/>
      <c r="O70" s="125"/>
      <c r="P70" s="125"/>
      <c r="Q70" s="125"/>
      <c r="R70" s="125"/>
      <c r="S70" s="144"/>
      <c r="T70" s="125"/>
      <c r="U70" s="125"/>
      <c r="V70" s="144"/>
      <c r="W70" s="125"/>
      <c r="X70" s="125"/>
      <c r="Y70" s="125"/>
      <c r="Z70" s="131"/>
      <c r="AA70" s="125"/>
      <c r="AB70" s="125"/>
      <c r="AC70" s="125"/>
      <c r="AD70" s="145"/>
      <c r="AE70" s="145"/>
      <c r="AF70" s="145"/>
      <c r="AG70" s="145"/>
      <c r="AH70" s="145"/>
      <c r="AI70" s="145"/>
      <c r="AJ70" s="145"/>
      <c r="AK70" s="198"/>
      <c r="AL70" s="28"/>
      <c r="AM70" s="23"/>
    </row>
    <row r="71" spans="1:39" ht="18.75" customHeight="1" x14ac:dyDescent="0.25">
      <c r="A71" s="197">
        <v>1</v>
      </c>
      <c r="B71" s="141" t="s">
        <v>86</v>
      </c>
      <c r="C71" s="142" t="s">
        <v>55</v>
      </c>
      <c r="D71" s="143"/>
      <c r="E71" s="125">
        <f>SUM(E72:E72)</f>
        <v>2000000000</v>
      </c>
      <c r="F71" s="125">
        <f>SUM(F72:F72)</f>
        <v>0</v>
      </c>
      <c r="G71" s="125">
        <f t="shared" ref="G71:K71" si="153">SUM(G72:G72)</f>
        <v>200000000</v>
      </c>
      <c r="H71" s="125">
        <f t="shared" si="153"/>
        <v>0.2</v>
      </c>
      <c r="I71" s="125">
        <f t="shared" si="153"/>
        <v>0</v>
      </c>
      <c r="J71" s="125">
        <f t="shared" si="153"/>
        <v>0</v>
      </c>
      <c r="K71" s="125">
        <f t="shared" si="153"/>
        <v>0</v>
      </c>
      <c r="L71" s="144">
        <f>SUM(L72:L72)</f>
        <v>0</v>
      </c>
      <c r="M71" s="125">
        <f>SUM(M72:M72)</f>
        <v>150000000</v>
      </c>
      <c r="N71" s="125">
        <f t="shared" ref="N71:R71" si="154">SUM(N72:N72)</f>
        <v>0</v>
      </c>
      <c r="O71" s="125">
        <f t="shared" si="154"/>
        <v>1850000000</v>
      </c>
      <c r="P71" s="125">
        <f t="shared" si="154"/>
        <v>0</v>
      </c>
      <c r="Q71" s="125">
        <f t="shared" si="154"/>
        <v>0</v>
      </c>
      <c r="R71" s="125">
        <f t="shared" si="154"/>
        <v>0</v>
      </c>
      <c r="S71" s="125">
        <f t="shared" ref="S71" si="155">SUM(S72:S72)</f>
        <v>0</v>
      </c>
      <c r="T71" s="125">
        <f t="shared" ref="T71" si="156">SUM(T72:T72)</f>
        <v>0</v>
      </c>
      <c r="U71" s="125">
        <f t="shared" ref="U71" si="157">SUM(U72:U72)</f>
        <v>750000000</v>
      </c>
      <c r="V71" s="125">
        <f t="shared" ref="V71" si="158">SUM(V72:V72)</f>
        <v>0</v>
      </c>
      <c r="W71" s="125">
        <f t="shared" ref="W71" si="159">SUM(W72:W72)</f>
        <v>900000000</v>
      </c>
      <c r="X71" s="125">
        <f t="shared" ref="X71:AC71" si="160">SUM(X72:X72)</f>
        <v>1100000000</v>
      </c>
      <c r="Y71" s="125">
        <f t="shared" si="160"/>
        <v>750000000</v>
      </c>
      <c r="Z71" s="131"/>
      <c r="AA71" s="125">
        <f t="shared" si="160"/>
        <v>600000000</v>
      </c>
      <c r="AB71" s="125">
        <f t="shared" si="160"/>
        <v>750000000</v>
      </c>
      <c r="AC71" s="125">
        <f t="shared" si="160"/>
        <v>500000000</v>
      </c>
      <c r="AD71" s="145"/>
      <c r="AE71" s="125">
        <f t="shared" ref="AE71" si="161">SUM(AE72:AE72)</f>
        <v>100000000</v>
      </c>
      <c r="AF71" s="125">
        <f t="shared" ref="AF71" si="162">SUM(AF72:AF72)</f>
        <v>0</v>
      </c>
      <c r="AG71" s="125">
        <f t="shared" ref="AG71:AJ71" si="163">SUM(AG72:AG72)</f>
        <v>800000000</v>
      </c>
      <c r="AH71" s="125">
        <f t="shared" si="163"/>
        <v>750000000</v>
      </c>
      <c r="AI71" s="125">
        <f t="shared" si="163"/>
        <v>800000000</v>
      </c>
      <c r="AJ71" s="125">
        <f t="shared" si="163"/>
        <v>850000000</v>
      </c>
      <c r="AK71" s="198"/>
      <c r="AL71" s="28"/>
      <c r="AM71" s="23"/>
    </row>
    <row r="72" spans="1:39" s="40" customFormat="1" ht="18.75" customHeight="1" x14ac:dyDescent="0.25">
      <c r="A72" s="201"/>
      <c r="B72" s="159" t="s">
        <v>87</v>
      </c>
      <c r="C72" s="159" t="s">
        <v>83</v>
      </c>
      <c r="D72" s="138">
        <f>+E72/2</f>
        <v>1000000000</v>
      </c>
      <c r="E72" s="139">
        <v>2000000000</v>
      </c>
      <c r="F72" s="139">
        <v>0</v>
      </c>
      <c r="G72" s="139">
        <f>+D72*0.2</f>
        <v>200000000</v>
      </c>
      <c r="H72" s="139">
        <f>+G72/D72</f>
        <v>0.2</v>
      </c>
      <c r="I72" s="139"/>
      <c r="J72" s="139"/>
      <c r="K72" s="139"/>
      <c r="L72" s="146"/>
      <c r="M72" s="139">
        <v>150000000</v>
      </c>
      <c r="N72" s="140"/>
      <c r="O72" s="139">
        <f>+E72-F72-M72</f>
        <v>1850000000</v>
      </c>
      <c r="P72" s="139"/>
      <c r="Q72" s="139"/>
      <c r="R72" s="139"/>
      <c r="S72" s="146" t="s">
        <v>225</v>
      </c>
      <c r="T72" s="139">
        <f>SUM(K72,R72)</f>
        <v>0</v>
      </c>
      <c r="U72" s="139">
        <v>750000000</v>
      </c>
      <c r="V72" s="146" t="s">
        <v>227</v>
      </c>
      <c r="W72" s="139">
        <f>+F72+M72+U72</f>
        <v>900000000</v>
      </c>
      <c r="X72" s="139">
        <f>+E72-F72-M72-U72</f>
        <v>1100000000</v>
      </c>
      <c r="Y72" s="139">
        <v>750000000</v>
      </c>
      <c r="Z72" s="140"/>
      <c r="AA72" s="139">
        <v>600000000</v>
      </c>
      <c r="AB72" s="139">
        <v>750000000</v>
      </c>
      <c r="AC72" s="139">
        <v>500000000</v>
      </c>
      <c r="AD72" s="126">
        <f>+O72-AA72-AB72-AC72</f>
        <v>0</v>
      </c>
      <c r="AE72" s="126">
        <v>100000000</v>
      </c>
      <c r="AF72" s="126"/>
      <c r="AG72" s="126">
        <v>800000000</v>
      </c>
      <c r="AH72" s="126">
        <f t="shared" ref="AH72" si="164">SUM(AF72,U72,R72)</f>
        <v>750000000</v>
      </c>
      <c r="AI72" s="126">
        <v>800000000</v>
      </c>
      <c r="AJ72" s="126">
        <f t="shared" ref="AJ72" si="165">SUM(AE72,U72,T72)</f>
        <v>850000000</v>
      </c>
      <c r="AK72" s="209" t="s">
        <v>88</v>
      </c>
      <c r="AL72" s="29"/>
      <c r="AM72" s="33"/>
    </row>
    <row r="73" spans="1:39" ht="18.75" x14ac:dyDescent="0.25">
      <c r="A73" s="210"/>
      <c r="B73" s="172"/>
      <c r="C73" s="162"/>
      <c r="D73" s="163"/>
      <c r="E73" s="148"/>
      <c r="F73" s="148"/>
      <c r="G73" s="148"/>
      <c r="H73" s="148"/>
      <c r="I73" s="148"/>
      <c r="J73" s="148"/>
      <c r="K73" s="148"/>
      <c r="L73" s="149"/>
      <c r="M73" s="148"/>
      <c r="N73" s="150"/>
      <c r="O73" s="148"/>
      <c r="P73" s="148"/>
      <c r="Q73" s="148"/>
      <c r="R73" s="148"/>
      <c r="S73" s="149"/>
      <c r="T73" s="148"/>
      <c r="U73" s="148"/>
      <c r="V73" s="149"/>
      <c r="W73" s="148"/>
      <c r="X73" s="148"/>
      <c r="Y73" s="148"/>
      <c r="Z73" s="150"/>
      <c r="AA73" s="148"/>
      <c r="AB73" s="148"/>
      <c r="AC73" s="148"/>
      <c r="AD73" s="158"/>
      <c r="AE73" s="158"/>
      <c r="AF73" s="158"/>
      <c r="AG73" s="158"/>
      <c r="AH73" s="158"/>
      <c r="AI73" s="158"/>
      <c r="AJ73" s="158"/>
      <c r="AK73" s="203"/>
      <c r="AL73" s="39"/>
      <c r="AM73" s="33"/>
    </row>
    <row r="74" spans="1:39" ht="18.75" customHeight="1" x14ac:dyDescent="0.25">
      <c r="A74" s="197">
        <v>2</v>
      </c>
      <c r="B74" s="141" t="s">
        <v>89</v>
      </c>
      <c r="C74" s="142" t="s">
        <v>55</v>
      </c>
      <c r="D74" s="143"/>
      <c r="E74" s="125">
        <f>SUM(E75:E75)</f>
        <v>540000000</v>
      </c>
      <c r="F74" s="125">
        <f>SUM(F75:F75)</f>
        <v>180000000</v>
      </c>
      <c r="G74" s="125">
        <f t="shared" ref="G74:K74" si="166">SUM(G75:G75)</f>
        <v>0</v>
      </c>
      <c r="H74" s="125">
        <f t="shared" si="166"/>
        <v>0</v>
      </c>
      <c r="I74" s="125">
        <f t="shared" si="166"/>
        <v>179988181</v>
      </c>
      <c r="J74" s="125">
        <f t="shared" si="166"/>
        <v>89994090</v>
      </c>
      <c r="K74" s="125">
        <f t="shared" si="166"/>
        <v>89994091</v>
      </c>
      <c r="L74" s="144">
        <f>SUM(L75:L75)</f>
        <v>0</v>
      </c>
      <c r="M74" s="125">
        <f>SUM(M75:M75)</f>
        <v>0</v>
      </c>
      <c r="N74" s="125">
        <f t="shared" ref="N74:AJ74" si="167">SUM(N75:N75)</f>
        <v>0</v>
      </c>
      <c r="O74" s="125">
        <f t="shared" si="167"/>
        <v>360000000</v>
      </c>
      <c r="P74" s="125">
        <f t="shared" si="167"/>
        <v>0</v>
      </c>
      <c r="Q74" s="125">
        <f t="shared" si="167"/>
        <v>0</v>
      </c>
      <c r="R74" s="125">
        <f t="shared" si="167"/>
        <v>0</v>
      </c>
      <c r="S74" s="125">
        <f t="shared" si="167"/>
        <v>0</v>
      </c>
      <c r="T74" s="125">
        <f t="shared" si="167"/>
        <v>89994091</v>
      </c>
      <c r="U74" s="125">
        <f t="shared" si="167"/>
        <v>180000000</v>
      </c>
      <c r="V74" s="125">
        <f t="shared" si="167"/>
        <v>0</v>
      </c>
      <c r="W74" s="125">
        <f t="shared" si="167"/>
        <v>360000000</v>
      </c>
      <c r="X74" s="125">
        <f t="shared" si="167"/>
        <v>180000000</v>
      </c>
      <c r="Y74" s="125">
        <f t="shared" si="167"/>
        <v>180000000</v>
      </c>
      <c r="Z74" s="131"/>
      <c r="AA74" s="125">
        <f t="shared" si="167"/>
        <v>360000000</v>
      </c>
      <c r="AB74" s="125">
        <f t="shared" si="167"/>
        <v>0</v>
      </c>
      <c r="AC74" s="125">
        <f t="shared" si="167"/>
        <v>0</v>
      </c>
      <c r="AD74" s="145"/>
      <c r="AE74" s="125">
        <f t="shared" si="167"/>
        <v>0</v>
      </c>
      <c r="AF74" s="125">
        <f t="shared" si="167"/>
        <v>0</v>
      </c>
      <c r="AG74" s="125">
        <f t="shared" si="167"/>
        <v>0</v>
      </c>
      <c r="AH74" s="125">
        <f t="shared" si="167"/>
        <v>180000000</v>
      </c>
      <c r="AI74" s="125">
        <f t="shared" si="167"/>
        <v>0</v>
      </c>
      <c r="AJ74" s="125">
        <f t="shared" si="167"/>
        <v>269994091</v>
      </c>
      <c r="AK74" s="198"/>
      <c r="AL74" s="28"/>
      <c r="AM74" s="23"/>
    </row>
    <row r="75" spans="1:39" s="40" customFormat="1" ht="18.75" customHeight="1" x14ac:dyDescent="0.25">
      <c r="A75" s="201"/>
      <c r="B75" s="159" t="s">
        <v>90</v>
      </c>
      <c r="C75" s="159" t="s">
        <v>91</v>
      </c>
      <c r="D75" s="138">
        <f>+E75/3</f>
        <v>180000000</v>
      </c>
      <c r="E75" s="139">
        <v>540000000</v>
      </c>
      <c r="F75" s="139">
        <v>180000000</v>
      </c>
      <c r="G75" s="139">
        <v>0</v>
      </c>
      <c r="H75" s="139">
        <f>+G75/D75</f>
        <v>0</v>
      </c>
      <c r="I75" s="146">
        <v>179988181</v>
      </c>
      <c r="J75" s="146">
        <v>89994090</v>
      </c>
      <c r="K75" s="139">
        <f>I75-J75</f>
        <v>89994091</v>
      </c>
      <c r="L75" s="146" t="s">
        <v>223</v>
      </c>
      <c r="M75" s="139">
        <v>0</v>
      </c>
      <c r="N75" s="140" t="s">
        <v>23</v>
      </c>
      <c r="O75" s="139">
        <f>+E75-F75-M75</f>
        <v>360000000</v>
      </c>
      <c r="P75" s="139"/>
      <c r="Q75" s="139"/>
      <c r="R75" s="139"/>
      <c r="S75" s="146"/>
      <c r="T75" s="139">
        <f>SUM(K75,R75)</f>
        <v>89994091</v>
      </c>
      <c r="U75" s="139">
        <v>180000000</v>
      </c>
      <c r="V75" s="146" t="s">
        <v>227</v>
      </c>
      <c r="W75" s="139">
        <f>+F75+M75+U75</f>
        <v>360000000</v>
      </c>
      <c r="X75" s="139">
        <f>+E75-F75-M75-U75</f>
        <v>180000000</v>
      </c>
      <c r="Y75" s="139">
        <v>180000000</v>
      </c>
      <c r="Z75" s="140"/>
      <c r="AA75" s="139">
        <v>360000000</v>
      </c>
      <c r="AB75" s="139">
        <v>0</v>
      </c>
      <c r="AC75" s="139">
        <v>0</v>
      </c>
      <c r="AD75" s="126">
        <f>+O75-AA75-AB75-AC75</f>
        <v>0</v>
      </c>
      <c r="AE75" s="126"/>
      <c r="AF75" s="126"/>
      <c r="AG75" s="126"/>
      <c r="AH75" s="126">
        <f t="shared" ref="AH75" si="168">SUM(AF75,U75,R75)</f>
        <v>180000000</v>
      </c>
      <c r="AI75" s="126"/>
      <c r="AJ75" s="126">
        <f t="shared" ref="AJ75" si="169">SUM(AE75,U75,T75)</f>
        <v>269994091</v>
      </c>
      <c r="AK75" s="209" t="s">
        <v>88</v>
      </c>
      <c r="AL75" s="29"/>
      <c r="AM75" s="33"/>
    </row>
    <row r="76" spans="1:39" s="40" customFormat="1" ht="18.75" customHeight="1" x14ac:dyDescent="0.25">
      <c r="A76" s="201"/>
      <c r="B76" s="159"/>
      <c r="C76" s="159"/>
      <c r="D76" s="173"/>
      <c r="E76" s="139"/>
      <c r="F76" s="139"/>
      <c r="G76" s="139"/>
      <c r="H76" s="139"/>
      <c r="I76" s="139"/>
      <c r="J76" s="139"/>
      <c r="K76" s="139">
        <f>I76-J76</f>
        <v>0</v>
      </c>
      <c r="L76" s="146"/>
      <c r="M76" s="139"/>
      <c r="N76" s="140"/>
      <c r="O76" s="139"/>
      <c r="P76" s="139"/>
      <c r="Q76" s="139"/>
      <c r="R76" s="139"/>
      <c r="S76" s="146"/>
      <c r="T76" s="139"/>
      <c r="U76" s="139"/>
      <c r="V76" s="146"/>
      <c r="W76" s="139"/>
      <c r="X76" s="139"/>
      <c r="Y76" s="139"/>
      <c r="Z76" s="140"/>
      <c r="AA76" s="139"/>
      <c r="AB76" s="139"/>
      <c r="AC76" s="139"/>
      <c r="AD76" s="126"/>
      <c r="AE76" s="126"/>
      <c r="AF76" s="126"/>
      <c r="AG76" s="126"/>
      <c r="AH76" s="126"/>
      <c r="AI76" s="126"/>
      <c r="AJ76" s="126"/>
      <c r="AK76" s="200"/>
      <c r="AL76" s="29"/>
      <c r="AM76" s="33"/>
    </row>
    <row r="77" spans="1:39" s="40" customFormat="1" ht="18.75" customHeight="1" x14ac:dyDescent="0.25">
      <c r="A77" s="197">
        <v>3</v>
      </c>
      <c r="B77" s="141" t="s">
        <v>92</v>
      </c>
      <c r="C77" s="142" t="s">
        <v>93</v>
      </c>
      <c r="D77" s="143"/>
      <c r="E77" s="125">
        <f>SUM(E78:E81)</f>
        <v>3130000000</v>
      </c>
      <c r="F77" s="125">
        <f>SUM(F78:F81)</f>
        <v>150000000</v>
      </c>
      <c r="G77" s="125">
        <f t="shared" ref="G77:K77" si="170">SUM(G78:G81)</f>
        <v>222000000</v>
      </c>
      <c r="H77" s="125">
        <f t="shared" si="170"/>
        <v>0.4</v>
      </c>
      <c r="I77" s="125">
        <f t="shared" si="170"/>
        <v>150000000</v>
      </c>
      <c r="J77" s="125">
        <f t="shared" si="170"/>
        <v>78750000</v>
      </c>
      <c r="K77" s="125">
        <f t="shared" si="170"/>
        <v>71250000</v>
      </c>
      <c r="L77" s="144">
        <f>SUM(L78:L81)</f>
        <v>0</v>
      </c>
      <c r="M77" s="125">
        <f>SUM(M78:M81)</f>
        <v>95000000</v>
      </c>
      <c r="N77" s="125">
        <f t="shared" ref="N77:R77" si="171">SUM(N78:N81)</f>
        <v>0</v>
      </c>
      <c r="O77" s="125">
        <f t="shared" si="171"/>
        <v>2885000000</v>
      </c>
      <c r="P77" s="125">
        <f t="shared" si="171"/>
        <v>0</v>
      </c>
      <c r="Q77" s="125">
        <f t="shared" si="171"/>
        <v>0</v>
      </c>
      <c r="R77" s="125">
        <f t="shared" si="171"/>
        <v>0</v>
      </c>
      <c r="S77" s="125">
        <f t="shared" ref="S77" si="172">SUM(S78:S81)</f>
        <v>0</v>
      </c>
      <c r="T77" s="125">
        <f t="shared" ref="T77" si="173">SUM(T78:T81)</f>
        <v>71250000</v>
      </c>
      <c r="U77" s="125">
        <f t="shared" ref="U77" si="174">SUM(U78:U81)</f>
        <v>0</v>
      </c>
      <c r="V77" s="125">
        <f t="shared" ref="V77" si="175">SUM(V78:V81)</f>
        <v>0</v>
      </c>
      <c r="W77" s="125">
        <f t="shared" ref="W77" si="176">SUM(W78:W81)</f>
        <v>245000000</v>
      </c>
      <c r="X77" s="125">
        <f t="shared" ref="X77:AC77" si="177">SUM(X78:X81)</f>
        <v>2885000000</v>
      </c>
      <c r="Y77" s="125">
        <f t="shared" ref="Y77" si="178">SUM(Y78:Y81)</f>
        <v>1592500000</v>
      </c>
      <c r="Z77" s="131"/>
      <c r="AA77" s="125">
        <f t="shared" si="177"/>
        <v>1110000000</v>
      </c>
      <c r="AB77" s="125">
        <f t="shared" si="177"/>
        <v>1110000000</v>
      </c>
      <c r="AC77" s="125">
        <f t="shared" si="177"/>
        <v>665000000</v>
      </c>
      <c r="AD77" s="145"/>
      <c r="AE77" s="125">
        <f t="shared" ref="AE77" si="179">SUM(AE78:AE81)</f>
        <v>1442500000</v>
      </c>
      <c r="AF77" s="125">
        <f t="shared" ref="AF77" si="180">SUM(AF78:AF81)</f>
        <v>432750000</v>
      </c>
      <c r="AG77" s="125">
        <f t="shared" ref="AG77:AJ77" si="181">SUM(AG78:AG81)</f>
        <v>1009750000</v>
      </c>
      <c r="AH77" s="125">
        <f t="shared" si="181"/>
        <v>432750000</v>
      </c>
      <c r="AI77" s="125">
        <f t="shared" si="181"/>
        <v>1009750000</v>
      </c>
      <c r="AJ77" s="125">
        <f t="shared" si="181"/>
        <v>1513750000</v>
      </c>
      <c r="AK77" s="198"/>
      <c r="AL77" s="28"/>
      <c r="AM77" s="23"/>
    </row>
    <row r="78" spans="1:39" s="40" customFormat="1" ht="18.75" customHeight="1" x14ac:dyDescent="0.25">
      <c r="A78" s="201"/>
      <c r="B78" s="137" t="s">
        <v>94</v>
      </c>
      <c r="C78" s="137" t="s">
        <v>95</v>
      </c>
      <c r="D78" s="138">
        <f>+E78/1</f>
        <v>150000000</v>
      </c>
      <c r="E78" s="139">
        <v>150000000</v>
      </c>
      <c r="F78" s="139">
        <v>150000000</v>
      </c>
      <c r="G78" s="139">
        <v>0</v>
      </c>
      <c r="H78" s="139">
        <f>+G78/D78</f>
        <v>0</v>
      </c>
      <c r="I78" s="139">
        <v>150000000</v>
      </c>
      <c r="J78" s="139">
        <v>78750000</v>
      </c>
      <c r="K78" s="139">
        <f>I78-J78</f>
        <v>71250000</v>
      </c>
      <c r="L78" s="146" t="s">
        <v>223</v>
      </c>
      <c r="M78" s="139">
        <v>0</v>
      </c>
      <c r="N78" s="140"/>
      <c r="O78" s="139">
        <f>+E78-F78-M78</f>
        <v>0</v>
      </c>
      <c r="P78" s="139"/>
      <c r="Q78" s="139"/>
      <c r="R78" s="139"/>
      <c r="S78" s="146"/>
      <c r="T78" s="139">
        <f>SUM(K78,R78)</f>
        <v>71250000</v>
      </c>
      <c r="U78" s="139">
        <v>0</v>
      </c>
      <c r="V78" s="146"/>
      <c r="W78" s="139">
        <f>+F78+M78+U78</f>
        <v>150000000</v>
      </c>
      <c r="X78" s="139">
        <f>+E78-F78-M78-U78</f>
        <v>0</v>
      </c>
      <c r="Y78" s="139">
        <f>+F78-G78-N78-X78</f>
        <v>150000000</v>
      </c>
      <c r="Z78" s="140"/>
      <c r="AA78" s="139"/>
      <c r="AB78" s="139"/>
      <c r="AC78" s="139"/>
      <c r="AD78" s="126">
        <f>+O78-AA78-AB78-AC78</f>
        <v>0</v>
      </c>
      <c r="AE78" s="126"/>
      <c r="AF78" s="126"/>
      <c r="AG78" s="126"/>
      <c r="AH78" s="126">
        <f t="shared" ref="AH78:AH81" si="182">SUM(AF78,U78,R78)</f>
        <v>0</v>
      </c>
      <c r="AI78" s="126"/>
      <c r="AJ78" s="126">
        <f t="shared" ref="AJ78:AJ80" si="183">SUM(AE78,U78,T78)</f>
        <v>71250000</v>
      </c>
      <c r="AK78" s="209" t="s">
        <v>88</v>
      </c>
      <c r="AL78" s="29"/>
      <c r="AM78" s="32"/>
    </row>
    <row r="79" spans="1:39" s="34" customFormat="1" ht="18.75" customHeight="1" x14ac:dyDescent="0.25">
      <c r="A79" s="201"/>
      <c r="B79" s="137" t="s">
        <v>96</v>
      </c>
      <c r="C79" s="137" t="s">
        <v>91</v>
      </c>
      <c r="D79" s="138">
        <f>+E79/3</f>
        <v>665000000</v>
      </c>
      <c r="E79" s="139">
        <v>1995000000</v>
      </c>
      <c r="F79" s="139">
        <v>0</v>
      </c>
      <c r="G79" s="139">
        <f>+D79*0.2</f>
        <v>133000000</v>
      </c>
      <c r="H79" s="139">
        <f>+G79/D79</f>
        <v>0.2</v>
      </c>
      <c r="I79" s="139">
        <v>0</v>
      </c>
      <c r="J79" s="139">
        <v>0</v>
      </c>
      <c r="K79" s="139">
        <v>0</v>
      </c>
      <c r="L79" s="146"/>
      <c r="M79" s="139">
        <v>0</v>
      </c>
      <c r="N79" s="140"/>
      <c r="O79" s="139">
        <f>+E79-F79-M79</f>
        <v>1995000000</v>
      </c>
      <c r="P79" s="139"/>
      <c r="Q79" s="139"/>
      <c r="R79" s="139"/>
      <c r="S79" s="146"/>
      <c r="T79" s="139">
        <f t="shared" ref="T79:T81" si="184">SUM(K79,R79)</f>
        <v>0</v>
      </c>
      <c r="U79" s="139">
        <v>0</v>
      </c>
      <c r="V79" s="146"/>
      <c r="W79" s="139">
        <f>+F79+M79+U79</f>
        <v>0</v>
      </c>
      <c r="X79" s="139">
        <f>+E79-F79-M79-U79</f>
        <v>1995000000</v>
      </c>
      <c r="Y79" s="139">
        <f>+X79/2</f>
        <v>997500000</v>
      </c>
      <c r="Z79" s="140"/>
      <c r="AA79" s="139">
        <v>665000000</v>
      </c>
      <c r="AB79" s="139">
        <v>665000000</v>
      </c>
      <c r="AC79" s="139">
        <v>665000000</v>
      </c>
      <c r="AD79" s="126">
        <f>+O79-AA79-AB79-AC79</f>
        <v>0</v>
      </c>
      <c r="AE79" s="126">
        <v>831250000</v>
      </c>
      <c r="AF79" s="126">
        <v>249375000</v>
      </c>
      <c r="AG79" s="126">
        <v>581875000</v>
      </c>
      <c r="AH79" s="126">
        <f t="shared" si="182"/>
        <v>249375000</v>
      </c>
      <c r="AI79" s="126">
        <v>581875000</v>
      </c>
      <c r="AJ79" s="126">
        <f t="shared" si="183"/>
        <v>831250000</v>
      </c>
      <c r="AK79" s="209" t="s">
        <v>88</v>
      </c>
      <c r="AL79" s="29"/>
      <c r="AM79" s="32"/>
    </row>
    <row r="80" spans="1:39" s="40" customFormat="1" ht="18.75" customHeight="1" x14ac:dyDescent="0.25">
      <c r="A80" s="201"/>
      <c r="B80" s="159" t="s">
        <v>97</v>
      </c>
      <c r="C80" s="174" t="s">
        <v>98</v>
      </c>
      <c r="D80" s="138">
        <f>+E80/2</f>
        <v>445000000</v>
      </c>
      <c r="E80" s="139">
        <v>890000000</v>
      </c>
      <c r="F80" s="139">
        <v>0</v>
      </c>
      <c r="G80" s="139">
        <f>+D80*0.2</f>
        <v>89000000</v>
      </c>
      <c r="H80" s="139">
        <f>+G80/D80</f>
        <v>0.2</v>
      </c>
      <c r="I80" s="139">
        <v>0</v>
      </c>
      <c r="J80" s="139">
        <v>0</v>
      </c>
      <c r="K80" s="139">
        <v>0</v>
      </c>
      <c r="L80" s="146"/>
      <c r="M80" s="139">
        <v>0</v>
      </c>
      <c r="N80" s="140"/>
      <c r="O80" s="139">
        <f>+E80-F80-M80</f>
        <v>890000000</v>
      </c>
      <c r="P80" s="139"/>
      <c r="Q80" s="139"/>
      <c r="R80" s="139"/>
      <c r="S80" s="146"/>
      <c r="T80" s="139">
        <f t="shared" si="184"/>
        <v>0</v>
      </c>
      <c r="U80" s="139">
        <v>0</v>
      </c>
      <c r="V80" s="146"/>
      <c r="W80" s="139">
        <f>+F80+M80+U80</f>
        <v>0</v>
      </c>
      <c r="X80" s="139">
        <f>+E80-F80-M80-U80</f>
        <v>890000000</v>
      </c>
      <c r="Y80" s="139">
        <f>+X80/2</f>
        <v>445000000</v>
      </c>
      <c r="Z80" s="140"/>
      <c r="AA80" s="139">
        <v>445000000</v>
      </c>
      <c r="AB80" s="139">
        <v>445000000</v>
      </c>
      <c r="AC80" s="139">
        <v>0</v>
      </c>
      <c r="AD80" s="126">
        <f>+O80-AA80-AB80-AC80</f>
        <v>0</v>
      </c>
      <c r="AE80" s="126">
        <v>611250000</v>
      </c>
      <c r="AF80" s="126">
        <v>183375000</v>
      </c>
      <c r="AG80" s="126">
        <v>427875000</v>
      </c>
      <c r="AH80" s="126">
        <f t="shared" si="182"/>
        <v>183375000</v>
      </c>
      <c r="AI80" s="126">
        <v>427875000</v>
      </c>
      <c r="AJ80" s="126">
        <f t="shared" si="183"/>
        <v>611250000</v>
      </c>
      <c r="AK80" s="209" t="s">
        <v>88</v>
      </c>
      <c r="AL80" s="29"/>
      <c r="AM80" s="33"/>
    </row>
    <row r="81" spans="1:39" s="40" customFormat="1" ht="18.75" customHeight="1" x14ac:dyDescent="0.25">
      <c r="A81" s="201"/>
      <c r="B81" s="159" t="s">
        <v>99</v>
      </c>
      <c r="C81" s="174" t="s">
        <v>43</v>
      </c>
      <c r="D81" s="138">
        <f>+E81/1</f>
        <v>95000000</v>
      </c>
      <c r="E81" s="139">
        <v>95000000</v>
      </c>
      <c r="F81" s="139">
        <v>0</v>
      </c>
      <c r="G81" s="139">
        <v>0</v>
      </c>
      <c r="H81" s="139">
        <f>+G81/D81</f>
        <v>0</v>
      </c>
      <c r="I81" s="139">
        <v>0</v>
      </c>
      <c r="J81" s="139">
        <v>0</v>
      </c>
      <c r="K81" s="139">
        <v>0</v>
      </c>
      <c r="L81" s="146"/>
      <c r="M81" s="139">
        <v>95000000</v>
      </c>
      <c r="N81" s="140" t="s">
        <v>100</v>
      </c>
      <c r="O81" s="139">
        <f>+E81-F81-M81</f>
        <v>0</v>
      </c>
      <c r="P81" s="139"/>
      <c r="Q81" s="139"/>
      <c r="R81" s="139"/>
      <c r="S81" s="146" t="s">
        <v>225</v>
      </c>
      <c r="T81" s="139">
        <f t="shared" si="184"/>
        <v>0</v>
      </c>
      <c r="U81" s="139">
        <v>0</v>
      </c>
      <c r="V81" s="146"/>
      <c r="W81" s="139">
        <f>+F81+M81+U81</f>
        <v>95000000</v>
      </c>
      <c r="X81" s="139">
        <f>+E81-F81-M81-U81</f>
        <v>0</v>
      </c>
      <c r="Y81" s="139">
        <v>0</v>
      </c>
      <c r="Z81" s="140"/>
      <c r="AA81" s="139"/>
      <c r="AB81" s="139"/>
      <c r="AC81" s="139"/>
      <c r="AD81" s="126">
        <f>+O81-AA81-AB81-AC81</f>
        <v>0</v>
      </c>
      <c r="AE81" s="126"/>
      <c r="AF81" s="126"/>
      <c r="AG81" s="126"/>
      <c r="AH81" s="126">
        <f t="shared" si="182"/>
        <v>0</v>
      </c>
      <c r="AI81" s="126"/>
      <c r="AJ81" s="126"/>
      <c r="AK81" s="200"/>
      <c r="AL81" s="29"/>
      <c r="AM81" s="33"/>
    </row>
    <row r="82" spans="1:39" ht="18.75" customHeight="1" x14ac:dyDescent="0.25">
      <c r="A82" s="210"/>
      <c r="B82" s="172"/>
      <c r="C82" s="162"/>
      <c r="D82" s="163"/>
      <c r="E82" s="148"/>
      <c r="F82" s="148"/>
      <c r="G82" s="148"/>
      <c r="H82" s="148"/>
      <c r="I82" s="148"/>
      <c r="J82" s="148"/>
      <c r="K82" s="148"/>
      <c r="L82" s="149"/>
      <c r="M82" s="148"/>
      <c r="N82" s="150"/>
      <c r="O82" s="148"/>
      <c r="P82" s="148"/>
      <c r="Q82" s="148"/>
      <c r="R82" s="148"/>
      <c r="S82" s="149"/>
      <c r="T82" s="148"/>
      <c r="U82" s="148"/>
      <c r="V82" s="149"/>
      <c r="W82" s="148"/>
      <c r="X82" s="148"/>
      <c r="Y82" s="148"/>
      <c r="Z82" s="150"/>
      <c r="AA82" s="148"/>
      <c r="AB82" s="148"/>
      <c r="AC82" s="148"/>
      <c r="AD82" s="158"/>
      <c r="AE82" s="158"/>
      <c r="AF82" s="158"/>
      <c r="AG82" s="158"/>
      <c r="AH82" s="158"/>
      <c r="AI82" s="158"/>
      <c r="AJ82" s="158"/>
      <c r="AK82" s="203"/>
      <c r="AL82" s="39"/>
      <c r="AM82" s="33"/>
    </row>
    <row r="83" spans="1:39" ht="18.75" x14ac:dyDescent="0.25">
      <c r="A83" s="197">
        <v>4</v>
      </c>
      <c r="B83" s="141" t="s">
        <v>66</v>
      </c>
      <c r="C83" s="142" t="s">
        <v>47</v>
      </c>
      <c r="D83" s="143"/>
      <c r="E83" s="125">
        <f>SUM(E84:E86)</f>
        <v>1047500000</v>
      </c>
      <c r="F83" s="125">
        <f>SUM(F84:F86)</f>
        <v>0</v>
      </c>
      <c r="G83" s="125">
        <f t="shared" ref="G83:K83" si="185">SUM(G84:G86)</f>
        <v>145750000</v>
      </c>
      <c r="H83" s="125">
        <f t="shared" si="185"/>
        <v>0.60000000000000009</v>
      </c>
      <c r="I83" s="125">
        <f t="shared" si="185"/>
        <v>0</v>
      </c>
      <c r="J83" s="125">
        <f t="shared" si="185"/>
        <v>0</v>
      </c>
      <c r="K83" s="125">
        <f t="shared" si="185"/>
        <v>0</v>
      </c>
      <c r="L83" s="144">
        <f>SUM(L84:L86)</f>
        <v>0</v>
      </c>
      <c r="M83" s="125">
        <f>SUM(M84:M86)</f>
        <v>90000000</v>
      </c>
      <c r="N83" s="125">
        <f t="shared" ref="N83:R83" si="186">SUM(N84:N86)</f>
        <v>0</v>
      </c>
      <c r="O83" s="125">
        <f t="shared" si="186"/>
        <v>957500000</v>
      </c>
      <c r="P83" s="125">
        <f t="shared" si="186"/>
        <v>90000000</v>
      </c>
      <c r="Q83" s="125">
        <f t="shared" si="186"/>
        <v>0</v>
      </c>
      <c r="R83" s="125">
        <f t="shared" si="186"/>
        <v>90000000</v>
      </c>
      <c r="S83" s="125">
        <f t="shared" ref="S83" si="187">SUM(S84:S86)</f>
        <v>0</v>
      </c>
      <c r="T83" s="125">
        <f t="shared" ref="T83" si="188">SUM(T84:T86)</f>
        <v>90000000</v>
      </c>
      <c r="U83" s="125">
        <f t="shared" ref="U83" si="189">SUM(U84:U86)</f>
        <v>82500000</v>
      </c>
      <c r="V83" s="125">
        <f t="shared" ref="V83" si="190">SUM(V84:V86)</f>
        <v>0</v>
      </c>
      <c r="W83" s="125">
        <f t="shared" ref="W83" si="191">SUM(W84:W86)</f>
        <v>172500000</v>
      </c>
      <c r="X83" s="125">
        <f t="shared" ref="X83:AC83" si="192">SUM(X84:X86)</f>
        <v>875000000</v>
      </c>
      <c r="Y83" s="125">
        <f t="shared" ref="Y83" si="193">SUM(Y84:Y86)</f>
        <v>437500000</v>
      </c>
      <c r="Z83" s="131"/>
      <c r="AA83" s="125">
        <f t="shared" si="192"/>
        <v>385000000</v>
      </c>
      <c r="AB83" s="125">
        <f t="shared" si="192"/>
        <v>250000000</v>
      </c>
      <c r="AC83" s="125">
        <f t="shared" si="192"/>
        <v>322500000</v>
      </c>
      <c r="AD83" s="145"/>
      <c r="AE83" s="125">
        <f t="shared" ref="AE83" si="194">SUM(AE84:AE86)</f>
        <v>468750000</v>
      </c>
      <c r="AF83" s="125">
        <f t="shared" ref="AF83" si="195">SUM(AF84:AF86)</f>
        <v>0</v>
      </c>
      <c r="AG83" s="125">
        <f t="shared" ref="AG83:AJ83" si="196">SUM(AG84:AG86)</f>
        <v>468750000</v>
      </c>
      <c r="AH83" s="125">
        <f t="shared" si="196"/>
        <v>172500000</v>
      </c>
      <c r="AI83" s="125">
        <f t="shared" si="196"/>
        <v>468750000</v>
      </c>
      <c r="AJ83" s="125">
        <f t="shared" si="196"/>
        <v>641250000</v>
      </c>
      <c r="AK83" s="198"/>
      <c r="AL83" s="28"/>
      <c r="AM83" s="23"/>
    </row>
    <row r="84" spans="1:39" ht="18.75" customHeight="1" x14ac:dyDescent="0.25">
      <c r="A84" s="197"/>
      <c r="B84" s="137" t="s">
        <v>101</v>
      </c>
      <c r="C84" s="137" t="s">
        <v>102</v>
      </c>
      <c r="D84" s="138">
        <f>+E84/1</f>
        <v>437500000</v>
      </c>
      <c r="E84" s="139">
        <v>437500000</v>
      </c>
      <c r="F84" s="139">
        <v>0</v>
      </c>
      <c r="G84" s="139">
        <f>+D84*0.2</f>
        <v>87500000</v>
      </c>
      <c r="H84" s="139">
        <f>+G84/D84</f>
        <v>0.2</v>
      </c>
      <c r="I84" s="139">
        <v>0</v>
      </c>
      <c r="J84" s="139">
        <v>0</v>
      </c>
      <c r="K84" s="139">
        <v>0</v>
      </c>
      <c r="L84" s="146"/>
      <c r="M84" s="139">
        <v>65000000</v>
      </c>
      <c r="N84" s="140"/>
      <c r="O84" s="139">
        <f>+E84-F84-M84</f>
        <v>372500000</v>
      </c>
      <c r="P84" s="139">
        <v>65000000</v>
      </c>
      <c r="Q84" s="139">
        <v>0</v>
      </c>
      <c r="R84" s="139">
        <f t="shared" ref="R84:R85" si="197">P84-Q84</f>
        <v>65000000</v>
      </c>
      <c r="S84" s="146" t="s">
        <v>225</v>
      </c>
      <c r="T84" s="139">
        <f>SUM(K84,R84)</f>
        <v>65000000</v>
      </c>
      <c r="U84" s="139">
        <v>22500000</v>
      </c>
      <c r="V84" s="146" t="s">
        <v>225</v>
      </c>
      <c r="W84" s="139">
        <f>+F84+M84+U84</f>
        <v>87500000</v>
      </c>
      <c r="X84" s="139">
        <f>+E84-F84-M84-U84</f>
        <v>350000000</v>
      </c>
      <c r="Y84" s="139">
        <f>+X84/2</f>
        <v>175000000</v>
      </c>
      <c r="Z84" s="140"/>
      <c r="AA84" s="139">
        <v>100000000</v>
      </c>
      <c r="AB84" s="139">
        <v>150000000</v>
      </c>
      <c r="AC84" s="139">
        <v>122500000</v>
      </c>
      <c r="AD84" s="126">
        <f>+O84-AA84-AB84-AC84</f>
        <v>0</v>
      </c>
      <c r="AE84" s="126">
        <v>43750000</v>
      </c>
      <c r="AF84" s="126"/>
      <c r="AG84" s="126">
        <v>43750000</v>
      </c>
      <c r="AH84" s="126">
        <f t="shared" ref="AH84:AH86" si="198">SUM(AF84,U84,R84)</f>
        <v>87500000</v>
      </c>
      <c r="AI84" s="126">
        <v>43750000</v>
      </c>
      <c r="AJ84" s="126">
        <f t="shared" ref="AJ84:AJ86" si="199">SUM(AE84,U84,T84)</f>
        <v>131250000</v>
      </c>
      <c r="AK84" s="209" t="s">
        <v>88</v>
      </c>
      <c r="AL84" s="29"/>
      <c r="AM84" s="32"/>
    </row>
    <row r="85" spans="1:39" ht="18.75" customHeight="1" x14ac:dyDescent="0.25">
      <c r="A85" s="197"/>
      <c r="B85" s="137" t="s">
        <v>103</v>
      </c>
      <c r="C85" s="137" t="s">
        <v>102</v>
      </c>
      <c r="D85" s="138">
        <f>+E85/1</f>
        <v>185000000</v>
      </c>
      <c r="E85" s="139">
        <v>185000000</v>
      </c>
      <c r="F85" s="139">
        <v>0</v>
      </c>
      <c r="G85" s="139">
        <f>+D85*0.2</f>
        <v>37000000</v>
      </c>
      <c r="H85" s="139">
        <f>+G85/D85</f>
        <v>0.2</v>
      </c>
      <c r="I85" s="139">
        <v>0</v>
      </c>
      <c r="J85" s="139">
        <v>0</v>
      </c>
      <c r="K85" s="139">
        <v>0</v>
      </c>
      <c r="L85" s="146"/>
      <c r="M85" s="139">
        <v>0</v>
      </c>
      <c r="N85" s="140"/>
      <c r="O85" s="139">
        <f>+E85-F85-M85</f>
        <v>185000000</v>
      </c>
      <c r="P85" s="139"/>
      <c r="Q85" s="139"/>
      <c r="R85" s="139">
        <f t="shared" si="197"/>
        <v>0</v>
      </c>
      <c r="S85" s="146"/>
      <c r="T85" s="139">
        <f t="shared" ref="T85:T89" si="200">SUM(K85,R85)</f>
        <v>0</v>
      </c>
      <c r="U85" s="139">
        <v>0</v>
      </c>
      <c r="V85" s="146"/>
      <c r="W85" s="139">
        <f>+F85+M85+U85</f>
        <v>0</v>
      </c>
      <c r="X85" s="139">
        <f>+E85-F85-M85-U85</f>
        <v>185000000</v>
      </c>
      <c r="Y85" s="139">
        <f>+X85/2</f>
        <v>92500000</v>
      </c>
      <c r="Z85" s="140"/>
      <c r="AA85" s="139">
        <v>185000000</v>
      </c>
      <c r="AB85" s="139">
        <v>0</v>
      </c>
      <c r="AC85" s="139">
        <v>0</v>
      </c>
      <c r="AD85" s="126">
        <f>+O85-AA85-AB85-AC85</f>
        <v>0</v>
      </c>
      <c r="AE85" s="126"/>
      <c r="AF85" s="126"/>
      <c r="AG85" s="126"/>
      <c r="AH85" s="126">
        <f t="shared" si="198"/>
        <v>0</v>
      </c>
      <c r="AI85" s="126"/>
      <c r="AJ85" s="126">
        <f t="shared" si="199"/>
        <v>0</v>
      </c>
      <c r="AK85" s="209" t="s">
        <v>88</v>
      </c>
      <c r="AL85" s="29"/>
      <c r="AM85" s="32"/>
    </row>
    <row r="86" spans="1:39" s="34" customFormat="1" ht="18.75" customHeight="1" x14ac:dyDescent="0.25">
      <c r="A86" s="201"/>
      <c r="B86" s="137" t="s">
        <v>104</v>
      </c>
      <c r="C86" s="137" t="s">
        <v>68</v>
      </c>
      <c r="D86" s="138">
        <f>+E86/4</f>
        <v>106250000</v>
      </c>
      <c r="E86" s="139">
        <v>425000000</v>
      </c>
      <c r="F86" s="139">
        <v>0</v>
      </c>
      <c r="G86" s="139">
        <f>+D86*0.2</f>
        <v>21250000</v>
      </c>
      <c r="H86" s="139">
        <f>+G86/D86</f>
        <v>0.2</v>
      </c>
      <c r="I86" s="139">
        <v>0</v>
      </c>
      <c r="J86" s="139">
        <v>0</v>
      </c>
      <c r="K86" s="139">
        <v>0</v>
      </c>
      <c r="L86" s="146"/>
      <c r="M86" s="139">
        <v>25000000</v>
      </c>
      <c r="N86" s="140"/>
      <c r="O86" s="139">
        <f>+E86-F86-M86</f>
        <v>400000000</v>
      </c>
      <c r="P86" s="139">
        <v>25000000</v>
      </c>
      <c r="Q86" s="139">
        <v>0</v>
      </c>
      <c r="R86" s="139">
        <f>P86-Q86</f>
        <v>25000000</v>
      </c>
      <c r="S86" s="146" t="s">
        <v>225</v>
      </c>
      <c r="T86" s="139">
        <f t="shared" si="200"/>
        <v>25000000</v>
      </c>
      <c r="U86" s="139">
        <v>60000000</v>
      </c>
      <c r="V86" s="146" t="s">
        <v>225</v>
      </c>
      <c r="W86" s="139">
        <f>+F86+M86+U86</f>
        <v>85000000</v>
      </c>
      <c r="X86" s="139">
        <f>+E86-F86-M86-U86</f>
        <v>340000000</v>
      </c>
      <c r="Y86" s="139">
        <f>+X86/2</f>
        <v>170000000</v>
      </c>
      <c r="Z86" s="140"/>
      <c r="AA86" s="139">
        <v>100000000</v>
      </c>
      <c r="AB86" s="139">
        <v>100000000</v>
      </c>
      <c r="AC86" s="139">
        <v>200000000</v>
      </c>
      <c r="AD86" s="126">
        <f>+O86-AA86-AB86-AC86</f>
        <v>0</v>
      </c>
      <c r="AE86" s="126">
        <v>425000000</v>
      </c>
      <c r="AF86" s="126" t="s">
        <v>219</v>
      </c>
      <c r="AG86" s="126">
        <v>425000000</v>
      </c>
      <c r="AH86" s="126">
        <f t="shared" si="198"/>
        <v>85000000</v>
      </c>
      <c r="AI86" s="126">
        <v>425000000</v>
      </c>
      <c r="AJ86" s="126">
        <f t="shared" si="199"/>
        <v>510000000</v>
      </c>
      <c r="AK86" s="209" t="s">
        <v>88</v>
      </c>
      <c r="AL86" s="29"/>
      <c r="AM86" s="33"/>
    </row>
    <row r="87" spans="1:39" s="40" customFormat="1" ht="18.75" customHeight="1" x14ac:dyDescent="0.25">
      <c r="A87" s="201"/>
      <c r="B87" s="159"/>
      <c r="C87" s="159"/>
      <c r="D87" s="173"/>
      <c r="E87" s="139"/>
      <c r="F87" s="139"/>
      <c r="G87" s="139"/>
      <c r="H87" s="139"/>
      <c r="I87" s="139"/>
      <c r="J87" s="139"/>
      <c r="K87" s="139"/>
      <c r="L87" s="146"/>
      <c r="M87" s="139"/>
      <c r="N87" s="140"/>
      <c r="O87" s="139"/>
      <c r="P87" s="139"/>
      <c r="Q87" s="139"/>
      <c r="R87" s="139"/>
      <c r="S87" s="146"/>
      <c r="T87" s="139"/>
      <c r="U87" s="139"/>
      <c r="V87" s="146"/>
      <c r="W87" s="139"/>
      <c r="X87" s="139"/>
      <c r="Y87" s="139"/>
      <c r="Z87" s="140"/>
      <c r="AA87" s="139"/>
      <c r="AB87" s="139"/>
      <c r="AC87" s="139"/>
      <c r="AD87" s="126"/>
      <c r="AE87" s="126"/>
      <c r="AF87" s="126"/>
      <c r="AG87" s="126"/>
      <c r="AH87" s="126"/>
      <c r="AI87" s="126"/>
      <c r="AJ87" s="126"/>
      <c r="AK87" s="200"/>
      <c r="AL87" s="29"/>
      <c r="AM87" s="33"/>
    </row>
    <row r="88" spans="1:39" ht="18.75" customHeight="1" x14ac:dyDescent="0.25">
      <c r="A88" s="211">
        <v>5</v>
      </c>
      <c r="B88" s="141" t="s">
        <v>35</v>
      </c>
      <c r="C88" s="142" t="s">
        <v>55</v>
      </c>
      <c r="D88" s="143"/>
      <c r="E88" s="125">
        <f>SUM(E89)</f>
        <v>110000000</v>
      </c>
      <c r="F88" s="125">
        <f>SUM(F89)</f>
        <v>0</v>
      </c>
      <c r="G88" s="125">
        <f t="shared" ref="G88:K88" si="201">SUM(G89)</f>
        <v>16500000</v>
      </c>
      <c r="H88" s="125">
        <f t="shared" si="201"/>
        <v>0.15</v>
      </c>
      <c r="I88" s="125">
        <f t="shared" si="201"/>
        <v>0</v>
      </c>
      <c r="J88" s="125">
        <f t="shared" si="201"/>
        <v>0</v>
      </c>
      <c r="K88" s="125">
        <f t="shared" si="201"/>
        <v>0</v>
      </c>
      <c r="L88" s="144">
        <f>SUM(L89)</f>
        <v>0</v>
      </c>
      <c r="M88" s="125">
        <f>SUM(M89)</f>
        <v>0</v>
      </c>
      <c r="N88" s="125">
        <f t="shared" ref="N88:R88" si="202">SUM(N89)</f>
        <v>0</v>
      </c>
      <c r="O88" s="125">
        <f t="shared" si="202"/>
        <v>110000000</v>
      </c>
      <c r="P88" s="125">
        <f t="shared" si="202"/>
        <v>0</v>
      </c>
      <c r="Q88" s="125">
        <f t="shared" si="202"/>
        <v>0</v>
      </c>
      <c r="R88" s="125">
        <f t="shared" si="202"/>
        <v>0</v>
      </c>
      <c r="S88" s="125">
        <f t="shared" ref="S88" si="203">SUM(S89)</f>
        <v>0</v>
      </c>
      <c r="T88" s="125">
        <f t="shared" ref="T88" si="204">SUM(T89)</f>
        <v>0</v>
      </c>
      <c r="U88" s="125">
        <f t="shared" ref="U88" si="205">SUM(U89)</f>
        <v>40000000</v>
      </c>
      <c r="V88" s="125">
        <f t="shared" ref="V88" si="206">SUM(V89)</f>
        <v>0</v>
      </c>
      <c r="W88" s="125">
        <f t="shared" ref="W88" si="207">SUM(W89)</f>
        <v>40000000</v>
      </c>
      <c r="X88" s="125">
        <f t="shared" ref="X88:AC88" si="208">SUM(X89)</f>
        <v>70000000</v>
      </c>
      <c r="Y88" s="125">
        <f t="shared" si="208"/>
        <v>35000000</v>
      </c>
      <c r="Z88" s="131"/>
      <c r="AA88" s="125">
        <f t="shared" si="208"/>
        <v>0</v>
      </c>
      <c r="AB88" s="125">
        <f t="shared" si="208"/>
        <v>110000000</v>
      </c>
      <c r="AC88" s="125">
        <f t="shared" si="208"/>
        <v>0</v>
      </c>
      <c r="AD88" s="145"/>
      <c r="AE88" s="125">
        <f t="shared" ref="AE88" si="209">SUM(AE89)</f>
        <v>0</v>
      </c>
      <c r="AF88" s="125">
        <f t="shared" ref="AF88" si="210">SUM(AF89)</f>
        <v>0</v>
      </c>
      <c r="AG88" s="125">
        <f t="shared" ref="AG88:AJ88" si="211">SUM(AG89)</f>
        <v>0</v>
      </c>
      <c r="AH88" s="125">
        <f t="shared" si="211"/>
        <v>40000000</v>
      </c>
      <c r="AI88" s="125">
        <f t="shared" si="211"/>
        <v>0</v>
      </c>
      <c r="AJ88" s="125">
        <f t="shared" si="211"/>
        <v>40000000</v>
      </c>
      <c r="AK88" s="198"/>
      <c r="AL88" s="28"/>
      <c r="AM88" s="23"/>
    </row>
    <row r="89" spans="1:39" s="40" customFormat="1" ht="18.75" customHeight="1" x14ac:dyDescent="0.25">
      <c r="A89" s="212"/>
      <c r="B89" s="159" t="s">
        <v>105</v>
      </c>
      <c r="C89" s="147" t="s">
        <v>43</v>
      </c>
      <c r="D89" s="138">
        <f>+E89/1</f>
        <v>110000000</v>
      </c>
      <c r="E89" s="139">
        <v>110000000</v>
      </c>
      <c r="F89" s="139">
        <v>0</v>
      </c>
      <c r="G89" s="139">
        <v>16500000</v>
      </c>
      <c r="H89" s="139">
        <f>+G89/D89</f>
        <v>0.15</v>
      </c>
      <c r="I89" s="139">
        <v>0</v>
      </c>
      <c r="J89" s="139">
        <v>0</v>
      </c>
      <c r="K89" s="139">
        <v>0</v>
      </c>
      <c r="L89" s="146"/>
      <c r="M89" s="139">
        <v>0</v>
      </c>
      <c r="N89" s="140"/>
      <c r="O89" s="139">
        <f>+E89-F89-M89</f>
        <v>110000000</v>
      </c>
      <c r="P89" s="139"/>
      <c r="Q89" s="139"/>
      <c r="R89" s="139"/>
      <c r="S89" s="146"/>
      <c r="T89" s="139">
        <f t="shared" si="200"/>
        <v>0</v>
      </c>
      <c r="U89" s="139">
        <v>40000000</v>
      </c>
      <c r="V89" s="146" t="s">
        <v>227</v>
      </c>
      <c r="W89" s="139">
        <f>+F89+M89+U89</f>
        <v>40000000</v>
      </c>
      <c r="X89" s="139">
        <f>+E89-F89-M89-U89</f>
        <v>70000000</v>
      </c>
      <c r="Y89" s="139">
        <f>+X89/2</f>
        <v>35000000</v>
      </c>
      <c r="Z89" s="140"/>
      <c r="AA89" s="139">
        <v>0</v>
      </c>
      <c r="AB89" s="139">
        <v>110000000</v>
      </c>
      <c r="AC89" s="139">
        <v>0</v>
      </c>
      <c r="AD89" s="126">
        <f>+O89-AA89-AB89-AC89</f>
        <v>0</v>
      </c>
      <c r="AE89" s="126"/>
      <c r="AF89" s="126"/>
      <c r="AG89" s="126"/>
      <c r="AH89" s="126">
        <f t="shared" ref="AH89" si="212">SUM(AF89,U89,R89)</f>
        <v>40000000</v>
      </c>
      <c r="AI89" s="126"/>
      <c r="AJ89" s="126">
        <f t="shared" ref="AJ89" si="213">SUM(AE89,U89,T89)</f>
        <v>40000000</v>
      </c>
      <c r="AK89" s="200"/>
      <c r="AL89" s="29"/>
      <c r="AM89" s="44"/>
    </row>
    <row r="90" spans="1:39" s="40" customFormat="1" ht="18.75" customHeight="1" x14ac:dyDescent="0.25">
      <c r="A90" s="212"/>
      <c r="B90" s="159"/>
      <c r="C90" s="147"/>
      <c r="D90" s="140"/>
      <c r="E90" s="139"/>
      <c r="F90" s="139"/>
      <c r="G90" s="139"/>
      <c r="H90" s="139"/>
      <c r="I90" s="139"/>
      <c r="J90" s="139"/>
      <c r="K90" s="139"/>
      <c r="L90" s="146"/>
      <c r="M90" s="139"/>
      <c r="N90" s="140"/>
      <c r="O90" s="139"/>
      <c r="P90" s="139"/>
      <c r="Q90" s="139"/>
      <c r="R90" s="139"/>
      <c r="S90" s="146"/>
      <c r="T90" s="139"/>
      <c r="U90" s="139"/>
      <c r="V90" s="146"/>
      <c r="W90" s="139"/>
      <c r="X90" s="139"/>
      <c r="Y90" s="139"/>
      <c r="Z90" s="140"/>
      <c r="AA90" s="139"/>
      <c r="AB90" s="139"/>
      <c r="AC90" s="139"/>
      <c r="AD90" s="126"/>
      <c r="AE90" s="126"/>
      <c r="AF90" s="126"/>
      <c r="AG90" s="126"/>
      <c r="AH90" s="126"/>
      <c r="AI90" s="126"/>
      <c r="AJ90" s="126"/>
      <c r="AK90" s="200"/>
      <c r="AL90" s="29"/>
      <c r="AM90" s="33"/>
    </row>
    <row r="91" spans="1:39" ht="18.75" customHeight="1" x14ac:dyDescent="0.25">
      <c r="A91" s="197">
        <v>6</v>
      </c>
      <c r="B91" s="141" t="s">
        <v>41</v>
      </c>
      <c r="C91" s="142" t="s">
        <v>106</v>
      </c>
      <c r="D91" s="143"/>
      <c r="E91" s="125">
        <f>SUM(E92:E93)</f>
        <v>135000000</v>
      </c>
      <c r="F91" s="125">
        <f>SUM(F92:F93)</f>
        <v>120000000</v>
      </c>
      <c r="G91" s="125">
        <f t="shared" ref="G91:K91" si="214">SUM(G92:G93)</f>
        <v>15000000</v>
      </c>
      <c r="H91" s="125">
        <f t="shared" si="214"/>
        <v>1</v>
      </c>
      <c r="I91" s="125">
        <f t="shared" si="214"/>
        <v>119999993.2</v>
      </c>
      <c r="J91" s="125">
        <f t="shared" si="214"/>
        <v>119999993.2</v>
      </c>
      <c r="K91" s="125">
        <f t="shared" si="214"/>
        <v>0</v>
      </c>
      <c r="L91" s="144">
        <f>SUM(L92:L93)</f>
        <v>0</v>
      </c>
      <c r="M91" s="125">
        <f>SUM(M92:M93)</f>
        <v>15000000</v>
      </c>
      <c r="N91" s="125">
        <f t="shared" ref="N91:R91" si="215">SUM(N92:N93)</f>
        <v>0</v>
      </c>
      <c r="O91" s="125">
        <f t="shared" si="215"/>
        <v>0</v>
      </c>
      <c r="P91" s="125">
        <f t="shared" si="215"/>
        <v>14991429</v>
      </c>
      <c r="Q91" s="125">
        <f t="shared" si="215"/>
        <v>2998285</v>
      </c>
      <c r="R91" s="125">
        <f t="shared" si="215"/>
        <v>11993144</v>
      </c>
      <c r="S91" s="125">
        <f t="shared" ref="S91" si="216">SUM(S92:S93)</f>
        <v>0</v>
      </c>
      <c r="T91" s="125">
        <f t="shared" ref="T91" si="217">SUM(T92:T93)</f>
        <v>11993144</v>
      </c>
      <c r="U91" s="125">
        <f t="shared" ref="U91" si="218">SUM(U92:U93)</f>
        <v>0</v>
      </c>
      <c r="V91" s="125">
        <f t="shared" ref="V91" si="219">SUM(V92:V93)</f>
        <v>0</v>
      </c>
      <c r="W91" s="125">
        <f t="shared" ref="W91" si="220">SUM(W92:W93)</f>
        <v>135000000</v>
      </c>
      <c r="X91" s="125">
        <f t="shared" ref="X91:AC91" si="221">SUM(X92:X93)</f>
        <v>0</v>
      </c>
      <c r="Y91" s="125">
        <f t="shared" ref="Y91" si="222">SUM(Y92:Y93)</f>
        <v>0</v>
      </c>
      <c r="Z91" s="131"/>
      <c r="AA91" s="125">
        <f t="shared" si="221"/>
        <v>0</v>
      </c>
      <c r="AB91" s="125">
        <f t="shared" si="221"/>
        <v>0</v>
      </c>
      <c r="AC91" s="125">
        <f t="shared" si="221"/>
        <v>0</v>
      </c>
      <c r="AD91" s="145"/>
      <c r="AE91" s="125">
        <f t="shared" ref="AE91" si="223">SUM(AE92:AE93)</f>
        <v>0</v>
      </c>
      <c r="AF91" s="125">
        <f t="shared" ref="AF91" si="224">SUM(AF92:AF93)</f>
        <v>0</v>
      </c>
      <c r="AG91" s="125">
        <f t="shared" ref="AG91:AJ91" si="225">SUM(AG92:AG93)</f>
        <v>0</v>
      </c>
      <c r="AH91" s="125">
        <f t="shared" si="225"/>
        <v>11993144</v>
      </c>
      <c r="AI91" s="125">
        <f t="shared" si="225"/>
        <v>0</v>
      </c>
      <c r="AJ91" s="125">
        <f t="shared" si="225"/>
        <v>11993144</v>
      </c>
      <c r="AK91" s="198"/>
      <c r="AL91" s="28"/>
      <c r="AM91" s="33"/>
    </row>
    <row r="92" spans="1:39" s="40" customFormat="1" ht="18.75" customHeight="1" x14ac:dyDescent="0.25">
      <c r="A92" s="212"/>
      <c r="B92" s="137" t="s">
        <v>107</v>
      </c>
      <c r="C92" s="147" t="s">
        <v>43</v>
      </c>
      <c r="D92" s="138">
        <f>+E92/1</f>
        <v>120000000</v>
      </c>
      <c r="E92" s="139">
        <v>120000000</v>
      </c>
      <c r="F92" s="139">
        <v>120000000</v>
      </c>
      <c r="G92" s="139">
        <v>0</v>
      </c>
      <c r="H92" s="139">
        <f>+G92/D92</f>
        <v>0</v>
      </c>
      <c r="I92" s="139">
        <v>119999993.2</v>
      </c>
      <c r="J92" s="139">
        <v>119999993.2</v>
      </c>
      <c r="K92" s="139">
        <f>I92-J92</f>
        <v>0</v>
      </c>
      <c r="L92" s="146" t="s">
        <v>222</v>
      </c>
      <c r="M92" s="139">
        <v>0</v>
      </c>
      <c r="N92" s="140"/>
      <c r="O92" s="139">
        <f>+E92-F92-M92</f>
        <v>0</v>
      </c>
      <c r="P92" s="139">
        <v>0</v>
      </c>
      <c r="Q92" s="139">
        <v>0</v>
      </c>
      <c r="R92" s="139">
        <v>0</v>
      </c>
      <c r="S92" s="146"/>
      <c r="T92" s="139"/>
      <c r="U92" s="139">
        <v>0</v>
      </c>
      <c r="V92" s="146"/>
      <c r="W92" s="139">
        <f>+F92+M92+U92</f>
        <v>120000000</v>
      </c>
      <c r="X92" s="139">
        <f>+E92-F92-M92-U92</f>
        <v>0</v>
      </c>
      <c r="Y92" s="139">
        <v>0</v>
      </c>
      <c r="Z92" s="140"/>
      <c r="AA92" s="139"/>
      <c r="AB92" s="139"/>
      <c r="AC92" s="139"/>
      <c r="AD92" s="126">
        <f>+O92-AA92-AB92-AC92</f>
        <v>0</v>
      </c>
      <c r="AE92" s="126"/>
      <c r="AF92" s="126"/>
      <c r="AG92" s="126"/>
      <c r="AH92" s="126">
        <f t="shared" ref="AH92:AH93" si="226">SUM(AF92,U92,R92)</f>
        <v>0</v>
      </c>
      <c r="AI92" s="126"/>
      <c r="AJ92" s="126">
        <f t="shared" ref="AJ92:AJ93" si="227">SUM(AE92,U92,T92)</f>
        <v>0</v>
      </c>
      <c r="AK92" s="200"/>
      <c r="AL92" s="29"/>
      <c r="AM92" s="33"/>
    </row>
    <row r="93" spans="1:39" s="40" customFormat="1" ht="36.75" customHeight="1" x14ac:dyDescent="0.3">
      <c r="A93" s="212"/>
      <c r="B93" s="175" t="s">
        <v>108</v>
      </c>
      <c r="C93" s="147" t="s">
        <v>43</v>
      </c>
      <c r="D93" s="138">
        <f>+E93/1</f>
        <v>15000000</v>
      </c>
      <c r="E93" s="139">
        <v>15000000</v>
      </c>
      <c r="F93" s="139">
        <v>0</v>
      </c>
      <c r="G93" s="139">
        <v>15000000</v>
      </c>
      <c r="H93" s="139">
        <f>+G93/D93</f>
        <v>1</v>
      </c>
      <c r="I93" s="139">
        <v>0</v>
      </c>
      <c r="J93" s="139">
        <v>0</v>
      </c>
      <c r="K93" s="139">
        <v>0</v>
      </c>
      <c r="L93" s="146"/>
      <c r="M93" s="139">
        <v>15000000</v>
      </c>
      <c r="N93" s="140"/>
      <c r="O93" s="139">
        <f>+E93-F93-M93</f>
        <v>0</v>
      </c>
      <c r="P93" s="139">
        <v>14991429</v>
      </c>
      <c r="Q93" s="139">
        <v>2998285</v>
      </c>
      <c r="R93" s="139">
        <f>P93-Q93</f>
        <v>11993144</v>
      </c>
      <c r="S93" s="146" t="s">
        <v>223</v>
      </c>
      <c r="T93" s="139">
        <f t="shared" ref="T93" si="228">SUM(K93,R93)</f>
        <v>11993144</v>
      </c>
      <c r="U93" s="139">
        <v>0</v>
      </c>
      <c r="V93" s="146"/>
      <c r="W93" s="139">
        <f>+F93+M93+U93</f>
        <v>15000000</v>
      </c>
      <c r="X93" s="139">
        <f>+E93-F93-M93-U93</f>
        <v>0</v>
      </c>
      <c r="Y93" s="139">
        <v>0</v>
      </c>
      <c r="Z93" s="140"/>
      <c r="AA93" s="139"/>
      <c r="AB93" s="139"/>
      <c r="AC93" s="139"/>
      <c r="AD93" s="126">
        <f>+O93-AA93-AB93-AC93</f>
        <v>0</v>
      </c>
      <c r="AE93" s="126"/>
      <c r="AF93" s="126"/>
      <c r="AG93" s="126"/>
      <c r="AH93" s="126">
        <f t="shared" si="226"/>
        <v>11993144</v>
      </c>
      <c r="AI93" s="126"/>
      <c r="AJ93" s="126">
        <f t="shared" si="227"/>
        <v>11993144</v>
      </c>
      <c r="AK93" s="200"/>
      <c r="AL93" s="29"/>
      <c r="AM93" s="33"/>
    </row>
    <row r="94" spans="1:39" s="40" customFormat="1" ht="18.75" customHeight="1" x14ac:dyDescent="0.25">
      <c r="A94" s="212"/>
      <c r="B94" s="137"/>
      <c r="C94" s="147"/>
      <c r="D94" s="140"/>
      <c r="E94" s="139"/>
      <c r="F94" s="139"/>
      <c r="G94" s="139"/>
      <c r="H94" s="139"/>
      <c r="I94" s="139"/>
      <c r="J94" s="139"/>
      <c r="K94" s="139"/>
      <c r="L94" s="146"/>
      <c r="M94" s="139"/>
      <c r="N94" s="140"/>
      <c r="O94" s="139"/>
      <c r="P94" s="139"/>
      <c r="Q94" s="139"/>
      <c r="R94" s="139"/>
      <c r="S94" s="146"/>
      <c r="T94" s="139"/>
      <c r="U94" s="139"/>
      <c r="V94" s="146"/>
      <c r="W94" s="139"/>
      <c r="X94" s="139"/>
      <c r="Y94" s="139"/>
      <c r="Z94" s="140"/>
      <c r="AA94" s="139"/>
      <c r="AB94" s="139"/>
      <c r="AC94" s="139"/>
      <c r="AD94" s="126"/>
      <c r="AE94" s="126"/>
      <c r="AF94" s="126"/>
      <c r="AG94" s="126"/>
      <c r="AH94" s="126"/>
      <c r="AI94" s="126"/>
      <c r="AJ94" s="126"/>
      <c r="AK94" s="200"/>
      <c r="AL94" s="29"/>
      <c r="AM94" s="33"/>
    </row>
    <row r="95" spans="1:39" ht="18.75" customHeight="1" x14ac:dyDescent="0.25">
      <c r="A95" s="675" t="s">
        <v>109</v>
      </c>
      <c r="B95" s="676"/>
      <c r="C95" s="176" t="s">
        <v>110</v>
      </c>
      <c r="D95" s="177"/>
      <c r="E95" s="178">
        <f>E99+E104+E107+E110+E115</f>
        <v>3067000000</v>
      </c>
      <c r="F95" s="178">
        <f>SUM(F99,F104,F107,F110,F115)</f>
        <v>340000000</v>
      </c>
      <c r="G95" s="178">
        <f t="shared" ref="G95:K95" si="229">SUM(G99:G118)</f>
        <v>1292000000</v>
      </c>
      <c r="H95" s="178">
        <f t="shared" si="229"/>
        <v>440001005.55227786</v>
      </c>
      <c r="I95" s="178">
        <f t="shared" si="229"/>
        <v>678775178</v>
      </c>
      <c r="J95" s="178">
        <f t="shared" si="229"/>
        <v>582779037.20000005</v>
      </c>
      <c r="K95" s="178">
        <f t="shared" si="229"/>
        <v>95996140.799999997</v>
      </c>
      <c r="L95" s="178">
        <f>SUM(L99:L118)</f>
        <v>0</v>
      </c>
      <c r="M95" s="178">
        <f>SUM(M99,M104,M107,M110,M115)</f>
        <v>300000000</v>
      </c>
      <c r="N95" s="178">
        <f t="shared" ref="N95:W95" si="230">SUM(N99,N104,N107,N110,N115)</f>
        <v>0</v>
      </c>
      <c r="O95" s="178">
        <f t="shared" si="230"/>
        <v>2427000000</v>
      </c>
      <c r="P95" s="178">
        <f t="shared" si="230"/>
        <v>27975075</v>
      </c>
      <c r="Q95" s="178">
        <f t="shared" si="230"/>
        <v>27975075</v>
      </c>
      <c r="R95" s="178">
        <f t="shared" si="230"/>
        <v>0</v>
      </c>
      <c r="S95" s="178">
        <f t="shared" si="230"/>
        <v>0</v>
      </c>
      <c r="T95" s="178">
        <f t="shared" si="230"/>
        <v>47998070.399999999</v>
      </c>
      <c r="U95" s="178">
        <f t="shared" si="230"/>
        <v>456593300</v>
      </c>
      <c r="V95" s="178">
        <f t="shared" si="230"/>
        <v>0</v>
      </c>
      <c r="W95" s="178">
        <f t="shared" si="230"/>
        <v>1096593300</v>
      </c>
      <c r="X95" s="178">
        <f>X99+X104+X107+X110+X115</f>
        <v>1970406700</v>
      </c>
      <c r="Y95" s="178">
        <f t="shared" ref="Y95" si="231">Y99+Y104+Y107+Y110+Y115</f>
        <v>334703350</v>
      </c>
      <c r="Z95" s="179"/>
      <c r="AA95" s="178">
        <f>AA99+AA104+AA107+AA110+AA115</f>
        <v>1404000000</v>
      </c>
      <c r="AB95" s="178">
        <f>AB99+AB104+AB107+AB110+AB115</f>
        <v>763000000</v>
      </c>
      <c r="AC95" s="178">
        <f>AC99+AC104+AC107+AC110+AC115</f>
        <v>260000000</v>
      </c>
      <c r="AD95" s="180"/>
      <c r="AE95" s="178">
        <f t="shared" ref="AE95:AG95" si="232">SUM(AE99,AE104,AE107,AE110,AE115)</f>
        <v>0</v>
      </c>
      <c r="AF95" s="178">
        <f t="shared" si="232"/>
        <v>0</v>
      </c>
      <c r="AG95" s="178">
        <f t="shared" si="232"/>
        <v>0</v>
      </c>
      <c r="AH95" s="178">
        <f t="shared" ref="AH95:AJ95" si="233">SUM(AH99,AH104,AH107,AH110,AH115)</f>
        <v>456593300</v>
      </c>
      <c r="AI95" s="178">
        <f t="shared" si="233"/>
        <v>0</v>
      </c>
      <c r="AJ95" s="178">
        <f t="shared" si="233"/>
        <v>504591370.39999998</v>
      </c>
      <c r="AK95" s="213"/>
      <c r="AL95" s="45"/>
      <c r="AM95" s="46"/>
    </row>
    <row r="96" spans="1:39" s="27" customFormat="1" ht="18.75" customHeight="1" x14ac:dyDescent="0.25">
      <c r="A96" s="208"/>
      <c r="B96" s="170"/>
      <c r="C96" s="170"/>
      <c r="D96" s="171"/>
      <c r="E96" s="125"/>
      <c r="F96" s="125"/>
      <c r="G96" s="125"/>
      <c r="H96" s="125"/>
      <c r="I96" s="125"/>
      <c r="J96" s="125"/>
      <c r="K96" s="125"/>
      <c r="L96" s="144"/>
      <c r="M96" s="125"/>
      <c r="N96" s="131"/>
      <c r="O96" s="125"/>
      <c r="P96" s="125"/>
      <c r="Q96" s="125"/>
      <c r="R96" s="125"/>
      <c r="S96" s="144"/>
      <c r="T96" s="125"/>
      <c r="U96" s="125"/>
      <c r="V96" s="144"/>
      <c r="W96" s="125"/>
      <c r="X96" s="125"/>
      <c r="Y96" s="125"/>
      <c r="Z96" s="131"/>
      <c r="AA96" s="125"/>
      <c r="AB96" s="125"/>
      <c r="AC96" s="125"/>
      <c r="AD96" s="145"/>
      <c r="AE96" s="145"/>
      <c r="AF96" s="145"/>
      <c r="AG96" s="145"/>
      <c r="AH96" s="145"/>
      <c r="AI96" s="145"/>
      <c r="AJ96" s="145"/>
      <c r="AK96" s="198"/>
      <c r="AL96" s="28"/>
      <c r="AM96" s="23"/>
    </row>
    <row r="97" spans="1:39" ht="18.75" hidden="1" customHeight="1" x14ac:dyDescent="0.25">
      <c r="A97" s="197">
        <v>1</v>
      </c>
      <c r="B97" s="141" t="s">
        <v>111</v>
      </c>
      <c r="C97" s="145"/>
      <c r="D97" s="125"/>
      <c r="E97" s="125">
        <v>0</v>
      </c>
      <c r="F97" s="125">
        <v>0</v>
      </c>
      <c r="G97" s="125">
        <v>0</v>
      </c>
      <c r="H97" s="125"/>
      <c r="I97" s="125"/>
      <c r="J97" s="125"/>
      <c r="K97" s="125"/>
      <c r="L97" s="144"/>
      <c r="M97" s="125"/>
      <c r="N97" s="131"/>
      <c r="O97" s="125">
        <v>1</v>
      </c>
      <c r="P97" s="125"/>
      <c r="Q97" s="125"/>
      <c r="R97" s="125"/>
      <c r="S97" s="144"/>
      <c r="T97" s="125"/>
      <c r="U97" s="125"/>
      <c r="V97" s="144"/>
      <c r="W97" s="125"/>
      <c r="X97" s="125"/>
      <c r="Y97" s="125"/>
      <c r="Z97" s="131"/>
      <c r="AA97" s="125"/>
      <c r="AB97" s="125"/>
      <c r="AC97" s="125"/>
      <c r="AD97" s="145"/>
      <c r="AE97" s="145"/>
      <c r="AF97" s="145"/>
      <c r="AG97" s="145"/>
      <c r="AH97" s="145"/>
      <c r="AI97" s="145"/>
      <c r="AJ97" s="145"/>
      <c r="AK97" s="198"/>
      <c r="AL97" s="28"/>
      <c r="AM97" s="23"/>
    </row>
    <row r="98" spans="1:39" ht="18.75" hidden="1" customHeight="1" x14ac:dyDescent="0.25">
      <c r="A98" s="210"/>
      <c r="B98" s="172"/>
      <c r="C98" s="162"/>
      <c r="D98" s="163"/>
      <c r="E98" s="148"/>
      <c r="F98" s="148"/>
      <c r="G98" s="148"/>
      <c r="H98" s="148"/>
      <c r="I98" s="148"/>
      <c r="J98" s="148"/>
      <c r="K98" s="148"/>
      <c r="L98" s="149"/>
      <c r="M98" s="148"/>
      <c r="N98" s="150"/>
      <c r="O98" s="148"/>
      <c r="P98" s="148"/>
      <c r="Q98" s="148"/>
      <c r="R98" s="148"/>
      <c r="S98" s="149"/>
      <c r="T98" s="148"/>
      <c r="U98" s="148"/>
      <c r="V98" s="149"/>
      <c r="W98" s="148"/>
      <c r="X98" s="148"/>
      <c r="Y98" s="148"/>
      <c r="Z98" s="150"/>
      <c r="AA98" s="148"/>
      <c r="AB98" s="148"/>
      <c r="AC98" s="148"/>
      <c r="AD98" s="158"/>
      <c r="AE98" s="158"/>
      <c r="AF98" s="158"/>
      <c r="AG98" s="158"/>
      <c r="AH98" s="158"/>
      <c r="AI98" s="158"/>
      <c r="AJ98" s="158"/>
      <c r="AK98" s="203"/>
      <c r="AL98" s="39"/>
      <c r="AM98" s="33"/>
    </row>
    <row r="99" spans="1:39" ht="37.5" x14ac:dyDescent="0.25">
      <c r="A99" s="197">
        <v>1</v>
      </c>
      <c r="B99" s="141" t="s">
        <v>112</v>
      </c>
      <c r="C99" s="142" t="s">
        <v>36</v>
      </c>
      <c r="D99" s="143"/>
      <c r="E99" s="125">
        <f>SUM(E100:E101)</f>
        <v>1448000000</v>
      </c>
      <c r="F99" s="125">
        <f>SUM(F100:F101)</f>
        <v>0</v>
      </c>
      <c r="G99" s="125">
        <f t="shared" ref="G99:K99" si="234">SUM(G100:G102)</f>
        <v>146500000</v>
      </c>
      <c r="H99" s="125">
        <f t="shared" si="234"/>
        <v>1.0011389521640091</v>
      </c>
      <c r="I99" s="125">
        <f t="shared" si="234"/>
        <v>0</v>
      </c>
      <c r="J99" s="125">
        <f t="shared" si="234"/>
        <v>0</v>
      </c>
      <c r="K99" s="125">
        <f t="shared" si="234"/>
        <v>0</v>
      </c>
      <c r="L99" s="144"/>
      <c r="M99" s="125">
        <f>SUM(M100:M101)</f>
        <v>147000000</v>
      </c>
      <c r="N99" s="125">
        <f t="shared" ref="N99:Q99" si="235">SUM(N100:N101)</f>
        <v>0</v>
      </c>
      <c r="O99" s="125">
        <f t="shared" si="235"/>
        <v>1301000000</v>
      </c>
      <c r="P99" s="125">
        <f t="shared" si="235"/>
        <v>0</v>
      </c>
      <c r="Q99" s="125">
        <f t="shared" si="235"/>
        <v>0</v>
      </c>
      <c r="R99" s="125">
        <f t="shared" ref="R99" si="236">SUM(R100:R101)</f>
        <v>0</v>
      </c>
      <c r="S99" s="125">
        <f t="shared" ref="S99" si="237">SUM(S100:S101)</f>
        <v>0</v>
      </c>
      <c r="T99" s="125">
        <f t="shared" ref="T99" si="238">SUM(T100:T101)</f>
        <v>0</v>
      </c>
      <c r="U99" s="125">
        <f t="shared" ref="U99" si="239">SUM(U100:U101)</f>
        <v>0</v>
      </c>
      <c r="V99" s="125">
        <f t="shared" ref="V99" si="240">SUM(V100:V101)</f>
        <v>0</v>
      </c>
      <c r="W99" s="125">
        <f t="shared" ref="W99" si="241">SUM(W100:W101)</f>
        <v>147000000</v>
      </c>
      <c r="X99" s="125">
        <f t="shared" ref="X99:AC99" si="242">SUM(X100:X101)</f>
        <v>1301000000</v>
      </c>
      <c r="Y99" s="125">
        <f t="shared" ref="Y99" si="243">SUM(Y100:Y101)</f>
        <v>0</v>
      </c>
      <c r="Z99" s="131"/>
      <c r="AA99" s="125">
        <f t="shared" si="242"/>
        <v>604000000</v>
      </c>
      <c r="AB99" s="125">
        <f t="shared" si="242"/>
        <v>497000000</v>
      </c>
      <c r="AC99" s="125">
        <f t="shared" si="242"/>
        <v>200000000</v>
      </c>
      <c r="AD99" s="145"/>
      <c r="AE99" s="125">
        <f t="shared" ref="AE99" si="244">SUM(AE100:AE101)</f>
        <v>0</v>
      </c>
      <c r="AF99" s="125">
        <f t="shared" ref="AF99" si="245">SUM(AF100:AF101)</f>
        <v>0</v>
      </c>
      <c r="AG99" s="125">
        <f>SUM(AG100:AG101)</f>
        <v>0</v>
      </c>
      <c r="AH99" s="125">
        <f>SUM(AH100:AH101)</f>
        <v>0</v>
      </c>
      <c r="AI99" s="125">
        <f t="shared" ref="AI99:AJ99" si="246">SUM(AI100:AI101)</f>
        <v>0</v>
      </c>
      <c r="AJ99" s="125">
        <f t="shared" si="246"/>
        <v>0</v>
      </c>
      <c r="AK99" s="198"/>
      <c r="AL99" s="28"/>
      <c r="AM99" s="23"/>
    </row>
    <row r="100" spans="1:39" s="34" customFormat="1" ht="37.5" x14ac:dyDescent="0.25">
      <c r="A100" s="201"/>
      <c r="B100" s="137" t="s">
        <v>113</v>
      </c>
      <c r="C100" s="137" t="s">
        <v>114</v>
      </c>
      <c r="D100" s="138">
        <f>+E100/9</f>
        <v>146333333.33333334</v>
      </c>
      <c r="E100" s="139">
        <v>1317000000</v>
      </c>
      <c r="F100" s="139">
        <v>0</v>
      </c>
      <c r="G100" s="139">
        <v>146500000</v>
      </c>
      <c r="H100" s="139">
        <f>+G100/D100</f>
        <v>1.0011389521640091</v>
      </c>
      <c r="I100" s="139">
        <v>0</v>
      </c>
      <c r="J100" s="139">
        <v>0</v>
      </c>
      <c r="K100" s="139">
        <v>0</v>
      </c>
      <c r="L100" s="146"/>
      <c r="M100" s="139">
        <v>147000000</v>
      </c>
      <c r="N100" s="140"/>
      <c r="O100" s="139">
        <f>+E100-F100-M100</f>
        <v>1170000000</v>
      </c>
      <c r="P100" s="139"/>
      <c r="Q100" s="139"/>
      <c r="R100" s="139"/>
      <c r="S100" s="146" t="s">
        <v>225</v>
      </c>
      <c r="T100" s="139">
        <f>SUM(K100,R100)</f>
        <v>0</v>
      </c>
      <c r="U100" s="139">
        <v>0</v>
      </c>
      <c r="V100" s="146"/>
      <c r="W100" s="139">
        <f>+F100+M100+U100</f>
        <v>147000000</v>
      </c>
      <c r="X100" s="139">
        <f>+E100-F100-M100-U100</f>
        <v>1170000000</v>
      </c>
      <c r="Y100" s="139">
        <v>0</v>
      </c>
      <c r="Z100" s="140"/>
      <c r="AA100" s="139">
        <v>473000000</v>
      </c>
      <c r="AB100" s="139">
        <v>497000000</v>
      </c>
      <c r="AC100" s="139">
        <v>200000000</v>
      </c>
      <c r="AD100" s="126">
        <f>+O100-AA100-AB100-AC100</f>
        <v>0</v>
      </c>
      <c r="AE100" s="126"/>
      <c r="AF100" s="126"/>
      <c r="AG100" s="126"/>
      <c r="AH100" s="126">
        <f t="shared" ref="AH100:AH101" si="247">SUM(AF100,U100,R100)</f>
        <v>0</v>
      </c>
      <c r="AI100" s="126"/>
      <c r="AJ100" s="126">
        <f t="shared" ref="AJ100:AJ101" si="248">SUM(AE100,U100,T100)</f>
        <v>0</v>
      </c>
      <c r="AK100" s="664" t="s">
        <v>115</v>
      </c>
      <c r="AL100" s="29"/>
      <c r="AM100" s="33"/>
    </row>
    <row r="101" spans="1:39" s="34" customFormat="1" ht="24.75" customHeight="1" x14ac:dyDescent="0.25">
      <c r="A101" s="201"/>
      <c r="B101" s="137" t="s">
        <v>116</v>
      </c>
      <c r="C101" s="137" t="s">
        <v>43</v>
      </c>
      <c r="D101" s="138">
        <f>+E101/1</f>
        <v>131000000</v>
      </c>
      <c r="E101" s="139">
        <v>131000000</v>
      </c>
      <c r="F101" s="139">
        <v>0</v>
      </c>
      <c r="G101" s="139">
        <v>0</v>
      </c>
      <c r="H101" s="139">
        <f>+G101/D101</f>
        <v>0</v>
      </c>
      <c r="I101" s="139">
        <v>0</v>
      </c>
      <c r="J101" s="139">
        <v>0</v>
      </c>
      <c r="K101" s="139">
        <v>0</v>
      </c>
      <c r="L101" s="146"/>
      <c r="M101" s="139">
        <v>0</v>
      </c>
      <c r="N101" s="140"/>
      <c r="O101" s="139">
        <f>+E101-F101-M101</f>
        <v>131000000</v>
      </c>
      <c r="P101" s="139"/>
      <c r="Q101" s="139"/>
      <c r="R101" s="139"/>
      <c r="S101" s="146"/>
      <c r="T101" s="139">
        <f t="shared" ref="T101:T102" si="249">SUM(K101,R101)</f>
        <v>0</v>
      </c>
      <c r="U101" s="139">
        <v>0</v>
      </c>
      <c r="V101" s="146"/>
      <c r="W101" s="139">
        <f>+F101+M101+U101</f>
        <v>0</v>
      </c>
      <c r="X101" s="139">
        <f>+E101-F101-M101-U101</f>
        <v>131000000</v>
      </c>
      <c r="Y101" s="139">
        <v>0</v>
      </c>
      <c r="Z101" s="140"/>
      <c r="AA101" s="139">
        <v>131000000</v>
      </c>
      <c r="AB101" s="139">
        <v>0</v>
      </c>
      <c r="AC101" s="139">
        <v>0</v>
      </c>
      <c r="AD101" s="126">
        <f>+O101-AA101-AB101-AC101</f>
        <v>0</v>
      </c>
      <c r="AE101" s="126"/>
      <c r="AF101" s="126"/>
      <c r="AG101" s="126"/>
      <c r="AH101" s="126">
        <f t="shared" si="247"/>
        <v>0</v>
      </c>
      <c r="AI101" s="126"/>
      <c r="AJ101" s="126">
        <f t="shared" si="248"/>
        <v>0</v>
      </c>
      <c r="AK101" s="665"/>
      <c r="AL101" s="29"/>
      <c r="AM101" s="33"/>
    </row>
    <row r="102" spans="1:39" s="34" customFormat="1" ht="23.25" customHeight="1" x14ac:dyDescent="0.25">
      <c r="A102" s="201"/>
      <c r="B102" s="181" t="s">
        <v>117</v>
      </c>
      <c r="C102" s="181"/>
      <c r="D102" s="182"/>
      <c r="E102" s="183"/>
      <c r="F102" s="183">
        <v>110000000</v>
      </c>
      <c r="G102" s="183"/>
      <c r="H102" s="183"/>
      <c r="I102" s="183"/>
      <c r="J102" s="183"/>
      <c r="K102" s="183"/>
      <c r="L102" s="146"/>
      <c r="M102" s="139"/>
      <c r="N102" s="140"/>
      <c r="O102" s="139"/>
      <c r="P102" s="139"/>
      <c r="Q102" s="139"/>
      <c r="R102" s="139"/>
      <c r="S102" s="146"/>
      <c r="T102" s="139">
        <f t="shared" si="249"/>
        <v>0</v>
      </c>
      <c r="U102" s="139"/>
      <c r="V102" s="146"/>
      <c r="W102" s="139">
        <f>+F102+M102+U102</f>
        <v>110000000</v>
      </c>
      <c r="X102" s="139"/>
      <c r="Y102" s="139"/>
      <c r="Z102" s="140" t="s">
        <v>207</v>
      </c>
      <c r="AA102" s="139"/>
      <c r="AB102" s="139"/>
      <c r="AC102" s="139"/>
      <c r="AD102" s="126"/>
      <c r="AE102" s="126"/>
      <c r="AF102" s="126"/>
      <c r="AG102" s="126"/>
      <c r="AH102" s="126"/>
      <c r="AI102" s="126"/>
      <c r="AJ102" s="126"/>
      <c r="AK102" s="209" t="s">
        <v>118</v>
      </c>
      <c r="AL102" s="47"/>
      <c r="AM102" s="33"/>
    </row>
    <row r="103" spans="1:39" s="40" customFormat="1" ht="18.75" customHeight="1" x14ac:dyDescent="0.25">
      <c r="A103" s="201"/>
      <c r="B103" s="159"/>
      <c r="C103" s="159"/>
      <c r="D103" s="173"/>
      <c r="E103" s="139"/>
      <c r="F103" s="139"/>
      <c r="G103" s="139"/>
      <c r="H103" s="139"/>
      <c r="I103" s="139"/>
      <c r="J103" s="139"/>
      <c r="K103" s="139"/>
      <c r="L103" s="146"/>
      <c r="M103" s="139"/>
      <c r="N103" s="140"/>
      <c r="O103" s="139"/>
      <c r="P103" s="139"/>
      <c r="Q103" s="139"/>
      <c r="R103" s="139"/>
      <c r="S103" s="146"/>
      <c r="T103" s="139"/>
      <c r="U103" s="139"/>
      <c r="V103" s="146"/>
      <c r="W103" s="139"/>
      <c r="X103" s="139"/>
      <c r="Y103" s="139"/>
      <c r="Z103" s="140"/>
      <c r="AA103" s="139"/>
      <c r="AB103" s="139"/>
      <c r="AC103" s="139"/>
      <c r="AD103" s="126"/>
      <c r="AE103" s="126"/>
      <c r="AF103" s="126"/>
      <c r="AG103" s="126"/>
      <c r="AH103" s="126"/>
      <c r="AI103" s="126"/>
      <c r="AJ103" s="126"/>
      <c r="AK103" s="200"/>
      <c r="AL103" s="29"/>
      <c r="AM103" s="32"/>
    </row>
    <row r="104" spans="1:39" s="40" customFormat="1" ht="18.75" customHeight="1" x14ac:dyDescent="0.25">
      <c r="A104" s="197">
        <v>2</v>
      </c>
      <c r="B104" s="141" t="s">
        <v>119</v>
      </c>
      <c r="C104" s="184" t="s">
        <v>55</v>
      </c>
      <c r="D104" s="185"/>
      <c r="E104" s="125">
        <f>SUM(E105)</f>
        <v>775000000</v>
      </c>
      <c r="F104" s="125">
        <f>SUM(F105)</f>
        <v>220000000</v>
      </c>
      <c r="G104" s="125">
        <f t="shared" ref="G104:K104" si="250">SUM(G105)</f>
        <v>220000000</v>
      </c>
      <c r="H104" s="125">
        <f t="shared" si="250"/>
        <v>220000000</v>
      </c>
      <c r="I104" s="125">
        <f t="shared" si="250"/>
        <v>220000000</v>
      </c>
      <c r="J104" s="125">
        <f t="shared" si="250"/>
        <v>220000000</v>
      </c>
      <c r="K104" s="125">
        <f t="shared" si="250"/>
        <v>0</v>
      </c>
      <c r="L104" s="144">
        <f>SUM(L105)</f>
        <v>0</v>
      </c>
      <c r="M104" s="125">
        <f>SUM(M105)</f>
        <v>125000000</v>
      </c>
      <c r="N104" s="125">
        <f t="shared" ref="N104:R104" si="251">SUM(N105)</f>
        <v>0</v>
      </c>
      <c r="O104" s="125">
        <f t="shared" si="251"/>
        <v>430000000</v>
      </c>
      <c r="P104" s="125">
        <f t="shared" si="251"/>
        <v>0</v>
      </c>
      <c r="Q104" s="125">
        <f t="shared" si="251"/>
        <v>0</v>
      </c>
      <c r="R104" s="125">
        <f t="shared" si="251"/>
        <v>0</v>
      </c>
      <c r="S104" s="125">
        <f t="shared" ref="S104" si="252">SUM(S105)</f>
        <v>0</v>
      </c>
      <c r="T104" s="125">
        <f t="shared" ref="T104" si="253">SUM(T105)</f>
        <v>0</v>
      </c>
      <c r="U104" s="125">
        <f t="shared" ref="U104" si="254">SUM(U105)</f>
        <v>271093300</v>
      </c>
      <c r="V104" s="125">
        <f t="shared" ref="V104" si="255">SUM(V105)</f>
        <v>0</v>
      </c>
      <c r="W104" s="125">
        <f t="shared" ref="W104" si="256">SUM(W105)</f>
        <v>616093300</v>
      </c>
      <c r="X104" s="125">
        <f t="shared" ref="X104:AC104" si="257">SUM(X105)</f>
        <v>158906700</v>
      </c>
      <c r="Y104" s="125">
        <f t="shared" si="257"/>
        <v>79453350</v>
      </c>
      <c r="Z104" s="131"/>
      <c r="AA104" s="125">
        <f t="shared" si="257"/>
        <v>314000000</v>
      </c>
      <c r="AB104" s="125">
        <f t="shared" si="257"/>
        <v>116000000</v>
      </c>
      <c r="AC104" s="125">
        <f t="shared" si="257"/>
        <v>0</v>
      </c>
      <c r="AD104" s="145"/>
      <c r="AE104" s="125">
        <f t="shared" ref="AE104" si="258">SUM(AE105)</f>
        <v>0</v>
      </c>
      <c r="AF104" s="125">
        <f t="shared" ref="AF104" si="259">SUM(AF105)</f>
        <v>0</v>
      </c>
      <c r="AG104" s="125">
        <f t="shared" ref="AG104:AH104" si="260">SUM(AG105)</f>
        <v>0</v>
      </c>
      <c r="AH104" s="125">
        <f t="shared" si="260"/>
        <v>271093300</v>
      </c>
      <c r="AI104" s="125">
        <f t="shared" ref="AI104" si="261">SUM(AI105)</f>
        <v>0</v>
      </c>
      <c r="AJ104" s="125">
        <f t="shared" ref="AJ104" si="262">SUM(AJ105)</f>
        <v>271093300</v>
      </c>
      <c r="AK104" s="198"/>
      <c r="AL104" s="28"/>
      <c r="AM104" s="32"/>
    </row>
    <row r="105" spans="1:39" ht="37.5" x14ac:dyDescent="0.25">
      <c r="A105" s="197"/>
      <c r="B105" s="159" t="s">
        <v>120</v>
      </c>
      <c r="C105" s="174" t="s">
        <v>102</v>
      </c>
      <c r="D105" s="138">
        <f>+E105/1</f>
        <v>775000000</v>
      </c>
      <c r="E105" s="139">
        <v>775000000</v>
      </c>
      <c r="F105" s="139">
        <v>220000000</v>
      </c>
      <c r="G105" s="139">
        <v>220000000</v>
      </c>
      <c r="H105" s="139">
        <v>220000000</v>
      </c>
      <c r="I105" s="139">
        <v>220000000</v>
      </c>
      <c r="J105" s="139">
        <v>220000000</v>
      </c>
      <c r="K105" s="139">
        <f>I105-J105</f>
        <v>0</v>
      </c>
      <c r="L105" s="146" t="s">
        <v>222</v>
      </c>
      <c r="M105" s="139">
        <v>125000000</v>
      </c>
      <c r="N105" s="140" t="s">
        <v>33</v>
      </c>
      <c r="O105" s="139">
        <f>+E105-F105-M105</f>
        <v>430000000</v>
      </c>
      <c r="P105" s="139"/>
      <c r="Q105" s="139"/>
      <c r="R105" s="139"/>
      <c r="S105" s="146" t="s">
        <v>223</v>
      </c>
      <c r="T105" s="139">
        <f t="shared" ref="T105" si="263">SUM(K105,R105)</f>
        <v>0</v>
      </c>
      <c r="U105" s="139">
        <v>271093300</v>
      </c>
      <c r="V105" s="146" t="s">
        <v>226</v>
      </c>
      <c r="W105" s="139">
        <f>+F105+M105+U105</f>
        <v>616093300</v>
      </c>
      <c r="X105" s="139">
        <f>+E105-F105-M105-U105</f>
        <v>158906700</v>
      </c>
      <c r="Y105" s="139">
        <f>+X105/2</f>
        <v>79453350</v>
      </c>
      <c r="Z105" s="140"/>
      <c r="AA105" s="139">
        <v>314000000</v>
      </c>
      <c r="AB105" s="139">
        <v>116000000</v>
      </c>
      <c r="AC105" s="139"/>
      <c r="AD105" s="126">
        <f>+O105-AA105-AB105-AC105</f>
        <v>0</v>
      </c>
      <c r="AE105" s="126"/>
      <c r="AF105" s="126"/>
      <c r="AG105" s="126"/>
      <c r="AH105" s="126">
        <f t="shared" ref="AH105" si="264">SUM(AF105,U105,R105)</f>
        <v>271093300</v>
      </c>
      <c r="AI105" s="126"/>
      <c r="AJ105" s="126">
        <f t="shared" ref="AJ105" si="265">SUM(AE105,U105,T105)</f>
        <v>271093300</v>
      </c>
      <c r="AK105" s="209" t="s">
        <v>88</v>
      </c>
      <c r="AL105" s="29"/>
      <c r="AM105" s="23"/>
    </row>
    <row r="106" spans="1:39" s="40" customFormat="1" ht="18.75" customHeight="1" x14ac:dyDescent="0.25">
      <c r="A106" s="201"/>
      <c r="B106" s="159"/>
      <c r="C106" s="159"/>
      <c r="D106" s="173"/>
      <c r="E106" s="139"/>
      <c r="F106" s="139"/>
      <c r="G106" s="139"/>
      <c r="H106" s="139"/>
      <c r="I106" s="139"/>
      <c r="J106" s="139"/>
      <c r="K106" s="139"/>
      <c r="L106" s="146"/>
      <c r="M106" s="139"/>
      <c r="N106" s="140"/>
      <c r="O106" s="139"/>
      <c r="P106" s="139"/>
      <c r="Q106" s="139"/>
      <c r="R106" s="139"/>
      <c r="S106" s="146"/>
      <c r="T106" s="139"/>
      <c r="U106" s="139"/>
      <c r="V106" s="146"/>
      <c r="W106" s="139"/>
      <c r="X106" s="139"/>
      <c r="Y106" s="139"/>
      <c r="Z106" s="140"/>
      <c r="AA106" s="139"/>
      <c r="AB106" s="139"/>
      <c r="AC106" s="139"/>
      <c r="AD106" s="126"/>
      <c r="AE106" s="126"/>
      <c r="AF106" s="126"/>
      <c r="AG106" s="126"/>
      <c r="AH106" s="126"/>
      <c r="AI106" s="126"/>
      <c r="AJ106" s="126"/>
      <c r="AK106" s="200"/>
      <c r="AL106" s="29"/>
      <c r="AM106" s="32"/>
    </row>
    <row r="107" spans="1:39" ht="37.5" x14ac:dyDescent="0.25">
      <c r="A107" s="197">
        <v>3</v>
      </c>
      <c r="B107" s="141" t="s">
        <v>121</v>
      </c>
      <c r="C107" s="142" t="s">
        <v>55</v>
      </c>
      <c r="D107" s="143"/>
      <c r="E107" s="125">
        <f>SUM(E108)</f>
        <v>400000000</v>
      </c>
      <c r="F107" s="125">
        <f t="shared" ref="F107:K107" si="266">SUM(F108)</f>
        <v>60000000</v>
      </c>
      <c r="G107" s="125">
        <f t="shared" si="266"/>
        <v>60000000</v>
      </c>
      <c r="H107" s="125">
        <f t="shared" si="266"/>
        <v>0.15</v>
      </c>
      <c r="I107" s="125">
        <f t="shared" si="266"/>
        <v>59997588</v>
      </c>
      <c r="J107" s="125">
        <f t="shared" si="266"/>
        <v>11999517.6</v>
      </c>
      <c r="K107" s="125">
        <f t="shared" si="266"/>
        <v>47998070.399999999</v>
      </c>
      <c r="L107" s="144">
        <f>SUM(L108)</f>
        <v>0</v>
      </c>
      <c r="M107" s="125">
        <f>SUM(M108)</f>
        <v>0</v>
      </c>
      <c r="N107" s="125">
        <f t="shared" ref="N107:R107" si="267">SUM(N108)</f>
        <v>0</v>
      </c>
      <c r="O107" s="125">
        <f t="shared" si="267"/>
        <v>340000000</v>
      </c>
      <c r="P107" s="125">
        <f t="shared" si="267"/>
        <v>0</v>
      </c>
      <c r="Q107" s="125">
        <f t="shared" si="267"/>
        <v>0</v>
      </c>
      <c r="R107" s="125">
        <f t="shared" si="267"/>
        <v>0</v>
      </c>
      <c r="S107" s="125">
        <f t="shared" ref="S107" si="268">SUM(S108)</f>
        <v>0</v>
      </c>
      <c r="T107" s="125">
        <f t="shared" ref="T107" si="269">SUM(T108)</f>
        <v>47998070.399999999</v>
      </c>
      <c r="U107" s="125">
        <f t="shared" ref="U107" si="270">SUM(U108)</f>
        <v>0</v>
      </c>
      <c r="V107" s="125">
        <f t="shared" ref="V107" si="271">SUM(V108)</f>
        <v>0</v>
      </c>
      <c r="W107" s="125">
        <f t="shared" ref="W107" si="272">SUM(W108)</f>
        <v>60000000</v>
      </c>
      <c r="X107" s="125">
        <f t="shared" ref="X107:AC107" si="273">SUM(X108)</f>
        <v>340000000</v>
      </c>
      <c r="Y107" s="125">
        <f t="shared" si="273"/>
        <v>170000000</v>
      </c>
      <c r="Z107" s="131"/>
      <c r="AA107" s="125">
        <f t="shared" si="273"/>
        <v>180000000</v>
      </c>
      <c r="AB107" s="125">
        <f t="shared" si="273"/>
        <v>100000000</v>
      </c>
      <c r="AC107" s="125">
        <f t="shared" si="273"/>
        <v>60000000</v>
      </c>
      <c r="AD107" s="145"/>
      <c r="AE107" s="125">
        <f t="shared" ref="AE107" si="274">SUM(AE108)</f>
        <v>0</v>
      </c>
      <c r="AF107" s="125">
        <f t="shared" ref="AF107" si="275">SUM(AF108)</f>
        <v>0</v>
      </c>
      <c r="AG107" s="125">
        <f t="shared" ref="AG107:AH107" si="276">SUM(AG108)</f>
        <v>0</v>
      </c>
      <c r="AH107" s="125">
        <f t="shared" si="276"/>
        <v>0</v>
      </c>
      <c r="AI107" s="125">
        <f t="shared" ref="AI107" si="277">SUM(AI108)</f>
        <v>0</v>
      </c>
      <c r="AJ107" s="125">
        <f t="shared" ref="AJ107" si="278">SUM(AJ108)</f>
        <v>47998070.399999999</v>
      </c>
      <c r="AK107" s="198"/>
      <c r="AL107" s="28"/>
      <c r="AM107" s="23"/>
    </row>
    <row r="108" spans="1:39" ht="18.75" x14ac:dyDescent="0.25">
      <c r="A108" s="197"/>
      <c r="B108" s="159" t="s">
        <v>122</v>
      </c>
      <c r="C108" s="174" t="s">
        <v>43</v>
      </c>
      <c r="D108" s="138">
        <f>+E108/1</f>
        <v>400000000</v>
      </c>
      <c r="E108" s="139">
        <v>400000000</v>
      </c>
      <c r="F108" s="139">
        <v>60000000</v>
      </c>
      <c r="G108" s="139">
        <v>60000000</v>
      </c>
      <c r="H108" s="139">
        <f>+G108/D108</f>
        <v>0.15</v>
      </c>
      <c r="I108" s="139">
        <v>59997588</v>
      </c>
      <c r="J108" s="139">
        <v>11999517.6</v>
      </c>
      <c r="K108" s="139">
        <f>I108-J108</f>
        <v>47998070.399999999</v>
      </c>
      <c r="L108" s="146" t="s">
        <v>223</v>
      </c>
      <c r="M108" s="139">
        <v>0</v>
      </c>
      <c r="N108" s="140" t="s">
        <v>23</v>
      </c>
      <c r="O108" s="139">
        <f>+E108-F108-M108</f>
        <v>340000000</v>
      </c>
      <c r="P108" s="139"/>
      <c r="Q108" s="139"/>
      <c r="R108" s="139"/>
      <c r="S108" s="146"/>
      <c r="T108" s="139">
        <f t="shared" ref="T108" si="279">SUM(K108,R108)</f>
        <v>47998070.399999999</v>
      </c>
      <c r="U108" s="139">
        <v>0</v>
      </c>
      <c r="V108" s="146"/>
      <c r="W108" s="139">
        <f>+F108+M108+U108</f>
        <v>60000000</v>
      </c>
      <c r="X108" s="139">
        <f>+E108-F108-M108-U108</f>
        <v>340000000</v>
      </c>
      <c r="Y108" s="139">
        <f>+X108/2</f>
        <v>170000000</v>
      </c>
      <c r="Z108" s="140"/>
      <c r="AA108" s="139">
        <v>180000000</v>
      </c>
      <c r="AB108" s="139">
        <v>100000000</v>
      </c>
      <c r="AC108" s="139">
        <v>60000000</v>
      </c>
      <c r="AD108" s="126">
        <f>+O108-AA108-AB108-AC108</f>
        <v>0</v>
      </c>
      <c r="AE108" s="126"/>
      <c r="AF108" s="126"/>
      <c r="AG108" s="126"/>
      <c r="AH108" s="126">
        <f t="shared" ref="AH108" si="280">SUM(AF108,U108,R108)</f>
        <v>0</v>
      </c>
      <c r="AI108" s="126"/>
      <c r="AJ108" s="126">
        <f t="shared" ref="AJ108" si="281">SUM(AE108,U108,T108)</f>
        <v>47998070.399999999</v>
      </c>
      <c r="AK108" s="200"/>
      <c r="AL108" s="29"/>
      <c r="AM108" s="32"/>
    </row>
    <row r="109" spans="1:39" s="40" customFormat="1" ht="18.75" customHeight="1" x14ac:dyDescent="0.25">
      <c r="A109" s="201"/>
      <c r="B109" s="137"/>
      <c r="C109" s="137"/>
      <c r="D109" s="138"/>
      <c r="E109" s="139"/>
      <c r="F109" s="139"/>
      <c r="G109" s="139"/>
      <c r="H109" s="139"/>
      <c r="I109" s="139"/>
      <c r="J109" s="139"/>
      <c r="K109" s="139"/>
      <c r="L109" s="146"/>
      <c r="M109" s="139"/>
      <c r="N109" s="140"/>
      <c r="O109" s="139"/>
      <c r="P109" s="139"/>
      <c r="Q109" s="139"/>
      <c r="R109" s="139"/>
      <c r="S109" s="146"/>
      <c r="T109" s="139"/>
      <c r="U109" s="139"/>
      <c r="V109" s="146"/>
      <c r="W109" s="139"/>
      <c r="X109" s="139"/>
      <c r="Y109" s="139"/>
      <c r="Z109" s="140"/>
      <c r="AA109" s="139"/>
      <c r="AB109" s="139"/>
      <c r="AC109" s="139"/>
      <c r="AD109" s="126"/>
      <c r="AE109" s="126"/>
      <c r="AF109" s="126"/>
      <c r="AG109" s="126"/>
      <c r="AH109" s="126"/>
      <c r="AI109" s="126"/>
      <c r="AJ109" s="126"/>
      <c r="AK109" s="200"/>
      <c r="AL109" s="29"/>
      <c r="AM109" s="33"/>
    </row>
    <row r="110" spans="1:39" s="40" customFormat="1" ht="18.75" customHeight="1" x14ac:dyDescent="0.25">
      <c r="A110" s="197">
        <v>4</v>
      </c>
      <c r="B110" s="141" t="s">
        <v>123</v>
      </c>
      <c r="C110" s="186" t="s">
        <v>47</v>
      </c>
      <c r="D110" s="187"/>
      <c r="E110" s="125">
        <f>SUM(E111:E113)</f>
        <v>98500000</v>
      </c>
      <c r="F110" s="125">
        <f>SUM(F111:F113)</f>
        <v>0</v>
      </c>
      <c r="G110" s="125"/>
      <c r="H110" s="125"/>
      <c r="I110" s="125">
        <v>0</v>
      </c>
      <c r="J110" s="125">
        <v>0</v>
      </c>
      <c r="K110" s="125">
        <v>0</v>
      </c>
      <c r="L110" s="144">
        <f>SUM(L111:L113)</f>
        <v>0</v>
      </c>
      <c r="M110" s="125">
        <f>SUM(M111:M113)</f>
        <v>28000000</v>
      </c>
      <c r="N110" s="125">
        <f t="shared" ref="N110:R110" si="282">SUM(N111:N113)</f>
        <v>0</v>
      </c>
      <c r="O110" s="125">
        <f t="shared" si="282"/>
        <v>70500000</v>
      </c>
      <c r="P110" s="125">
        <f t="shared" si="282"/>
        <v>27975075</v>
      </c>
      <c r="Q110" s="125">
        <f t="shared" si="282"/>
        <v>27975075</v>
      </c>
      <c r="R110" s="125">
        <f t="shared" si="282"/>
        <v>0</v>
      </c>
      <c r="S110" s="125">
        <f t="shared" ref="S110" si="283">SUM(S111:S113)</f>
        <v>0</v>
      </c>
      <c r="T110" s="125">
        <f t="shared" ref="T110" si="284">SUM(T111:T113)</f>
        <v>0</v>
      </c>
      <c r="U110" s="125">
        <f t="shared" ref="U110" si="285">SUM(U111:U113)</f>
        <v>0</v>
      </c>
      <c r="V110" s="125">
        <f t="shared" ref="V110" si="286">SUM(V111:V113)</f>
        <v>0</v>
      </c>
      <c r="W110" s="125">
        <f t="shared" ref="W110" si="287">SUM(W111:W113)</f>
        <v>28000000</v>
      </c>
      <c r="X110" s="125">
        <f t="shared" ref="X110:AC110" si="288">SUM(X111:X113)</f>
        <v>70500000</v>
      </c>
      <c r="Y110" s="125">
        <f t="shared" ref="Y110" si="289">SUM(Y111:Y113)</f>
        <v>35250000</v>
      </c>
      <c r="Z110" s="131"/>
      <c r="AA110" s="125">
        <f t="shared" si="288"/>
        <v>70500000</v>
      </c>
      <c r="AB110" s="125">
        <f t="shared" si="288"/>
        <v>0</v>
      </c>
      <c r="AC110" s="125">
        <f t="shared" si="288"/>
        <v>0</v>
      </c>
      <c r="AD110" s="145"/>
      <c r="AE110" s="125">
        <f t="shared" ref="AE110" si="290">SUM(AE111:AE113)</f>
        <v>0</v>
      </c>
      <c r="AF110" s="125">
        <f t="shared" ref="AF110" si="291">SUM(AF111:AF113)</f>
        <v>0</v>
      </c>
      <c r="AG110" s="125">
        <f t="shared" ref="AG110:AH110" si="292">SUM(AG111:AG113)</f>
        <v>0</v>
      </c>
      <c r="AH110" s="125">
        <f t="shared" si="292"/>
        <v>0</v>
      </c>
      <c r="AI110" s="125">
        <f t="shared" ref="AI110" si="293">SUM(AI111:AI113)</f>
        <v>0</v>
      </c>
      <c r="AJ110" s="125">
        <f t="shared" ref="AJ110" si="294">SUM(AJ111:AJ113)</f>
        <v>0</v>
      </c>
      <c r="AK110" s="198"/>
      <c r="AL110" s="28"/>
      <c r="AM110" s="33"/>
    </row>
    <row r="111" spans="1:39" ht="18.75" x14ac:dyDescent="0.25">
      <c r="A111" s="197"/>
      <c r="B111" s="172" t="s">
        <v>124</v>
      </c>
      <c r="C111" s="172" t="s">
        <v>125</v>
      </c>
      <c r="D111" s="138">
        <f>+E111/500</f>
        <v>53000</v>
      </c>
      <c r="E111" s="148">
        <v>26500000</v>
      </c>
      <c r="F111" s="148">
        <v>0</v>
      </c>
      <c r="G111" s="148">
        <v>0</v>
      </c>
      <c r="H111" s="139">
        <f>+G111/D111</f>
        <v>0</v>
      </c>
      <c r="I111" s="125">
        <v>0</v>
      </c>
      <c r="J111" s="125">
        <v>0</v>
      </c>
      <c r="K111" s="125">
        <v>0</v>
      </c>
      <c r="L111" s="149"/>
      <c r="M111" s="148">
        <v>0</v>
      </c>
      <c r="N111" s="140"/>
      <c r="O111" s="139">
        <f>+E111-F111-M111</f>
        <v>26500000</v>
      </c>
      <c r="P111" s="139"/>
      <c r="Q111" s="139"/>
      <c r="R111" s="139"/>
      <c r="S111" s="149"/>
      <c r="T111" s="139">
        <f t="shared" ref="T111:T113" si="295">SUM(K111,R111)</f>
        <v>0</v>
      </c>
      <c r="U111" s="148">
        <v>0</v>
      </c>
      <c r="V111" s="149"/>
      <c r="W111" s="139">
        <f>+F111+M111+U111</f>
        <v>0</v>
      </c>
      <c r="X111" s="139">
        <f>+E111-F111-M111-U111</f>
        <v>26500000</v>
      </c>
      <c r="Y111" s="139">
        <f>+X111/2</f>
        <v>13250000</v>
      </c>
      <c r="Z111" s="140"/>
      <c r="AA111" s="139">
        <v>26500000</v>
      </c>
      <c r="AB111" s="139"/>
      <c r="AC111" s="139"/>
      <c r="AD111" s="126">
        <f>+O111-AA111-AB111-AC111</f>
        <v>0</v>
      </c>
      <c r="AE111" s="126"/>
      <c r="AF111" s="126"/>
      <c r="AG111" s="126"/>
      <c r="AH111" s="126">
        <f t="shared" ref="AH111:AH113" si="296">SUM(AF111,U111,R111)</f>
        <v>0</v>
      </c>
      <c r="AI111" s="126"/>
      <c r="AJ111" s="126">
        <f t="shared" ref="AJ111:AJ113" si="297">SUM(AE111,U111,T111)</f>
        <v>0</v>
      </c>
      <c r="AK111" s="200"/>
      <c r="AL111" s="29"/>
      <c r="AM111" s="23"/>
    </row>
    <row r="112" spans="1:39" ht="18.75" x14ac:dyDescent="0.25">
      <c r="A112" s="197"/>
      <c r="B112" s="172" t="s">
        <v>126</v>
      </c>
      <c r="C112" s="172" t="s">
        <v>125</v>
      </c>
      <c r="D112" s="138">
        <f>+E112/500</f>
        <v>88000</v>
      </c>
      <c r="E112" s="148">
        <v>44000000</v>
      </c>
      <c r="F112" s="148">
        <v>0</v>
      </c>
      <c r="G112" s="148">
        <v>0</v>
      </c>
      <c r="H112" s="139">
        <f>+G112/D112</f>
        <v>0</v>
      </c>
      <c r="I112" s="125">
        <v>0</v>
      </c>
      <c r="J112" s="125">
        <v>0</v>
      </c>
      <c r="K112" s="125">
        <v>0</v>
      </c>
      <c r="L112" s="149"/>
      <c r="M112" s="148">
        <v>0</v>
      </c>
      <c r="N112" s="140"/>
      <c r="O112" s="139">
        <f>+E112-F112-M112</f>
        <v>44000000</v>
      </c>
      <c r="P112" s="139"/>
      <c r="Q112" s="139"/>
      <c r="R112" s="139"/>
      <c r="S112" s="149"/>
      <c r="T112" s="139">
        <f t="shared" si="295"/>
        <v>0</v>
      </c>
      <c r="U112" s="148">
        <v>0</v>
      </c>
      <c r="V112" s="149"/>
      <c r="W112" s="139">
        <f>+F112+M112+U112</f>
        <v>0</v>
      </c>
      <c r="X112" s="139">
        <f>+E112-F112-M112-U112</f>
        <v>44000000</v>
      </c>
      <c r="Y112" s="139">
        <f>+X112/2</f>
        <v>22000000</v>
      </c>
      <c r="Z112" s="140"/>
      <c r="AA112" s="139">
        <v>44000000</v>
      </c>
      <c r="AB112" s="139">
        <v>0</v>
      </c>
      <c r="AC112" s="139">
        <v>0</v>
      </c>
      <c r="AD112" s="126">
        <f>+O112-AA112-AB112-AC112</f>
        <v>0</v>
      </c>
      <c r="AE112" s="126"/>
      <c r="AF112" s="126"/>
      <c r="AG112" s="126"/>
      <c r="AH112" s="126">
        <f t="shared" si="296"/>
        <v>0</v>
      </c>
      <c r="AI112" s="126"/>
      <c r="AJ112" s="126">
        <f t="shared" si="297"/>
        <v>0</v>
      </c>
      <c r="AK112" s="200"/>
      <c r="AL112" s="29"/>
      <c r="AM112" s="23"/>
    </row>
    <row r="113" spans="1:39" ht="18.75" x14ac:dyDescent="0.25">
      <c r="A113" s="197"/>
      <c r="B113" s="172" t="s">
        <v>127</v>
      </c>
      <c r="C113" s="172" t="s">
        <v>128</v>
      </c>
      <c r="D113" s="138">
        <f>+E113/1000</f>
        <v>28000</v>
      </c>
      <c r="E113" s="148">
        <v>28000000</v>
      </c>
      <c r="F113" s="148">
        <v>0</v>
      </c>
      <c r="G113" s="148">
        <v>28000000</v>
      </c>
      <c r="H113" s="139">
        <f>+G113/D113</f>
        <v>1000</v>
      </c>
      <c r="I113" s="125">
        <v>0</v>
      </c>
      <c r="J113" s="125">
        <v>0</v>
      </c>
      <c r="K113" s="125">
        <v>0</v>
      </c>
      <c r="L113" s="149"/>
      <c r="M113" s="148">
        <v>28000000</v>
      </c>
      <c r="N113" s="140" t="s">
        <v>129</v>
      </c>
      <c r="O113" s="139">
        <f>+E113-F113-M113</f>
        <v>0</v>
      </c>
      <c r="P113" s="139">
        <v>27975075</v>
      </c>
      <c r="Q113" s="139">
        <v>27975075</v>
      </c>
      <c r="R113" s="139">
        <f>P113-Q113</f>
        <v>0</v>
      </c>
      <c r="S113" s="149" t="s">
        <v>222</v>
      </c>
      <c r="T113" s="139">
        <f t="shared" si="295"/>
        <v>0</v>
      </c>
      <c r="U113" s="148">
        <v>0</v>
      </c>
      <c r="V113" s="149"/>
      <c r="W113" s="139">
        <f>+F113+M113+U113</f>
        <v>28000000</v>
      </c>
      <c r="X113" s="139">
        <f>+E113-F113-M113-U113</f>
        <v>0</v>
      </c>
      <c r="Y113" s="139">
        <v>0</v>
      </c>
      <c r="Z113" s="140"/>
      <c r="AA113" s="139"/>
      <c r="AB113" s="139"/>
      <c r="AC113" s="139"/>
      <c r="AD113" s="126">
        <f>+O113-AA113-AB113-AC113</f>
        <v>0</v>
      </c>
      <c r="AE113" s="126"/>
      <c r="AF113" s="126"/>
      <c r="AG113" s="126"/>
      <c r="AH113" s="126">
        <f t="shared" si="296"/>
        <v>0</v>
      </c>
      <c r="AI113" s="126"/>
      <c r="AJ113" s="126">
        <f t="shared" si="297"/>
        <v>0</v>
      </c>
      <c r="AK113" s="200"/>
      <c r="AL113" s="29"/>
      <c r="AM113" s="23"/>
    </row>
    <row r="114" spans="1:39" s="40" customFormat="1" ht="18.75" customHeight="1" x14ac:dyDescent="0.25">
      <c r="A114" s="201"/>
      <c r="B114" s="159"/>
      <c r="C114" s="159"/>
      <c r="D114" s="173"/>
      <c r="E114" s="139"/>
      <c r="F114" s="139"/>
      <c r="G114" s="139"/>
      <c r="H114" s="139"/>
      <c r="I114" s="139"/>
      <c r="J114" s="139"/>
      <c r="K114" s="139"/>
      <c r="L114" s="146"/>
      <c r="M114" s="139"/>
      <c r="N114" s="140"/>
      <c r="O114" s="139"/>
      <c r="P114" s="139"/>
      <c r="Q114" s="139"/>
      <c r="R114" s="139"/>
      <c r="S114" s="146"/>
      <c r="T114" s="139"/>
      <c r="U114" s="139"/>
      <c r="V114" s="146"/>
      <c r="W114" s="139"/>
      <c r="X114" s="139"/>
      <c r="Y114" s="139"/>
      <c r="Z114" s="140"/>
      <c r="AA114" s="139"/>
      <c r="AB114" s="139"/>
      <c r="AC114" s="139"/>
      <c r="AD114" s="126"/>
      <c r="AE114" s="126"/>
      <c r="AF114" s="126"/>
      <c r="AG114" s="126"/>
      <c r="AH114" s="126"/>
      <c r="AI114" s="126"/>
      <c r="AJ114" s="126"/>
      <c r="AK114" s="200"/>
      <c r="AL114" s="29"/>
      <c r="AM114" s="33"/>
    </row>
    <row r="115" spans="1:39" s="40" customFormat="1" ht="18.75" customHeight="1" x14ac:dyDescent="0.25">
      <c r="A115" s="197">
        <v>5</v>
      </c>
      <c r="B115" s="141" t="s">
        <v>130</v>
      </c>
      <c r="C115" s="184" t="s">
        <v>36</v>
      </c>
      <c r="D115" s="185"/>
      <c r="E115" s="125">
        <f>SUM(E116:E117)</f>
        <v>345500000</v>
      </c>
      <c r="F115" s="125">
        <f t="shared" ref="F115:K115" si="298">SUM(F116:F117)</f>
        <v>60000000</v>
      </c>
      <c r="G115" s="125">
        <f t="shared" si="298"/>
        <v>205500000</v>
      </c>
      <c r="H115" s="125">
        <f t="shared" si="298"/>
        <v>1.625</v>
      </c>
      <c r="I115" s="125">
        <f t="shared" si="298"/>
        <v>59390001</v>
      </c>
      <c r="J115" s="125">
        <f t="shared" si="298"/>
        <v>59390001</v>
      </c>
      <c r="K115" s="125">
        <f t="shared" si="298"/>
        <v>0</v>
      </c>
      <c r="L115" s="144">
        <f>SUM(L116:L117)</f>
        <v>0</v>
      </c>
      <c r="M115" s="125">
        <f>SUM(M116:M117)</f>
        <v>0</v>
      </c>
      <c r="N115" s="125">
        <f t="shared" ref="N115:R115" si="299">SUM(N116:N117)</f>
        <v>0</v>
      </c>
      <c r="O115" s="125">
        <f t="shared" si="299"/>
        <v>285500000</v>
      </c>
      <c r="P115" s="125">
        <f t="shared" si="299"/>
        <v>0</v>
      </c>
      <c r="Q115" s="125">
        <f t="shared" si="299"/>
        <v>0</v>
      </c>
      <c r="R115" s="125">
        <f t="shared" si="299"/>
        <v>0</v>
      </c>
      <c r="S115" s="125">
        <f t="shared" ref="S115" si="300">SUM(S116:S117)</f>
        <v>0</v>
      </c>
      <c r="T115" s="125">
        <f t="shared" ref="T115" si="301">SUM(T116:T117)</f>
        <v>0</v>
      </c>
      <c r="U115" s="125">
        <f t="shared" ref="U115" si="302">SUM(U116:U117)</f>
        <v>185500000</v>
      </c>
      <c r="V115" s="125">
        <f t="shared" ref="V115" si="303">SUM(V116:V117)</f>
        <v>0</v>
      </c>
      <c r="W115" s="125">
        <f t="shared" ref="W115" si="304">SUM(W116:W117)</f>
        <v>245500000</v>
      </c>
      <c r="X115" s="125">
        <f t="shared" ref="X115:AC115" si="305">SUM(X116:X117)</f>
        <v>100000000</v>
      </c>
      <c r="Y115" s="125">
        <f t="shared" ref="Y115" si="306">SUM(Y116:Y117)</f>
        <v>50000000</v>
      </c>
      <c r="Z115" s="131"/>
      <c r="AA115" s="125">
        <f t="shared" si="305"/>
        <v>235500000</v>
      </c>
      <c r="AB115" s="125">
        <f t="shared" si="305"/>
        <v>50000000</v>
      </c>
      <c r="AC115" s="125">
        <f t="shared" si="305"/>
        <v>0</v>
      </c>
      <c r="AD115" s="145"/>
      <c r="AE115" s="125">
        <f t="shared" ref="AE115" si="307">SUM(AE116:AE117)</f>
        <v>0</v>
      </c>
      <c r="AF115" s="125">
        <f t="shared" ref="AF115" si="308">SUM(AF116:AF117)</f>
        <v>0</v>
      </c>
      <c r="AG115" s="125">
        <f t="shared" ref="AG115:AH115" si="309">SUM(AG116:AG117)</f>
        <v>0</v>
      </c>
      <c r="AH115" s="125">
        <f t="shared" si="309"/>
        <v>185500000</v>
      </c>
      <c r="AI115" s="125">
        <f t="shared" ref="AI115" si="310">SUM(AI116:AI117)</f>
        <v>0</v>
      </c>
      <c r="AJ115" s="125">
        <f t="shared" ref="AJ115" si="311">SUM(AJ116:AJ117)</f>
        <v>185500000</v>
      </c>
      <c r="AK115" s="198"/>
      <c r="AL115" s="28"/>
      <c r="AM115" s="33"/>
    </row>
    <row r="116" spans="1:39" s="49" customFormat="1" ht="18.75" customHeight="1" x14ac:dyDescent="0.25">
      <c r="A116" s="197"/>
      <c r="B116" s="159" t="s">
        <v>131</v>
      </c>
      <c r="C116" s="159" t="s">
        <v>25</v>
      </c>
      <c r="D116" s="138">
        <f>+E116/5</f>
        <v>32000000</v>
      </c>
      <c r="E116" s="139">
        <v>160000000</v>
      </c>
      <c r="F116" s="139">
        <v>60000000</v>
      </c>
      <c r="G116" s="139">
        <v>20000000</v>
      </c>
      <c r="H116" s="139">
        <f>+G116/D116</f>
        <v>0.625</v>
      </c>
      <c r="I116" s="139">
        <v>59390001</v>
      </c>
      <c r="J116" s="139">
        <v>59390001</v>
      </c>
      <c r="K116" s="139">
        <v>0</v>
      </c>
      <c r="L116" s="146" t="s">
        <v>222</v>
      </c>
      <c r="M116" s="139">
        <v>0</v>
      </c>
      <c r="N116" s="140" t="s">
        <v>23</v>
      </c>
      <c r="O116" s="139">
        <f>+E116-F116-M116</f>
        <v>100000000</v>
      </c>
      <c r="P116" s="139"/>
      <c r="Q116" s="139"/>
      <c r="R116" s="139"/>
      <c r="S116" s="146"/>
      <c r="T116" s="139">
        <f t="shared" ref="T116:T117" si="312">SUM(K116,R116)</f>
        <v>0</v>
      </c>
      <c r="U116" s="139">
        <v>0</v>
      </c>
      <c r="V116" s="146"/>
      <c r="W116" s="139">
        <f>+F116+M116+U116</f>
        <v>60000000</v>
      </c>
      <c r="X116" s="139">
        <f>+E116-F116-M116-U116</f>
        <v>100000000</v>
      </c>
      <c r="Y116" s="139">
        <f>+X116/2</f>
        <v>50000000</v>
      </c>
      <c r="Z116" s="140"/>
      <c r="AA116" s="139">
        <v>50000000</v>
      </c>
      <c r="AB116" s="139">
        <v>50000000</v>
      </c>
      <c r="AC116" s="139">
        <v>0</v>
      </c>
      <c r="AD116" s="126">
        <f>+O116-AA116-AB116-AC116</f>
        <v>0</v>
      </c>
      <c r="AE116" s="126"/>
      <c r="AF116" s="126"/>
      <c r="AG116" s="126"/>
      <c r="AH116" s="126">
        <f t="shared" ref="AH116:AH117" si="313">SUM(AF116,U116,R116)</f>
        <v>0</v>
      </c>
      <c r="AI116" s="126"/>
      <c r="AJ116" s="126">
        <f t="shared" ref="AJ116:AJ117" si="314">SUM(AE116,U116,T116)</f>
        <v>0</v>
      </c>
      <c r="AK116" s="200"/>
      <c r="AL116" s="29"/>
      <c r="AM116" s="48"/>
    </row>
    <row r="117" spans="1:39" s="49" customFormat="1" ht="18.75" customHeight="1" x14ac:dyDescent="0.25">
      <c r="A117" s="197"/>
      <c r="B117" s="159" t="s">
        <v>132</v>
      </c>
      <c r="C117" s="159" t="s">
        <v>133</v>
      </c>
      <c r="D117" s="138">
        <f>+E117/1</f>
        <v>185500000</v>
      </c>
      <c r="E117" s="139">
        <v>185500000</v>
      </c>
      <c r="F117" s="139">
        <v>0</v>
      </c>
      <c r="G117" s="139">
        <v>185500000</v>
      </c>
      <c r="H117" s="139">
        <f>+G117/D117</f>
        <v>1</v>
      </c>
      <c r="I117" s="139">
        <v>0</v>
      </c>
      <c r="J117" s="139">
        <v>0</v>
      </c>
      <c r="K117" s="139">
        <v>0</v>
      </c>
      <c r="L117" s="146"/>
      <c r="M117" s="139">
        <v>0</v>
      </c>
      <c r="N117" s="140"/>
      <c r="O117" s="139">
        <f>+E117-F117-M117</f>
        <v>185500000</v>
      </c>
      <c r="P117" s="139"/>
      <c r="Q117" s="139"/>
      <c r="R117" s="139"/>
      <c r="S117" s="146"/>
      <c r="T117" s="139">
        <f t="shared" si="312"/>
        <v>0</v>
      </c>
      <c r="U117" s="139">
        <v>185500000</v>
      </c>
      <c r="V117" s="146" t="s">
        <v>226</v>
      </c>
      <c r="W117" s="139">
        <f>+F117+M117+U117</f>
        <v>185500000</v>
      </c>
      <c r="X117" s="139">
        <f>+E117-F117-M117-U117</f>
        <v>0</v>
      </c>
      <c r="Y117" s="139">
        <v>0</v>
      </c>
      <c r="Z117" s="140"/>
      <c r="AA117" s="139">
        <v>185500000</v>
      </c>
      <c r="AB117" s="139"/>
      <c r="AC117" s="139"/>
      <c r="AD117" s="126">
        <f>+O117-AA117-AB117-AC117</f>
        <v>0</v>
      </c>
      <c r="AE117" s="126"/>
      <c r="AF117" s="126"/>
      <c r="AG117" s="126"/>
      <c r="AH117" s="126">
        <f t="shared" si="313"/>
        <v>185500000</v>
      </c>
      <c r="AI117" s="126"/>
      <c r="AJ117" s="126">
        <f t="shared" si="314"/>
        <v>185500000</v>
      </c>
      <c r="AK117" s="200"/>
      <c r="AL117" s="29"/>
      <c r="AM117" s="48"/>
    </row>
    <row r="118" spans="1:39" s="49" customFormat="1" ht="18.75" customHeight="1" x14ac:dyDescent="0.25">
      <c r="A118" s="197"/>
      <c r="B118" s="141"/>
      <c r="C118" s="141"/>
      <c r="D118" s="188"/>
      <c r="E118" s="125"/>
      <c r="F118" s="125"/>
      <c r="G118" s="125"/>
      <c r="H118" s="125"/>
      <c r="I118" s="125"/>
      <c r="J118" s="125"/>
      <c r="K118" s="125"/>
      <c r="L118" s="144"/>
      <c r="M118" s="125"/>
      <c r="N118" s="189"/>
      <c r="O118" s="189"/>
      <c r="P118" s="189"/>
      <c r="Q118" s="189"/>
      <c r="R118" s="189"/>
      <c r="S118" s="144"/>
      <c r="T118" s="189"/>
      <c r="U118" s="125"/>
      <c r="V118" s="144"/>
      <c r="W118" s="125"/>
      <c r="X118" s="125"/>
      <c r="Y118" s="125"/>
      <c r="Z118" s="131"/>
      <c r="AA118" s="189"/>
      <c r="AB118" s="189"/>
      <c r="AC118" s="189"/>
      <c r="AD118" s="190"/>
      <c r="AE118" s="190"/>
      <c r="AF118" s="190"/>
      <c r="AG118" s="190"/>
      <c r="AH118" s="190"/>
      <c r="AI118" s="190"/>
      <c r="AJ118" s="190"/>
      <c r="AK118" s="214"/>
      <c r="AL118" s="48"/>
      <c r="AM118" s="48"/>
    </row>
    <row r="119" spans="1:39" s="40" customFormat="1" ht="18.75" customHeight="1" x14ac:dyDescent="0.25">
      <c r="A119" s="212"/>
      <c r="B119" s="159"/>
      <c r="C119" s="147"/>
      <c r="D119" s="140"/>
      <c r="E119" s="139"/>
      <c r="F119" s="139"/>
      <c r="G119" s="139"/>
      <c r="H119" s="139"/>
      <c r="I119" s="139"/>
      <c r="J119" s="139"/>
      <c r="K119" s="139"/>
      <c r="L119" s="146"/>
      <c r="M119" s="139"/>
      <c r="N119" s="191"/>
      <c r="O119" s="191"/>
      <c r="P119" s="191"/>
      <c r="Q119" s="191"/>
      <c r="R119" s="191"/>
      <c r="S119" s="146"/>
      <c r="T119" s="191"/>
      <c r="U119" s="139"/>
      <c r="V119" s="146"/>
      <c r="W119" s="139"/>
      <c r="X119" s="139"/>
      <c r="Y119" s="139"/>
      <c r="Z119" s="140"/>
      <c r="AA119" s="191"/>
      <c r="AB119" s="191"/>
      <c r="AC119" s="191"/>
      <c r="AD119" s="192"/>
      <c r="AE119" s="192"/>
      <c r="AF119" s="192"/>
      <c r="AG119" s="192"/>
      <c r="AH119" s="192"/>
      <c r="AI119" s="192"/>
      <c r="AJ119" s="192"/>
      <c r="AK119" s="215"/>
      <c r="AL119" s="33"/>
      <c r="AM119" s="33"/>
    </row>
    <row r="120" spans="1:39" s="52" customFormat="1" ht="32.25" customHeight="1" thickBot="1" x14ac:dyDescent="0.3">
      <c r="A120" s="216"/>
      <c r="B120" s="217" t="s">
        <v>134</v>
      </c>
      <c r="C120" s="217" t="s">
        <v>16</v>
      </c>
      <c r="D120" s="218"/>
      <c r="E120" s="219">
        <f>E12+E35+E69+E95</f>
        <v>15000000000</v>
      </c>
      <c r="F120" s="219">
        <f t="shared" ref="F120:K120" si="315">F12+F35+F69+F95</f>
        <v>1390000000</v>
      </c>
      <c r="G120" s="219">
        <f t="shared" si="315"/>
        <v>2615825000</v>
      </c>
      <c r="H120" s="219">
        <f t="shared" si="315"/>
        <v>440010538.03590667</v>
      </c>
      <c r="I120" s="219">
        <f t="shared" si="315"/>
        <v>1550772384.3940001</v>
      </c>
      <c r="J120" s="219">
        <f>J12+J35+J69+J95</f>
        <v>1287116732.1570001</v>
      </c>
      <c r="K120" s="219">
        <f t="shared" si="315"/>
        <v>263655652.23699999</v>
      </c>
      <c r="L120" s="219"/>
      <c r="M120" s="219">
        <f t="shared" ref="M120:AG120" si="316">M12+M35+M69+M95</f>
        <v>1485100000</v>
      </c>
      <c r="N120" s="219"/>
      <c r="O120" s="219">
        <f>O12+O35+O69+O95</f>
        <v>12124900000</v>
      </c>
      <c r="P120" s="219">
        <f>SUM(P12,P35,P69,P95)</f>
        <v>759039034</v>
      </c>
      <c r="Q120" s="219">
        <f t="shared" ref="Q120:T120" si="317">SUM(Q12,Q35,Q69,Q95)</f>
        <v>279475480</v>
      </c>
      <c r="R120" s="219">
        <f t="shared" si="317"/>
        <v>479563554</v>
      </c>
      <c r="S120" s="219">
        <f t="shared" si="317"/>
        <v>0</v>
      </c>
      <c r="T120" s="219">
        <f t="shared" si="317"/>
        <v>311235305.39999998</v>
      </c>
      <c r="U120" s="219">
        <f t="shared" si="316"/>
        <v>3236797100</v>
      </c>
      <c r="V120" s="219">
        <f t="shared" si="316"/>
        <v>0</v>
      </c>
      <c r="W120" s="219">
        <f t="shared" si="316"/>
        <v>7468700900</v>
      </c>
      <c r="X120" s="219">
        <f t="shared" si="316"/>
        <v>9556102900</v>
      </c>
      <c r="Y120" s="219">
        <f t="shared" ref="Y120" si="318">Y12+Y35+Y69+Y95</f>
        <v>4518739550</v>
      </c>
      <c r="Z120" s="220"/>
      <c r="AA120" s="219">
        <f t="shared" si="316"/>
        <v>5157105555</v>
      </c>
      <c r="AB120" s="219">
        <f t="shared" si="316"/>
        <v>4252427042</v>
      </c>
      <c r="AC120" s="219">
        <f t="shared" si="316"/>
        <v>2715367403</v>
      </c>
      <c r="AD120" s="221"/>
      <c r="AE120" s="219">
        <f t="shared" si="316"/>
        <v>3687786200</v>
      </c>
      <c r="AF120" s="219">
        <f t="shared" si="316"/>
        <v>2246057240</v>
      </c>
      <c r="AG120" s="219">
        <f t="shared" si="316"/>
        <v>3437328960</v>
      </c>
      <c r="AH120" s="219">
        <f>AH12+AH35+AH69+AH95</f>
        <v>7921708304</v>
      </c>
      <c r="AI120" s="219">
        <f t="shared" ref="AI120:AJ120" si="319">AI12+AI35+AI69+AI95</f>
        <v>4254928960</v>
      </c>
      <c r="AJ120" s="219">
        <f t="shared" si="319"/>
        <v>9016094845.8369999</v>
      </c>
      <c r="AK120" s="222"/>
      <c r="AL120" s="50"/>
      <c r="AM120" s="51"/>
    </row>
    <row r="121" spans="1:39" ht="18.75" x14ac:dyDescent="0.25">
      <c r="A121" s="53"/>
    </row>
    <row r="122" spans="1:39" x14ac:dyDescent="0.25">
      <c r="A122" s="54"/>
      <c r="B122" s="666"/>
      <c r="C122" s="666"/>
      <c r="D122" s="666"/>
      <c r="E122" s="666"/>
      <c r="F122" s="666"/>
      <c r="G122" s="666"/>
      <c r="H122" s="666"/>
      <c r="I122" s="115"/>
      <c r="J122" s="115"/>
      <c r="K122" s="115"/>
      <c r="L122" s="116"/>
      <c r="M122" s="55"/>
      <c r="U122" s="55"/>
      <c r="V122" s="55"/>
      <c r="W122" s="55"/>
      <c r="X122" s="55"/>
      <c r="Y122" s="55"/>
      <c r="Z122" s="55"/>
      <c r="AA122" s="4">
        <f>+AA120+AB120+AC120</f>
        <v>12124900000</v>
      </c>
      <c r="AB122" s="4">
        <f>+AA122+M120+F120</f>
        <v>15000000000</v>
      </c>
    </row>
    <row r="123" spans="1:39" x14ac:dyDescent="0.25">
      <c r="A123" s="56"/>
      <c r="M123" s="3">
        <f>+F120+M120</f>
        <v>2875100000</v>
      </c>
      <c r="O123" s="4">
        <f>+O120+M123</f>
        <v>15000000000</v>
      </c>
      <c r="U123" s="3">
        <f>+M120+U120</f>
        <v>4721897100</v>
      </c>
      <c r="W123" s="3">
        <f>+W120+Polri!O60</f>
        <v>9298700900</v>
      </c>
      <c r="AA123" s="4">
        <v>4000000000</v>
      </c>
      <c r="AD123" s="57"/>
      <c r="AE123" s="57"/>
      <c r="AF123" s="57"/>
      <c r="AG123" s="57"/>
      <c r="AH123" s="57"/>
      <c r="AI123" s="57"/>
      <c r="AJ123" s="57"/>
      <c r="AK123" s="57" t="e">
        <f>+AK120+#REF!</f>
        <v>#REF!</v>
      </c>
      <c r="AL123" s="57"/>
    </row>
    <row r="124" spans="1:39" x14ac:dyDescent="0.25">
      <c r="C124" s="2">
        <f>13+15+12+9</f>
        <v>49</v>
      </c>
      <c r="AA124" s="4">
        <f>+AA123-AA120</f>
        <v>-1157105555</v>
      </c>
    </row>
    <row r="126" spans="1:39" x14ac:dyDescent="0.25">
      <c r="U126" s="3">
        <v>1330000000</v>
      </c>
    </row>
    <row r="128" spans="1:39" x14ac:dyDescent="0.25">
      <c r="U128" s="3">
        <f>+U126+U120</f>
        <v>4566797100</v>
      </c>
    </row>
    <row r="130" spans="2:3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>
        <v>699500000</v>
      </c>
      <c r="X130" s="1"/>
      <c r="Y130" s="1"/>
      <c r="Z130" s="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</sheetData>
  <mergeCells count="43">
    <mergeCell ref="A2:Z2"/>
    <mergeCell ref="N7:N8"/>
    <mergeCell ref="O7:O8"/>
    <mergeCell ref="C7:C8"/>
    <mergeCell ref="D7:D8"/>
    <mergeCell ref="F7:F8"/>
    <mergeCell ref="K7:K8"/>
    <mergeCell ref="I7:I8"/>
    <mergeCell ref="P7:P8"/>
    <mergeCell ref="R7:R8"/>
    <mergeCell ref="L7:L8"/>
    <mergeCell ref="AK100:AK101"/>
    <mergeCell ref="B122:H122"/>
    <mergeCell ref="A10:B10"/>
    <mergeCell ref="A12:B12"/>
    <mergeCell ref="A35:B35"/>
    <mergeCell ref="A69:B69"/>
    <mergeCell ref="A95:B95"/>
    <mergeCell ref="AK6:AK8"/>
    <mergeCell ref="AE6:AG7"/>
    <mergeCell ref="A6:A8"/>
    <mergeCell ref="B6:B8"/>
    <mergeCell ref="E6:E8"/>
    <mergeCell ref="M6:R6"/>
    <mergeCell ref="T6:T8"/>
    <mergeCell ref="J7:J8"/>
    <mergeCell ref="Q7:Q8"/>
    <mergeCell ref="F6:K6"/>
    <mergeCell ref="U6:U8"/>
    <mergeCell ref="AD7:AD8"/>
    <mergeCell ref="G7:G8"/>
    <mergeCell ref="H7:H8"/>
    <mergeCell ref="M7:M8"/>
    <mergeCell ref="Y7:Y8"/>
    <mergeCell ref="AJ6:AJ8"/>
    <mergeCell ref="AI6:AI8"/>
    <mergeCell ref="S6:S8"/>
    <mergeCell ref="V6:V8"/>
    <mergeCell ref="W6:W8"/>
    <mergeCell ref="X6:X8"/>
    <mergeCell ref="AH6:AH8"/>
    <mergeCell ref="AA6:AC7"/>
    <mergeCell ref="Z7:Z8"/>
  </mergeCells>
  <printOptions horizontalCentered="1"/>
  <pageMargins left="0.11811023622047245" right="0.11811023622047245" top="0.74803149606299213" bottom="0.55118110236220474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7" sqref="I7"/>
    </sheetView>
  </sheetViews>
  <sheetFormatPr defaultRowHeight="15" x14ac:dyDescent="0.25"/>
  <cols>
    <col min="2" max="6" width="10.28515625" style="345" customWidth="1"/>
    <col min="7" max="7" width="11.28515625" style="345" customWidth="1"/>
    <col min="8" max="8" width="10.7109375" style="345" customWidth="1"/>
  </cols>
  <sheetData>
    <row r="1" spans="1:8" ht="15.75" thickBot="1" x14ac:dyDescent="0.3"/>
    <row r="2" spans="1:8" ht="30.75" thickBot="1" x14ac:dyDescent="0.3">
      <c r="A2" s="349"/>
      <c r="B2" s="350" t="s">
        <v>270</v>
      </c>
      <c r="C2" s="350" t="s">
        <v>5</v>
      </c>
      <c r="D2" s="350" t="s">
        <v>6</v>
      </c>
      <c r="E2" s="350" t="s">
        <v>203</v>
      </c>
      <c r="F2" s="350" t="s">
        <v>134</v>
      </c>
      <c r="G2" s="350" t="s">
        <v>273</v>
      </c>
      <c r="H2" s="351" t="s">
        <v>271</v>
      </c>
    </row>
    <row r="3" spans="1:8" ht="42" customHeight="1" thickTop="1" x14ac:dyDescent="0.25">
      <c r="A3" s="352" t="s">
        <v>268</v>
      </c>
      <c r="B3" s="348">
        <v>15</v>
      </c>
      <c r="C3" s="348">
        <v>1.5</v>
      </c>
      <c r="D3" s="348">
        <v>1.48</v>
      </c>
      <c r="E3" s="348">
        <v>2.56</v>
      </c>
      <c r="F3" s="348">
        <v>5.55</v>
      </c>
      <c r="G3" s="348">
        <f>B3-F3</f>
        <v>9.4499999999999993</v>
      </c>
      <c r="H3" s="705" t="s">
        <v>272</v>
      </c>
    </row>
    <row r="4" spans="1:8" ht="42" customHeight="1" x14ac:dyDescent="0.25">
      <c r="A4" s="353" t="s">
        <v>269</v>
      </c>
      <c r="B4" s="346">
        <v>3</v>
      </c>
      <c r="C4" s="346">
        <v>0.5</v>
      </c>
      <c r="D4" s="346">
        <v>0.32</v>
      </c>
      <c r="E4" s="346">
        <v>1.01</v>
      </c>
      <c r="F4" s="346">
        <v>1.83</v>
      </c>
      <c r="G4" s="346">
        <f>B4-F4</f>
        <v>1.17</v>
      </c>
      <c r="H4" s="706"/>
    </row>
    <row r="5" spans="1:8" ht="15.75" thickBot="1" x14ac:dyDescent="0.3">
      <c r="A5" s="354" t="s">
        <v>134</v>
      </c>
      <c r="B5" s="347">
        <f>SUM(B3:B4)</f>
        <v>18</v>
      </c>
      <c r="C5" s="347">
        <f t="shared" ref="C5:G5" si="0">SUM(C3:C4)</f>
        <v>2</v>
      </c>
      <c r="D5" s="347">
        <f t="shared" si="0"/>
        <v>1.8</v>
      </c>
      <c r="E5" s="347">
        <f t="shared" si="0"/>
        <v>3.5700000000000003</v>
      </c>
      <c r="F5" s="347">
        <f t="shared" si="0"/>
        <v>7.38</v>
      </c>
      <c r="G5" s="347">
        <f t="shared" si="0"/>
        <v>10.62</v>
      </c>
      <c r="H5" s="707"/>
    </row>
    <row r="6" spans="1:8" ht="15.75" thickBot="1" x14ac:dyDescent="0.3"/>
    <row r="7" spans="1:8" ht="45.75" thickBot="1" x14ac:dyDescent="0.3">
      <c r="A7" s="349"/>
      <c r="B7" s="350" t="s">
        <v>275</v>
      </c>
      <c r="C7" s="350" t="s">
        <v>276</v>
      </c>
      <c r="D7" s="350" t="s">
        <v>277</v>
      </c>
      <c r="E7" s="350" t="s">
        <v>278</v>
      </c>
      <c r="F7" s="350" t="s">
        <v>134</v>
      </c>
      <c r="G7" s="351" t="s">
        <v>279</v>
      </c>
      <c r="H7" s="360"/>
    </row>
    <row r="8" spans="1:8" ht="15.75" thickTop="1" x14ac:dyDescent="0.25">
      <c r="A8" s="352" t="s">
        <v>268</v>
      </c>
      <c r="B8" s="355">
        <v>7742300</v>
      </c>
      <c r="C8" s="356">
        <v>0</v>
      </c>
      <c r="D8" s="355">
        <v>4961100</v>
      </c>
      <c r="E8" s="355">
        <v>4402200</v>
      </c>
      <c r="F8" s="355">
        <f>SUM(C8:E8)</f>
        <v>9363300</v>
      </c>
      <c r="G8" s="361">
        <f>B8-F8</f>
        <v>-1621000</v>
      </c>
      <c r="H8" s="708"/>
    </row>
    <row r="9" spans="1:8" x14ac:dyDescent="0.25">
      <c r="A9" s="353" t="s">
        <v>269</v>
      </c>
      <c r="B9" s="357">
        <v>1000000</v>
      </c>
      <c r="C9" s="356">
        <v>0</v>
      </c>
      <c r="D9" s="357">
        <v>590000</v>
      </c>
      <c r="E9" s="356">
        <v>0</v>
      </c>
      <c r="F9" s="355">
        <f>SUM(C9:E9)</f>
        <v>590000</v>
      </c>
      <c r="G9" s="362">
        <f>B9-F9</f>
        <v>410000</v>
      </c>
      <c r="H9" s="709"/>
    </row>
    <row r="10" spans="1:8" ht="28.5" customHeight="1" thickBot="1" x14ac:dyDescent="0.3">
      <c r="A10" s="354" t="s">
        <v>134</v>
      </c>
      <c r="B10" s="358">
        <f>SUM(B8:B9)</f>
        <v>8742300</v>
      </c>
      <c r="C10" s="359">
        <v>0</v>
      </c>
      <c r="D10" s="358">
        <f t="shared" ref="D10:G10" si="1">SUM(D8:D9)</f>
        <v>5551100</v>
      </c>
      <c r="E10" s="358">
        <f t="shared" si="1"/>
        <v>4402200</v>
      </c>
      <c r="F10" s="358">
        <f>SUM(F8:F9)</f>
        <v>9953300</v>
      </c>
      <c r="G10" s="363">
        <f t="shared" si="1"/>
        <v>-1211000</v>
      </c>
      <c r="H10" s="710"/>
    </row>
  </sheetData>
  <mergeCells count="2">
    <mergeCell ref="H3:H5"/>
    <mergeCell ref="H8:H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0"/>
  <sheetViews>
    <sheetView zoomScale="50" zoomScaleNormal="50" workbookViewId="0">
      <pane xSplit="2" ySplit="6" topLeftCell="C131" activePane="bottomRight" state="frozen"/>
      <selection pane="topRight" activeCell="C1" sqref="C1"/>
      <selection pane="bottomLeft" activeCell="A5" sqref="A5"/>
      <selection pane="bottomRight" activeCell="R120" sqref="R120"/>
    </sheetView>
  </sheetViews>
  <sheetFormatPr defaultRowHeight="15" x14ac:dyDescent="0.25"/>
  <cols>
    <col min="1" max="1" width="37.5703125" customWidth="1"/>
    <col min="2" max="2" width="58.140625" customWidth="1"/>
    <col min="3" max="3" width="12" hidden="1" customWidth="1"/>
    <col min="4" max="4" width="20.140625" hidden="1" customWidth="1"/>
    <col min="5" max="8" width="19.28515625" hidden="1" customWidth="1"/>
    <col min="9" max="9" width="20.5703125" hidden="1" customWidth="1"/>
    <col min="10" max="10" width="19.140625" hidden="1" customWidth="1"/>
    <col min="11" max="11" width="20" hidden="1" customWidth="1"/>
    <col min="12" max="12" width="23.140625" customWidth="1"/>
    <col min="13" max="13" width="23.7109375" customWidth="1"/>
    <col min="14" max="14" width="41.140625" customWidth="1"/>
    <col min="15" max="15" width="20" customWidth="1"/>
    <col min="17" max="17" width="10.5703125" customWidth="1"/>
    <col min="18" max="18" width="13.7109375" customWidth="1"/>
  </cols>
  <sheetData>
    <row r="2" spans="1:14" x14ac:dyDescent="0.25">
      <c r="K2" t="s">
        <v>135</v>
      </c>
    </row>
    <row r="3" spans="1:14" ht="15.75" thickBot="1" x14ac:dyDescent="0.3">
      <c r="J3" s="720"/>
      <c r="K3" s="720"/>
    </row>
    <row r="4" spans="1:14" ht="36.75" customHeight="1" x14ac:dyDescent="0.25">
      <c r="A4" s="711" t="s">
        <v>1</v>
      </c>
      <c r="B4" s="713" t="s">
        <v>2</v>
      </c>
      <c r="C4" s="713" t="s">
        <v>284</v>
      </c>
      <c r="D4" s="715" t="s">
        <v>205</v>
      </c>
      <c r="E4" s="715" t="s">
        <v>5</v>
      </c>
      <c r="F4" s="715" t="s">
        <v>6</v>
      </c>
      <c r="G4" s="715" t="s">
        <v>203</v>
      </c>
      <c r="H4" s="715" t="s">
        <v>9</v>
      </c>
      <c r="I4" s="474"/>
      <c r="J4" s="719" t="s">
        <v>299</v>
      </c>
      <c r="K4" s="719"/>
      <c r="L4" s="721" t="s">
        <v>300</v>
      </c>
      <c r="M4" s="722"/>
      <c r="N4" s="717" t="s">
        <v>143</v>
      </c>
    </row>
    <row r="5" spans="1:14" ht="75.75" thickBot="1" x14ac:dyDescent="0.3">
      <c r="A5" s="712"/>
      <c r="B5" s="714"/>
      <c r="C5" s="714"/>
      <c r="D5" s="716"/>
      <c r="E5" s="716"/>
      <c r="F5" s="716"/>
      <c r="G5" s="716"/>
      <c r="H5" s="716"/>
      <c r="I5" s="463" t="s">
        <v>221</v>
      </c>
      <c r="J5" s="463" t="s">
        <v>285</v>
      </c>
      <c r="K5" s="463" t="s">
        <v>286</v>
      </c>
      <c r="L5" s="463" t="s">
        <v>297</v>
      </c>
      <c r="M5" s="467" t="s">
        <v>298</v>
      </c>
      <c r="N5" s="718"/>
    </row>
    <row r="6" spans="1:14" ht="19.5" hidden="1" thickTop="1" x14ac:dyDescent="0.25">
      <c r="A6" s="403"/>
      <c r="B6" s="364"/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468"/>
      <c r="N6" s="546"/>
    </row>
    <row r="7" spans="1:14" ht="38.25" hidden="1" thickTop="1" x14ac:dyDescent="0.25">
      <c r="A7" s="404" t="s">
        <v>15</v>
      </c>
      <c r="B7" s="367"/>
      <c r="C7" s="368" t="s">
        <v>16</v>
      </c>
      <c r="D7" s="369">
        <f>+D9+D32+D66+D92</f>
        <v>15000000000</v>
      </c>
      <c r="E7" s="369">
        <v>1500000000</v>
      </c>
      <c r="F7" s="369">
        <v>1485100000</v>
      </c>
      <c r="G7" s="369">
        <v>2498797100</v>
      </c>
      <c r="H7" s="369">
        <v>6320816700</v>
      </c>
      <c r="I7" s="369" t="e">
        <f ca="1">+I9+I32+I66+I92</f>
        <v>#REF!</v>
      </c>
      <c r="J7" s="369"/>
      <c r="K7" s="369"/>
      <c r="L7" s="547"/>
      <c r="M7" s="547"/>
      <c r="N7" s="548"/>
    </row>
    <row r="8" spans="1:14" ht="19.5" hidden="1" thickTop="1" x14ac:dyDescent="0.25">
      <c r="A8" s="405"/>
      <c r="B8" s="370"/>
      <c r="C8" s="370"/>
      <c r="D8" s="371"/>
      <c r="E8" s="371"/>
      <c r="F8" s="371"/>
      <c r="G8" s="371"/>
      <c r="H8" s="371"/>
      <c r="I8" s="371"/>
      <c r="J8" s="371"/>
      <c r="K8" s="371"/>
      <c r="L8" s="547"/>
      <c r="M8" s="547"/>
      <c r="N8" s="548"/>
    </row>
    <row r="9" spans="1:14" ht="19.5" hidden="1" thickTop="1" x14ac:dyDescent="0.25">
      <c r="A9" s="406" t="s">
        <v>17</v>
      </c>
      <c r="B9" s="253"/>
      <c r="C9" s="254" t="s">
        <v>18</v>
      </c>
      <c r="D9" s="372">
        <f>D11+D19+D23+D27</f>
        <v>881500000</v>
      </c>
      <c r="E9" s="372">
        <v>154000000</v>
      </c>
      <c r="F9" s="372">
        <v>70100000</v>
      </c>
      <c r="G9" s="372">
        <v>174703800</v>
      </c>
      <c r="H9" s="372">
        <v>138160000</v>
      </c>
      <c r="I9" s="372">
        <f>I11+I19+I23+I27</f>
        <v>344536200</v>
      </c>
      <c r="J9" s="372"/>
      <c r="K9" s="372"/>
      <c r="L9" s="547"/>
      <c r="M9" s="547"/>
      <c r="N9" s="548"/>
    </row>
    <row r="10" spans="1:14" ht="19.5" hidden="1" thickTop="1" x14ac:dyDescent="0.25">
      <c r="A10" s="405"/>
      <c r="B10" s="373"/>
      <c r="C10" s="373"/>
      <c r="D10" s="374"/>
      <c r="E10" s="374"/>
      <c r="F10" s="374"/>
      <c r="G10" s="374"/>
      <c r="H10" s="374"/>
      <c r="I10" s="390"/>
      <c r="J10" s="374"/>
      <c r="K10" s="390"/>
      <c r="L10" s="547"/>
      <c r="M10" s="547"/>
      <c r="N10" s="548"/>
    </row>
    <row r="11" spans="1:14" ht="19.5" hidden="1" thickTop="1" x14ac:dyDescent="0.25">
      <c r="A11" s="407">
        <v>1</v>
      </c>
      <c r="B11" s="261" t="s">
        <v>19</v>
      </c>
      <c r="C11" s="375" t="s">
        <v>20</v>
      </c>
      <c r="D11" s="376">
        <f>SUM(D12:D17)</f>
        <v>470000000</v>
      </c>
      <c r="E11" s="376">
        <v>40000000</v>
      </c>
      <c r="F11" s="376">
        <v>30000000</v>
      </c>
      <c r="G11" s="376">
        <v>85000000</v>
      </c>
      <c r="H11" s="376">
        <v>70000000</v>
      </c>
      <c r="I11" s="376">
        <f>SUM(I12:I17)</f>
        <v>245000000</v>
      </c>
      <c r="J11" s="376"/>
      <c r="K11" s="376"/>
      <c r="L11" s="547"/>
      <c r="M11" s="547"/>
      <c r="N11" s="548"/>
    </row>
    <row r="12" spans="1:14" ht="19.5" hidden="1" thickTop="1" x14ac:dyDescent="0.25">
      <c r="A12" s="408"/>
      <c r="B12" s="373" t="s">
        <v>21</v>
      </c>
      <c r="C12" s="373" t="s">
        <v>22</v>
      </c>
      <c r="D12" s="374">
        <v>80000000</v>
      </c>
      <c r="E12" s="374">
        <v>20000000</v>
      </c>
      <c r="F12" s="374">
        <v>0</v>
      </c>
      <c r="G12" s="374">
        <v>0</v>
      </c>
      <c r="H12" s="374">
        <v>0</v>
      </c>
      <c r="I12" s="389">
        <v>60000000</v>
      </c>
      <c r="J12" s="374"/>
      <c r="K12" s="389"/>
      <c r="L12" s="547"/>
      <c r="M12" s="547"/>
      <c r="N12" s="548"/>
    </row>
    <row r="13" spans="1:14" ht="19.5" hidden="1" thickTop="1" x14ac:dyDescent="0.25">
      <c r="A13" s="409"/>
      <c r="B13" s="279" t="s">
        <v>24</v>
      </c>
      <c r="C13" s="279" t="s">
        <v>25</v>
      </c>
      <c r="D13" s="377">
        <v>130000000</v>
      </c>
      <c r="E13" s="377">
        <v>0</v>
      </c>
      <c r="F13" s="377">
        <v>0</v>
      </c>
      <c r="G13" s="377">
        <v>45000000</v>
      </c>
      <c r="H13" s="377">
        <v>0</v>
      </c>
      <c r="I13" s="388">
        <v>85000000</v>
      </c>
      <c r="J13" s="377"/>
      <c r="K13" s="388"/>
      <c r="L13" s="547"/>
      <c r="M13" s="547"/>
      <c r="N13" s="548"/>
    </row>
    <row r="14" spans="1:14" ht="38.25" hidden="1" thickTop="1" x14ac:dyDescent="0.25">
      <c r="A14" s="405"/>
      <c r="B14" s="373" t="s">
        <v>26</v>
      </c>
      <c r="C14" s="373" t="s">
        <v>27</v>
      </c>
      <c r="D14" s="374">
        <v>20000000</v>
      </c>
      <c r="E14" s="374">
        <v>0</v>
      </c>
      <c r="F14" s="374">
        <v>20000000</v>
      </c>
      <c r="G14" s="374">
        <v>0</v>
      </c>
      <c r="H14" s="374">
        <v>0</v>
      </c>
      <c r="I14" s="374">
        <v>0</v>
      </c>
      <c r="J14" s="374"/>
      <c r="K14" s="374"/>
      <c r="L14" s="547"/>
      <c r="M14" s="547"/>
      <c r="N14" s="548"/>
    </row>
    <row r="15" spans="1:14" ht="38.25" hidden="1" thickTop="1" x14ac:dyDescent="0.25">
      <c r="A15" s="409"/>
      <c r="B15" s="279" t="s">
        <v>28</v>
      </c>
      <c r="C15" s="279" t="s">
        <v>29</v>
      </c>
      <c r="D15" s="377">
        <v>100000000</v>
      </c>
      <c r="E15" s="377">
        <v>20000000</v>
      </c>
      <c r="F15" s="377">
        <v>0</v>
      </c>
      <c r="G15" s="377">
        <v>20000000</v>
      </c>
      <c r="H15" s="377">
        <v>0</v>
      </c>
      <c r="I15" s="388">
        <v>60000000</v>
      </c>
      <c r="J15" s="377"/>
      <c r="K15" s="388"/>
      <c r="L15" s="547"/>
      <c r="M15" s="547"/>
      <c r="N15" s="548"/>
    </row>
    <row r="16" spans="1:14" ht="19.5" hidden="1" thickTop="1" x14ac:dyDescent="0.25">
      <c r="A16" s="405"/>
      <c r="B16" s="373" t="s">
        <v>31</v>
      </c>
      <c r="C16" s="373" t="s">
        <v>32</v>
      </c>
      <c r="D16" s="374">
        <v>80000000</v>
      </c>
      <c r="E16" s="374">
        <v>0</v>
      </c>
      <c r="F16" s="374">
        <v>10000000</v>
      </c>
      <c r="G16" s="374" t="s">
        <v>259</v>
      </c>
      <c r="H16" s="374">
        <v>70000000</v>
      </c>
      <c r="I16" s="374">
        <v>0</v>
      </c>
      <c r="J16" s="374"/>
      <c r="K16" s="374"/>
      <c r="L16" s="547"/>
      <c r="M16" s="547"/>
      <c r="N16" s="548"/>
    </row>
    <row r="17" spans="1:14" ht="19.5" hidden="1" thickTop="1" x14ac:dyDescent="0.25">
      <c r="A17" s="409"/>
      <c r="B17" s="279" t="s">
        <v>34</v>
      </c>
      <c r="C17" s="279" t="s">
        <v>32</v>
      </c>
      <c r="D17" s="377">
        <v>60000000</v>
      </c>
      <c r="E17" s="377">
        <v>0</v>
      </c>
      <c r="F17" s="377">
        <v>0</v>
      </c>
      <c r="G17" s="377">
        <v>20000000</v>
      </c>
      <c r="H17" s="377">
        <v>0</v>
      </c>
      <c r="I17" s="388">
        <v>40000000</v>
      </c>
      <c r="J17" s="377"/>
      <c r="K17" s="388"/>
      <c r="L17" s="547"/>
      <c r="M17" s="547"/>
      <c r="N17" s="548"/>
    </row>
    <row r="18" spans="1:14" ht="19.5" hidden="1" thickTop="1" x14ac:dyDescent="0.25">
      <c r="A18" s="405"/>
      <c r="B18" s="373"/>
      <c r="C18" s="373"/>
      <c r="D18" s="374"/>
      <c r="E18" s="374"/>
      <c r="F18" s="374"/>
      <c r="G18" s="374"/>
      <c r="H18" s="374"/>
      <c r="I18" s="389"/>
      <c r="J18" s="374"/>
      <c r="K18" s="389"/>
      <c r="L18" s="547"/>
      <c r="M18" s="547"/>
      <c r="N18" s="548"/>
    </row>
    <row r="19" spans="1:14" ht="19.5" hidden="1" thickTop="1" x14ac:dyDescent="0.25">
      <c r="A19" s="407">
        <v>2</v>
      </c>
      <c r="B19" s="261" t="s">
        <v>35</v>
      </c>
      <c r="C19" s="375" t="s">
        <v>36</v>
      </c>
      <c r="D19" s="376">
        <f>SUM(D20:D21)</f>
        <v>71000000</v>
      </c>
      <c r="E19" s="376">
        <v>32940000</v>
      </c>
      <c r="F19" s="376">
        <v>10100000</v>
      </c>
      <c r="G19" s="376">
        <v>27800000</v>
      </c>
      <c r="H19" s="376">
        <v>160000</v>
      </c>
      <c r="I19" s="376">
        <f>SUM(I20:I21)</f>
        <v>0</v>
      </c>
      <c r="J19" s="376"/>
      <c r="K19" s="376"/>
      <c r="L19" s="547"/>
      <c r="M19" s="547"/>
      <c r="N19" s="548"/>
    </row>
    <row r="20" spans="1:14" ht="38.25" hidden="1" thickTop="1" x14ac:dyDescent="0.25">
      <c r="A20" s="410"/>
      <c r="B20" s="373" t="s">
        <v>37</v>
      </c>
      <c r="C20" s="373" t="s">
        <v>38</v>
      </c>
      <c r="D20" s="374">
        <v>20500000</v>
      </c>
      <c r="E20" s="374">
        <v>20340000</v>
      </c>
      <c r="F20" s="374">
        <v>0</v>
      </c>
      <c r="G20" s="374">
        <v>0</v>
      </c>
      <c r="H20" s="374">
        <v>160000</v>
      </c>
      <c r="I20" s="374">
        <v>0</v>
      </c>
      <c r="J20" s="374"/>
      <c r="K20" s="374"/>
      <c r="L20" s="547"/>
      <c r="M20" s="547"/>
      <c r="N20" s="548"/>
    </row>
    <row r="21" spans="1:14" ht="38.25" hidden="1" thickTop="1" x14ac:dyDescent="0.25">
      <c r="A21" s="409"/>
      <c r="B21" s="279" t="s">
        <v>39</v>
      </c>
      <c r="C21" s="279" t="s">
        <v>40</v>
      </c>
      <c r="D21" s="377">
        <v>50500000</v>
      </c>
      <c r="E21" s="377">
        <v>12600000</v>
      </c>
      <c r="F21" s="377">
        <v>10100000</v>
      </c>
      <c r="G21" s="377">
        <v>27800000</v>
      </c>
      <c r="H21" s="377">
        <v>0</v>
      </c>
      <c r="I21" s="377">
        <v>0</v>
      </c>
      <c r="J21" s="377"/>
      <c r="K21" s="377"/>
      <c r="L21" s="547"/>
      <c r="M21" s="547"/>
      <c r="N21" s="548"/>
    </row>
    <row r="22" spans="1:14" ht="19.5" hidden="1" thickTop="1" x14ac:dyDescent="0.25">
      <c r="A22" s="405"/>
      <c r="B22" s="373"/>
      <c r="C22" s="373"/>
      <c r="D22" s="374"/>
      <c r="E22" s="374"/>
      <c r="F22" s="374"/>
      <c r="G22" s="374"/>
      <c r="H22" s="374"/>
      <c r="I22" s="389"/>
      <c r="J22" s="374"/>
      <c r="K22" s="389"/>
      <c r="L22" s="547"/>
      <c r="M22" s="547"/>
      <c r="N22" s="548"/>
    </row>
    <row r="23" spans="1:14" ht="19.5" hidden="1" thickTop="1" x14ac:dyDescent="0.25">
      <c r="A23" s="407">
        <v>3</v>
      </c>
      <c r="B23" s="261" t="s">
        <v>41</v>
      </c>
      <c r="C23" s="375" t="s">
        <v>36</v>
      </c>
      <c r="D23" s="376">
        <f>SUM(D24:D25)</f>
        <v>244000000</v>
      </c>
      <c r="E23" s="376">
        <v>61463800</v>
      </c>
      <c r="F23" s="376">
        <v>30000000</v>
      </c>
      <c r="G23" s="376">
        <v>42000000</v>
      </c>
      <c r="H23" s="376">
        <v>29000000</v>
      </c>
      <c r="I23" s="376">
        <f>SUM(I24:I25)</f>
        <v>81536200</v>
      </c>
      <c r="J23" s="376"/>
      <c r="K23" s="376"/>
      <c r="L23" s="547"/>
      <c r="M23" s="547"/>
      <c r="N23" s="548"/>
    </row>
    <row r="24" spans="1:14" ht="19.5" hidden="1" thickTop="1" x14ac:dyDescent="0.25">
      <c r="A24" s="405"/>
      <c r="B24" s="373" t="s">
        <v>42</v>
      </c>
      <c r="C24" s="378" t="s">
        <v>43</v>
      </c>
      <c r="D24" s="374">
        <v>215000000</v>
      </c>
      <c r="E24" s="374">
        <v>61463800</v>
      </c>
      <c r="F24" s="374">
        <v>30000000</v>
      </c>
      <c r="G24" s="374">
        <v>42000000</v>
      </c>
      <c r="H24" s="374">
        <v>0</v>
      </c>
      <c r="I24" s="389">
        <v>81536200</v>
      </c>
      <c r="J24" s="374"/>
      <c r="K24" s="389"/>
      <c r="L24" s="547"/>
      <c r="M24" s="547"/>
      <c r="N24" s="548"/>
    </row>
    <row r="25" spans="1:14" ht="38.25" hidden="1" thickTop="1" x14ac:dyDescent="0.25">
      <c r="A25" s="409"/>
      <c r="B25" s="279" t="s">
        <v>44</v>
      </c>
      <c r="C25" s="279" t="s">
        <v>45</v>
      </c>
      <c r="D25" s="377">
        <v>29000000</v>
      </c>
      <c r="E25" s="377">
        <v>0</v>
      </c>
      <c r="F25" s="377">
        <v>0</v>
      </c>
      <c r="G25" s="377">
        <v>0</v>
      </c>
      <c r="H25" s="377">
        <v>29000000</v>
      </c>
      <c r="I25" s="377">
        <v>0</v>
      </c>
      <c r="J25" s="377"/>
      <c r="K25" s="377"/>
      <c r="L25" s="547"/>
      <c r="M25" s="547"/>
      <c r="N25" s="548"/>
    </row>
    <row r="26" spans="1:14" ht="19.5" hidden="1" thickTop="1" x14ac:dyDescent="0.25">
      <c r="A26" s="405"/>
      <c r="B26" s="373"/>
      <c r="C26" s="373"/>
      <c r="D26" s="374"/>
      <c r="E26" s="374"/>
      <c r="F26" s="374"/>
      <c r="G26" s="374"/>
      <c r="H26" s="374"/>
      <c r="I26" s="389"/>
      <c r="J26" s="374"/>
      <c r="K26" s="389"/>
      <c r="L26" s="547"/>
      <c r="M26" s="547"/>
      <c r="N26" s="548"/>
    </row>
    <row r="27" spans="1:14" ht="19.5" hidden="1" thickTop="1" x14ac:dyDescent="0.25">
      <c r="A27" s="407">
        <v>4</v>
      </c>
      <c r="B27" s="261" t="s">
        <v>46</v>
      </c>
      <c r="C27" s="375" t="s">
        <v>47</v>
      </c>
      <c r="D27" s="376">
        <f>SUM(D28:D30)</f>
        <v>96500000</v>
      </c>
      <c r="E27" s="376">
        <v>19596200</v>
      </c>
      <c r="F27" s="376">
        <v>0</v>
      </c>
      <c r="G27" s="376">
        <v>19903800</v>
      </c>
      <c r="H27" s="376">
        <v>39000000</v>
      </c>
      <c r="I27" s="376">
        <f>SUM(I28:I30)</f>
        <v>18000000</v>
      </c>
      <c r="J27" s="376"/>
      <c r="K27" s="376"/>
      <c r="L27" s="547"/>
      <c r="M27" s="547"/>
      <c r="N27" s="548"/>
    </row>
    <row r="28" spans="1:14" ht="19.5" hidden="1" thickTop="1" x14ac:dyDescent="0.25">
      <c r="A28" s="410"/>
      <c r="B28" s="373" t="s">
        <v>48</v>
      </c>
      <c r="C28" s="378" t="s">
        <v>49</v>
      </c>
      <c r="D28" s="374">
        <v>39500000</v>
      </c>
      <c r="E28" s="374">
        <v>19596200</v>
      </c>
      <c r="F28" s="374">
        <v>0</v>
      </c>
      <c r="G28" s="374">
        <v>19903800</v>
      </c>
      <c r="H28" s="374">
        <v>0</v>
      </c>
      <c r="I28" s="389"/>
      <c r="J28" s="374"/>
      <c r="K28" s="389"/>
      <c r="L28" s="547"/>
      <c r="M28" s="547"/>
      <c r="N28" s="548"/>
    </row>
    <row r="29" spans="1:14" ht="19.5" hidden="1" thickTop="1" x14ac:dyDescent="0.25">
      <c r="A29" s="411"/>
      <c r="B29" s="279" t="s">
        <v>50</v>
      </c>
      <c r="C29" s="379" t="s">
        <v>51</v>
      </c>
      <c r="D29" s="377">
        <v>39000000</v>
      </c>
      <c r="E29" s="377">
        <v>0</v>
      </c>
      <c r="F29" s="377">
        <v>0</v>
      </c>
      <c r="G29" s="377">
        <v>0</v>
      </c>
      <c r="H29" s="377">
        <v>39000000</v>
      </c>
      <c r="I29" s="388"/>
      <c r="J29" s="377"/>
      <c r="K29" s="388"/>
      <c r="L29" s="547"/>
      <c r="M29" s="547"/>
      <c r="N29" s="548"/>
    </row>
    <row r="30" spans="1:14" ht="19.5" hidden="1" thickTop="1" x14ac:dyDescent="0.25">
      <c r="A30" s="405"/>
      <c r="B30" s="373" t="s">
        <v>52</v>
      </c>
      <c r="C30" s="378" t="s">
        <v>43</v>
      </c>
      <c r="D30" s="374">
        <v>18000000</v>
      </c>
      <c r="E30" s="374">
        <v>0</v>
      </c>
      <c r="F30" s="374">
        <v>0</v>
      </c>
      <c r="G30" s="374">
        <v>0</v>
      </c>
      <c r="H30" s="374">
        <v>0</v>
      </c>
      <c r="I30" s="389">
        <v>18000000</v>
      </c>
      <c r="J30" s="374"/>
      <c r="K30" s="389"/>
      <c r="L30" s="547"/>
      <c r="M30" s="547"/>
      <c r="N30" s="548"/>
    </row>
    <row r="31" spans="1:14" ht="19.5" hidden="1" thickTop="1" x14ac:dyDescent="0.25">
      <c r="A31" s="409"/>
      <c r="B31" s="279"/>
      <c r="C31" s="279"/>
      <c r="D31" s="380"/>
      <c r="E31" s="380"/>
      <c r="F31" s="380"/>
      <c r="G31" s="380"/>
      <c r="H31" s="380"/>
      <c r="I31" s="427"/>
      <c r="J31" s="380"/>
      <c r="K31" s="427"/>
      <c r="L31" s="547"/>
      <c r="M31" s="547"/>
      <c r="N31" s="548"/>
    </row>
    <row r="32" spans="1:14" ht="19.5" hidden="1" thickTop="1" x14ac:dyDescent="0.25">
      <c r="A32" s="412" t="s">
        <v>53</v>
      </c>
      <c r="B32" s="270"/>
      <c r="C32" s="271" t="s">
        <v>54</v>
      </c>
      <c r="D32" s="381">
        <f>D34+D37+D42+D45+D48+D54+D57+D62</f>
        <v>4089000000</v>
      </c>
      <c r="E32" s="381">
        <v>446000000</v>
      </c>
      <c r="F32" s="381">
        <v>765000000</v>
      </c>
      <c r="G32" s="381">
        <v>815000000</v>
      </c>
      <c r="H32" s="381">
        <v>731000000</v>
      </c>
      <c r="I32" s="381">
        <f>I34+I37+I42+I45+I48+I54+I57+I62</f>
        <v>1332000000</v>
      </c>
      <c r="J32" s="381"/>
      <c r="K32" s="381"/>
      <c r="L32" s="547"/>
      <c r="M32" s="547"/>
      <c r="N32" s="548"/>
    </row>
    <row r="33" spans="1:14" ht="19.5" hidden="1" thickTop="1" x14ac:dyDescent="0.25">
      <c r="A33" s="409"/>
      <c r="B33" s="382"/>
      <c r="C33" s="382"/>
      <c r="D33" s="376"/>
      <c r="E33" s="376"/>
      <c r="F33" s="376"/>
      <c r="G33" s="376"/>
      <c r="H33" s="376"/>
      <c r="I33" s="425"/>
      <c r="J33" s="376"/>
      <c r="K33" s="425"/>
      <c r="L33" s="547"/>
      <c r="M33" s="547"/>
      <c r="N33" s="548"/>
    </row>
    <row r="34" spans="1:14" ht="19.5" hidden="1" thickTop="1" x14ac:dyDescent="0.25">
      <c r="A34" s="413">
        <v>1</v>
      </c>
      <c r="B34" s="384" t="s">
        <v>35</v>
      </c>
      <c r="C34" s="383" t="s">
        <v>55</v>
      </c>
      <c r="D34" s="371">
        <f>SUM(D35:D35)</f>
        <v>540000000</v>
      </c>
      <c r="E34" s="371">
        <v>89000000</v>
      </c>
      <c r="F34" s="371">
        <v>9000000</v>
      </c>
      <c r="G34" s="371">
        <v>147000000</v>
      </c>
      <c r="H34" s="371">
        <v>0</v>
      </c>
      <c r="I34" s="371">
        <f>SUM(I35:I35)</f>
        <v>295000000</v>
      </c>
      <c r="J34" s="371"/>
      <c r="K34" s="371"/>
      <c r="L34" s="547"/>
      <c r="M34" s="547"/>
      <c r="N34" s="548"/>
    </row>
    <row r="35" spans="1:14" ht="19.5" hidden="1" thickTop="1" x14ac:dyDescent="0.25">
      <c r="A35" s="409"/>
      <c r="B35" s="279" t="s">
        <v>56</v>
      </c>
      <c r="C35" s="279" t="s">
        <v>25</v>
      </c>
      <c r="D35" s="377">
        <v>540000000</v>
      </c>
      <c r="E35" s="377">
        <v>89000000</v>
      </c>
      <c r="F35" s="377">
        <v>9000000</v>
      </c>
      <c r="G35" s="377">
        <v>147000000</v>
      </c>
      <c r="H35" s="377">
        <v>0</v>
      </c>
      <c r="I35" s="388">
        <v>295000000</v>
      </c>
      <c r="J35" s="377"/>
      <c r="K35" s="388"/>
      <c r="L35" s="547"/>
      <c r="M35" s="547"/>
      <c r="N35" s="548"/>
    </row>
    <row r="36" spans="1:14" ht="19.5" hidden="1" thickTop="1" x14ac:dyDescent="0.25">
      <c r="A36" s="405"/>
      <c r="B36" s="370"/>
      <c r="C36" s="370"/>
      <c r="D36" s="371"/>
      <c r="E36" s="371"/>
      <c r="F36" s="371"/>
      <c r="G36" s="371"/>
      <c r="H36" s="371"/>
      <c r="I36" s="400"/>
      <c r="J36" s="371"/>
      <c r="K36" s="400"/>
      <c r="L36" s="547"/>
      <c r="M36" s="547"/>
      <c r="N36" s="548"/>
    </row>
    <row r="37" spans="1:14" ht="19.5" hidden="1" thickTop="1" x14ac:dyDescent="0.25">
      <c r="A37" s="407">
        <v>2</v>
      </c>
      <c r="B37" s="277" t="s">
        <v>57</v>
      </c>
      <c r="C37" s="375" t="s">
        <v>47</v>
      </c>
      <c r="D37" s="376">
        <f>SUM(D38:D40)</f>
        <v>1810000000</v>
      </c>
      <c r="E37" s="376">
        <v>180000000</v>
      </c>
      <c r="F37" s="376">
        <v>20000000</v>
      </c>
      <c r="G37" s="376">
        <v>383000000</v>
      </c>
      <c r="H37" s="376">
        <v>420000000</v>
      </c>
      <c r="I37" s="376">
        <f>SUM(I38:I40)</f>
        <v>807000000</v>
      </c>
      <c r="J37" s="376"/>
      <c r="K37" s="376"/>
      <c r="L37" s="547"/>
      <c r="M37" s="547"/>
      <c r="N37" s="548"/>
    </row>
    <row r="38" spans="1:14" ht="19.5" hidden="1" thickTop="1" x14ac:dyDescent="0.25">
      <c r="A38" s="410"/>
      <c r="B38" s="373" t="s">
        <v>58</v>
      </c>
      <c r="C38" s="373" t="s">
        <v>59</v>
      </c>
      <c r="D38" s="374">
        <v>1300000000</v>
      </c>
      <c r="E38" s="374">
        <v>130000000</v>
      </c>
      <c r="F38" s="374">
        <v>20000000</v>
      </c>
      <c r="G38" s="374">
        <v>383000000</v>
      </c>
      <c r="H38" s="374">
        <v>0</v>
      </c>
      <c r="I38" s="389">
        <v>767000000</v>
      </c>
      <c r="J38" s="374"/>
      <c r="K38" s="389"/>
      <c r="L38" s="547"/>
      <c r="M38" s="547"/>
      <c r="N38" s="548"/>
    </row>
    <row r="39" spans="1:14" ht="19.5" hidden="1" thickTop="1" x14ac:dyDescent="0.25">
      <c r="A39" s="414"/>
      <c r="B39" s="279" t="s">
        <v>60</v>
      </c>
      <c r="C39" s="279" t="s">
        <v>61</v>
      </c>
      <c r="D39" s="377">
        <v>370000000</v>
      </c>
      <c r="E39" s="377">
        <v>0</v>
      </c>
      <c r="F39" s="377">
        <v>0</v>
      </c>
      <c r="G39" s="377">
        <v>0</v>
      </c>
      <c r="H39" s="377">
        <v>370000000</v>
      </c>
      <c r="I39" s="377">
        <v>0</v>
      </c>
      <c r="J39" s="377"/>
      <c r="K39" s="377"/>
      <c r="L39" s="547"/>
      <c r="M39" s="547"/>
      <c r="N39" s="548"/>
    </row>
    <row r="40" spans="1:14" ht="19.5" hidden="1" thickTop="1" x14ac:dyDescent="0.25">
      <c r="A40" s="405"/>
      <c r="B40" s="373" t="s">
        <v>62</v>
      </c>
      <c r="C40" s="373" t="s">
        <v>25</v>
      </c>
      <c r="D40" s="374">
        <v>140000000</v>
      </c>
      <c r="E40" s="374">
        <v>50000000</v>
      </c>
      <c r="F40" s="374">
        <v>0</v>
      </c>
      <c r="G40" s="374">
        <v>0</v>
      </c>
      <c r="H40" s="374">
        <v>50000000</v>
      </c>
      <c r="I40" s="389">
        <v>40000000</v>
      </c>
      <c r="J40" s="374"/>
      <c r="K40" s="389"/>
      <c r="L40" s="547"/>
      <c r="M40" s="547"/>
      <c r="N40" s="548"/>
    </row>
    <row r="41" spans="1:14" ht="19.5" hidden="1" thickTop="1" x14ac:dyDescent="0.25">
      <c r="A41" s="409"/>
      <c r="B41" s="279"/>
      <c r="C41" s="279"/>
      <c r="D41" s="380"/>
      <c r="E41" s="380"/>
      <c r="F41" s="380"/>
      <c r="G41" s="380"/>
      <c r="H41" s="380"/>
      <c r="I41" s="426"/>
      <c r="J41" s="380"/>
      <c r="K41" s="426"/>
      <c r="L41" s="547"/>
      <c r="M41" s="547"/>
      <c r="N41" s="548"/>
    </row>
    <row r="42" spans="1:14" ht="19.5" hidden="1" thickTop="1" x14ac:dyDescent="0.25">
      <c r="A42" s="413">
        <v>3</v>
      </c>
      <c r="B42" s="385" t="s">
        <v>63</v>
      </c>
      <c r="C42" s="383" t="s">
        <v>55</v>
      </c>
      <c r="D42" s="371">
        <f>SUM(D43:D43)</f>
        <v>375000000</v>
      </c>
      <c r="E42" s="371">
        <v>25000000</v>
      </c>
      <c r="F42" s="371">
        <v>10000000</v>
      </c>
      <c r="G42" s="371">
        <v>110000000</v>
      </c>
      <c r="H42" s="371">
        <v>0</v>
      </c>
      <c r="I42" s="371">
        <f>SUM(I43:I43)</f>
        <v>230000000</v>
      </c>
      <c r="J42" s="371"/>
      <c r="K42" s="371"/>
      <c r="L42" s="547"/>
      <c r="M42" s="547"/>
      <c r="N42" s="548"/>
    </row>
    <row r="43" spans="1:14" ht="19.5" hidden="1" thickTop="1" x14ac:dyDescent="0.25">
      <c r="A43" s="414"/>
      <c r="B43" s="279" t="s">
        <v>64</v>
      </c>
      <c r="C43" s="279" t="s">
        <v>65</v>
      </c>
      <c r="D43" s="377">
        <v>375000000</v>
      </c>
      <c r="E43" s="377">
        <v>25000000</v>
      </c>
      <c r="F43" s="377">
        <v>10000000</v>
      </c>
      <c r="G43" s="377">
        <v>110000000</v>
      </c>
      <c r="H43" s="377">
        <v>0</v>
      </c>
      <c r="I43" s="388">
        <v>230000000</v>
      </c>
      <c r="J43" s="377"/>
      <c r="K43" s="388"/>
      <c r="L43" s="547"/>
      <c r="M43" s="547"/>
      <c r="N43" s="548"/>
    </row>
    <row r="44" spans="1:14" ht="19.5" hidden="1" thickTop="1" x14ac:dyDescent="0.25">
      <c r="A44" s="405"/>
      <c r="B44" s="373"/>
      <c r="C44" s="373"/>
      <c r="D44" s="386"/>
      <c r="E44" s="386"/>
      <c r="F44" s="386"/>
      <c r="G44" s="386"/>
      <c r="H44" s="386"/>
      <c r="I44" s="428"/>
      <c r="J44" s="386"/>
      <c r="K44" s="428"/>
      <c r="L44" s="547"/>
      <c r="M44" s="547"/>
      <c r="N44" s="548"/>
    </row>
    <row r="45" spans="1:14" ht="19.5" hidden="1" thickTop="1" x14ac:dyDescent="0.25">
      <c r="A45" s="407">
        <v>4</v>
      </c>
      <c r="B45" s="261" t="s">
        <v>66</v>
      </c>
      <c r="C45" s="375" t="s">
        <v>55</v>
      </c>
      <c r="D45" s="376">
        <f>SUM(D46:D46)</f>
        <v>150000000</v>
      </c>
      <c r="E45" s="376">
        <v>0</v>
      </c>
      <c r="F45" s="376">
        <v>150000000</v>
      </c>
      <c r="G45" s="376">
        <v>0</v>
      </c>
      <c r="H45" s="376">
        <v>0</v>
      </c>
      <c r="I45" s="376">
        <f>SUM(I46:I46)</f>
        <v>0</v>
      </c>
      <c r="J45" s="376"/>
      <c r="K45" s="376"/>
      <c r="L45" s="547"/>
      <c r="M45" s="547"/>
      <c r="N45" s="548"/>
    </row>
    <row r="46" spans="1:14" ht="38.25" hidden="1" thickTop="1" x14ac:dyDescent="0.25">
      <c r="A46" s="405"/>
      <c r="B46" s="373" t="s">
        <v>67</v>
      </c>
      <c r="C46" s="373" t="s">
        <v>68</v>
      </c>
      <c r="D46" s="374">
        <v>150000000</v>
      </c>
      <c r="E46" s="374">
        <v>0</v>
      </c>
      <c r="F46" s="374">
        <v>150000000</v>
      </c>
      <c r="G46" s="374">
        <v>0</v>
      </c>
      <c r="H46" s="374">
        <v>0</v>
      </c>
      <c r="I46" s="374">
        <v>0</v>
      </c>
      <c r="J46" s="374"/>
      <c r="K46" s="374"/>
      <c r="L46" s="547"/>
      <c r="M46" s="547"/>
      <c r="N46" s="548"/>
    </row>
    <row r="47" spans="1:14" ht="19.5" hidden="1" thickTop="1" x14ac:dyDescent="0.25">
      <c r="A47" s="409"/>
      <c r="B47" s="279"/>
      <c r="C47" s="279"/>
      <c r="D47" s="380"/>
      <c r="E47" s="380"/>
      <c r="F47" s="380"/>
      <c r="G47" s="380"/>
      <c r="H47" s="380"/>
      <c r="I47" s="426"/>
      <c r="J47" s="380"/>
      <c r="K47" s="426"/>
      <c r="L47" s="547"/>
      <c r="M47" s="547"/>
      <c r="N47" s="548"/>
    </row>
    <row r="48" spans="1:14" ht="19.5" hidden="1" thickTop="1" x14ac:dyDescent="0.25">
      <c r="A48" s="413">
        <v>5</v>
      </c>
      <c r="B48" s="384" t="s">
        <v>69</v>
      </c>
      <c r="C48" s="383" t="s">
        <v>70</v>
      </c>
      <c r="D48" s="371">
        <f>SUM(D49:D52)</f>
        <v>276000000</v>
      </c>
      <c r="E48" s="371">
        <v>60000000</v>
      </c>
      <c r="F48" s="371">
        <v>196000000</v>
      </c>
      <c r="G48" s="371">
        <v>20000000</v>
      </c>
      <c r="H48" s="371">
        <v>0</v>
      </c>
      <c r="I48" s="371">
        <f>SUM(I49:I52)</f>
        <v>0</v>
      </c>
      <c r="J48" s="371"/>
      <c r="K48" s="371"/>
      <c r="L48" s="547"/>
      <c r="M48" s="547"/>
      <c r="N48" s="548"/>
    </row>
    <row r="49" spans="1:14" ht="19.5" hidden="1" thickTop="1" x14ac:dyDescent="0.25">
      <c r="A49" s="409"/>
      <c r="B49" s="279" t="s">
        <v>71</v>
      </c>
      <c r="C49" s="279" t="s">
        <v>72</v>
      </c>
      <c r="D49" s="380">
        <v>80000000</v>
      </c>
      <c r="E49" s="380">
        <v>60000000</v>
      </c>
      <c r="F49" s="380">
        <v>0</v>
      </c>
      <c r="G49" s="380">
        <v>20000000</v>
      </c>
      <c r="H49" s="380">
        <v>0</v>
      </c>
      <c r="I49" s="380">
        <v>0</v>
      </c>
      <c r="J49" s="380"/>
      <c r="K49" s="380"/>
      <c r="L49" s="547"/>
      <c r="M49" s="547"/>
      <c r="N49" s="548"/>
    </row>
    <row r="50" spans="1:14" ht="19.5" hidden="1" thickTop="1" x14ac:dyDescent="0.25">
      <c r="A50" s="405"/>
      <c r="B50" s="373" t="s">
        <v>73</v>
      </c>
      <c r="C50" s="373" t="s">
        <v>74</v>
      </c>
      <c r="D50" s="386">
        <v>88000000</v>
      </c>
      <c r="E50" s="386">
        <v>0</v>
      </c>
      <c r="F50" s="386">
        <v>88000000</v>
      </c>
      <c r="G50" s="386">
        <v>0</v>
      </c>
      <c r="H50" s="386">
        <v>0</v>
      </c>
      <c r="I50" s="386">
        <v>0</v>
      </c>
      <c r="J50" s="386"/>
      <c r="K50" s="386"/>
      <c r="L50" s="547"/>
      <c r="M50" s="547"/>
      <c r="N50" s="548"/>
    </row>
    <row r="51" spans="1:14" ht="19.5" hidden="1" thickTop="1" x14ac:dyDescent="0.25">
      <c r="A51" s="409"/>
      <c r="B51" s="279" t="s">
        <v>75</v>
      </c>
      <c r="C51" s="279" t="s">
        <v>74</v>
      </c>
      <c r="D51" s="380">
        <v>59000000</v>
      </c>
      <c r="E51" s="380">
        <v>0</v>
      </c>
      <c r="F51" s="380">
        <v>59000000</v>
      </c>
      <c r="G51" s="380">
        <v>0</v>
      </c>
      <c r="H51" s="380">
        <v>0</v>
      </c>
      <c r="I51" s="380">
        <v>0</v>
      </c>
      <c r="J51" s="380"/>
      <c r="K51" s="380"/>
      <c r="L51" s="547"/>
      <c r="M51" s="547"/>
      <c r="N51" s="548"/>
    </row>
    <row r="52" spans="1:14" ht="38.25" hidden="1" thickTop="1" x14ac:dyDescent="0.25">
      <c r="A52" s="405"/>
      <c r="B52" s="373" t="s">
        <v>76</v>
      </c>
      <c r="C52" s="373" t="s">
        <v>74</v>
      </c>
      <c r="D52" s="386">
        <v>49000000</v>
      </c>
      <c r="E52" s="386">
        <v>0</v>
      </c>
      <c r="F52" s="386">
        <v>49000000</v>
      </c>
      <c r="G52" s="386">
        <v>0</v>
      </c>
      <c r="H52" s="386">
        <v>0</v>
      </c>
      <c r="I52" s="386">
        <v>0</v>
      </c>
      <c r="J52" s="386"/>
      <c r="K52" s="386"/>
      <c r="L52" s="547"/>
      <c r="M52" s="547"/>
      <c r="N52" s="548"/>
    </row>
    <row r="53" spans="1:14" ht="19.5" hidden="1" thickTop="1" x14ac:dyDescent="0.25">
      <c r="A53" s="409"/>
      <c r="B53" s="279"/>
      <c r="C53" s="279"/>
      <c r="D53" s="380"/>
      <c r="E53" s="380"/>
      <c r="F53" s="380"/>
      <c r="G53" s="380"/>
      <c r="H53" s="380"/>
      <c r="I53" s="426"/>
      <c r="J53" s="380"/>
      <c r="K53" s="426"/>
      <c r="L53" s="547"/>
      <c r="M53" s="547"/>
      <c r="N53" s="548"/>
    </row>
    <row r="54" spans="1:14" ht="19.5" hidden="1" thickTop="1" x14ac:dyDescent="0.25">
      <c r="A54" s="413">
        <v>6</v>
      </c>
      <c r="B54" s="387" t="s">
        <v>41</v>
      </c>
      <c r="C54" s="383" t="s">
        <v>55</v>
      </c>
      <c r="D54" s="371">
        <f>SUM(D55:D55)</f>
        <v>500000000</v>
      </c>
      <c r="E54" s="371">
        <v>34000000</v>
      </c>
      <c r="F54" s="371">
        <v>0</v>
      </c>
      <c r="G54" s="371">
        <v>155000000</v>
      </c>
      <c r="H54" s="371">
        <v>311000000</v>
      </c>
      <c r="I54" s="371">
        <f>SUM(I55:I55)</f>
        <v>0</v>
      </c>
      <c r="J54" s="371"/>
      <c r="K54" s="371"/>
      <c r="L54" s="547"/>
      <c r="M54" s="547"/>
      <c r="N54" s="548"/>
    </row>
    <row r="55" spans="1:14" ht="19.5" hidden="1" thickTop="1" x14ac:dyDescent="0.25">
      <c r="A55" s="409"/>
      <c r="B55" s="279" t="s">
        <v>77</v>
      </c>
      <c r="C55" s="279" t="s">
        <v>25</v>
      </c>
      <c r="D55" s="380">
        <v>500000000</v>
      </c>
      <c r="E55" s="380">
        <v>34000000</v>
      </c>
      <c r="F55" s="380">
        <v>0</v>
      </c>
      <c r="G55" s="380">
        <v>155000000</v>
      </c>
      <c r="H55" s="380">
        <v>311000000</v>
      </c>
      <c r="I55" s="380">
        <v>0</v>
      </c>
      <c r="J55" s="380"/>
      <c r="K55" s="380"/>
      <c r="L55" s="547"/>
      <c r="M55" s="547"/>
      <c r="N55" s="548"/>
    </row>
    <row r="56" spans="1:14" ht="19.5" hidden="1" thickTop="1" x14ac:dyDescent="0.25">
      <c r="A56" s="405"/>
      <c r="B56" s="373"/>
      <c r="C56" s="373"/>
      <c r="D56" s="386"/>
      <c r="E56" s="386"/>
      <c r="F56" s="386"/>
      <c r="G56" s="386"/>
      <c r="H56" s="386"/>
      <c r="I56" s="428"/>
      <c r="J56" s="386"/>
      <c r="K56" s="428"/>
      <c r="L56" s="547"/>
      <c r="M56" s="547"/>
      <c r="N56" s="548"/>
    </row>
    <row r="57" spans="1:14" ht="19.5" hidden="1" thickTop="1" x14ac:dyDescent="0.25">
      <c r="A57" s="407">
        <v>7</v>
      </c>
      <c r="B57" s="281" t="s">
        <v>78</v>
      </c>
      <c r="C57" s="375" t="s">
        <v>47</v>
      </c>
      <c r="D57" s="376">
        <f>SUM(D58:D60)</f>
        <v>58000000</v>
      </c>
      <c r="E57" s="376">
        <v>58000000</v>
      </c>
      <c r="F57" s="376">
        <v>0</v>
      </c>
      <c r="G57" s="376">
        <v>0</v>
      </c>
      <c r="H57" s="376">
        <v>0</v>
      </c>
      <c r="I57" s="376">
        <f>SUM(I58:I60)</f>
        <v>0</v>
      </c>
      <c r="J57" s="376"/>
      <c r="K57" s="376"/>
      <c r="L57" s="547"/>
      <c r="M57" s="547"/>
      <c r="N57" s="548"/>
    </row>
    <row r="58" spans="1:14" ht="19.5" hidden="1" thickTop="1" x14ac:dyDescent="0.25">
      <c r="A58" s="410"/>
      <c r="B58" s="373" t="s">
        <v>79</v>
      </c>
      <c r="C58" s="373" t="s">
        <v>43</v>
      </c>
      <c r="D58" s="374">
        <v>32000000</v>
      </c>
      <c r="E58" s="374">
        <v>32000000</v>
      </c>
      <c r="F58" s="374">
        <v>0</v>
      </c>
      <c r="G58" s="374">
        <v>0</v>
      </c>
      <c r="H58" s="374">
        <v>0</v>
      </c>
      <c r="I58" s="374">
        <v>0</v>
      </c>
      <c r="J58" s="374"/>
      <c r="K58" s="374"/>
      <c r="L58" s="547"/>
      <c r="M58" s="547"/>
      <c r="N58" s="548"/>
    </row>
    <row r="59" spans="1:14" ht="19.5" hidden="1" thickTop="1" x14ac:dyDescent="0.25">
      <c r="A59" s="409"/>
      <c r="B59" s="279" t="s">
        <v>80</v>
      </c>
      <c r="C59" s="279" t="s">
        <v>43</v>
      </c>
      <c r="D59" s="380">
        <v>17000000</v>
      </c>
      <c r="E59" s="380">
        <v>17000000</v>
      </c>
      <c r="F59" s="380">
        <v>0</v>
      </c>
      <c r="G59" s="380">
        <v>0</v>
      </c>
      <c r="H59" s="380">
        <v>0</v>
      </c>
      <c r="I59" s="377">
        <v>0</v>
      </c>
      <c r="J59" s="380"/>
      <c r="K59" s="377"/>
      <c r="L59" s="547"/>
      <c r="M59" s="547"/>
      <c r="N59" s="548"/>
    </row>
    <row r="60" spans="1:14" ht="19.5" hidden="1" thickTop="1" x14ac:dyDescent="0.25">
      <c r="A60" s="405"/>
      <c r="B60" s="373" t="s">
        <v>52</v>
      </c>
      <c r="C60" s="373" t="s">
        <v>43</v>
      </c>
      <c r="D60" s="386">
        <v>9000000</v>
      </c>
      <c r="E60" s="386">
        <v>9000000</v>
      </c>
      <c r="F60" s="386">
        <v>0</v>
      </c>
      <c r="G60" s="386">
        <v>0</v>
      </c>
      <c r="H60" s="386">
        <v>0</v>
      </c>
      <c r="I60" s="374">
        <v>0</v>
      </c>
      <c r="J60" s="386"/>
      <c r="K60" s="374"/>
      <c r="L60" s="547"/>
      <c r="M60" s="547"/>
      <c r="N60" s="548"/>
    </row>
    <row r="61" spans="1:14" ht="19.5" hidden="1" thickTop="1" x14ac:dyDescent="0.25">
      <c r="A61" s="409"/>
      <c r="B61" s="279"/>
      <c r="C61" s="279"/>
      <c r="D61" s="380"/>
      <c r="E61" s="380"/>
      <c r="F61" s="380"/>
      <c r="G61" s="380"/>
      <c r="H61" s="380"/>
      <c r="I61" s="388"/>
      <c r="J61" s="380"/>
      <c r="K61" s="388"/>
      <c r="L61" s="547"/>
      <c r="M61" s="547"/>
      <c r="N61" s="548"/>
    </row>
    <row r="62" spans="1:14" ht="19.5" hidden="1" thickTop="1" x14ac:dyDescent="0.25">
      <c r="A62" s="413">
        <v>8</v>
      </c>
      <c r="B62" s="385" t="s">
        <v>81</v>
      </c>
      <c r="C62" s="383" t="s">
        <v>55</v>
      </c>
      <c r="D62" s="371">
        <f>SUM(D63)</f>
        <v>380000000</v>
      </c>
      <c r="E62" s="371">
        <v>0</v>
      </c>
      <c r="F62" s="371">
        <v>380000000</v>
      </c>
      <c r="G62" s="371">
        <v>0</v>
      </c>
      <c r="H62" s="371">
        <v>0</v>
      </c>
      <c r="I62" s="371">
        <f>SUM(I63)</f>
        <v>0</v>
      </c>
      <c r="J62" s="371"/>
      <c r="K62" s="371"/>
      <c r="L62" s="547"/>
      <c r="M62" s="547"/>
      <c r="N62" s="548"/>
    </row>
    <row r="63" spans="1:14" ht="19.5" hidden="1" thickTop="1" x14ac:dyDescent="0.25">
      <c r="A63" s="409"/>
      <c r="B63" s="279" t="s">
        <v>82</v>
      </c>
      <c r="C63" s="279" t="s">
        <v>83</v>
      </c>
      <c r="D63" s="380">
        <v>380000000</v>
      </c>
      <c r="E63" s="380">
        <v>0</v>
      </c>
      <c r="F63" s="380">
        <v>380000000</v>
      </c>
      <c r="G63" s="380">
        <v>0</v>
      </c>
      <c r="H63" s="380">
        <v>0</v>
      </c>
      <c r="I63" s="380">
        <v>0</v>
      </c>
      <c r="J63" s="380"/>
      <c r="K63" s="380"/>
      <c r="L63" s="547"/>
      <c r="M63" s="547"/>
      <c r="N63" s="548"/>
    </row>
    <row r="64" spans="1:14" ht="19.5" hidden="1" thickTop="1" x14ac:dyDescent="0.25">
      <c r="A64" s="405"/>
      <c r="B64" s="370"/>
      <c r="C64" s="370"/>
      <c r="D64" s="371"/>
      <c r="E64" s="371"/>
      <c r="F64" s="371"/>
      <c r="G64" s="371"/>
      <c r="H64" s="371"/>
      <c r="I64" s="400"/>
      <c r="J64" s="371"/>
      <c r="K64" s="400"/>
      <c r="L64" s="547"/>
      <c r="M64" s="547"/>
      <c r="N64" s="548"/>
    </row>
    <row r="65" spans="1:14" ht="19.5" hidden="1" thickTop="1" x14ac:dyDescent="0.25">
      <c r="A65" s="415"/>
      <c r="B65" s="391"/>
      <c r="C65" s="391"/>
      <c r="D65" s="380"/>
      <c r="E65" s="380"/>
      <c r="F65" s="380"/>
      <c r="G65" s="380"/>
      <c r="H65" s="380"/>
      <c r="I65" s="429"/>
      <c r="J65" s="380"/>
      <c r="K65" s="429"/>
      <c r="L65" s="547"/>
      <c r="M65" s="547"/>
      <c r="N65" s="548"/>
    </row>
    <row r="66" spans="1:14" ht="19.5" hidden="1" thickTop="1" x14ac:dyDescent="0.25">
      <c r="A66" s="416" t="s">
        <v>84</v>
      </c>
      <c r="B66" s="285"/>
      <c r="C66" s="286" t="s">
        <v>85</v>
      </c>
      <c r="D66" s="392">
        <f>D68+D71+D74+D80+D85+D88</f>
        <v>6962500000</v>
      </c>
      <c r="E66" s="392">
        <v>450000000</v>
      </c>
      <c r="F66" s="392">
        <v>350000000</v>
      </c>
      <c r="G66" s="392">
        <v>1052500000</v>
      </c>
      <c r="H66" s="392">
        <v>3481250000</v>
      </c>
      <c r="I66" s="392">
        <f>I68+I71+I74+I80+I85+I88</f>
        <v>1628750000</v>
      </c>
      <c r="J66" s="392"/>
      <c r="K66" s="392"/>
      <c r="L66" s="547"/>
      <c r="M66" s="547"/>
      <c r="N66" s="548"/>
    </row>
    <row r="67" spans="1:14" ht="19.5" hidden="1" thickTop="1" x14ac:dyDescent="0.25">
      <c r="A67" s="417"/>
      <c r="B67" s="393"/>
      <c r="C67" s="393"/>
      <c r="D67" s="376"/>
      <c r="E67" s="376"/>
      <c r="F67" s="376"/>
      <c r="G67" s="376"/>
      <c r="H67" s="376"/>
      <c r="I67" s="425"/>
      <c r="J67" s="376"/>
      <c r="K67" s="425"/>
      <c r="L67" s="547"/>
      <c r="M67" s="547"/>
      <c r="N67" s="548"/>
    </row>
    <row r="68" spans="1:14" ht="19.5" hidden="1" thickTop="1" x14ac:dyDescent="0.25">
      <c r="A68" s="413">
        <v>1</v>
      </c>
      <c r="B68" s="384" t="s">
        <v>86</v>
      </c>
      <c r="C68" s="383" t="s">
        <v>55</v>
      </c>
      <c r="D68" s="371">
        <f>SUM(D69:D69)</f>
        <v>2000000000</v>
      </c>
      <c r="E68" s="371">
        <v>0</v>
      </c>
      <c r="F68" s="371">
        <v>150000000</v>
      </c>
      <c r="G68" s="371">
        <v>750000000</v>
      </c>
      <c r="H68" s="371">
        <v>1000000000</v>
      </c>
      <c r="I68" s="371">
        <f>SUM(I69:I69)</f>
        <v>100000000</v>
      </c>
      <c r="J68" s="371"/>
      <c r="K68" s="371"/>
      <c r="L68" s="547"/>
      <c r="M68" s="547"/>
      <c r="N68" s="548"/>
    </row>
    <row r="69" spans="1:14" ht="19.5" hidden="1" thickTop="1" x14ac:dyDescent="0.25">
      <c r="A69" s="414"/>
      <c r="B69" s="279" t="s">
        <v>87</v>
      </c>
      <c r="C69" s="279" t="s">
        <v>83</v>
      </c>
      <c r="D69" s="377">
        <v>2000000000</v>
      </c>
      <c r="E69" s="377">
        <v>0</v>
      </c>
      <c r="F69" s="377">
        <v>150000000</v>
      </c>
      <c r="G69" s="377">
        <v>750000000</v>
      </c>
      <c r="H69" s="377">
        <v>1000000000</v>
      </c>
      <c r="I69" s="388">
        <v>100000000</v>
      </c>
      <c r="J69" s="377"/>
      <c r="K69" s="388"/>
      <c r="L69" s="547"/>
      <c r="M69" s="547"/>
      <c r="N69" s="548"/>
    </row>
    <row r="70" spans="1:14" ht="19.5" hidden="1" thickTop="1" x14ac:dyDescent="0.25">
      <c r="A70" s="418"/>
      <c r="B70" s="394"/>
      <c r="C70" s="395"/>
      <c r="D70" s="386"/>
      <c r="E70" s="386"/>
      <c r="F70" s="386"/>
      <c r="G70" s="386"/>
      <c r="H70" s="386"/>
      <c r="I70" s="428"/>
      <c r="J70" s="386"/>
      <c r="K70" s="428"/>
      <c r="L70" s="547"/>
      <c r="M70" s="547"/>
      <c r="N70" s="548"/>
    </row>
    <row r="71" spans="1:14" ht="19.5" hidden="1" thickTop="1" x14ac:dyDescent="0.25">
      <c r="A71" s="407">
        <v>2</v>
      </c>
      <c r="B71" s="261" t="s">
        <v>89</v>
      </c>
      <c r="C71" s="375" t="s">
        <v>55</v>
      </c>
      <c r="D71" s="376">
        <f>SUM(D72:D72)</f>
        <v>540000000</v>
      </c>
      <c r="E71" s="376">
        <v>180000000</v>
      </c>
      <c r="F71" s="376">
        <v>0</v>
      </c>
      <c r="G71" s="376">
        <v>180000000</v>
      </c>
      <c r="H71" s="376">
        <v>180000000</v>
      </c>
      <c r="I71" s="376">
        <f>SUM(I72:I72)</f>
        <v>0</v>
      </c>
      <c r="J71" s="376"/>
      <c r="K71" s="376"/>
      <c r="L71" s="547"/>
      <c r="M71" s="547"/>
      <c r="N71" s="548"/>
    </row>
    <row r="72" spans="1:14" ht="19.5" hidden="1" thickTop="1" x14ac:dyDescent="0.25">
      <c r="A72" s="410"/>
      <c r="B72" s="373" t="s">
        <v>90</v>
      </c>
      <c r="C72" s="373" t="s">
        <v>91</v>
      </c>
      <c r="D72" s="374">
        <v>540000000</v>
      </c>
      <c r="E72" s="374">
        <v>180000000</v>
      </c>
      <c r="F72" s="374">
        <v>0</v>
      </c>
      <c r="G72" s="374">
        <v>180000000</v>
      </c>
      <c r="H72" s="374">
        <v>180000000</v>
      </c>
      <c r="I72" s="374">
        <v>0</v>
      </c>
      <c r="J72" s="374"/>
      <c r="K72" s="374"/>
      <c r="L72" s="547"/>
      <c r="M72" s="547"/>
      <c r="N72" s="548"/>
    </row>
    <row r="73" spans="1:14" ht="19.5" hidden="1" thickTop="1" x14ac:dyDescent="0.25">
      <c r="A73" s="414"/>
      <c r="B73" s="279"/>
      <c r="C73" s="279"/>
      <c r="D73" s="377"/>
      <c r="E73" s="377"/>
      <c r="F73" s="377"/>
      <c r="G73" s="377"/>
      <c r="H73" s="377"/>
      <c r="I73" s="388"/>
      <c r="J73" s="377"/>
      <c r="K73" s="388"/>
      <c r="L73" s="547"/>
      <c r="M73" s="547"/>
      <c r="N73" s="548"/>
    </row>
    <row r="74" spans="1:14" ht="19.5" hidden="1" thickTop="1" x14ac:dyDescent="0.25">
      <c r="A74" s="413">
        <v>3</v>
      </c>
      <c r="B74" s="384" t="s">
        <v>92</v>
      </c>
      <c r="C74" s="383" t="s">
        <v>93</v>
      </c>
      <c r="D74" s="371">
        <f>SUM(D75:D78)</f>
        <v>3130000000</v>
      </c>
      <c r="E74" s="371">
        <v>150000000</v>
      </c>
      <c r="F74" s="371">
        <v>95000000</v>
      </c>
      <c r="G74" s="371">
        <v>0</v>
      </c>
      <c r="H74" s="371">
        <v>1442500000</v>
      </c>
      <c r="I74" s="371">
        <f>SUM(I75:I78)</f>
        <v>1442500000</v>
      </c>
      <c r="J74" s="371"/>
      <c r="K74" s="371"/>
      <c r="L74" s="547"/>
      <c r="M74" s="547"/>
      <c r="N74" s="548"/>
    </row>
    <row r="75" spans="1:14" ht="19.5" hidden="1" thickTop="1" x14ac:dyDescent="0.25">
      <c r="A75" s="414"/>
      <c r="B75" s="279" t="s">
        <v>94</v>
      </c>
      <c r="C75" s="279" t="s">
        <v>95</v>
      </c>
      <c r="D75" s="377">
        <v>150000000</v>
      </c>
      <c r="E75" s="377">
        <v>150000000</v>
      </c>
      <c r="F75" s="377">
        <v>0</v>
      </c>
      <c r="G75" s="377">
        <v>0</v>
      </c>
      <c r="H75" s="377">
        <v>0</v>
      </c>
      <c r="I75" s="377">
        <v>0</v>
      </c>
      <c r="J75" s="377"/>
      <c r="K75" s="377"/>
      <c r="L75" s="547"/>
      <c r="M75" s="547"/>
      <c r="N75" s="548"/>
    </row>
    <row r="76" spans="1:14" ht="19.5" hidden="1" thickTop="1" x14ac:dyDescent="0.25">
      <c r="A76" s="410"/>
      <c r="B76" s="373" t="s">
        <v>96</v>
      </c>
      <c r="C76" s="373" t="s">
        <v>91</v>
      </c>
      <c r="D76" s="374">
        <v>1995000000</v>
      </c>
      <c r="E76" s="374">
        <v>0</v>
      </c>
      <c r="F76" s="374">
        <v>0</v>
      </c>
      <c r="G76" s="374">
        <v>0</v>
      </c>
      <c r="H76" s="374">
        <v>1163750000</v>
      </c>
      <c r="I76" s="389">
        <v>831250000</v>
      </c>
      <c r="J76" s="374"/>
      <c r="K76" s="389"/>
      <c r="L76" s="547"/>
      <c r="M76" s="547"/>
      <c r="N76" s="548"/>
    </row>
    <row r="77" spans="1:14" ht="19.5" hidden="1" thickTop="1" x14ac:dyDescent="0.25">
      <c r="A77" s="414"/>
      <c r="B77" s="279" t="s">
        <v>97</v>
      </c>
      <c r="C77" s="396" t="s">
        <v>98</v>
      </c>
      <c r="D77" s="377">
        <v>890000000</v>
      </c>
      <c r="E77" s="377">
        <v>0</v>
      </c>
      <c r="F77" s="377">
        <v>0</v>
      </c>
      <c r="G77" s="377">
        <v>0</v>
      </c>
      <c r="H77" s="377">
        <v>278750000</v>
      </c>
      <c r="I77" s="388">
        <v>611250000</v>
      </c>
      <c r="J77" s="377"/>
      <c r="K77" s="388"/>
      <c r="L77" s="547"/>
      <c r="M77" s="547"/>
      <c r="N77" s="548"/>
    </row>
    <row r="78" spans="1:14" ht="19.5" hidden="1" thickTop="1" x14ac:dyDescent="0.25">
      <c r="A78" s="410"/>
      <c r="B78" s="373" t="s">
        <v>99</v>
      </c>
      <c r="C78" s="397" t="s">
        <v>43</v>
      </c>
      <c r="D78" s="374">
        <v>95000000</v>
      </c>
      <c r="E78" s="374">
        <v>0</v>
      </c>
      <c r="F78" s="374">
        <v>95000000</v>
      </c>
      <c r="G78" s="374">
        <v>0</v>
      </c>
      <c r="H78" s="374">
        <v>0</v>
      </c>
      <c r="I78" s="374">
        <v>0</v>
      </c>
      <c r="J78" s="374"/>
      <c r="K78" s="374"/>
      <c r="L78" s="547"/>
      <c r="M78" s="547"/>
      <c r="N78" s="548"/>
    </row>
    <row r="79" spans="1:14" ht="19.5" hidden="1" thickTop="1" x14ac:dyDescent="0.25">
      <c r="A79" s="419"/>
      <c r="B79" s="291"/>
      <c r="C79" s="391"/>
      <c r="D79" s="380"/>
      <c r="E79" s="380"/>
      <c r="F79" s="380"/>
      <c r="G79" s="380"/>
      <c r="H79" s="380"/>
      <c r="I79" s="426"/>
      <c r="J79" s="380"/>
      <c r="K79" s="426"/>
      <c r="L79" s="547"/>
      <c r="M79" s="547"/>
      <c r="N79" s="548"/>
    </row>
    <row r="80" spans="1:14" ht="19.5" hidden="1" thickTop="1" x14ac:dyDescent="0.25">
      <c r="A80" s="413">
        <v>4</v>
      </c>
      <c r="B80" s="384" t="s">
        <v>66</v>
      </c>
      <c r="C80" s="383" t="s">
        <v>47</v>
      </c>
      <c r="D80" s="371">
        <f>SUM(D81:D83)</f>
        <v>1047500000</v>
      </c>
      <c r="E80" s="371">
        <v>0</v>
      </c>
      <c r="F80" s="371">
        <v>90000000</v>
      </c>
      <c r="G80" s="371">
        <v>82500000</v>
      </c>
      <c r="H80" s="371">
        <v>788750000</v>
      </c>
      <c r="I80" s="371">
        <f>SUM(I81:I83)</f>
        <v>86250000</v>
      </c>
      <c r="J80" s="371"/>
      <c r="K80" s="371"/>
      <c r="L80" s="547"/>
      <c r="M80" s="547"/>
      <c r="N80" s="548"/>
    </row>
    <row r="81" spans="1:19" ht="19.5" hidden="1" thickTop="1" x14ac:dyDescent="0.25">
      <c r="A81" s="407"/>
      <c r="B81" s="279" t="s">
        <v>101</v>
      </c>
      <c r="C81" s="279" t="s">
        <v>102</v>
      </c>
      <c r="D81" s="377">
        <v>437500000</v>
      </c>
      <c r="E81" s="377">
        <v>0</v>
      </c>
      <c r="F81" s="377">
        <v>65000000</v>
      </c>
      <c r="G81" s="377">
        <v>22500000</v>
      </c>
      <c r="H81" s="377">
        <v>306250000</v>
      </c>
      <c r="I81" s="388">
        <v>43750000</v>
      </c>
      <c r="J81" s="377"/>
      <c r="K81" s="388"/>
      <c r="L81" s="547"/>
      <c r="M81" s="547"/>
      <c r="N81" s="548"/>
    </row>
    <row r="82" spans="1:19" ht="19.5" hidden="1" thickTop="1" x14ac:dyDescent="0.25">
      <c r="A82" s="413"/>
      <c r="B82" s="373" t="s">
        <v>103</v>
      </c>
      <c r="C82" s="373" t="s">
        <v>102</v>
      </c>
      <c r="D82" s="374">
        <v>185000000</v>
      </c>
      <c r="E82" s="374">
        <v>0</v>
      </c>
      <c r="F82" s="374">
        <v>0</v>
      </c>
      <c r="G82" s="374">
        <v>0</v>
      </c>
      <c r="H82" s="374">
        <v>185000000</v>
      </c>
      <c r="I82" s="374">
        <v>0</v>
      </c>
      <c r="J82" s="374"/>
      <c r="K82" s="374"/>
      <c r="L82" s="547"/>
      <c r="M82" s="547"/>
      <c r="N82" s="548"/>
    </row>
    <row r="83" spans="1:19" ht="19.5" hidden="1" thickTop="1" x14ac:dyDescent="0.25">
      <c r="A83" s="414"/>
      <c r="B83" s="279" t="s">
        <v>104</v>
      </c>
      <c r="C83" s="279" t="s">
        <v>68</v>
      </c>
      <c r="D83" s="377">
        <v>425000000</v>
      </c>
      <c r="E83" s="377">
        <v>0</v>
      </c>
      <c r="F83" s="377">
        <v>25000000</v>
      </c>
      <c r="G83" s="377">
        <v>60000000</v>
      </c>
      <c r="H83" s="377">
        <v>297500000</v>
      </c>
      <c r="I83" s="388">
        <v>42500000</v>
      </c>
      <c r="J83" s="377"/>
      <c r="K83" s="388"/>
      <c r="L83" s="547"/>
      <c r="M83" s="547"/>
      <c r="N83" s="548"/>
    </row>
    <row r="84" spans="1:19" ht="19.5" hidden="1" thickTop="1" x14ac:dyDescent="0.25">
      <c r="A84" s="410"/>
      <c r="B84" s="373"/>
      <c r="C84" s="373"/>
      <c r="D84" s="374"/>
      <c r="E84" s="374"/>
      <c r="F84" s="374"/>
      <c r="G84" s="374"/>
      <c r="H84" s="374"/>
      <c r="I84" s="389"/>
      <c r="J84" s="374"/>
      <c r="K84" s="389"/>
      <c r="L84" s="547"/>
      <c r="M84" s="547"/>
      <c r="N84" s="548"/>
    </row>
    <row r="85" spans="1:19" ht="19.5" hidden="1" thickTop="1" x14ac:dyDescent="0.25">
      <c r="A85" s="420">
        <v>5</v>
      </c>
      <c r="B85" s="261" t="s">
        <v>35</v>
      </c>
      <c r="C85" s="375" t="s">
        <v>55</v>
      </c>
      <c r="D85" s="376">
        <f>SUM(D86)</f>
        <v>110000000</v>
      </c>
      <c r="E85" s="376">
        <v>0</v>
      </c>
      <c r="F85" s="376">
        <v>0</v>
      </c>
      <c r="G85" s="376">
        <v>40000000</v>
      </c>
      <c r="H85" s="376">
        <v>70000000</v>
      </c>
      <c r="I85" s="376">
        <f>SUM(I86)</f>
        <v>0</v>
      </c>
      <c r="J85" s="376"/>
      <c r="K85" s="376"/>
      <c r="L85" s="547"/>
      <c r="M85" s="547"/>
      <c r="N85" s="548"/>
    </row>
    <row r="86" spans="1:19" ht="19.5" hidden="1" thickTop="1" x14ac:dyDescent="0.25">
      <c r="A86" s="421"/>
      <c r="B86" s="373" t="s">
        <v>105</v>
      </c>
      <c r="C86" s="378" t="s">
        <v>43</v>
      </c>
      <c r="D86" s="374">
        <v>110000000</v>
      </c>
      <c r="E86" s="374">
        <v>0</v>
      </c>
      <c r="F86" s="374">
        <v>0</v>
      </c>
      <c r="G86" s="374">
        <v>40000000</v>
      </c>
      <c r="H86" s="374">
        <v>70000000</v>
      </c>
      <c r="I86" s="374">
        <v>0</v>
      </c>
      <c r="J86" s="374"/>
      <c r="K86" s="374"/>
      <c r="L86" s="547"/>
      <c r="M86" s="547"/>
      <c r="N86" s="548"/>
    </row>
    <row r="87" spans="1:19" ht="19.5" hidden="1" thickTop="1" x14ac:dyDescent="0.25">
      <c r="A87" s="422"/>
      <c r="B87" s="279"/>
      <c r="C87" s="379"/>
      <c r="D87" s="377"/>
      <c r="E87" s="377"/>
      <c r="F87" s="377"/>
      <c r="G87" s="377"/>
      <c r="H87" s="377"/>
      <c r="I87" s="388"/>
      <c r="J87" s="377"/>
      <c r="K87" s="388"/>
      <c r="L87" s="547"/>
      <c r="M87" s="547"/>
      <c r="N87" s="548"/>
    </row>
    <row r="88" spans="1:19" ht="19.5" hidden="1" thickTop="1" x14ac:dyDescent="0.25">
      <c r="A88" s="413">
        <v>6</v>
      </c>
      <c r="B88" s="384" t="s">
        <v>41</v>
      </c>
      <c r="C88" s="383" t="s">
        <v>106</v>
      </c>
      <c r="D88" s="371">
        <f>SUM(D89:D90)</f>
        <v>135000000</v>
      </c>
      <c r="E88" s="371">
        <v>120000000</v>
      </c>
      <c r="F88" s="371">
        <v>15000000</v>
      </c>
      <c r="G88" s="371">
        <v>0</v>
      </c>
      <c r="H88" s="371">
        <v>0</v>
      </c>
      <c r="I88" s="371">
        <f>SUM(I89:I90)</f>
        <v>0</v>
      </c>
      <c r="J88" s="371"/>
      <c r="K88" s="371"/>
      <c r="L88" s="547"/>
      <c r="M88" s="547"/>
      <c r="N88" s="548"/>
    </row>
    <row r="89" spans="1:19" ht="19.5" hidden="1" thickTop="1" x14ac:dyDescent="0.25">
      <c r="A89" s="422"/>
      <c r="B89" s="279" t="s">
        <v>107</v>
      </c>
      <c r="C89" s="379" t="s">
        <v>43</v>
      </c>
      <c r="D89" s="377">
        <v>120000000</v>
      </c>
      <c r="E89" s="377">
        <v>120000000</v>
      </c>
      <c r="F89" s="377">
        <v>0</v>
      </c>
      <c r="G89" s="377">
        <v>0</v>
      </c>
      <c r="H89" s="377">
        <v>0</v>
      </c>
      <c r="I89" s="377">
        <v>0</v>
      </c>
      <c r="J89" s="377"/>
      <c r="K89" s="377"/>
      <c r="L89" s="547"/>
      <c r="M89" s="547"/>
      <c r="N89" s="548"/>
    </row>
    <row r="90" spans="1:19" ht="19.5" hidden="1" thickTop="1" x14ac:dyDescent="0.3">
      <c r="A90" s="421"/>
      <c r="B90" s="398" t="s">
        <v>108</v>
      </c>
      <c r="C90" s="378" t="s">
        <v>43</v>
      </c>
      <c r="D90" s="374">
        <v>15000000</v>
      </c>
      <c r="E90" s="374">
        <v>0</v>
      </c>
      <c r="F90" s="374">
        <v>15000000</v>
      </c>
      <c r="G90" s="374">
        <v>0</v>
      </c>
      <c r="H90" s="374">
        <v>0</v>
      </c>
      <c r="I90" s="374">
        <v>0</v>
      </c>
      <c r="J90" s="374"/>
      <c r="K90" s="374"/>
      <c r="L90" s="547"/>
      <c r="M90" s="547"/>
      <c r="N90" s="548"/>
    </row>
    <row r="91" spans="1:19" ht="19.5" hidden="1" thickTop="1" x14ac:dyDescent="0.25">
      <c r="A91" s="422"/>
      <c r="B91" s="279"/>
      <c r="C91" s="379"/>
      <c r="D91" s="377"/>
      <c r="E91" s="377"/>
      <c r="F91" s="377"/>
      <c r="G91" s="377"/>
      <c r="H91" s="377"/>
      <c r="I91" s="388"/>
      <c r="J91" s="377"/>
      <c r="K91" s="388"/>
      <c r="L91" s="547"/>
      <c r="M91" s="547"/>
      <c r="N91" s="548"/>
    </row>
    <row r="92" spans="1:19" s="511" customFormat="1" ht="46.5" hidden="1" customHeight="1" thickTop="1" x14ac:dyDescent="0.25">
      <c r="A92" s="423" t="s">
        <v>109</v>
      </c>
      <c r="B92" s="296"/>
      <c r="C92" s="297" t="s">
        <v>110</v>
      </c>
      <c r="D92" s="399">
        <f>D93+D97+D100+D103+D108</f>
        <v>3067000000</v>
      </c>
      <c r="E92" s="399">
        <v>450000000</v>
      </c>
      <c r="F92" s="399">
        <v>300000000</v>
      </c>
      <c r="G92" s="399">
        <v>456593300</v>
      </c>
      <c r="H92" s="399">
        <v>1970406700</v>
      </c>
      <c r="I92" s="399" t="e">
        <f ca="1">I93+I97+I100+I103+I108</f>
        <v>#REF!</v>
      </c>
      <c r="J92" s="399"/>
      <c r="K92" s="399"/>
      <c r="L92" s="399"/>
      <c r="M92" s="469"/>
      <c r="N92" s="549"/>
    </row>
    <row r="93" spans="1:19" s="511" customFormat="1" ht="37.5" hidden="1" x14ac:dyDescent="0.25">
      <c r="A93" s="413">
        <v>1</v>
      </c>
      <c r="B93" s="384" t="s">
        <v>112</v>
      </c>
      <c r="C93" s="383" t="s">
        <v>36</v>
      </c>
      <c r="D93" s="371">
        <f>SUM(D94:D95)</f>
        <v>1448000000</v>
      </c>
      <c r="E93" s="433">
        <v>110000000</v>
      </c>
      <c r="F93" s="433">
        <v>147000000</v>
      </c>
      <c r="G93" s="433">
        <v>0</v>
      </c>
      <c r="H93" s="433">
        <v>1301000000</v>
      </c>
      <c r="I93" s="433">
        <v>1301000000</v>
      </c>
      <c r="J93" s="433">
        <f>SUM(J94:J95)</f>
        <v>831885000</v>
      </c>
      <c r="K93" s="433">
        <f>SUM(K94:K95)</f>
        <v>469115000</v>
      </c>
      <c r="L93" s="433">
        <f t="shared" ref="L93:M93" si="0">SUM(L94:L95)</f>
        <v>0</v>
      </c>
      <c r="M93" s="433">
        <f t="shared" si="0"/>
        <v>0</v>
      </c>
      <c r="N93" s="550"/>
    </row>
    <row r="94" spans="1:19" s="520" customFormat="1" ht="63" hidden="1" x14ac:dyDescent="0.3">
      <c r="A94" s="414"/>
      <c r="B94" s="279" t="s">
        <v>113</v>
      </c>
      <c r="C94" s="279" t="s">
        <v>114</v>
      </c>
      <c r="D94" s="464">
        <v>1317000000</v>
      </c>
      <c r="E94" s="431">
        <v>0</v>
      </c>
      <c r="F94" s="431">
        <v>147000000</v>
      </c>
      <c r="G94" s="431">
        <v>0</v>
      </c>
      <c r="H94" s="431">
        <v>1170000000</v>
      </c>
      <c r="I94" s="377">
        <v>0</v>
      </c>
      <c r="J94" s="431">
        <v>700000000</v>
      </c>
      <c r="K94" s="377">
        <v>469115000</v>
      </c>
      <c r="L94" s="388"/>
      <c r="M94" s="518"/>
      <c r="N94" s="551" t="s">
        <v>326</v>
      </c>
      <c r="O94" s="519">
        <f>SUM(J94:K94)</f>
        <v>1169115000</v>
      </c>
      <c r="R94" s="519">
        <f>H94-O94</f>
        <v>885000</v>
      </c>
      <c r="S94" s="520" t="s">
        <v>301</v>
      </c>
    </row>
    <row r="95" spans="1:19" s="520" customFormat="1" ht="78.75" hidden="1" x14ac:dyDescent="0.3">
      <c r="A95" s="410"/>
      <c r="B95" s="373" t="s">
        <v>116</v>
      </c>
      <c r="C95" s="373" t="s">
        <v>43</v>
      </c>
      <c r="D95" s="465">
        <v>131000000</v>
      </c>
      <c r="E95" s="432">
        <v>0</v>
      </c>
      <c r="F95" s="432"/>
      <c r="G95" s="432"/>
      <c r="H95" s="374">
        <v>131000000</v>
      </c>
      <c r="I95" s="374">
        <v>0</v>
      </c>
      <c r="J95" s="374">
        <v>131885000</v>
      </c>
      <c r="K95" s="374"/>
      <c r="L95" s="374"/>
      <c r="M95" s="472"/>
      <c r="N95" s="552" t="s">
        <v>323</v>
      </c>
      <c r="O95" s="519">
        <f t="shared" ref="O95:O100" si="1">SUM(J95:K95)</f>
        <v>131885000</v>
      </c>
      <c r="R95" s="519">
        <f>H95-O95</f>
        <v>-885000</v>
      </c>
      <c r="S95" s="520" t="s">
        <v>302</v>
      </c>
    </row>
    <row r="96" spans="1:19" ht="18.75" hidden="1" x14ac:dyDescent="0.3">
      <c r="A96" s="410"/>
      <c r="B96" s="373"/>
      <c r="C96" s="373"/>
      <c r="D96" s="374"/>
      <c r="E96" s="374"/>
      <c r="F96" s="374"/>
      <c r="G96" s="374"/>
      <c r="H96" s="374"/>
      <c r="I96" s="389"/>
      <c r="J96" s="374"/>
      <c r="K96" s="389"/>
      <c r="L96" s="374"/>
      <c r="M96" s="472"/>
      <c r="N96" s="552"/>
      <c r="O96" s="443">
        <f t="shared" si="1"/>
        <v>0</v>
      </c>
    </row>
    <row r="97" spans="1:19" s="511" customFormat="1" ht="18.75" hidden="1" x14ac:dyDescent="0.3">
      <c r="A97" s="407">
        <v>2</v>
      </c>
      <c r="B97" s="261" t="s">
        <v>119</v>
      </c>
      <c r="C97" s="305" t="s">
        <v>55</v>
      </c>
      <c r="D97" s="376">
        <f>SUM(D98)</f>
        <v>775000000</v>
      </c>
      <c r="E97" s="376">
        <v>220000000</v>
      </c>
      <c r="F97" s="376">
        <v>125000000</v>
      </c>
      <c r="G97" s="376">
        <v>271093300</v>
      </c>
      <c r="H97" s="376">
        <v>158906700</v>
      </c>
      <c r="I97" s="376">
        <f>SUM(I98)</f>
        <v>0</v>
      </c>
      <c r="J97" s="376">
        <f>SUM(J98)</f>
        <v>125000000</v>
      </c>
      <c r="K97" s="376">
        <f>SUM(K98)</f>
        <v>33906700</v>
      </c>
      <c r="L97" s="376">
        <f t="shared" ref="L97:M97" si="2">SUM(L98)</f>
        <v>0</v>
      </c>
      <c r="M97" s="376">
        <f t="shared" si="2"/>
        <v>0</v>
      </c>
      <c r="N97" s="553"/>
      <c r="O97" s="512">
        <f t="shared" si="1"/>
        <v>158906700</v>
      </c>
    </row>
    <row r="98" spans="1:19" s="520" customFormat="1" ht="37.5" hidden="1" x14ac:dyDescent="0.3">
      <c r="A98" s="410"/>
      <c r="B98" s="373" t="s">
        <v>120</v>
      </c>
      <c r="C98" s="397" t="s">
        <v>102</v>
      </c>
      <c r="D98" s="374">
        <v>775000000</v>
      </c>
      <c r="E98" s="374">
        <v>220000000</v>
      </c>
      <c r="F98" s="374">
        <v>125000000</v>
      </c>
      <c r="G98" s="374">
        <v>271093300</v>
      </c>
      <c r="H98" s="374">
        <v>158906700</v>
      </c>
      <c r="I98" s="374">
        <v>0</v>
      </c>
      <c r="J98" s="374">
        <v>125000000</v>
      </c>
      <c r="K98" s="374">
        <v>33906700</v>
      </c>
      <c r="L98" s="374"/>
      <c r="M98" s="472"/>
      <c r="N98" s="552" t="s">
        <v>303</v>
      </c>
      <c r="O98" s="519">
        <f t="shared" si="1"/>
        <v>158906700</v>
      </c>
      <c r="R98" s="519">
        <f>H98-O98</f>
        <v>0</v>
      </c>
      <c r="S98" s="520" t="s">
        <v>303</v>
      </c>
    </row>
    <row r="99" spans="1:19" ht="18.75" hidden="1" x14ac:dyDescent="0.3">
      <c r="A99" s="414"/>
      <c r="B99" s="279"/>
      <c r="C99" s="279"/>
      <c r="D99" s="377"/>
      <c r="E99" s="377"/>
      <c r="F99" s="377"/>
      <c r="G99" s="377"/>
      <c r="H99" s="377"/>
      <c r="I99" s="388"/>
      <c r="J99" s="377"/>
      <c r="K99" s="388"/>
      <c r="L99" s="426"/>
      <c r="M99" s="471"/>
      <c r="N99" s="554"/>
      <c r="O99" s="443">
        <f t="shared" si="1"/>
        <v>0</v>
      </c>
      <c r="R99" s="443">
        <f>H99-O99</f>
        <v>0</v>
      </c>
    </row>
    <row r="100" spans="1:19" s="511" customFormat="1" ht="18.75" hidden="1" x14ac:dyDescent="0.3">
      <c r="A100" s="413">
        <v>3</v>
      </c>
      <c r="B100" s="384" t="s">
        <v>121</v>
      </c>
      <c r="C100" s="383" t="s">
        <v>55</v>
      </c>
      <c r="D100" s="371">
        <f>SUM(D101)</f>
        <v>400000000</v>
      </c>
      <c r="E100" s="371">
        <v>60000000</v>
      </c>
      <c r="F100" s="371">
        <v>0</v>
      </c>
      <c r="G100" s="371">
        <v>0</v>
      </c>
      <c r="H100" s="371">
        <v>340000000</v>
      </c>
      <c r="I100" s="371">
        <f>SUM(I101)</f>
        <v>0</v>
      </c>
      <c r="J100" s="371">
        <f>SUM(J101)</f>
        <v>180000000</v>
      </c>
      <c r="K100" s="371">
        <f>SUM(K101)</f>
        <v>160000000</v>
      </c>
      <c r="L100" s="371">
        <f t="shared" ref="L100:M100" si="3">SUM(L101)</f>
        <v>0</v>
      </c>
      <c r="M100" s="371">
        <f t="shared" si="3"/>
        <v>0</v>
      </c>
      <c r="N100" s="555"/>
      <c r="O100" s="512">
        <f t="shared" si="1"/>
        <v>340000000</v>
      </c>
    </row>
    <row r="101" spans="1:19" s="520" customFormat="1" ht="18.75" hidden="1" x14ac:dyDescent="0.3">
      <c r="A101" s="414"/>
      <c r="B101" s="279" t="s">
        <v>122</v>
      </c>
      <c r="C101" s="396" t="s">
        <v>43</v>
      </c>
      <c r="D101" s="377">
        <v>400000000</v>
      </c>
      <c r="E101" s="377">
        <v>60000000</v>
      </c>
      <c r="F101" s="377">
        <v>0</v>
      </c>
      <c r="G101" s="377">
        <v>0</v>
      </c>
      <c r="H101" s="377">
        <v>340000000</v>
      </c>
      <c r="I101" s="377">
        <v>0</v>
      </c>
      <c r="J101" s="377">
        <v>180000000</v>
      </c>
      <c r="K101" s="377">
        <v>160000000</v>
      </c>
      <c r="L101" s="388"/>
      <c r="M101" s="518"/>
      <c r="N101" s="551" t="s">
        <v>303</v>
      </c>
      <c r="O101" s="519">
        <f>SUM(J101:K101)</f>
        <v>340000000</v>
      </c>
      <c r="R101" s="519">
        <f>H101-O101</f>
        <v>0</v>
      </c>
      <c r="S101" s="520" t="s">
        <v>303</v>
      </c>
    </row>
    <row r="102" spans="1:19" ht="18.75" hidden="1" x14ac:dyDescent="0.25">
      <c r="A102" s="410"/>
      <c r="B102" s="373"/>
      <c r="C102" s="373"/>
      <c r="D102" s="374"/>
      <c r="E102" s="386"/>
      <c r="F102" s="386"/>
      <c r="G102" s="386"/>
      <c r="H102" s="386"/>
      <c r="I102" s="389"/>
      <c r="J102" s="386"/>
      <c r="K102" s="389"/>
      <c r="L102" s="374"/>
      <c r="M102" s="472"/>
      <c r="N102" s="552"/>
    </row>
    <row r="103" spans="1:19" s="511" customFormat="1" ht="18.75" hidden="1" x14ac:dyDescent="0.25">
      <c r="A103" s="407">
        <v>4</v>
      </c>
      <c r="B103" s="261" t="s">
        <v>123</v>
      </c>
      <c r="C103" s="305" t="s">
        <v>47</v>
      </c>
      <c r="D103" s="376">
        <f>SUM(D104:D106)</f>
        <v>98500000</v>
      </c>
      <c r="E103" s="376">
        <v>0</v>
      </c>
      <c r="F103" s="376">
        <v>28000000</v>
      </c>
      <c r="G103" s="376">
        <v>0</v>
      </c>
      <c r="H103" s="376">
        <v>70500000</v>
      </c>
      <c r="I103" s="376">
        <f>SUM(I104:I106)</f>
        <v>0</v>
      </c>
      <c r="J103" s="376">
        <f>SUM(J104:J106)</f>
        <v>70500000</v>
      </c>
      <c r="K103" s="376">
        <f>SUM(K104:K106)</f>
        <v>0</v>
      </c>
      <c r="L103" s="376">
        <f t="shared" ref="L103:M103" si="4">SUM(L104:L106)</f>
        <v>29250000</v>
      </c>
      <c r="M103" s="376">
        <f t="shared" si="4"/>
        <v>29250000</v>
      </c>
      <c r="N103" s="553"/>
    </row>
    <row r="104" spans="1:19" s="520" customFormat="1" ht="18.75" hidden="1" x14ac:dyDescent="0.3">
      <c r="A104" s="410"/>
      <c r="B104" s="373" t="s">
        <v>124</v>
      </c>
      <c r="C104" s="373" t="s">
        <v>125</v>
      </c>
      <c r="D104" s="374">
        <v>26500000</v>
      </c>
      <c r="E104" s="374">
        <v>0</v>
      </c>
      <c r="F104" s="374">
        <v>0</v>
      </c>
      <c r="G104" s="374">
        <v>0</v>
      </c>
      <c r="H104" s="374">
        <v>26500000</v>
      </c>
      <c r="I104" s="374">
        <v>0</v>
      </c>
      <c r="J104" s="374">
        <v>26500000</v>
      </c>
      <c r="K104" s="374"/>
      <c r="L104" s="374"/>
      <c r="M104" s="472"/>
      <c r="N104" s="552" t="s">
        <v>303</v>
      </c>
      <c r="O104" s="519">
        <f>SUM(J104:K104)</f>
        <v>26500000</v>
      </c>
      <c r="R104" s="519">
        <f>H104-O104</f>
        <v>0</v>
      </c>
      <c r="S104" s="520" t="s">
        <v>303</v>
      </c>
    </row>
    <row r="105" spans="1:19" s="520" customFormat="1" ht="47.25" hidden="1" x14ac:dyDescent="0.25">
      <c r="A105" s="414"/>
      <c r="B105" s="279" t="s">
        <v>126</v>
      </c>
      <c r="C105" s="279" t="s">
        <v>125</v>
      </c>
      <c r="D105" s="377">
        <v>44000000</v>
      </c>
      <c r="E105" s="377">
        <v>0</v>
      </c>
      <c r="F105" s="377">
        <v>0</v>
      </c>
      <c r="G105" s="377">
        <v>0</v>
      </c>
      <c r="H105" s="377">
        <v>44000000</v>
      </c>
      <c r="I105" s="377">
        <v>0</v>
      </c>
      <c r="J105" s="377">
        <v>44000000</v>
      </c>
      <c r="K105" s="377">
        <v>0</v>
      </c>
      <c r="L105" s="388">
        <v>22000000</v>
      </c>
      <c r="M105" s="518">
        <v>22000000</v>
      </c>
      <c r="N105" s="551" t="s">
        <v>327</v>
      </c>
      <c r="S105" s="520" t="s">
        <v>304</v>
      </c>
    </row>
    <row r="106" spans="1:19" s="520" customFormat="1" ht="63" hidden="1" x14ac:dyDescent="0.25">
      <c r="A106" s="410"/>
      <c r="B106" s="373" t="s">
        <v>127</v>
      </c>
      <c r="C106" s="373" t="s">
        <v>128</v>
      </c>
      <c r="D106" s="374">
        <v>28000000</v>
      </c>
      <c r="E106" s="374">
        <v>0</v>
      </c>
      <c r="F106" s="374">
        <v>28000000</v>
      </c>
      <c r="G106" s="374">
        <v>0</v>
      </c>
      <c r="H106" s="374">
        <v>0</v>
      </c>
      <c r="I106" s="374">
        <v>0</v>
      </c>
      <c r="J106" s="374"/>
      <c r="K106" s="374"/>
      <c r="L106" s="521">
        <v>7250000</v>
      </c>
      <c r="M106" s="522">
        <v>7250000</v>
      </c>
      <c r="N106" s="552" t="s">
        <v>328</v>
      </c>
      <c r="P106" s="520" t="s">
        <v>305</v>
      </c>
      <c r="S106" s="520" t="s">
        <v>306</v>
      </c>
    </row>
    <row r="107" spans="1:19" ht="18.75" hidden="1" x14ac:dyDescent="0.25">
      <c r="A107" s="414"/>
      <c r="B107" s="279"/>
      <c r="C107" s="279"/>
      <c r="D107" s="377"/>
      <c r="E107" s="377"/>
      <c r="F107" s="377"/>
      <c r="G107" s="377"/>
      <c r="H107" s="377"/>
      <c r="I107" s="388"/>
      <c r="J107" s="377"/>
      <c r="K107" s="388"/>
      <c r="L107" s="426"/>
      <c r="M107" s="471"/>
      <c r="N107" s="554"/>
    </row>
    <row r="108" spans="1:19" s="511" customFormat="1" ht="18.75" hidden="1" x14ac:dyDescent="0.25">
      <c r="A108" s="413">
        <v>5</v>
      </c>
      <c r="B108" s="384" t="s">
        <v>130</v>
      </c>
      <c r="C108" s="401" t="s">
        <v>36</v>
      </c>
      <c r="D108" s="371">
        <f>SUM(D109:D110)</f>
        <v>345500000</v>
      </c>
      <c r="E108" s="371">
        <v>60000000</v>
      </c>
      <c r="F108" s="371">
        <v>0</v>
      </c>
      <c r="G108" s="371">
        <v>185500000</v>
      </c>
      <c r="H108" s="371">
        <v>100000000</v>
      </c>
      <c r="I108" s="371" t="e">
        <f t="shared" ref="I108" ca="1" si="5">SUM(I109:I110)</f>
        <v>#REF!</v>
      </c>
      <c r="J108" s="371">
        <f>SUM(J109:J110)</f>
        <v>100000000</v>
      </c>
      <c r="K108" s="371">
        <f>SUM(K109:K110)</f>
        <v>0</v>
      </c>
      <c r="L108" s="371">
        <f t="shared" ref="L108:M108" si="6">SUM(L109:L110)</f>
        <v>100000000</v>
      </c>
      <c r="M108" s="371">
        <f t="shared" si="6"/>
        <v>100000000</v>
      </c>
      <c r="N108" s="555"/>
    </row>
    <row r="109" spans="1:19" s="520" customFormat="1" ht="63" hidden="1" x14ac:dyDescent="0.25">
      <c r="A109" s="414"/>
      <c r="B109" s="279" t="s">
        <v>131</v>
      </c>
      <c r="C109" s="279" t="s">
        <v>25</v>
      </c>
      <c r="D109" s="377">
        <v>160000000</v>
      </c>
      <c r="E109" s="377">
        <v>60000000</v>
      </c>
      <c r="F109" s="377">
        <v>0</v>
      </c>
      <c r="G109" s="377">
        <v>0</v>
      </c>
      <c r="H109" s="377">
        <v>100000000</v>
      </c>
      <c r="I109" s="377" t="e">
        <f ca="1">SUM(I110:I112)</f>
        <v>#REF!</v>
      </c>
      <c r="J109" s="377">
        <v>100000000</v>
      </c>
      <c r="K109" s="377"/>
      <c r="L109" s="437">
        <v>100000000</v>
      </c>
      <c r="M109" s="523">
        <v>100000000</v>
      </c>
      <c r="N109" s="556" t="s">
        <v>329</v>
      </c>
      <c r="S109" s="520" t="s">
        <v>322</v>
      </c>
    </row>
    <row r="110" spans="1:19" s="520" customFormat="1" ht="47.25" hidden="1" x14ac:dyDescent="0.25">
      <c r="A110" s="410"/>
      <c r="B110" s="373" t="s">
        <v>132</v>
      </c>
      <c r="C110" s="373" t="s">
        <v>133</v>
      </c>
      <c r="D110" s="374">
        <v>185500000</v>
      </c>
      <c r="E110" s="374">
        <v>0</v>
      </c>
      <c r="F110" s="374">
        <v>0</v>
      </c>
      <c r="G110" s="374">
        <v>185500000</v>
      </c>
      <c r="H110" s="374">
        <v>0</v>
      </c>
      <c r="I110" s="374">
        <f>SUM(I113:I142)</f>
        <v>0</v>
      </c>
      <c r="J110" s="374"/>
      <c r="K110" s="374"/>
      <c r="L110" s="374"/>
      <c r="M110" s="472"/>
      <c r="N110" s="552" t="s">
        <v>324</v>
      </c>
      <c r="S110" s="520" t="s">
        <v>307</v>
      </c>
    </row>
    <row r="111" spans="1:19" s="481" customFormat="1" ht="18.75" hidden="1" x14ac:dyDescent="0.25">
      <c r="A111" s="494"/>
      <c r="B111" s="256"/>
      <c r="C111" s="256"/>
      <c r="D111" s="431"/>
      <c r="E111" s="431"/>
      <c r="F111" s="431"/>
      <c r="G111" s="431"/>
      <c r="H111" s="431"/>
      <c r="I111" s="506"/>
      <c r="J111" s="479"/>
      <c r="K111" s="506"/>
      <c r="L111" s="479"/>
      <c r="M111" s="507"/>
      <c r="N111" s="556"/>
    </row>
    <row r="112" spans="1:19" s="511" customFormat="1" ht="19.5" hidden="1" thickBot="1" x14ac:dyDescent="0.3">
      <c r="A112" s="557"/>
      <c r="B112" s="558" t="s">
        <v>134</v>
      </c>
      <c r="C112" s="558" t="s">
        <v>16</v>
      </c>
      <c r="D112" s="559">
        <f>SUM(D93,D97,D100,D103,D108)</f>
        <v>3067000000</v>
      </c>
      <c r="E112" s="559">
        <f t="shared" ref="E112:M112" si="7">SUM(E93,E97,E100,E103,E108)</f>
        <v>450000000</v>
      </c>
      <c r="F112" s="559">
        <f t="shared" si="7"/>
        <v>300000000</v>
      </c>
      <c r="G112" s="559">
        <f t="shared" si="7"/>
        <v>456593300</v>
      </c>
      <c r="H112" s="559">
        <f t="shared" si="7"/>
        <v>1970406700</v>
      </c>
      <c r="I112" s="559">
        <f t="shared" ca="1" si="7"/>
        <v>3067000000</v>
      </c>
      <c r="J112" s="559">
        <f t="shared" si="7"/>
        <v>1307385000</v>
      </c>
      <c r="K112" s="559">
        <f t="shared" si="7"/>
        <v>663021700</v>
      </c>
      <c r="L112" s="559">
        <f t="shared" si="7"/>
        <v>129250000</v>
      </c>
      <c r="M112" s="559">
        <f t="shared" si="7"/>
        <v>129250000</v>
      </c>
      <c r="N112" s="560"/>
    </row>
    <row r="113" spans="1:14" s="481" customFormat="1" ht="57" thickTop="1" x14ac:dyDescent="0.25">
      <c r="A113" s="537" t="s">
        <v>310</v>
      </c>
      <c r="B113" s="538"/>
      <c r="C113" s="539"/>
      <c r="D113" s="540"/>
      <c r="E113" s="541"/>
      <c r="F113" s="541"/>
      <c r="G113" s="541"/>
      <c r="H113" s="540"/>
      <c r="I113" s="542"/>
      <c r="J113" s="543"/>
      <c r="K113" s="542"/>
      <c r="L113" s="540"/>
      <c r="M113" s="544"/>
      <c r="N113" s="545"/>
    </row>
    <row r="114" spans="1:14" ht="39.75" customHeight="1" x14ac:dyDescent="0.25">
      <c r="A114" s="476"/>
      <c r="B114" s="482"/>
      <c r="C114" s="268"/>
      <c r="D114" s="431"/>
      <c r="E114" s="477"/>
      <c r="F114" s="477"/>
      <c r="G114" s="477"/>
      <c r="H114" s="431"/>
      <c r="I114" s="478"/>
      <c r="J114" s="479"/>
      <c r="K114" s="478"/>
      <c r="L114" s="431"/>
      <c r="M114" s="480"/>
      <c r="N114" s="532"/>
    </row>
    <row r="115" spans="1:14" s="515" customFormat="1" ht="18.75" customHeight="1" x14ac:dyDescent="0.25">
      <c r="A115" s="413">
        <v>1</v>
      </c>
      <c r="B115" s="484" t="s">
        <v>282</v>
      </c>
      <c r="C115" s="370"/>
      <c r="D115" s="371"/>
      <c r="E115" s="513"/>
      <c r="F115" s="513"/>
      <c r="G115" s="513"/>
      <c r="H115" s="371"/>
      <c r="I115" s="514"/>
      <c r="J115" s="505"/>
      <c r="K115" s="514"/>
      <c r="L115" s="371">
        <f>SUM(L116:L126)</f>
        <v>710375000</v>
      </c>
      <c r="M115" s="371">
        <f>SUM(M116:M126)</f>
        <v>395675000</v>
      </c>
      <c r="N115" s="531"/>
    </row>
    <row r="116" spans="1:14" s="520" customFormat="1" ht="18.75" customHeight="1" x14ac:dyDescent="0.25">
      <c r="A116" s="476"/>
      <c r="B116" s="482" t="s">
        <v>311</v>
      </c>
      <c r="C116" s="268"/>
      <c r="D116" s="431"/>
      <c r="E116" s="524"/>
      <c r="F116" s="524"/>
      <c r="G116" s="524"/>
      <c r="H116" s="431"/>
      <c r="I116" s="525"/>
      <c r="J116" s="479"/>
      <c r="K116" s="525"/>
      <c r="L116" s="431">
        <v>69000000</v>
      </c>
      <c r="M116" s="480"/>
      <c r="N116" s="532"/>
    </row>
    <row r="117" spans="1:14" s="528" customFormat="1" ht="18.75" customHeight="1" x14ac:dyDescent="0.25">
      <c r="A117" s="421"/>
      <c r="B117" s="483" t="s">
        <v>312</v>
      </c>
      <c r="C117" s="378"/>
      <c r="D117" s="374"/>
      <c r="E117" s="526"/>
      <c r="F117" s="526"/>
      <c r="G117" s="526"/>
      <c r="H117" s="374"/>
      <c r="I117" s="527"/>
      <c r="J117" s="435"/>
      <c r="K117" s="527"/>
      <c r="L117" s="374">
        <v>96600000</v>
      </c>
      <c r="M117" s="472">
        <v>69000000</v>
      </c>
      <c r="N117" s="530"/>
    </row>
    <row r="118" spans="1:14" s="520" customFormat="1" ht="18.75" customHeight="1" x14ac:dyDescent="0.25">
      <c r="A118" s="476"/>
      <c r="B118" s="482" t="s">
        <v>313</v>
      </c>
      <c r="C118" s="268"/>
      <c r="D118" s="431"/>
      <c r="E118" s="524"/>
      <c r="F118" s="524"/>
      <c r="G118" s="524"/>
      <c r="H118" s="431"/>
      <c r="I118" s="525"/>
      <c r="J118" s="479"/>
      <c r="K118" s="525"/>
      <c r="L118" s="431">
        <v>25500000</v>
      </c>
      <c r="M118" s="480">
        <v>17000000</v>
      </c>
      <c r="N118" s="532"/>
    </row>
    <row r="119" spans="1:14" s="528" customFormat="1" ht="18.75" customHeight="1" x14ac:dyDescent="0.25">
      <c r="A119" s="421"/>
      <c r="B119" s="483" t="s">
        <v>314</v>
      </c>
      <c r="C119" s="378"/>
      <c r="D119" s="374"/>
      <c r="E119" s="526"/>
      <c r="F119" s="526"/>
      <c r="G119" s="526"/>
      <c r="H119" s="374"/>
      <c r="I119" s="527"/>
      <c r="J119" s="435"/>
      <c r="K119" s="527"/>
      <c r="L119" s="374">
        <v>9000000</v>
      </c>
      <c r="M119" s="472"/>
      <c r="N119" s="530"/>
    </row>
    <row r="120" spans="1:14" s="520" customFormat="1" ht="18.75" customHeight="1" x14ac:dyDescent="0.25">
      <c r="A120" s="476"/>
      <c r="B120" s="482" t="s">
        <v>315</v>
      </c>
      <c r="C120" s="268"/>
      <c r="D120" s="431"/>
      <c r="E120" s="524"/>
      <c r="F120" s="524"/>
      <c r="G120" s="524"/>
      <c r="H120" s="431"/>
      <c r="I120" s="525"/>
      <c r="J120" s="479"/>
      <c r="K120" s="525"/>
      <c r="L120" s="431">
        <v>8600000</v>
      </c>
      <c r="M120" s="480"/>
      <c r="N120" s="532"/>
    </row>
    <row r="121" spans="1:14" s="528" customFormat="1" ht="18.75" customHeight="1" x14ac:dyDescent="0.25">
      <c r="A121" s="421"/>
      <c r="B121" s="483" t="s">
        <v>316</v>
      </c>
      <c r="C121" s="378"/>
      <c r="D121" s="374"/>
      <c r="E121" s="526"/>
      <c r="F121" s="526"/>
      <c r="G121" s="526"/>
      <c r="H121" s="374"/>
      <c r="I121" s="527"/>
      <c r="J121" s="435"/>
      <c r="K121" s="527"/>
      <c r="L121" s="374">
        <v>5000000</v>
      </c>
      <c r="M121" s="472">
        <v>5000000</v>
      </c>
      <c r="N121" s="530"/>
    </row>
    <row r="122" spans="1:14" s="520" customFormat="1" ht="18.75" customHeight="1" x14ac:dyDescent="0.25">
      <c r="A122" s="476"/>
      <c r="B122" s="482" t="s">
        <v>317</v>
      </c>
      <c r="C122" s="268"/>
      <c r="D122" s="431"/>
      <c r="E122" s="524"/>
      <c r="F122" s="524"/>
      <c r="G122" s="524"/>
      <c r="H122" s="431"/>
      <c r="I122" s="525"/>
      <c r="J122" s="479"/>
      <c r="K122" s="525"/>
      <c r="L122" s="431">
        <v>175000</v>
      </c>
      <c r="M122" s="480">
        <v>175000</v>
      </c>
      <c r="N122" s="532"/>
    </row>
    <row r="123" spans="1:14" s="528" customFormat="1" ht="18.75" customHeight="1" x14ac:dyDescent="0.25">
      <c r="A123" s="421"/>
      <c r="B123" s="483" t="s">
        <v>318</v>
      </c>
      <c r="C123" s="378"/>
      <c r="D123" s="374"/>
      <c r="E123" s="526"/>
      <c r="F123" s="526"/>
      <c r="G123" s="526"/>
      <c r="H123" s="374"/>
      <c r="I123" s="527"/>
      <c r="J123" s="435"/>
      <c r="K123" s="527"/>
      <c r="L123" s="374">
        <v>37500000</v>
      </c>
      <c r="M123" s="472">
        <v>37500000</v>
      </c>
      <c r="N123" s="530"/>
    </row>
    <row r="124" spans="1:14" s="520" customFormat="1" ht="18.75" customHeight="1" x14ac:dyDescent="0.25">
      <c r="A124" s="476"/>
      <c r="B124" s="482" t="s">
        <v>319</v>
      </c>
      <c r="C124" s="268"/>
      <c r="D124" s="431"/>
      <c r="E124" s="524"/>
      <c r="F124" s="524"/>
      <c r="G124" s="524"/>
      <c r="H124" s="431"/>
      <c r="I124" s="525"/>
      <c r="J124" s="479"/>
      <c r="K124" s="525"/>
      <c r="L124" s="431">
        <v>165000000</v>
      </c>
      <c r="M124" s="480">
        <v>110000000</v>
      </c>
      <c r="N124" s="532"/>
    </row>
    <row r="125" spans="1:14" s="528" customFormat="1" ht="18.75" customHeight="1" x14ac:dyDescent="0.25">
      <c r="A125" s="421"/>
      <c r="B125" s="483" t="s">
        <v>320</v>
      </c>
      <c r="C125" s="378"/>
      <c r="D125" s="374"/>
      <c r="E125" s="526"/>
      <c r="F125" s="526"/>
      <c r="G125" s="526"/>
      <c r="H125" s="374"/>
      <c r="I125" s="527"/>
      <c r="J125" s="435"/>
      <c r="K125" s="527"/>
      <c r="L125" s="374">
        <v>60000000</v>
      </c>
      <c r="M125" s="472">
        <v>40000000</v>
      </c>
      <c r="N125" s="530"/>
    </row>
    <row r="126" spans="1:14" s="529" customFormat="1" ht="18.75" customHeight="1" x14ac:dyDescent="0.25">
      <c r="A126" s="476"/>
      <c r="B126" s="482" t="s">
        <v>321</v>
      </c>
      <c r="C126" s="268"/>
      <c r="D126" s="431"/>
      <c r="E126" s="524"/>
      <c r="F126" s="524"/>
      <c r="G126" s="524"/>
      <c r="H126" s="431"/>
      <c r="I126" s="525"/>
      <c r="J126" s="479"/>
      <c r="K126" s="525"/>
      <c r="L126" s="431">
        <v>234000000</v>
      </c>
      <c r="M126" s="480">
        <v>117000000</v>
      </c>
      <c r="N126" s="532"/>
    </row>
    <row r="127" spans="1:14" s="481" customFormat="1" ht="18.75" x14ac:dyDescent="0.25">
      <c r="A127" s="498"/>
      <c r="B127" s="499"/>
      <c r="C127" s="500"/>
      <c r="D127" s="432"/>
      <c r="E127" s="434"/>
      <c r="F127" s="434"/>
      <c r="G127" s="434"/>
      <c r="H127" s="432"/>
      <c r="I127" s="501"/>
      <c r="J127" s="502"/>
      <c r="K127" s="501"/>
      <c r="L127" s="432"/>
      <c r="M127" s="503"/>
      <c r="N127" s="533"/>
    </row>
    <row r="128" spans="1:14" s="493" customFormat="1" ht="18.75" x14ac:dyDescent="0.25">
      <c r="A128" s="476"/>
      <c r="B128" s="482"/>
      <c r="C128" s="268"/>
      <c r="D128" s="431"/>
      <c r="E128" s="477"/>
      <c r="F128" s="477"/>
      <c r="G128" s="477"/>
      <c r="H128" s="431"/>
      <c r="I128" s="478"/>
      <c r="J128" s="479"/>
      <c r="K128" s="478"/>
      <c r="L128" s="431"/>
      <c r="M128" s="480"/>
      <c r="N128" s="532"/>
    </row>
    <row r="129" spans="1:14" s="515" customFormat="1" ht="18.75" x14ac:dyDescent="0.25">
      <c r="A129" s="504">
        <v>2</v>
      </c>
      <c r="B129" s="497" t="s">
        <v>287</v>
      </c>
      <c r="C129" s="370"/>
      <c r="D129" s="371"/>
      <c r="E129" s="513"/>
      <c r="F129" s="513"/>
      <c r="G129" s="513"/>
      <c r="H129" s="371"/>
      <c r="I129" s="514"/>
      <c r="J129" s="505"/>
      <c r="K129" s="514"/>
      <c r="L129" s="371">
        <v>10000000</v>
      </c>
      <c r="M129" s="470"/>
      <c r="N129" s="531"/>
    </row>
    <row r="130" spans="1:14" s="493" customFormat="1" ht="18.75" x14ac:dyDescent="0.25">
      <c r="A130" s="476"/>
      <c r="B130" s="482"/>
      <c r="C130" s="268"/>
      <c r="D130" s="431"/>
      <c r="E130" s="477"/>
      <c r="F130" s="477"/>
      <c r="G130" s="477"/>
      <c r="H130" s="431"/>
      <c r="I130" s="478"/>
      <c r="J130" s="479"/>
      <c r="K130" s="478"/>
      <c r="L130" s="431"/>
      <c r="M130" s="480"/>
      <c r="N130" s="532"/>
    </row>
    <row r="131" spans="1:14" s="515" customFormat="1" ht="63" x14ac:dyDescent="0.25">
      <c r="A131" s="504">
        <v>3</v>
      </c>
      <c r="B131" s="487" t="s">
        <v>289</v>
      </c>
      <c r="C131" s="370"/>
      <c r="D131" s="371"/>
      <c r="E131" s="513"/>
      <c r="F131" s="513"/>
      <c r="G131" s="513"/>
      <c r="H131" s="371"/>
      <c r="I131" s="514"/>
      <c r="J131" s="505"/>
      <c r="K131" s="514"/>
      <c r="L131" s="371">
        <v>45000000</v>
      </c>
      <c r="M131" s="470">
        <v>45000000</v>
      </c>
      <c r="N131" s="530" t="s">
        <v>325</v>
      </c>
    </row>
    <row r="132" spans="1:14" s="481" customFormat="1" ht="18.75" x14ac:dyDescent="0.25">
      <c r="A132" s="494"/>
      <c r="B132" s="485"/>
      <c r="C132" s="485"/>
      <c r="D132" s="473"/>
      <c r="E132" s="430"/>
      <c r="F132" s="430"/>
      <c r="G132" s="430"/>
      <c r="H132" s="430"/>
      <c r="I132" s="495"/>
      <c r="J132" s="475"/>
      <c r="K132" s="495"/>
      <c r="L132" s="278"/>
      <c r="M132" s="496"/>
      <c r="N132" s="534"/>
    </row>
    <row r="133" spans="1:14" s="515" customFormat="1" ht="63" x14ac:dyDescent="0.25">
      <c r="A133" s="486">
        <v>4</v>
      </c>
      <c r="B133" s="487" t="s">
        <v>290</v>
      </c>
      <c r="C133" s="487"/>
      <c r="D133" s="433"/>
      <c r="E133" s="488"/>
      <c r="F133" s="488"/>
      <c r="G133" s="488"/>
      <c r="H133" s="488"/>
      <c r="I133" s="489"/>
      <c r="J133" s="490"/>
      <c r="K133" s="489"/>
      <c r="L133" s="516">
        <v>13250000</v>
      </c>
      <c r="M133" s="517">
        <v>13250000</v>
      </c>
      <c r="N133" s="530" t="s">
        <v>325</v>
      </c>
    </row>
    <row r="134" spans="1:14" s="493" customFormat="1" ht="18.75" x14ac:dyDescent="0.25">
      <c r="A134" s="494"/>
      <c r="B134" s="485"/>
      <c r="C134" s="485"/>
      <c r="D134" s="473"/>
      <c r="E134" s="430"/>
      <c r="F134" s="430"/>
      <c r="G134" s="430"/>
      <c r="H134" s="430"/>
      <c r="I134" s="495"/>
      <c r="J134" s="475"/>
      <c r="K134" s="495"/>
      <c r="L134" s="278"/>
      <c r="M134" s="496"/>
      <c r="N134" s="534"/>
    </row>
    <row r="135" spans="1:14" s="515" customFormat="1" ht="37.5" x14ac:dyDescent="0.25">
      <c r="A135" s="486">
        <v>5</v>
      </c>
      <c r="B135" s="487" t="s">
        <v>292</v>
      </c>
      <c r="C135" s="487"/>
      <c r="D135" s="433"/>
      <c r="E135" s="488"/>
      <c r="F135" s="488"/>
      <c r="G135" s="488"/>
      <c r="H135" s="488"/>
      <c r="I135" s="489"/>
      <c r="J135" s="490"/>
      <c r="K135" s="489"/>
      <c r="L135" s="516">
        <v>194400000</v>
      </c>
      <c r="M135" s="517">
        <v>145800000</v>
      </c>
      <c r="N135" s="535"/>
    </row>
    <row r="136" spans="1:14" s="493" customFormat="1" ht="18.75" x14ac:dyDescent="0.25">
      <c r="A136" s="494"/>
      <c r="B136" s="485"/>
      <c r="C136" s="485"/>
      <c r="D136" s="473"/>
      <c r="E136" s="430"/>
      <c r="F136" s="430"/>
      <c r="G136" s="430"/>
      <c r="H136" s="430"/>
      <c r="I136" s="495"/>
      <c r="J136" s="475"/>
      <c r="K136" s="495"/>
      <c r="L136" s="278"/>
      <c r="M136" s="496"/>
      <c r="N136" s="534"/>
    </row>
    <row r="137" spans="1:14" s="515" customFormat="1" ht="18.75" x14ac:dyDescent="0.25">
      <c r="A137" s="486">
        <v>6</v>
      </c>
      <c r="B137" s="487" t="s">
        <v>293</v>
      </c>
      <c r="C137" s="487"/>
      <c r="D137" s="433"/>
      <c r="E137" s="488"/>
      <c r="F137" s="488"/>
      <c r="G137" s="488"/>
      <c r="H137" s="488"/>
      <c r="I137" s="489"/>
      <c r="J137" s="490"/>
      <c r="K137" s="489"/>
      <c r="L137" s="516">
        <v>118496200</v>
      </c>
      <c r="M137" s="517">
        <v>118496200</v>
      </c>
      <c r="N137" s="535"/>
    </row>
    <row r="138" spans="1:14" s="493" customFormat="1" ht="18.75" x14ac:dyDescent="0.25">
      <c r="A138" s="494"/>
      <c r="B138" s="485"/>
      <c r="C138" s="485"/>
      <c r="D138" s="473"/>
      <c r="E138" s="430"/>
      <c r="F138" s="430"/>
      <c r="G138" s="430"/>
      <c r="H138" s="430"/>
      <c r="I138" s="495"/>
      <c r="J138" s="475"/>
      <c r="K138" s="495"/>
      <c r="L138" s="278"/>
      <c r="M138" s="496"/>
      <c r="N138" s="534"/>
    </row>
    <row r="139" spans="1:14" s="515" customFormat="1" ht="18.75" x14ac:dyDescent="0.25">
      <c r="A139" s="486">
        <v>7</v>
      </c>
      <c r="B139" s="487" t="s">
        <v>296</v>
      </c>
      <c r="C139" s="487"/>
      <c r="D139" s="433"/>
      <c r="E139" s="488"/>
      <c r="F139" s="488"/>
      <c r="G139" s="488"/>
      <c r="H139" s="488"/>
      <c r="I139" s="489"/>
      <c r="J139" s="490"/>
      <c r="K139" s="489"/>
      <c r="L139" s="516">
        <v>1500000000</v>
      </c>
      <c r="M139" s="517"/>
      <c r="N139" s="535"/>
    </row>
    <row r="140" spans="1:14" s="493" customFormat="1" ht="18.75" x14ac:dyDescent="0.25">
      <c r="A140" s="494"/>
      <c r="B140" s="485"/>
      <c r="C140" s="485"/>
      <c r="D140" s="473"/>
      <c r="E140" s="430"/>
      <c r="F140" s="430"/>
      <c r="G140" s="430"/>
      <c r="H140" s="430"/>
      <c r="I140" s="495"/>
      <c r="J140" s="475"/>
      <c r="K140" s="495"/>
      <c r="L140" s="278"/>
      <c r="M140" s="496"/>
      <c r="N140" s="534"/>
    </row>
    <row r="141" spans="1:14" s="481" customFormat="1" ht="18.75" x14ac:dyDescent="0.25">
      <c r="A141" s="486"/>
      <c r="B141" s="487"/>
      <c r="C141" s="487"/>
      <c r="D141" s="433"/>
      <c r="E141" s="488"/>
      <c r="F141" s="488"/>
      <c r="G141" s="488"/>
      <c r="H141" s="488"/>
      <c r="I141" s="489"/>
      <c r="J141" s="490"/>
      <c r="K141" s="489"/>
      <c r="L141" s="491"/>
      <c r="M141" s="492"/>
      <c r="N141" s="536"/>
    </row>
    <row r="142" spans="1:14" ht="18.75" x14ac:dyDescent="0.25">
      <c r="A142" s="476"/>
      <c r="B142" s="256"/>
      <c r="C142" s="268"/>
      <c r="D142" s="431"/>
      <c r="E142" s="477"/>
      <c r="F142" s="477"/>
      <c r="G142" s="477"/>
      <c r="H142" s="431"/>
      <c r="I142" s="478"/>
      <c r="J142" s="479"/>
      <c r="K142" s="478"/>
      <c r="L142" s="431"/>
      <c r="M142" s="480"/>
      <c r="N142" s="532"/>
    </row>
    <row r="143" spans="1:14" s="511" customFormat="1" ht="18.75" x14ac:dyDescent="0.3">
      <c r="A143" s="424"/>
      <c r="B143" s="309" t="s">
        <v>134</v>
      </c>
      <c r="C143" s="309" t="s">
        <v>16</v>
      </c>
      <c r="D143" s="436">
        <f t="shared" ref="D143:K143" si="8">SUM(D115,D129,D131,D133,D135,D137,D139)</f>
        <v>0</v>
      </c>
      <c r="E143" s="436">
        <f t="shared" si="8"/>
        <v>0</v>
      </c>
      <c r="F143" s="436">
        <f t="shared" si="8"/>
        <v>0</v>
      </c>
      <c r="G143" s="436">
        <f t="shared" si="8"/>
        <v>0</v>
      </c>
      <c r="H143" s="436">
        <f t="shared" si="8"/>
        <v>0</v>
      </c>
      <c r="I143" s="436">
        <f t="shared" si="8"/>
        <v>0</v>
      </c>
      <c r="J143" s="436">
        <f t="shared" si="8"/>
        <v>0</v>
      </c>
      <c r="K143" s="436">
        <f t="shared" si="8"/>
        <v>0</v>
      </c>
      <c r="L143" s="436">
        <f>SUM(L115,L129,L131,L133,L135,L137,L139)</f>
        <v>2591521200</v>
      </c>
      <c r="M143" s="436">
        <f>SUM(M115,M129,M131,M133,M135,M137,M139)</f>
        <v>718221200</v>
      </c>
      <c r="N143" s="402"/>
    </row>
    <row r="144" spans="1:14" ht="18.75" x14ac:dyDescent="0.3">
      <c r="A144" s="508"/>
      <c r="B144" s="509"/>
      <c r="C144" s="509"/>
      <c r="D144" s="510"/>
      <c r="E144" s="510"/>
      <c r="F144" s="510"/>
      <c r="G144" s="510"/>
      <c r="H144" s="510"/>
      <c r="I144" s="510"/>
      <c r="J144" s="510"/>
      <c r="K144" s="510"/>
      <c r="L144" s="510">
        <f>SUM(L143,L112)</f>
        <v>2720771200</v>
      </c>
      <c r="M144" s="510">
        <f>SUM(M143,M112)</f>
        <v>847471200</v>
      </c>
      <c r="N144" s="466"/>
    </row>
    <row r="145" spans="1:14" ht="18.75" x14ac:dyDescent="0.3">
      <c r="A145" s="508"/>
      <c r="B145" s="509"/>
      <c r="C145" s="509"/>
      <c r="D145" s="510"/>
      <c r="E145" s="510"/>
      <c r="F145" s="510"/>
      <c r="G145" s="510"/>
      <c r="H145" s="510"/>
      <c r="I145" s="510"/>
      <c r="J145" s="510"/>
      <c r="K145" s="510"/>
      <c r="L145" s="510"/>
      <c r="M145" s="510"/>
      <c r="N145" s="466"/>
    </row>
    <row r="147" spans="1:14" ht="18.75" x14ac:dyDescent="0.3">
      <c r="B147" s="444" t="s">
        <v>309</v>
      </c>
    </row>
    <row r="148" spans="1:14" ht="18.75" x14ac:dyDescent="0.3">
      <c r="B148" s="444" t="s">
        <v>308</v>
      </c>
    </row>
    <row r="150" spans="1:14" x14ac:dyDescent="0.25">
      <c r="H150" t="s">
        <v>201</v>
      </c>
    </row>
  </sheetData>
  <mergeCells count="12">
    <mergeCell ref="N4:N5"/>
    <mergeCell ref="J4:K4"/>
    <mergeCell ref="J3:K3"/>
    <mergeCell ref="L4:M4"/>
    <mergeCell ref="A4:A5"/>
    <mergeCell ref="B4:B5"/>
    <mergeCell ref="C4:C5"/>
    <mergeCell ref="D4:D5"/>
    <mergeCell ref="H4:H5"/>
    <mergeCell ref="E4:E5"/>
    <mergeCell ref="F4:F5"/>
    <mergeCell ref="G4:G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5" sqref="C5:C6"/>
    </sheetView>
  </sheetViews>
  <sheetFormatPr defaultRowHeight="15" x14ac:dyDescent="0.25"/>
  <cols>
    <col min="1" max="1" width="5.42578125" customWidth="1"/>
    <col min="2" max="2" width="32.85546875" customWidth="1"/>
    <col min="3" max="3" width="16.28515625" customWidth="1"/>
  </cols>
  <sheetData>
    <row r="1" spans="1:6" ht="25.5" customHeight="1" thickBot="1" x14ac:dyDescent="0.3">
      <c r="A1" s="723" t="s">
        <v>280</v>
      </c>
      <c r="B1" s="723"/>
      <c r="C1" s="723"/>
      <c r="D1" s="723"/>
      <c r="E1" s="723"/>
      <c r="F1" s="723"/>
    </row>
    <row r="2" spans="1:6" ht="15.75" thickBot="1" x14ac:dyDescent="0.3">
      <c r="A2" s="440" t="s">
        <v>1</v>
      </c>
      <c r="B2" s="441" t="s">
        <v>281</v>
      </c>
      <c r="C2" s="442" t="s">
        <v>12</v>
      </c>
    </row>
    <row r="3" spans="1:6" ht="45.75" thickTop="1" x14ac:dyDescent="0.25">
      <c r="A3" s="439">
        <v>1</v>
      </c>
      <c r="B3" s="439" t="s">
        <v>282</v>
      </c>
      <c r="C3" s="439" t="s">
        <v>283</v>
      </c>
    </row>
    <row r="4" spans="1:6" ht="45" x14ac:dyDescent="0.25">
      <c r="A4" s="438">
        <v>2</v>
      </c>
      <c r="B4" s="438" t="s">
        <v>287</v>
      </c>
      <c r="C4" s="438" t="s">
        <v>288</v>
      </c>
    </row>
    <row r="5" spans="1:6" ht="105" customHeight="1" x14ac:dyDescent="0.25">
      <c r="A5" s="438">
        <v>3</v>
      </c>
      <c r="B5" s="438" t="s">
        <v>289</v>
      </c>
      <c r="C5" s="724" t="s">
        <v>291</v>
      </c>
    </row>
    <row r="6" spans="1:6" x14ac:dyDescent="0.25">
      <c r="A6" s="438">
        <v>4</v>
      </c>
      <c r="B6" s="438" t="s">
        <v>290</v>
      </c>
      <c r="C6" s="724"/>
    </row>
    <row r="7" spans="1:6" ht="45" x14ac:dyDescent="0.25">
      <c r="A7" s="438">
        <v>5</v>
      </c>
      <c r="B7" s="438" t="s">
        <v>292</v>
      </c>
      <c r="C7" s="438" t="s">
        <v>288</v>
      </c>
    </row>
    <row r="8" spans="1:6" ht="45" x14ac:dyDescent="0.25">
      <c r="A8" s="438">
        <v>6</v>
      </c>
      <c r="B8" s="438" t="s">
        <v>293</v>
      </c>
      <c r="C8" s="438" t="s">
        <v>294</v>
      </c>
    </row>
    <row r="9" spans="1:6" ht="45" x14ac:dyDescent="0.25">
      <c r="A9" s="438">
        <v>7</v>
      </c>
      <c r="B9" s="438" t="s">
        <v>296</v>
      </c>
      <c r="C9" s="438" t="s">
        <v>295</v>
      </c>
    </row>
    <row r="10" spans="1:6" x14ac:dyDescent="0.25">
      <c r="A10" s="345"/>
      <c r="B10" s="345"/>
      <c r="C10" s="345"/>
    </row>
    <row r="11" spans="1:6" x14ac:dyDescent="0.25">
      <c r="A11" s="345"/>
      <c r="B11" s="345"/>
      <c r="C11" s="345"/>
    </row>
    <row r="12" spans="1:6" x14ac:dyDescent="0.25">
      <c r="A12" s="345"/>
      <c r="B12" s="345"/>
      <c r="C12" s="345"/>
    </row>
    <row r="13" spans="1:6" x14ac:dyDescent="0.25">
      <c r="A13" s="345"/>
      <c r="B13" s="345"/>
      <c r="C13" s="345"/>
    </row>
    <row r="14" spans="1:6" x14ac:dyDescent="0.25">
      <c r="A14" s="345"/>
      <c r="B14" s="345"/>
      <c r="C14" s="345"/>
    </row>
    <row r="15" spans="1:6" x14ac:dyDescent="0.25">
      <c r="A15" s="345"/>
      <c r="B15" s="345"/>
      <c r="C15" s="345"/>
    </row>
    <row r="16" spans="1:6" x14ac:dyDescent="0.25">
      <c r="A16" s="345"/>
      <c r="B16" s="345"/>
      <c r="C16" s="345"/>
    </row>
    <row r="17" spans="1:3" x14ac:dyDescent="0.25">
      <c r="A17" s="345"/>
      <c r="B17" s="345"/>
      <c r="C17" s="345"/>
    </row>
  </sheetData>
  <mergeCells count="2">
    <mergeCell ref="A1:F1"/>
    <mergeCell ref="C5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B2" sqref="B2:E8"/>
    </sheetView>
  </sheetViews>
  <sheetFormatPr defaultRowHeight="15" x14ac:dyDescent="0.25"/>
  <cols>
    <col min="2" max="2" width="19.140625" customWidth="1"/>
    <col min="3" max="3" width="16.28515625" customWidth="1"/>
    <col min="4" max="4" width="14.7109375" customWidth="1"/>
    <col min="5" max="5" width="16.28515625" customWidth="1"/>
  </cols>
  <sheetData>
    <row r="1" spans="2:5" ht="15.75" thickBot="1" x14ac:dyDescent="0.3"/>
    <row r="2" spans="2:5" ht="15.75" thickBot="1" x14ac:dyDescent="0.3">
      <c r="B2" s="567"/>
      <c r="C2" s="568">
        <v>2015</v>
      </c>
      <c r="D2" s="568">
        <v>2016</v>
      </c>
      <c r="E2" s="569">
        <v>2017</v>
      </c>
    </row>
    <row r="3" spans="2:5" ht="15.75" thickTop="1" x14ac:dyDescent="0.25">
      <c r="B3" s="564" t="s">
        <v>333</v>
      </c>
      <c r="C3" s="565">
        <v>1500</v>
      </c>
      <c r="D3" s="565">
        <v>1485100000</v>
      </c>
      <c r="E3" s="566">
        <v>2568797100</v>
      </c>
    </row>
    <row r="4" spans="2:5" x14ac:dyDescent="0.25">
      <c r="B4" s="564" t="s">
        <v>334</v>
      </c>
      <c r="C4" s="565">
        <v>1210.777209069</v>
      </c>
      <c r="D4" s="565">
        <v>1485039034.5999999</v>
      </c>
      <c r="E4" s="566">
        <v>1142200340</v>
      </c>
    </row>
    <row r="5" spans="2:5" x14ac:dyDescent="0.25">
      <c r="B5" s="562" t="s">
        <v>158</v>
      </c>
      <c r="C5" s="577">
        <v>696.17907824999998</v>
      </c>
      <c r="D5" s="578">
        <v>182961305</v>
      </c>
      <c r="E5" s="579">
        <v>0</v>
      </c>
    </row>
    <row r="6" spans="2:5" x14ac:dyDescent="0.25">
      <c r="B6" s="562" t="s">
        <v>335</v>
      </c>
      <c r="C6" s="578">
        <v>204.33446546100001</v>
      </c>
      <c r="D6" s="578">
        <v>254709033.68000001</v>
      </c>
      <c r="E6" s="579">
        <v>0</v>
      </c>
    </row>
    <row r="7" spans="2:5" x14ac:dyDescent="0.25">
      <c r="B7" s="562" t="s">
        <v>336</v>
      </c>
      <c r="C7" s="561">
        <v>0</v>
      </c>
      <c r="D7" s="561">
        <v>0</v>
      </c>
      <c r="E7" s="579">
        <v>0</v>
      </c>
    </row>
    <row r="8" spans="2:5" ht="15.75" thickBot="1" x14ac:dyDescent="0.3">
      <c r="B8" s="563" t="s">
        <v>337</v>
      </c>
      <c r="C8" s="580">
        <v>240</v>
      </c>
      <c r="D8" s="581">
        <v>0</v>
      </c>
      <c r="E8" s="582">
        <v>0</v>
      </c>
    </row>
    <row r="9" spans="2:5" x14ac:dyDescent="0.25">
      <c r="C9" s="122">
        <f>SUM(C5:C8)</f>
        <v>1140.513543711</v>
      </c>
    </row>
    <row r="11" spans="2:5" x14ac:dyDescent="0.25">
      <c r="B11" t="s">
        <v>332</v>
      </c>
    </row>
    <row r="12" spans="2:5" ht="15.75" thickBot="1" x14ac:dyDescent="0.3"/>
    <row r="13" spans="2:5" ht="15.75" thickBot="1" x14ac:dyDescent="0.3">
      <c r="B13" s="567"/>
      <c r="C13" s="568">
        <v>2015</v>
      </c>
      <c r="D13" s="568">
        <v>2016</v>
      </c>
      <c r="E13" s="569">
        <v>2017</v>
      </c>
    </row>
    <row r="14" spans="2:5" ht="15.75" thickTop="1" x14ac:dyDescent="0.25">
      <c r="B14" s="564" t="s">
        <v>334</v>
      </c>
      <c r="C14" s="570">
        <f>C4/C3</f>
        <v>0.80718480604600007</v>
      </c>
      <c r="D14" s="572">
        <f>D4/D3</f>
        <v>0.99995894862298829</v>
      </c>
      <c r="E14" s="573">
        <f>E4/E3</f>
        <v>0.4446440475972197</v>
      </c>
    </row>
    <row r="15" spans="2:5" x14ac:dyDescent="0.25">
      <c r="B15" s="562" t="s">
        <v>158</v>
      </c>
      <c r="C15" s="570">
        <f>C5/C3</f>
        <v>0.46411938549999998</v>
      </c>
      <c r="D15" s="571">
        <f>D5/D3</f>
        <v>0.12319796983368124</v>
      </c>
      <c r="E15" s="573">
        <f>E5/E3</f>
        <v>0</v>
      </c>
    </row>
    <row r="16" spans="2:5" x14ac:dyDescent="0.25">
      <c r="B16" s="562" t="s">
        <v>335</v>
      </c>
      <c r="C16" s="570">
        <f>C6/C3</f>
        <v>0.13622297697400002</v>
      </c>
      <c r="D16" s="571">
        <f>D6/D3</f>
        <v>0.17150968532758737</v>
      </c>
      <c r="E16" s="573">
        <f>E6/E3</f>
        <v>0</v>
      </c>
    </row>
    <row r="17" spans="2:5" x14ac:dyDescent="0.25">
      <c r="B17" s="562" t="s">
        <v>336</v>
      </c>
      <c r="C17" s="570">
        <f>C7/C3</f>
        <v>0</v>
      </c>
      <c r="D17" s="571">
        <f>D7/D3</f>
        <v>0</v>
      </c>
      <c r="E17" s="573">
        <f>E7/E3</f>
        <v>0</v>
      </c>
    </row>
    <row r="18" spans="2:5" ht="15.75" thickBot="1" x14ac:dyDescent="0.3">
      <c r="B18" s="563" t="s">
        <v>337</v>
      </c>
      <c r="C18" s="574">
        <f>C8/C3</f>
        <v>0.16</v>
      </c>
      <c r="D18" s="575">
        <f>D8/D3</f>
        <v>0</v>
      </c>
      <c r="E18" s="576">
        <f>E8/E3</f>
        <v>0</v>
      </c>
    </row>
    <row r="20" spans="2:5" x14ac:dyDescent="0.25">
      <c r="C20">
        <v>2015</v>
      </c>
      <c r="D20">
        <v>2016</v>
      </c>
      <c r="E20">
        <v>2017</v>
      </c>
    </row>
    <row r="21" spans="2:5" x14ac:dyDescent="0.25">
      <c r="B21" t="s">
        <v>334</v>
      </c>
      <c r="C21" s="338">
        <v>0.80718480604599996</v>
      </c>
      <c r="D21" s="338">
        <v>0.99995894862298829</v>
      </c>
      <c r="E21" s="338">
        <v>0.4446440475972197</v>
      </c>
    </row>
    <row r="22" spans="2:5" x14ac:dyDescent="0.25">
      <c r="B22" t="s">
        <v>158</v>
      </c>
      <c r="C22" s="338">
        <v>0.46411938549999998</v>
      </c>
      <c r="D22" s="338">
        <v>0.12319796983368124</v>
      </c>
      <c r="E22" s="338">
        <v>0</v>
      </c>
    </row>
    <row r="23" spans="2:5" x14ac:dyDescent="0.25">
      <c r="B23" t="s">
        <v>335</v>
      </c>
      <c r="C23" s="338">
        <v>0.13622297697400002</v>
      </c>
      <c r="D23" s="338">
        <v>0.17150968532758737</v>
      </c>
      <c r="E23" s="338">
        <v>0</v>
      </c>
    </row>
    <row r="24" spans="2:5" x14ac:dyDescent="0.25">
      <c r="B24" t="s">
        <v>336</v>
      </c>
      <c r="C24" s="338">
        <v>0</v>
      </c>
      <c r="D24" s="338">
        <v>0</v>
      </c>
      <c r="E24" s="338">
        <v>0</v>
      </c>
    </row>
    <row r="25" spans="2:5" x14ac:dyDescent="0.25">
      <c r="B25" t="s">
        <v>337</v>
      </c>
      <c r="C25" s="338">
        <v>0.16</v>
      </c>
      <c r="D25" s="338">
        <v>0</v>
      </c>
      <c r="E25" s="338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zoomScale="50" zoomScaleNormal="50" workbookViewId="0">
      <pane xSplit="4" ySplit="1" topLeftCell="L107" activePane="bottomRight" state="frozen"/>
      <selection pane="topRight" activeCell="E1" sqref="E1"/>
      <selection pane="bottomLeft" activeCell="A5" sqref="A5"/>
      <selection pane="bottomRight" activeCell="L118" sqref="L118"/>
    </sheetView>
  </sheetViews>
  <sheetFormatPr defaultRowHeight="15" x14ac:dyDescent="0.25"/>
  <cols>
    <col min="1" max="1" width="40.28515625" customWidth="1"/>
    <col min="2" max="2" width="48.140625" customWidth="1"/>
    <col min="3" max="3" width="9.140625" hidden="1" customWidth="1"/>
    <col min="4" max="4" width="23.85546875" customWidth="1"/>
    <col min="5" max="5" width="20.28515625" customWidth="1"/>
    <col min="6" max="6" width="19.7109375" customWidth="1"/>
    <col min="7" max="9" width="20.85546875" customWidth="1"/>
    <col min="10" max="10" width="21.42578125" customWidth="1"/>
    <col min="11" max="11" width="18.5703125" customWidth="1"/>
    <col min="12" max="14" width="20.5703125" customWidth="1"/>
    <col min="15" max="19" width="21.42578125" customWidth="1"/>
    <col min="20" max="20" width="21.85546875" customWidth="1"/>
    <col min="21" max="21" width="25.28515625" customWidth="1"/>
    <col min="22" max="22" width="23.85546875" customWidth="1"/>
    <col min="23" max="23" width="22" customWidth="1"/>
    <col min="24" max="24" width="21.85546875" style="121" customWidth="1"/>
    <col min="25" max="25" width="25.28515625" style="121" customWidth="1"/>
    <col min="26" max="26" width="20.28515625" customWidth="1"/>
    <col min="28" max="28" width="12.7109375" bestFit="1" customWidth="1"/>
  </cols>
  <sheetData>
    <row r="1" spans="1:28" ht="87" customHeight="1" thickBot="1" x14ac:dyDescent="0.3">
      <c r="A1" s="320" t="s">
        <v>1</v>
      </c>
      <c r="B1" s="321" t="s">
        <v>2</v>
      </c>
      <c r="C1" s="322" t="s">
        <v>201</v>
      </c>
      <c r="D1" s="323" t="s">
        <v>205</v>
      </c>
      <c r="E1" s="323" t="s">
        <v>5</v>
      </c>
      <c r="F1" s="323" t="s">
        <v>247</v>
      </c>
      <c r="G1" s="323" t="s">
        <v>248</v>
      </c>
      <c r="H1" s="323" t="s">
        <v>249</v>
      </c>
      <c r="I1" s="323" t="s">
        <v>250</v>
      </c>
      <c r="J1" s="323" t="s">
        <v>6</v>
      </c>
      <c r="K1" s="323" t="s">
        <v>251</v>
      </c>
      <c r="L1" s="323" t="s">
        <v>252</v>
      </c>
      <c r="M1" s="323" t="s">
        <v>253</v>
      </c>
      <c r="N1" s="323" t="s">
        <v>254</v>
      </c>
      <c r="O1" s="323" t="s">
        <v>203</v>
      </c>
      <c r="P1" s="323" t="s">
        <v>255</v>
      </c>
      <c r="Q1" s="323" t="s">
        <v>256</v>
      </c>
      <c r="R1" s="323" t="s">
        <v>257</v>
      </c>
      <c r="S1" s="323" t="s">
        <v>258</v>
      </c>
      <c r="T1" s="323" t="s">
        <v>221</v>
      </c>
      <c r="U1" s="323" t="s">
        <v>204</v>
      </c>
      <c r="V1" s="323" t="s">
        <v>9</v>
      </c>
      <c r="W1" s="324" t="s">
        <v>217</v>
      </c>
      <c r="X1" s="325" t="s">
        <v>218</v>
      </c>
      <c r="Y1" s="323" t="s">
        <v>215</v>
      </c>
    </row>
    <row r="2" spans="1:28" ht="19.5" thickTop="1" x14ac:dyDescent="0.25">
      <c r="A2" s="315"/>
      <c r="B2" s="316"/>
      <c r="C2" s="317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9"/>
      <c r="X2" s="319"/>
      <c r="Y2" s="318"/>
    </row>
    <row r="3" spans="1:28" ht="73.5" customHeight="1" x14ac:dyDescent="0.25">
      <c r="A3" s="246" t="s">
        <v>15</v>
      </c>
      <c r="B3" s="246"/>
      <c r="C3" s="19" t="s">
        <v>16</v>
      </c>
      <c r="D3" s="20">
        <f>+D5+D28+D62+D88</f>
        <v>15000000000</v>
      </c>
      <c r="E3" s="20">
        <f>+E5+E28+E62+E88</f>
        <v>1500000000</v>
      </c>
      <c r="F3" s="20">
        <f t="shared" ref="F3:N3" si="0">+F5+F28+F62+F88</f>
        <v>0</v>
      </c>
      <c r="G3" s="20">
        <f t="shared" si="0"/>
        <v>1210777209.069</v>
      </c>
      <c r="H3" s="20">
        <f t="shared" si="0"/>
        <v>900513543.71099997</v>
      </c>
      <c r="I3" s="20">
        <f t="shared" si="0"/>
        <v>310263665.35799998</v>
      </c>
      <c r="J3" s="20">
        <f t="shared" si="0"/>
        <v>1485100000</v>
      </c>
      <c r="K3" s="20">
        <f>+K5+K28+K62+K88</f>
        <v>0</v>
      </c>
      <c r="L3" s="20">
        <f t="shared" si="0"/>
        <v>1485039034.5999999</v>
      </c>
      <c r="M3" s="20">
        <f t="shared" si="0"/>
        <v>437670338.68000001</v>
      </c>
      <c r="N3" s="20">
        <f t="shared" si="0"/>
        <v>1047368695.9200001</v>
      </c>
      <c r="O3" s="20">
        <f>+O5+O28+O62+O88</f>
        <v>2568797100</v>
      </c>
      <c r="P3" s="20"/>
      <c r="Q3" s="20"/>
      <c r="R3" s="20"/>
      <c r="S3" s="20"/>
      <c r="T3" s="20">
        <f>+T5+T28+T62+T88</f>
        <v>3305286200</v>
      </c>
      <c r="U3" s="20">
        <f>+U5+U28+U62+U88</f>
        <v>13547026600</v>
      </c>
      <c r="V3" s="20">
        <f>+V5+V28+V62+V88</f>
        <v>6250816700</v>
      </c>
      <c r="W3" s="20">
        <f t="shared" ref="W3:X3" si="1">+W5+W28+W62+W88</f>
        <v>154307240</v>
      </c>
      <c r="X3" s="20">
        <f t="shared" si="1"/>
        <v>3437328960</v>
      </c>
      <c r="Y3" s="20">
        <f>+Y5+Y28+Y62+Y88</f>
        <v>311235305.39999998</v>
      </c>
    </row>
    <row r="4" spans="1:28" ht="18.75" x14ac:dyDescent="0.25">
      <c r="A4" s="249"/>
      <c r="B4" s="250"/>
      <c r="C4" s="250"/>
      <c r="D4" s="251"/>
      <c r="E4" s="251"/>
      <c r="F4" s="251"/>
      <c r="G4" s="251"/>
      <c r="H4" s="251"/>
      <c r="I4" s="251">
        <f>Table3[[#This Row],[REALISASI PENYERAPAN 2015]]-Table3[[#This Row],[NILAI KONTRAK 2015]]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2"/>
      <c r="X4" s="248"/>
      <c r="Y4" s="247"/>
    </row>
    <row r="5" spans="1:28" ht="37.5" x14ac:dyDescent="0.25">
      <c r="A5" s="253" t="s">
        <v>17</v>
      </c>
      <c r="B5" s="253"/>
      <c r="C5" s="254" t="s">
        <v>18</v>
      </c>
      <c r="D5" s="255">
        <f>D7+D15+D19+D23</f>
        <v>881500000</v>
      </c>
      <c r="E5" s="255">
        <f t="shared" ref="E5:R5" si="2">E7+E15+E19+E23</f>
        <v>154000000</v>
      </c>
      <c r="F5" s="255">
        <f t="shared" si="2"/>
        <v>0</v>
      </c>
      <c r="G5" s="255">
        <f t="shared" si="2"/>
        <v>106111547.39400001</v>
      </c>
      <c r="H5" s="255">
        <f t="shared" si="2"/>
        <v>99696126.957000002</v>
      </c>
      <c r="I5" s="255">
        <f t="shared" si="2"/>
        <v>6415420.436999999</v>
      </c>
      <c r="J5" s="255">
        <f t="shared" si="2"/>
        <v>70100000</v>
      </c>
      <c r="K5" s="255">
        <f t="shared" si="2"/>
        <v>0</v>
      </c>
      <c r="L5" s="255">
        <f t="shared" si="2"/>
        <v>70086230</v>
      </c>
      <c r="M5" s="255">
        <f t="shared" si="2"/>
        <v>56756230</v>
      </c>
      <c r="N5" s="255">
        <f>Table3[[#This Row],[NILAI KONTRAK 2016]]-Table3[[#This Row],[REALISASI PENYERAPAN 2016]]</f>
        <v>13330000</v>
      </c>
      <c r="O5" s="255">
        <f t="shared" si="2"/>
        <v>244703800</v>
      </c>
      <c r="P5" s="255">
        <f t="shared" si="2"/>
        <v>0</v>
      </c>
      <c r="Q5" s="255">
        <f t="shared" si="2"/>
        <v>244700340</v>
      </c>
      <c r="R5" s="255">
        <f t="shared" si="2"/>
        <v>0</v>
      </c>
      <c r="S5" s="255"/>
      <c r="T5" s="255">
        <f>T7+T15+T19+T23</f>
        <v>344536200</v>
      </c>
      <c r="U5" s="255">
        <f>SUM(U7,U15,U19,U23)</f>
        <v>813340000</v>
      </c>
      <c r="V5" s="255">
        <f>SUM(V7,V15,V19,V23)</f>
        <v>68160000</v>
      </c>
      <c r="W5" s="255">
        <f t="shared" ref="W5" si="3">SUM(W7,W15,W19,W23)</f>
        <v>154307240</v>
      </c>
      <c r="X5" s="330">
        <f>'Kemhan-TNI'!AG12</f>
        <v>105228960</v>
      </c>
      <c r="Y5" s="331">
        <f>'Kemhan-TNI'!T12</f>
        <v>0</v>
      </c>
      <c r="AA5" t="s">
        <v>201</v>
      </c>
    </row>
    <row r="6" spans="1:28" ht="18.75" x14ac:dyDescent="0.3">
      <c r="A6" s="249"/>
      <c r="B6" s="256"/>
      <c r="C6" s="256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2"/>
      <c r="U6" s="257"/>
      <c r="V6" s="257"/>
      <c r="W6" s="252"/>
      <c r="X6" s="259"/>
      <c r="Y6" s="258"/>
    </row>
    <row r="7" spans="1:28" ht="37.5" x14ac:dyDescent="0.25">
      <c r="A7" s="260">
        <v>1</v>
      </c>
      <c r="B7" s="261" t="s">
        <v>19</v>
      </c>
      <c r="C7" s="260" t="s">
        <v>20</v>
      </c>
      <c r="D7" s="251">
        <f>SUM(D8:D13)</f>
        <v>470000000</v>
      </c>
      <c r="E7" s="251">
        <f t="shared" ref="E7:R7" si="4">SUM(E8:E13)</f>
        <v>40000000</v>
      </c>
      <c r="F7" s="251">
        <f t="shared" si="4"/>
        <v>0</v>
      </c>
      <c r="G7" s="251">
        <f t="shared" si="4"/>
        <v>37588420</v>
      </c>
      <c r="H7" s="251">
        <f t="shared" si="4"/>
        <v>35828558</v>
      </c>
      <c r="I7" s="251">
        <f t="shared" si="4"/>
        <v>1759862</v>
      </c>
      <c r="J7" s="251">
        <f t="shared" si="4"/>
        <v>30000000</v>
      </c>
      <c r="K7" s="251">
        <f t="shared" si="4"/>
        <v>0</v>
      </c>
      <c r="L7" s="251">
        <f t="shared" si="4"/>
        <v>29986230</v>
      </c>
      <c r="M7" s="251">
        <f t="shared" si="4"/>
        <v>29986230</v>
      </c>
      <c r="N7" s="251">
        <f t="shared" si="4"/>
        <v>0</v>
      </c>
      <c r="O7" s="251">
        <f t="shared" si="4"/>
        <v>155000000</v>
      </c>
      <c r="P7" s="251">
        <f t="shared" si="4"/>
        <v>0</v>
      </c>
      <c r="Q7" s="251">
        <f t="shared" si="4"/>
        <v>154996650</v>
      </c>
      <c r="R7" s="251">
        <f t="shared" si="4"/>
        <v>0</v>
      </c>
      <c r="S7" s="251"/>
      <c r="T7" s="251">
        <f>SUM(T8:T13)</f>
        <v>245000000</v>
      </c>
      <c r="U7" s="251">
        <f>SUM(E7,J7,O7,T7)</f>
        <v>470000000</v>
      </c>
      <c r="V7" s="262">
        <f>D7-U7</f>
        <v>0</v>
      </c>
      <c r="W7" s="251">
        <f t="shared" ref="W7" si="5">SUM(W8:W13)</f>
        <v>120000000</v>
      </c>
      <c r="X7" s="328">
        <f>'Kemhan-TNI'!AG14</f>
        <v>40000000</v>
      </c>
      <c r="Y7" s="329">
        <f>'Kemhan-TNI'!T14</f>
        <v>0</v>
      </c>
      <c r="AB7">
        <v>3305286200</v>
      </c>
    </row>
    <row r="8" spans="1:28" ht="37.5" x14ac:dyDescent="0.3">
      <c r="A8" s="263"/>
      <c r="B8" s="256" t="s">
        <v>21</v>
      </c>
      <c r="C8" s="256" t="s">
        <v>22</v>
      </c>
      <c r="D8" s="257">
        <v>80000000</v>
      </c>
      <c r="E8" s="257">
        <v>20000000</v>
      </c>
      <c r="F8" s="257" t="s">
        <v>223</v>
      </c>
      <c r="G8" s="257">
        <v>17598620</v>
      </c>
      <c r="H8" s="257">
        <v>15838758</v>
      </c>
      <c r="I8" s="257">
        <f>Table3[[#This Row],[NILAI KONTRAK 2015]]-Table3[[#This Row],[REALISASI PENYERAPAN 2015]]</f>
        <v>1759862</v>
      </c>
      <c r="J8" s="257">
        <v>0</v>
      </c>
      <c r="K8" s="257"/>
      <c r="L8" s="257"/>
      <c r="M8" s="257"/>
      <c r="N8" s="257">
        <f>Table3[[#This Row],[NILAI KONTRAK 2016]]-Table3[[#This Row],[REALISASI PENYERAPAN 2016]]</f>
        <v>0</v>
      </c>
      <c r="O8" s="257">
        <v>0</v>
      </c>
      <c r="P8" s="257">
        <v>0</v>
      </c>
      <c r="Q8" s="257">
        <v>0</v>
      </c>
      <c r="R8" s="257"/>
      <c r="S8" s="257"/>
      <c r="T8" s="264">
        <v>60000000</v>
      </c>
      <c r="U8" s="251">
        <f t="shared" ref="U8:U13" si="6">SUM(E8,J8,O8,T8)</f>
        <v>80000000</v>
      </c>
      <c r="V8" s="262">
        <f t="shared" ref="V8:V13" si="7">D8-U8</f>
        <v>0</v>
      </c>
      <c r="W8" s="264">
        <v>20000000</v>
      </c>
      <c r="X8" s="259">
        <f>'Kemhan-TNI'!AG15</f>
        <v>40000000</v>
      </c>
      <c r="Y8" s="258">
        <f>'Kemhan-TNI'!T15</f>
        <v>1759862</v>
      </c>
    </row>
    <row r="9" spans="1:28" ht="37.5" x14ac:dyDescent="0.3">
      <c r="A9" s="249"/>
      <c r="B9" s="256" t="s">
        <v>24</v>
      </c>
      <c r="C9" s="256" t="s">
        <v>25</v>
      </c>
      <c r="D9" s="257">
        <v>130000000</v>
      </c>
      <c r="E9" s="257">
        <v>0</v>
      </c>
      <c r="F9" s="257"/>
      <c r="G9" s="257"/>
      <c r="H9" s="257"/>
      <c r="I9" s="257"/>
      <c r="J9" s="257">
        <v>0</v>
      </c>
      <c r="K9" s="257"/>
      <c r="L9" s="257"/>
      <c r="M9" s="257"/>
      <c r="N9" s="257">
        <f>Table3[[#This Row],[NILAI KONTRAK 2016]]-Table3[[#This Row],[REALISASI PENYERAPAN 2016]]</f>
        <v>0</v>
      </c>
      <c r="O9" s="257">
        <v>45000000</v>
      </c>
      <c r="P9" s="257" t="s">
        <v>227</v>
      </c>
      <c r="Q9" s="257">
        <v>45000000</v>
      </c>
      <c r="R9" s="257">
        <v>0</v>
      </c>
      <c r="S9" s="257"/>
      <c r="T9" s="264">
        <v>85000000</v>
      </c>
      <c r="U9" s="251">
        <f t="shared" si="6"/>
        <v>130000000</v>
      </c>
      <c r="V9" s="262">
        <f t="shared" si="7"/>
        <v>0</v>
      </c>
      <c r="W9" s="264"/>
      <c r="X9" s="259">
        <f>'Kemhan-TNI'!AG16</f>
        <v>0</v>
      </c>
      <c r="Y9" s="258">
        <f>'Kemhan-TNI'!T16</f>
        <v>0</v>
      </c>
    </row>
    <row r="10" spans="1:28" ht="37.5" x14ac:dyDescent="0.3">
      <c r="A10" s="249"/>
      <c r="B10" s="256" t="s">
        <v>26</v>
      </c>
      <c r="C10" s="256" t="s">
        <v>27</v>
      </c>
      <c r="D10" s="257">
        <v>20000000</v>
      </c>
      <c r="E10" s="257">
        <v>0</v>
      </c>
      <c r="F10" s="257"/>
      <c r="G10" s="257"/>
      <c r="H10" s="257"/>
      <c r="I10" s="257">
        <f>Table3[[#This Row],[REALISASI PENYERAPAN 2015]]-Table3[[#This Row],[NILAI KONTRAK 2015]]</f>
        <v>0</v>
      </c>
      <c r="J10" s="257">
        <v>20000000</v>
      </c>
      <c r="K10" s="257" t="s">
        <v>222</v>
      </c>
      <c r="L10" s="257">
        <v>19999980</v>
      </c>
      <c r="M10" s="257">
        <v>19999980</v>
      </c>
      <c r="N10" s="257">
        <f>Table3[[#This Row],[NILAI KONTRAK 2016]]-Table3[[#This Row],[REALISASI PENYERAPAN 2016]]</f>
        <v>0</v>
      </c>
      <c r="O10" s="257">
        <v>0</v>
      </c>
      <c r="P10" s="257"/>
      <c r="Q10" s="257"/>
      <c r="R10" s="257"/>
      <c r="S10" s="257"/>
      <c r="T10" s="257">
        <v>0</v>
      </c>
      <c r="U10" s="251">
        <f t="shared" si="6"/>
        <v>20000000</v>
      </c>
      <c r="V10" s="262">
        <f t="shared" si="7"/>
        <v>0</v>
      </c>
      <c r="W10" s="264"/>
      <c r="X10" s="259">
        <f>'Kemhan-TNI'!AG17</f>
        <v>0</v>
      </c>
      <c r="Y10" s="258">
        <f>'Kemhan-TNI'!T17</f>
        <v>0</v>
      </c>
    </row>
    <row r="11" spans="1:28" ht="37.5" x14ac:dyDescent="0.3">
      <c r="A11" s="249"/>
      <c r="B11" s="256" t="s">
        <v>28</v>
      </c>
      <c r="C11" s="256" t="s">
        <v>29</v>
      </c>
      <c r="D11" s="257">
        <v>100000000</v>
      </c>
      <c r="E11" s="257">
        <v>20000000</v>
      </c>
      <c r="F11" s="257" t="s">
        <v>222</v>
      </c>
      <c r="G11" s="257">
        <v>19989800</v>
      </c>
      <c r="H11" s="257">
        <v>19989800</v>
      </c>
      <c r="I11" s="257" t="s">
        <v>259</v>
      </c>
      <c r="J11" s="257">
        <v>0</v>
      </c>
      <c r="K11" s="257"/>
      <c r="L11" s="257"/>
      <c r="M11" s="257"/>
      <c r="N11" s="257">
        <f>Table3[[#This Row],[NILAI KONTRAK 2016]]-Table3[[#This Row],[REALISASI PENYERAPAN 2016]]</f>
        <v>0</v>
      </c>
      <c r="O11" s="257">
        <v>20000000</v>
      </c>
      <c r="P11" s="257" t="s">
        <v>225</v>
      </c>
      <c r="Q11" s="257">
        <v>19998090</v>
      </c>
      <c r="R11" s="257">
        <v>0</v>
      </c>
      <c r="S11" s="257"/>
      <c r="T11" s="264">
        <v>60000000</v>
      </c>
      <c r="U11" s="251">
        <f t="shared" si="6"/>
        <v>100000000</v>
      </c>
      <c r="V11" s="262">
        <f t="shared" si="7"/>
        <v>0</v>
      </c>
      <c r="W11" s="264">
        <v>60000000</v>
      </c>
      <c r="X11" s="259">
        <f>'Kemhan-TNI'!AG18</f>
        <v>0</v>
      </c>
      <c r="Y11" s="258">
        <f>'Kemhan-TNI'!T18</f>
        <v>0</v>
      </c>
    </row>
    <row r="12" spans="1:28" ht="37.5" x14ac:dyDescent="0.3">
      <c r="A12" s="249"/>
      <c r="B12" s="256" t="s">
        <v>31</v>
      </c>
      <c r="C12" s="256" t="s">
        <v>32</v>
      </c>
      <c r="D12" s="257">
        <v>80000000</v>
      </c>
      <c r="E12" s="257">
        <v>0</v>
      </c>
      <c r="F12" s="257"/>
      <c r="G12" s="257"/>
      <c r="H12" s="257"/>
      <c r="I12" s="257">
        <f>Table3[[#This Row],[REALISASI PENYERAPAN 2015]]-Table3[[#This Row],[NILAI KONTRAK 2015]]</f>
        <v>0</v>
      </c>
      <c r="J12" s="257">
        <v>10000000</v>
      </c>
      <c r="K12" s="257" t="s">
        <v>222</v>
      </c>
      <c r="L12" s="257">
        <v>9986250</v>
      </c>
      <c r="M12" s="257">
        <v>9986250</v>
      </c>
      <c r="N12" s="257">
        <f>Table3[[#This Row],[NILAI KONTRAK 2016]]-Table3[[#This Row],[REALISASI PENYERAPAN 2016]]</f>
        <v>0</v>
      </c>
      <c r="O12" s="257">
        <v>70000000</v>
      </c>
      <c r="P12" s="257" t="s">
        <v>225</v>
      </c>
      <c r="Q12" s="257">
        <v>69998560</v>
      </c>
      <c r="R12" s="257">
        <v>0</v>
      </c>
      <c r="S12" s="257"/>
      <c r="T12" s="257">
        <v>0</v>
      </c>
      <c r="U12" s="251">
        <f t="shared" si="6"/>
        <v>80000000</v>
      </c>
      <c r="V12" s="262">
        <f t="shared" si="7"/>
        <v>0</v>
      </c>
      <c r="W12" s="264"/>
      <c r="X12" s="259">
        <f>'Kemhan-TNI'!AG19</f>
        <v>0</v>
      </c>
      <c r="Y12" s="258">
        <f>'Kemhan-TNI'!T19</f>
        <v>0</v>
      </c>
    </row>
    <row r="13" spans="1:28" ht="37.5" x14ac:dyDescent="0.3">
      <c r="A13" s="249"/>
      <c r="B13" s="256" t="s">
        <v>34</v>
      </c>
      <c r="C13" s="256" t="s">
        <v>32</v>
      </c>
      <c r="D13" s="257">
        <v>60000000</v>
      </c>
      <c r="E13" s="257">
        <v>0</v>
      </c>
      <c r="F13" s="257"/>
      <c r="G13" s="257"/>
      <c r="H13" s="257"/>
      <c r="I13" s="257">
        <f>Table3[[#This Row],[REALISASI PENYERAPAN 2015]]-Table3[[#This Row],[NILAI KONTRAK 2015]]</f>
        <v>0</v>
      </c>
      <c r="J13" s="257">
        <v>0</v>
      </c>
      <c r="K13" s="257"/>
      <c r="L13" s="257"/>
      <c r="M13" s="257"/>
      <c r="N13" s="257">
        <f>Table3[[#This Row],[NILAI KONTRAK 2016]]-Table3[[#This Row],[REALISASI PENYERAPAN 2016]]</f>
        <v>0</v>
      </c>
      <c r="O13" s="257">
        <v>20000000</v>
      </c>
      <c r="P13" s="257" t="s">
        <v>227</v>
      </c>
      <c r="Q13" s="257">
        <v>20000000</v>
      </c>
      <c r="R13" s="257">
        <v>0</v>
      </c>
      <c r="S13" s="257"/>
      <c r="T13" s="264">
        <v>40000000</v>
      </c>
      <c r="U13" s="251">
        <f t="shared" si="6"/>
        <v>60000000</v>
      </c>
      <c r="V13" s="262">
        <f t="shared" si="7"/>
        <v>0</v>
      </c>
      <c r="W13" s="264">
        <v>40000000</v>
      </c>
      <c r="X13" s="259">
        <f>'Kemhan-TNI'!AG20</f>
        <v>0</v>
      </c>
      <c r="Y13" s="258">
        <f>'Kemhan-TNI'!T20</f>
        <v>0</v>
      </c>
    </row>
    <row r="14" spans="1:28" ht="18.75" x14ac:dyDescent="0.3">
      <c r="A14" s="249"/>
      <c r="B14" s="256"/>
      <c r="C14" s="256"/>
      <c r="D14" s="257"/>
      <c r="E14" s="257"/>
      <c r="F14" s="257"/>
      <c r="G14" s="257"/>
      <c r="H14" s="257"/>
      <c r="I14" s="257">
        <f>Table3[[#This Row],[REALISASI PENYERAPAN 2015]]-Table3[[#This Row],[NILAI KONTRAK 2015]]</f>
        <v>0</v>
      </c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64"/>
      <c r="U14" s="257"/>
      <c r="V14" s="257"/>
      <c r="W14" s="264"/>
      <c r="X14" s="259"/>
      <c r="Y14" s="258"/>
    </row>
    <row r="15" spans="1:28" ht="32.25" customHeight="1" x14ac:dyDescent="0.3">
      <c r="A15" s="260">
        <v>2</v>
      </c>
      <c r="B15" s="261" t="s">
        <v>35</v>
      </c>
      <c r="C15" s="260" t="s">
        <v>36</v>
      </c>
      <c r="D15" s="251">
        <f>SUM(D16:D17)</f>
        <v>71000000</v>
      </c>
      <c r="E15" s="251">
        <f t="shared" ref="E15:R15" si="8">SUM(E16:E17)</f>
        <v>32940000</v>
      </c>
      <c r="F15" s="251">
        <f t="shared" si="8"/>
        <v>0</v>
      </c>
      <c r="G15" s="251">
        <f t="shared" si="8"/>
        <v>32939895</v>
      </c>
      <c r="H15" s="251">
        <f t="shared" si="8"/>
        <v>32939895</v>
      </c>
      <c r="I15" s="251">
        <f t="shared" si="8"/>
        <v>0</v>
      </c>
      <c r="J15" s="251">
        <f t="shared" si="8"/>
        <v>10100000</v>
      </c>
      <c r="K15" s="251">
        <f t="shared" si="8"/>
        <v>0</v>
      </c>
      <c r="L15" s="251">
        <f t="shared" si="8"/>
        <v>10100000</v>
      </c>
      <c r="M15" s="251">
        <f t="shared" si="8"/>
        <v>4270000</v>
      </c>
      <c r="N15" s="251">
        <f t="shared" si="8"/>
        <v>5830000</v>
      </c>
      <c r="O15" s="251">
        <f t="shared" si="8"/>
        <v>27800000</v>
      </c>
      <c r="P15" s="251">
        <f t="shared" si="8"/>
        <v>0</v>
      </c>
      <c r="Q15" s="251">
        <f t="shared" si="8"/>
        <v>27800000</v>
      </c>
      <c r="R15" s="251">
        <f t="shared" si="8"/>
        <v>0</v>
      </c>
      <c r="S15" s="251"/>
      <c r="T15" s="251">
        <f>SUM(T16:T17)</f>
        <v>0</v>
      </c>
      <c r="U15" s="251">
        <f>SUM(E15,J15,O15,T15)</f>
        <v>70840000</v>
      </c>
      <c r="V15" s="251">
        <f>D15-U15</f>
        <v>160000</v>
      </c>
      <c r="W15" s="251">
        <f t="shared" ref="W15" si="9">SUM(W16:W17)</f>
        <v>0</v>
      </c>
      <c r="X15" s="259">
        <f>'Kemhan-TNI'!AG22</f>
        <v>0</v>
      </c>
      <c r="Y15" s="258">
        <f>'Kemhan-TNI'!T22</f>
        <v>5830000</v>
      </c>
    </row>
    <row r="16" spans="1:28" ht="26.25" customHeight="1" x14ac:dyDescent="0.3">
      <c r="A16" s="265"/>
      <c r="B16" s="256" t="s">
        <v>37</v>
      </c>
      <c r="C16" s="256" t="s">
        <v>38</v>
      </c>
      <c r="D16" s="257">
        <v>20500000</v>
      </c>
      <c r="E16" s="257">
        <v>20340000</v>
      </c>
      <c r="F16" s="257" t="s">
        <v>222</v>
      </c>
      <c r="G16" s="257">
        <v>20340000</v>
      </c>
      <c r="H16" s="257">
        <v>20340000</v>
      </c>
      <c r="I16" s="257">
        <f>Table3[[#This Row],[REALISASI PENYERAPAN 2015]]-Table3[[#This Row],[NILAI KONTRAK 2015]]</f>
        <v>0</v>
      </c>
      <c r="J16" s="257">
        <v>0</v>
      </c>
      <c r="K16" s="257"/>
      <c r="L16" s="257"/>
      <c r="M16" s="257"/>
      <c r="N16" s="257">
        <f>Table3[[#This Row],[NILAI KONTRAK 2016]]-Table3[[#This Row],[REALISASI PENYERAPAN 2016]]</f>
        <v>0</v>
      </c>
      <c r="O16" s="257">
        <v>0</v>
      </c>
      <c r="P16" s="257"/>
      <c r="Q16" s="257"/>
      <c r="R16" s="257"/>
      <c r="S16" s="257"/>
      <c r="T16" s="257">
        <v>0</v>
      </c>
      <c r="U16" s="251">
        <f>SUM(E16,J16,O16,T16)</f>
        <v>20340000</v>
      </c>
      <c r="V16" s="266">
        <f>D16-U16</f>
        <v>160000</v>
      </c>
      <c r="W16" s="264"/>
      <c r="X16" s="259">
        <f>'Kemhan-TNI'!AG23</f>
        <v>0</v>
      </c>
      <c r="Y16" s="258">
        <f>'Kemhan-TNI'!T23</f>
        <v>0</v>
      </c>
    </row>
    <row r="17" spans="1:25" ht="56.25" x14ac:dyDescent="0.3">
      <c r="A17" s="249"/>
      <c r="B17" s="256" t="s">
        <v>39</v>
      </c>
      <c r="C17" s="256" t="s">
        <v>40</v>
      </c>
      <c r="D17" s="257">
        <v>50500000</v>
      </c>
      <c r="E17" s="257">
        <v>12600000</v>
      </c>
      <c r="F17" s="257" t="s">
        <v>222</v>
      </c>
      <c r="G17" s="267">
        <v>12599895</v>
      </c>
      <c r="H17" s="267">
        <v>12599895</v>
      </c>
      <c r="I17" s="267">
        <f>Table3[[#This Row],[REALISASI PENYERAPAN 2015]]-Table3[[#This Row],[NILAI KONTRAK 2015]]</f>
        <v>0</v>
      </c>
      <c r="J17" s="257">
        <v>10100000</v>
      </c>
      <c r="K17" s="257" t="s">
        <v>223</v>
      </c>
      <c r="L17" s="257">
        <v>10100000</v>
      </c>
      <c r="M17" s="257">
        <v>4270000</v>
      </c>
      <c r="N17" s="257">
        <f>Table3[[#This Row],[NILAI KONTRAK 2016]]-Table3[[#This Row],[REALISASI PENYERAPAN 2016]]</f>
        <v>5830000</v>
      </c>
      <c r="O17" s="257">
        <v>27800000</v>
      </c>
      <c r="P17" s="257" t="s">
        <v>225</v>
      </c>
      <c r="Q17" s="257">
        <v>27800000</v>
      </c>
      <c r="R17" s="257">
        <v>0</v>
      </c>
      <c r="S17" s="257"/>
      <c r="T17" s="257">
        <v>0</v>
      </c>
      <c r="U17" s="251">
        <f>SUM(E17,J17,O17,T17)</f>
        <v>50500000</v>
      </c>
      <c r="V17" s="266">
        <f>D17-U17</f>
        <v>0</v>
      </c>
      <c r="W17" s="264"/>
      <c r="X17" s="259">
        <f>'Kemhan-TNI'!AG24</f>
        <v>0</v>
      </c>
      <c r="Y17" s="258">
        <f>'Kemhan-TNI'!T24</f>
        <v>5830000</v>
      </c>
    </row>
    <row r="18" spans="1:25" ht="18.75" x14ac:dyDescent="0.3">
      <c r="A18" s="249"/>
      <c r="B18" s="256"/>
      <c r="C18" s="256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64"/>
      <c r="U18" s="257"/>
      <c r="V18" s="257"/>
      <c r="W18" s="264"/>
      <c r="X18" s="259"/>
      <c r="Y18" s="258"/>
    </row>
    <row r="19" spans="1:25" ht="37.5" x14ac:dyDescent="0.3">
      <c r="A19" s="260">
        <v>3</v>
      </c>
      <c r="B19" s="261" t="s">
        <v>41</v>
      </c>
      <c r="C19" s="260" t="s">
        <v>36</v>
      </c>
      <c r="D19" s="251">
        <f>SUM(D20:D21)</f>
        <v>244000000</v>
      </c>
      <c r="E19" s="251">
        <f t="shared" ref="E19:R19" si="10">SUM(E20:E21)</f>
        <v>61463800</v>
      </c>
      <c r="F19" s="251">
        <f t="shared" si="10"/>
        <v>0</v>
      </c>
      <c r="G19" s="251">
        <f t="shared" si="10"/>
        <v>16960998.649999999</v>
      </c>
      <c r="H19" s="251">
        <f t="shared" si="10"/>
        <v>16960998.649999999</v>
      </c>
      <c r="I19" s="251">
        <f t="shared" si="10"/>
        <v>0</v>
      </c>
      <c r="J19" s="251">
        <f t="shared" si="10"/>
        <v>30000000</v>
      </c>
      <c r="K19" s="251">
        <f t="shared" si="10"/>
        <v>0</v>
      </c>
      <c r="L19" s="251">
        <f t="shared" si="10"/>
        <v>30000000</v>
      </c>
      <c r="M19" s="251">
        <f t="shared" si="10"/>
        <v>22500000</v>
      </c>
      <c r="N19" s="251">
        <f t="shared" si="10"/>
        <v>7500000</v>
      </c>
      <c r="O19" s="251">
        <f t="shared" si="10"/>
        <v>42000000</v>
      </c>
      <c r="P19" s="251">
        <f t="shared" si="10"/>
        <v>0</v>
      </c>
      <c r="Q19" s="251">
        <f t="shared" si="10"/>
        <v>42000000</v>
      </c>
      <c r="R19" s="251">
        <f t="shared" si="10"/>
        <v>0</v>
      </c>
      <c r="S19" s="251"/>
      <c r="T19" s="251">
        <f>SUM(T20:T21)</f>
        <v>81536200</v>
      </c>
      <c r="U19" s="251">
        <f>SUM(E19,J19,O19,T19)</f>
        <v>215000000</v>
      </c>
      <c r="V19" s="262">
        <f>D19-U19</f>
        <v>29000000</v>
      </c>
      <c r="W19" s="251">
        <f t="shared" ref="W19" si="11">SUM(W20:W21)</f>
        <v>16307240</v>
      </c>
      <c r="X19" s="259">
        <f>'Kemhan-TNI'!AG26</f>
        <v>65228960</v>
      </c>
      <c r="Y19" s="258">
        <f>'Kemhan-TNI'!T26</f>
        <v>7500000</v>
      </c>
    </row>
    <row r="20" spans="1:25" ht="37.5" x14ac:dyDescent="0.3">
      <c r="A20" s="249"/>
      <c r="B20" s="256" t="s">
        <v>42</v>
      </c>
      <c r="C20" s="268" t="s">
        <v>43</v>
      </c>
      <c r="D20" s="257">
        <v>215000000</v>
      </c>
      <c r="E20" s="257">
        <v>61463800</v>
      </c>
      <c r="F20" s="257" t="s">
        <v>222</v>
      </c>
      <c r="G20" s="257">
        <v>16960998.649999999</v>
      </c>
      <c r="H20" s="257">
        <v>16960998.649999999</v>
      </c>
      <c r="I20" s="257">
        <f>Table3[[#This Row],[NILAI KONTRAK 2015]]-Table3[[#This Row],[REALISASI PENYERAPAN 2015]]</f>
        <v>0</v>
      </c>
      <c r="J20" s="257">
        <v>30000000</v>
      </c>
      <c r="K20" s="257" t="s">
        <v>223</v>
      </c>
      <c r="L20" s="257">
        <v>30000000</v>
      </c>
      <c r="M20" s="257">
        <v>22500000</v>
      </c>
      <c r="N20" s="257">
        <f>Table3[[#This Row],[NILAI KONTRAK 2016]]-Table3[[#This Row],[REALISASI PENYERAPAN 2016]]</f>
        <v>7500000</v>
      </c>
      <c r="O20" s="257">
        <v>42000000</v>
      </c>
      <c r="P20" s="257" t="s">
        <v>225</v>
      </c>
      <c r="Q20" s="257">
        <v>42000000</v>
      </c>
      <c r="R20" s="257">
        <v>0</v>
      </c>
      <c r="S20" s="257"/>
      <c r="T20" s="264">
        <v>81536200</v>
      </c>
      <c r="U20" s="251">
        <f>SUM(E20,J20,O20,T20)</f>
        <v>215000000</v>
      </c>
      <c r="V20" s="266">
        <f>D20-U20</f>
        <v>0</v>
      </c>
      <c r="W20" s="264">
        <v>16307240</v>
      </c>
      <c r="X20" s="259">
        <f>'Kemhan-TNI'!AG27</f>
        <v>65228960</v>
      </c>
      <c r="Y20" s="258">
        <f>'Kemhan-TNI'!T27</f>
        <v>7500000</v>
      </c>
    </row>
    <row r="21" spans="1:25" ht="37.5" x14ac:dyDescent="0.3">
      <c r="A21" s="249"/>
      <c r="B21" s="256" t="s">
        <v>44</v>
      </c>
      <c r="C21" s="256" t="s">
        <v>45</v>
      </c>
      <c r="D21" s="257">
        <v>29000000</v>
      </c>
      <c r="E21" s="257">
        <v>0</v>
      </c>
      <c r="F21" s="257"/>
      <c r="G21" s="257"/>
      <c r="H21" s="257"/>
      <c r="I21" s="257">
        <f>Table3[[#This Row],[NILAI KONTRAK 2015]]-Table3[[#This Row],[REALISASI PENYERAPAN 2015]]</f>
        <v>0</v>
      </c>
      <c r="J21" s="257">
        <v>0</v>
      </c>
      <c r="K21" s="257"/>
      <c r="L21" s="257"/>
      <c r="M21" s="257"/>
      <c r="N21" s="257">
        <f>Table3[[#This Row],[NILAI KONTRAK 2016]]-Table3[[#This Row],[REALISASI PENYERAPAN 2016]]</f>
        <v>0</v>
      </c>
      <c r="O21" s="257">
        <v>0</v>
      </c>
      <c r="P21" s="257"/>
      <c r="Q21" s="257"/>
      <c r="R21" s="257"/>
      <c r="S21" s="257"/>
      <c r="T21" s="257">
        <v>0</v>
      </c>
      <c r="U21" s="257">
        <f>SUM(E21:T21)</f>
        <v>0</v>
      </c>
      <c r="V21" s="266">
        <f>D21-U21</f>
        <v>29000000</v>
      </c>
      <c r="W21" s="264"/>
      <c r="X21" s="259">
        <f>'Kemhan-TNI'!AG28</f>
        <v>0</v>
      </c>
      <c r="Y21" s="258">
        <f>'Kemhan-TNI'!T28</f>
        <v>0</v>
      </c>
    </row>
    <row r="22" spans="1:25" ht="18.75" x14ac:dyDescent="0.3">
      <c r="A22" s="249"/>
      <c r="B22" s="256"/>
      <c r="C22" s="256"/>
      <c r="D22" s="257"/>
      <c r="E22" s="257"/>
      <c r="F22" s="257"/>
      <c r="G22" s="257"/>
      <c r="H22" s="257"/>
      <c r="I22" s="257">
        <f>Table3[[#This Row],[REALISASI PENYERAPAN 2015]]-Table3[[#This Row],[NILAI KONTRAK 2015]]</f>
        <v>0</v>
      </c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64"/>
      <c r="U22" s="257"/>
      <c r="V22" s="257"/>
      <c r="W22" s="264"/>
      <c r="X22" s="259"/>
      <c r="Y22" s="258"/>
    </row>
    <row r="23" spans="1:25" ht="37.5" x14ac:dyDescent="0.3">
      <c r="A23" s="260">
        <v>4</v>
      </c>
      <c r="B23" s="261" t="s">
        <v>46</v>
      </c>
      <c r="C23" s="260" t="s">
        <v>47</v>
      </c>
      <c r="D23" s="251">
        <f>SUM(D24:D26)</f>
        <v>96500000</v>
      </c>
      <c r="E23" s="251">
        <f t="shared" ref="E23:R23" si="12">SUM(E24:E26)</f>
        <v>19596200</v>
      </c>
      <c r="F23" s="251">
        <f t="shared" si="12"/>
        <v>0</v>
      </c>
      <c r="G23" s="251">
        <f t="shared" si="12"/>
        <v>18622233.743999999</v>
      </c>
      <c r="H23" s="251">
        <f t="shared" si="12"/>
        <v>13966675.307</v>
      </c>
      <c r="I23" s="251">
        <f t="shared" si="12"/>
        <v>4655558.436999999</v>
      </c>
      <c r="J23" s="251">
        <f t="shared" si="12"/>
        <v>0</v>
      </c>
      <c r="K23" s="251">
        <f t="shared" si="12"/>
        <v>0</v>
      </c>
      <c r="L23" s="251">
        <f t="shared" si="12"/>
        <v>0</v>
      </c>
      <c r="M23" s="251">
        <f t="shared" si="12"/>
        <v>0</v>
      </c>
      <c r="N23" s="251">
        <f t="shared" si="12"/>
        <v>0</v>
      </c>
      <c r="O23" s="251">
        <f t="shared" si="12"/>
        <v>19903800</v>
      </c>
      <c r="P23" s="251">
        <f t="shared" si="12"/>
        <v>0</v>
      </c>
      <c r="Q23" s="251">
        <f t="shared" si="12"/>
        <v>19903690</v>
      </c>
      <c r="R23" s="251">
        <f t="shared" si="12"/>
        <v>0</v>
      </c>
      <c r="S23" s="251"/>
      <c r="T23" s="251">
        <f>SUM(T24:T26)</f>
        <v>18000000</v>
      </c>
      <c r="U23" s="251">
        <f>SUM(E23,J23,O23,T23)</f>
        <v>57500000</v>
      </c>
      <c r="V23" s="262">
        <f>D23-U23</f>
        <v>39000000</v>
      </c>
      <c r="W23" s="251">
        <f t="shared" ref="W23" si="13">SUM(W24:W26)</f>
        <v>18000000</v>
      </c>
      <c r="X23" s="259">
        <f>'Kemhan-TNI'!AG30</f>
        <v>0</v>
      </c>
      <c r="Y23" s="258">
        <f>'Kemhan-TNI'!T30</f>
        <v>4655558.436999999</v>
      </c>
    </row>
    <row r="24" spans="1:25" ht="37.5" x14ac:dyDescent="0.3">
      <c r="A24" s="265"/>
      <c r="B24" s="256" t="s">
        <v>48</v>
      </c>
      <c r="C24" s="268" t="s">
        <v>49</v>
      </c>
      <c r="D24" s="257">
        <v>39500000</v>
      </c>
      <c r="E24" s="257">
        <v>19596200</v>
      </c>
      <c r="F24" s="257" t="s">
        <v>223</v>
      </c>
      <c r="G24" s="257">
        <v>18622233.743999999</v>
      </c>
      <c r="H24" s="257">
        <v>13966675.307</v>
      </c>
      <c r="I24" s="257">
        <f>Table3[[#This Row],[NILAI KONTRAK 2015]]-Table3[[#This Row],[REALISASI PENYERAPAN 2015]]</f>
        <v>4655558.436999999</v>
      </c>
      <c r="J24" s="257">
        <v>0</v>
      </c>
      <c r="K24" s="257"/>
      <c r="L24" s="257"/>
      <c r="M24" s="257"/>
      <c r="N24" s="257">
        <f>Table3[[#This Row],[NILAI KONTRAK 2016]]-Table3[[#This Row],[REALISASI PENYERAPAN 2016]]</f>
        <v>0</v>
      </c>
      <c r="O24" s="257">
        <v>19903800</v>
      </c>
      <c r="P24" s="257" t="s">
        <v>225</v>
      </c>
      <c r="Q24" s="257">
        <v>19903690</v>
      </c>
      <c r="R24" s="257">
        <v>0</v>
      </c>
      <c r="S24" s="257"/>
      <c r="T24" s="264"/>
      <c r="U24" s="251">
        <f>SUM(E24,J24,O24,T24)</f>
        <v>39500000</v>
      </c>
      <c r="V24" s="266">
        <f>D24-U24</f>
        <v>0</v>
      </c>
      <c r="W24" s="264"/>
      <c r="X24" s="259">
        <f>'Kemhan-TNI'!AG31</f>
        <v>0</v>
      </c>
      <c r="Y24" s="258">
        <f>'Kemhan-TNI'!T31</f>
        <v>4655558.436999999</v>
      </c>
    </row>
    <row r="25" spans="1:25" ht="37.5" x14ac:dyDescent="0.3">
      <c r="A25" s="263"/>
      <c r="B25" s="256" t="s">
        <v>50</v>
      </c>
      <c r="C25" s="268" t="s">
        <v>51</v>
      </c>
      <c r="D25" s="257">
        <v>39000000</v>
      </c>
      <c r="E25" s="257">
        <v>0</v>
      </c>
      <c r="F25" s="257"/>
      <c r="G25" s="257"/>
      <c r="H25" s="257"/>
      <c r="I25" s="257">
        <f>Table3[[#This Row],[REALISASI PENYERAPAN 2015]]-Table3[[#This Row],[NILAI KONTRAK 2015]]</f>
        <v>0</v>
      </c>
      <c r="J25" s="257">
        <v>0</v>
      </c>
      <c r="K25" s="257"/>
      <c r="L25" s="257"/>
      <c r="M25" s="257"/>
      <c r="N25" s="257">
        <f>Table3[[#This Row],[NILAI KONTRAK 2016]]-Table3[[#This Row],[REALISASI PENYERAPAN 2016]]</f>
        <v>0</v>
      </c>
      <c r="O25" s="257">
        <v>0</v>
      </c>
      <c r="P25" s="257"/>
      <c r="Q25" s="257"/>
      <c r="R25" s="257"/>
      <c r="S25" s="257"/>
      <c r="T25" s="264"/>
      <c r="U25" s="251">
        <f>SUM(E25,J25,O25,T25)</f>
        <v>0</v>
      </c>
      <c r="V25" s="266">
        <f>D25-U25</f>
        <v>39000000</v>
      </c>
      <c r="W25" s="264"/>
      <c r="X25" s="259">
        <f>'Kemhan-TNI'!AG32</f>
        <v>0</v>
      </c>
      <c r="Y25" s="258">
        <f>'Kemhan-TNI'!T32</f>
        <v>0</v>
      </c>
    </row>
    <row r="26" spans="1:25" ht="37.5" x14ac:dyDescent="0.3">
      <c r="A26" s="249"/>
      <c r="B26" s="256" t="s">
        <v>52</v>
      </c>
      <c r="C26" s="268" t="s">
        <v>43</v>
      </c>
      <c r="D26" s="257">
        <v>18000000</v>
      </c>
      <c r="E26" s="257">
        <v>0</v>
      </c>
      <c r="F26" s="257"/>
      <c r="G26" s="257"/>
      <c r="H26" s="257"/>
      <c r="I26" s="257">
        <f>Table3[[#This Row],[REALISASI PENYERAPAN 2015]]-Table3[[#This Row],[NILAI KONTRAK 2015]]</f>
        <v>0</v>
      </c>
      <c r="J26" s="257">
        <v>0</v>
      </c>
      <c r="K26" s="257"/>
      <c r="L26" s="257"/>
      <c r="M26" s="257"/>
      <c r="N26" s="257">
        <f>Table3[[#This Row],[NILAI KONTRAK 2016]]-Table3[[#This Row],[REALISASI PENYERAPAN 2016]]</f>
        <v>0</v>
      </c>
      <c r="O26" s="257">
        <v>0</v>
      </c>
      <c r="P26" s="257"/>
      <c r="Q26" s="257"/>
      <c r="R26" s="257"/>
      <c r="S26" s="257"/>
      <c r="T26" s="264">
        <v>18000000</v>
      </c>
      <c r="U26" s="251">
        <f>SUM(E26,J26,O26,T26)</f>
        <v>18000000</v>
      </c>
      <c r="V26" s="266">
        <f>D26-U26</f>
        <v>0</v>
      </c>
      <c r="W26" s="264">
        <v>18000000</v>
      </c>
      <c r="X26" s="259">
        <f>'Kemhan-TNI'!AG33</f>
        <v>0</v>
      </c>
      <c r="Y26" s="258">
        <f>'Kemhan-TNI'!T33</f>
        <v>0</v>
      </c>
    </row>
    <row r="27" spans="1:25" ht="18.75" x14ac:dyDescent="0.3">
      <c r="A27" s="249"/>
      <c r="B27" s="256"/>
      <c r="C27" s="256"/>
      <c r="D27" s="269"/>
      <c r="E27" s="269"/>
      <c r="F27" s="269"/>
      <c r="G27" s="269"/>
      <c r="H27" s="269"/>
      <c r="I27" s="269">
        <f>Table3[[#This Row],[REALISASI PENYERAPAN 2015]]-Table3[[#This Row],[NILAI KONTRAK 2015]]</f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52"/>
      <c r="U27" s="269"/>
      <c r="V27" s="269"/>
      <c r="W27" s="252"/>
      <c r="X27" s="259"/>
      <c r="Y27" s="258"/>
    </row>
    <row r="28" spans="1:25" ht="37.5" x14ac:dyDescent="0.3">
      <c r="A28" s="270" t="s">
        <v>53</v>
      </c>
      <c r="B28" s="270"/>
      <c r="C28" s="271" t="s">
        <v>54</v>
      </c>
      <c r="D28" s="272">
        <f>D30+D33+D38+D41+D44+D50+D53+D58</f>
        <v>4089000000</v>
      </c>
      <c r="E28" s="272">
        <f t="shared" ref="E28:R28" si="14">E30+E33+E38+E41+E44+E50+E53+E58</f>
        <v>446000000</v>
      </c>
      <c r="F28" s="272">
        <f t="shared" si="14"/>
        <v>0</v>
      </c>
      <c r="G28" s="272">
        <f t="shared" si="14"/>
        <v>315897484.5</v>
      </c>
      <c r="H28" s="272">
        <f t="shared" si="14"/>
        <v>232683331.565</v>
      </c>
      <c r="I28" s="272">
        <f t="shared" si="14"/>
        <v>83214152.934999987</v>
      </c>
      <c r="J28" s="272">
        <f t="shared" si="14"/>
        <v>765000000</v>
      </c>
      <c r="K28" s="272">
        <f t="shared" si="14"/>
        <v>0</v>
      </c>
      <c r="L28" s="272">
        <f t="shared" si="14"/>
        <v>764986300</v>
      </c>
      <c r="M28" s="272">
        <f t="shared" si="14"/>
        <v>215945890</v>
      </c>
      <c r="N28" s="272">
        <f t="shared" si="14"/>
        <v>549040410</v>
      </c>
      <c r="O28" s="272">
        <f t="shared" si="14"/>
        <v>815000000</v>
      </c>
      <c r="P28" s="272">
        <f t="shared" si="14"/>
        <v>0</v>
      </c>
      <c r="Q28" s="272">
        <f t="shared" si="14"/>
        <v>815000000</v>
      </c>
      <c r="R28" s="272">
        <f t="shared" si="14"/>
        <v>0</v>
      </c>
      <c r="S28" s="272"/>
      <c r="T28" s="272">
        <f>T30+T33+T38+T41+T44+T50+T53+T58</f>
        <v>1332000000</v>
      </c>
      <c r="U28" s="272">
        <f>SUM(U30,U33,U38,U41,U44,U50,U53,U58)</f>
        <v>3358000000</v>
      </c>
      <c r="V28" s="272">
        <f>SUM(V30,V33,V38,V41,V44,V50,V53,V58)</f>
        <v>731000000</v>
      </c>
      <c r="W28" s="274"/>
      <c r="X28" s="275">
        <f>'Kemhan-TNI'!AG35</f>
        <v>1053600000</v>
      </c>
      <c r="Y28" s="273">
        <f>'Kemhan-TNI'!T35</f>
        <v>0</v>
      </c>
    </row>
    <row r="29" spans="1:25" ht="18.75" x14ac:dyDescent="0.3">
      <c r="A29" s="249"/>
      <c r="B29" s="250"/>
      <c r="C29" s="250"/>
      <c r="D29" s="251"/>
      <c r="E29" s="251"/>
      <c r="F29" s="251"/>
      <c r="G29" s="251"/>
      <c r="H29" s="251"/>
      <c r="I29" s="251">
        <f>Table3[[#This Row],[REALISASI PENYERAPAN 2015]]-Table3[[#This Row],[NILAI KONTRAK 2015]]</f>
        <v>0</v>
      </c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76"/>
      <c r="U29" s="251"/>
      <c r="V29" s="251"/>
      <c r="W29" s="276"/>
      <c r="X29" s="259"/>
      <c r="Y29" s="258"/>
    </row>
    <row r="30" spans="1:25" ht="37.5" x14ac:dyDescent="0.3">
      <c r="A30" s="260">
        <v>1</v>
      </c>
      <c r="B30" s="261" t="s">
        <v>35</v>
      </c>
      <c r="C30" s="260" t="s">
        <v>55</v>
      </c>
      <c r="D30" s="251">
        <f>SUM(D31:D31)</f>
        <v>540000000</v>
      </c>
      <c r="E30" s="251">
        <f t="shared" ref="E30:N30" si="15">SUM(E31:E31)</f>
        <v>89000000</v>
      </c>
      <c r="F30" s="251">
        <f t="shared" si="15"/>
        <v>0</v>
      </c>
      <c r="G30" s="251">
        <f t="shared" si="15"/>
        <v>88999094.099999994</v>
      </c>
      <c r="H30" s="251">
        <f t="shared" si="15"/>
        <v>5784941.165</v>
      </c>
      <c r="I30" s="251">
        <f t="shared" si="15"/>
        <v>83214152.934999987</v>
      </c>
      <c r="J30" s="251">
        <f t="shared" si="15"/>
        <v>9000000</v>
      </c>
      <c r="K30" s="251">
        <f t="shared" si="15"/>
        <v>0</v>
      </c>
      <c r="L30" s="251">
        <f t="shared" si="15"/>
        <v>9000000</v>
      </c>
      <c r="M30" s="251">
        <f t="shared" si="15"/>
        <v>4050000</v>
      </c>
      <c r="N30" s="251">
        <f t="shared" si="15"/>
        <v>4950000</v>
      </c>
      <c r="O30" s="251">
        <f t="shared" ref="O30" si="16">SUM(O31:O31)</f>
        <v>147000000</v>
      </c>
      <c r="P30" s="251">
        <f t="shared" ref="P30" si="17">SUM(P31:P31)</f>
        <v>0</v>
      </c>
      <c r="Q30" s="251">
        <f t="shared" ref="Q30:R30" si="18">SUM(Q31:Q31)</f>
        <v>147000000</v>
      </c>
      <c r="R30" s="251">
        <f t="shared" si="18"/>
        <v>0</v>
      </c>
      <c r="S30" s="251"/>
      <c r="T30" s="251">
        <f>SUM(T31:T31)</f>
        <v>295000000</v>
      </c>
      <c r="U30" s="251">
        <f>SUM(E30,J30,O30,T30)</f>
        <v>540000000</v>
      </c>
      <c r="V30" s="262">
        <f>D30-U30</f>
        <v>0</v>
      </c>
      <c r="W30" s="276"/>
      <c r="X30" s="259">
        <f>'Kemhan-TNI'!AG37</f>
        <v>236000000</v>
      </c>
      <c r="Y30" s="258">
        <f>'Kemhan-TNI'!T37</f>
        <v>4950000</v>
      </c>
    </row>
    <row r="31" spans="1:25" ht="37.5" x14ac:dyDescent="0.3">
      <c r="A31" s="249"/>
      <c r="B31" s="256" t="s">
        <v>56</v>
      </c>
      <c r="C31" s="256" t="s">
        <v>25</v>
      </c>
      <c r="D31" s="257">
        <v>540000000</v>
      </c>
      <c r="E31" s="257">
        <v>89000000</v>
      </c>
      <c r="F31" s="257" t="s">
        <v>223</v>
      </c>
      <c r="G31" s="257">
        <v>88999094.099999994</v>
      </c>
      <c r="H31" s="257">
        <v>5784941.165</v>
      </c>
      <c r="I31" s="257">
        <f>Table3[[#This Row],[NILAI KONTRAK 2015]]-Table3[[#This Row],[REALISASI PENYERAPAN 2015]]</f>
        <v>83214152.934999987</v>
      </c>
      <c r="J31" s="257">
        <v>9000000</v>
      </c>
      <c r="K31" s="257" t="s">
        <v>223</v>
      </c>
      <c r="L31" s="257">
        <v>9000000</v>
      </c>
      <c r="M31" s="257">
        <v>4050000</v>
      </c>
      <c r="N31" s="257">
        <f>Table3[[#This Row],[NILAI KONTRAK 2016]]-Table3[[#This Row],[REALISASI PENYERAPAN 2016]]</f>
        <v>4950000</v>
      </c>
      <c r="O31" s="257">
        <v>147000000</v>
      </c>
      <c r="P31" s="257" t="s">
        <v>225</v>
      </c>
      <c r="Q31" s="257">
        <v>147000000</v>
      </c>
      <c r="R31" s="257">
        <v>0</v>
      </c>
      <c r="S31" s="257"/>
      <c r="T31" s="264">
        <v>295000000</v>
      </c>
      <c r="U31" s="251">
        <f>SUM(E31,J31,O31,T31)</f>
        <v>540000000</v>
      </c>
      <c r="V31" s="262">
        <f>D31-U31</f>
        <v>0</v>
      </c>
      <c r="W31" s="264">
        <v>59000000</v>
      </c>
      <c r="X31" s="259">
        <f>'Kemhan-TNI'!AG38</f>
        <v>236000000</v>
      </c>
      <c r="Y31" s="258">
        <f>'Kemhan-TNI'!T38</f>
        <v>4950000</v>
      </c>
    </row>
    <row r="32" spans="1:25" ht="18.75" x14ac:dyDescent="0.3">
      <c r="A32" s="249"/>
      <c r="B32" s="250"/>
      <c r="C32" s="250"/>
      <c r="D32" s="251"/>
      <c r="E32" s="251"/>
      <c r="F32" s="251"/>
      <c r="G32" s="251"/>
      <c r="H32" s="251"/>
      <c r="I32" s="257">
        <f>Table3[[#This Row],[NILAI KONTRAK 2015]]-Table3[[#This Row],[REALISASI PENYERAPAN 2015]]</f>
        <v>0</v>
      </c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76"/>
      <c r="U32" s="251"/>
      <c r="V32" s="251"/>
      <c r="W32" s="276"/>
      <c r="X32" s="259">
        <f>'Kemhan-TNI'!AG39</f>
        <v>0</v>
      </c>
      <c r="Y32" s="258"/>
    </row>
    <row r="33" spans="1:25" ht="37.5" x14ac:dyDescent="0.3">
      <c r="A33" s="260">
        <v>2</v>
      </c>
      <c r="B33" s="277" t="s">
        <v>57</v>
      </c>
      <c r="C33" s="260" t="s">
        <v>47</v>
      </c>
      <c r="D33" s="251">
        <f>SUM(D34:D36)</f>
        <v>1810000000</v>
      </c>
      <c r="E33" s="251">
        <f t="shared" ref="E33:N33" si="19">SUM(E34:E36)</f>
        <v>180000000</v>
      </c>
      <c r="F33" s="251">
        <f t="shared" si="19"/>
        <v>0</v>
      </c>
      <c r="G33" s="251">
        <f t="shared" si="19"/>
        <v>50000000</v>
      </c>
      <c r="H33" s="251">
        <f t="shared" si="19"/>
        <v>50000000</v>
      </c>
      <c r="I33" s="251">
        <f t="shared" si="19"/>
        <v>0</v>
      </c>
      <c r="J33" s="251">
        <f t="shared" si="19"/>
        <v>20000000</v>
      </c>
      <c r="K33" s="251">
        <f t="shared" si="19"/>
        <v>0</v>
      </c>
      <c r="L33" s="251">
        <f t="shared" si="19"/>
        <v>20000000</v>
      </c>
      <c r="M33" s="251">
        <f t="shared" si="19"/>
        <v>13000000</v>
      </c>
      <c r="N33" s="251">
        <f t="shared" si="19"/>
        <v>7000000</v>
      </c>
      <c r="O33" s="251">
        <f t="shared" ref="O33:R33" si="20">SUM(O34:O36)</f>
        <v>383000000</v>
      </c>
      <c r="P33" s="251">
        <f t="shared" si="20"/>
        <v>0</v>
      </c>
      <c r="Q33" s="251">
        <f t="shared" si="20"/>
        <v>383000000</v>
      </c>
      <c r="R33" s="251">
        <f t="shared" si="20"/>
        <v>0</v>
      </c>
      <c r="S33" s="251"/>
      <c r="T33" s="251">
        <f>SUM(T34:T36)</f>
        <v>807000000</v>
      </c>
      <c r="U33" s="251">
        <f>SUM(E33,J33,O33,T33)</f>
        <v>1390000000</v>
      </c>
      <c r="V33" s="262">
        <f>D33-U33</f>
        <v>420000000</v>
      </c>
      <c r="W33" s="276"/>
      <c r="X33" s="259">
        <f>'Kemhan-TNI'!AG40</f>
        <v>633600000</v>
      </c>
      <c r="Y33" s="258">
        <f>'Kemhan-TNI'!T40</f>
        <v>7000000</v>
      </c>
    </row>
    <row r="34" spans="1:25" ht="37.5" x14ac:dyDescent="0.3">
      <c r="A34" s="265"/>
      <c r="B34" s="256" t="s">
        <v>58</v>
      </c>
      <c r="C34" s="256" t="s">
        <v>59</v>
      </c>
      <c r="D34" s="257">
        <v>1300000000</v>
      </c>
      <c r="E34" s="257">
        <v>130000000</v>
      </c>
      <c r="F34" s="257" t="s">
        <v>228</v>
      </c>
      <c r="G34" s="257"/>
      <c r="H34" s="257"/>
      <c r="I34" s="257">
        <f>Table3[[#This Row],[NILAI KONTRAK 2015]]-Table3[[#This Row],[REALISASI PENYERAPAN 2015]]</f>
        <v>0</v>
      </c>
      <c r="J34" s="257">
        <v>20000000</v>
      </c>
      <c r="K34" s="257" t="s">
        <v>223</v>
      </c>
      <c r="L34" s="257">
        <v>20000000</v>
      </c>
      <c r="M34" s="257">
        <v>13000000</v>
      </c>
      <c r="N34" s="257">
        <f>Table3[[#This Row],[NILAI KONTRAK 2016]]-Table3[[#This Row],[REALISASI PENYERAPAN 2016]]</f>
        <v>7000000</v>
      </c>
      <c r="O34" s="257">
        <v>383000000</v>
      </c>
      <c r="P34" s="257" t="s">
        <v>225</v>
      </c>
      <c r="Q34" s="257">
        <v>383000000</v>
      </c>
      <c r="R34" s="257">
        <v>0</v>
      </c>
      <c r="S34" s="257"/>
      <c r="T34" s="264">
        <v>767000000</v>
      </c>
      <c r="U34" s="251">
        <f>SUM(E34,J34,O34,T34)</f>
        <v>1300000000</v>
      </c>
      <c r="V34" s="266">
        <f>D34-U34</f>
        <v>0</v>
      </c>
      <c r="W34" s="264">
        <v>1534000000</v>
      </c>
      <c r="X34" s="259">
        <f>'Kemhan-TNI'!AG41</f>
        <v>613600000</v>
      </c>
      <c r="Y34" s="258">
        <f>'Kemhan-TNI'!T41</f>
        <v>7000000</v>
      </c>
    </row>
    <row r="35" spans="1:25" ht="37.5" x14ac:dyDescent="0.3">
      <c r="A35" s="265"/>
      <c r="B35" s="256" t="s">
        <v>60</v>
      </c>
      <c r="C35" s="256" t="s">
        <v>61</v>
      </c>
      <c r="D35" s="257">
        <v>370000000</v>
      </c>
      <c r="E35" s="257">
        <v>0</v>
      </c>
      <c r="F35" s="257"/>
      <c r="G35" s="257"/>
      <c r="H35" s="257"/>
      <c r="I35" s="257">
        <f>Table3[[#This Row],[NILAI KONTRAK 2015]]-Table3[[#This Row],[REALISASI PENYERAPAN 2015]]</f>
        <v>0</v>
      </c>
      <c r="J35" s="257">
        <v>0</v>
      </c>
      <c r="K35" s="257"/>
      <c r="L35" s="257"/>
      <c r="M35" s="257"/>
      <c r="N35" s="257">
        <f>Table3[[#This Row],[NILAI KONTRAK 2016]]-Table3[[#This Row],[REALISASI PENYERAPAN 2016]]</f>
        <v>0</v>
      </c>
      <c r="O35" s="257">
        <v>0</v>
      </c>
      <c r="P35" s="257"/>
      <c r="Q35" s="257"/>
      <c r="R35" s="257"/>
      <c r="S35" s="257"/>
      <c r="T35" s="257">
        <v>0</v>
      </c>
      <c r="U35" s="251">
        <f>SUM(E35,J35,O35,T35)</f>
        <v>0</v>
      </c>
      <c r="V35" s="266">
        <f>D35-U35</f>
        <v>370000000</v>
      </c>
      <c r="W35" s="264"/>
      <c r="X35" s="259">
        <f>'Kemhan-TNI'!AG42</f>
        <v>0</v>
      </c>
      <c r="Y35" s="258">
        <f>'Kemhan-TNI'!T42</f>
        <v>0</v>
      </c>
    </row>
    <row r="36" spans="1:25" ht="37.5" x14ac:dyDescent="0.3">
      <c r="A36" s="249"/>
      <c r="B36" s="256" t="s">
        <v>62</v>
      </c>
      <c r="C36" s="256" t="s">
        <v>25</v>
      </c>
      <c r="D36" s="257">
        <v>140000000</v>
      </c>
      <c r="E36" s="257">
        <v>50000000</v>
      </c>
      <c r="F36" s="257" t="s">
        <v>222</v>
      </c>
      <c r="G36" s="257">
        <v>50000000</v>
      </c>
      <c r="H36" s="257">
        <v>50000000</v>
      </c>
      <c r="I36" s="257">
        <f>Table3[[#This Row],[NILAI KONTRAK 2015]]-Table3[[#This Row],[REALISASI PENYERAPAN 2015]]</f>
        <v>0</v>
      </c>
      <c r="J36" s="257">
        <v>0</v>
      </c>
      <c r="K36" s="257"/>
      <c r="L36" s="257"/>
      <c r="M36" s="257"/>
      <c r="N36" s="257">
        <f>Table3[[#This Row],[NILAI KONTRAK 2016]]-Table3[[#This Row],[REALISASI PENYERAPAN 2016]]</f>
        <v>0</v>
      </c>
      <c r="O36" s="257">
        <v>0</v>
      </c>
      <c r="P36" s="257"/>
      <c r="Q36" s="257"/>
      <c r="R36" s="257"/>
      <c r="S36" s="257"/>
      <c r="T36" s="264">
        <v>40000000</v>
      </c>
      <c r="U36" s="251">
        <f>SUM(E36,J36,O36,T36)</f>
        <v>90000000</v>
      </c>
      <c r="V36" s="266">
        <f>D36-U36</f>
        <v>50000000</v>
      </c>
      <c r="W36" s="264">
        <v>20000000</v>
      </c>
      <c r="X36" s="259">
        <f>'Kemhan-TNI'!AG43</f>
        <v>20000000</v>
      </c>
      <c r="Y36" s="258">
        <f>'Kemhan-TNI'!T43</f>
        <v>0</v>
      </c>
    </row>
    <row r="37" spans="1:25" ht="18.75" x14ac:dyDescent="0.3">
      <c r="A37" s="249"/>
      <c r="B37" s="256"/>
      <c r="C37" s="256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78"/>
      <c r="U37" s="269"/>
      <c r="V37" s="269"/>
      <c r="W37" s="278"/>
      <c r="X37" s="259"/>
      <c r="Y37" s="258"/>
    </row>
    <row r="38" spans="1:25" ht="37.5" x14ac:dyDescent="0.3">
      <c r="A38" s="260">
        <v>3</v>
      </c>
      <c r="B38" s="277" t="s">
        <v>63</v>
      </c>
      <c r="C38" s="260" t="s">
        <v>55</v>
      </c>
      <c r="D38" s="251">
        <f>SUM(D39:D39)</f>
        <v>375000000</v>
      </c>
      <c r="E38" s="251">
        <f t="shared" ref="E38:Q38" si="21">SUM(E39:E39)</f>
        <v>25000000</v>
      </c>
      <c r="F38" s="251">
        <f t="shared" si="21"/>
        <v>0</v>
      </c>
      <c r="G38" s="251">
        <f t="shared" si="21"/>
        <v>24999899</v>
      </c>
      <c r="H38" s="251">
        <f t="shared" si="21"/>
        <v>24999899</v>
      </c>
      <c r="I38" s="251">
        <f t="shared" si="21"/>
        <v>0</v>
      </c>
      <c r="J38" s="251">
        <f t="shared" si="21"/>
        <v>10000000</v>
      </c>
      <c r="K38" s="251">
        <f t="shared" si="21"/>
        <v>0</v>
      </c>
      <c r="L38" s="251">
        <f t="shared" si="21"/>
        <v>10000000</v>
      </c>
      <c r="M38" s="251">
        <f t="shared" si="21"/>
        <v>6500000</v>
      </c>
      <c r="N38" s="251">
        <f t="shared" si="21"/>
        <v>3500000</v>
      </c>
      <c r="O38" s="251">
        <f t="shared" si="21"/>
        <v>110000000</v>
      </c>
      <c r="P38" s="251">
        <f t="shared" si="21"/>
        <v>0</v>
      </c>
      <c r="Q38" s="251">
        <f t="shared" si="21"/>
        <v>110000000</v>
      </c>
      <c r="R38" s="251">
        <f t="shared" ref="R38" si="22">SUM(R39:R39)</f>
        <v>0</v>
      </c>
      <c r="S38" s="251"/>
      <c r="T38" s="251">
        <f>SUM(T39:T39)</f>
        <v>230000000</v>
      </c>
      <c r="U38" s="251">
        <f>SUM(E38,J38,O38,T38)</f>
        <v>375000000</v>
      </c>
      <c r="V38" s="262">
        <f>D38-U38</f>
        <v>0</v>
      </c>
      <c r="W38" s="276"/>
      <c r="X38" s="259">
        <f>'Kemhan-TNI'!AG45</f>
        <v>184000000</v>
      </c>
      <c r="Y38" s="258">
        <f>'Kemhan-TNI'!T45</f>
        <v>3500000</v>
      </c>
    </row>
    <row r="39" spans="1:25" ht="37.5" x14ac:dyDescent="0.3">
      <c r="A39" s="265"/>
      <c r="B39" s="279" t="s">
        <v>64</v>
      </c>
      <c r="C39" s="279" t="s">
        <v>65</v>
      </c>
      <c r="D39" s="257">
        <v>375000000</v>
      </c>
      <c r="E39" s="257">
        <v>25000000</v>
      </c>
      <c r="F39" s="257" t="s">
        <v>222</v>
      </c>
      <c r="G39" s="257">
        <v>24999899</v>
      </c>
      <c r="H39" s="257">
        <v>24999899</v>
      </c>
      <c r="I39" s="257">
        <f>Table3[[#This Row],[NILAI KONTRAK 2015]]-Table3[[#This Row],[REALISASI PENYERAPAN 2015]]</f>
        <v>0</v>
      </c>
      <c r="J39" s="257">
        <v>10000000</v>
      </c>
      <c r="K39" s="257" t="s">
        <v>223</v>
      </c>
      <c r="L39" s="257">
        <v>10000000</v>
      </c>
      <c r="M39" s="257">
        <v>6500000</v>
      </c>
      <c r="N39" s="257">
        <f>Table3[[#This Row],[NILAI KONTRAK 2016]]-Table3[[#This Row],[REALISASI PENYERAPAN 2016]]</f>
        <v>3500000</v>
      </c>
      <c r="O39" s="257">
        <v>110000000</v>
      </c>
      <c r="P39" s="257" t="s">
        <v>225</v>
      </c>
      <c r="Q39" s="257">
        <v>110000000</v>
      </c>
      <c r="R39" s="257">
        <v>0</v>
      </c>
      <c r="S39" s="257"/>
      <c r="T39" s="264">
        <v>230000000</v>
      </c>
      <c r="U39" s="251">
        <f>SUM(E39,J39,O39,T39)</f>
        <v>375000000</v>
      </c>
      <c r="V39" s="266">
        <f>D39-U39</f>
        <v>0</v>
      </c>
      <c r="W39" s="264">
        <v>46000000</v>
      </c>
      <c r="X39" s="259">
        <f>'Kemhan-TNI'!AG46</f>
        <v>184000000</v>
      </c>
      <c r="Y39" s="258">
        <f>'Kemhan-TNI'!T46</f>
        <v>3500000</v>
      </c>
    </row>
    <row r="40" spans="1:25" ht="18.75" x14ac:dyDescent="0.3">
      <c r="A40" s="249"/>
      <c r="B40" s="256"/>
      <c r="C40" s="256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78"/>
      <c r="U40" s="269"/>
      <c r="V40" s="269"/>
      <c r="W40" s="278"/>
      <c r="X40" s="259"/>
      <c r="Y40" s="258"/>
    </row>
    <row r="41" spans="1:25" ht="37.5" x14ac:dyDescent="0.3">
      <c r="A41" s="260">
        <v>4</v>
      </c>
      <c r="B41" s="261" t="s">
        <v>66</v>
      </c>
      <c r="C41" s="260" t="s">
        <v>55</v>
      </c>
      <c r="D41" s="251">
        <f>SUM(D42:D42)</f>
        <v>150000000</v>
      </c>
      <c r="E41" s="251">
        <f t="shared" ref="E41:R41" si="23">SUM(E42:E42)</f>
        <v>0</v>
      </c>
      <c r="F41" s="251">
        <f t="shared" si="23"/>
        <v>0</v>
      </c>
      <c r="G41" s="251">
        <f t="shared" si="23"/>
        <v>0</v>
      </c>
      <c r="H41" s="251">
        <f t="shared" si="23"/>
        <v>0</v>
      </c>
      <c r="I41" s="257">
        <f>Table3[[#This Row],[NILAI KONTRAK 2015]]-Table3[[#This Row],[REALISASI PENYERAPAN 2015]]</f>
        <v>0</v>
      </c>
      <c r="J41" s="251">
        <f t="shared" si="23"/>
        <v>150000000</v>
      </c>
      <c r="K41" s="251">
        <f t="shared" si="23"/>
        <v>0</v>
      </c>
      <c r="L41" s="251">
        <f t="shared" si="23"/>
        <v>150000000</v>
      </c>
      <c r="M41" s="251">
        <f t="shared" si="23"/>
        <v>0</v>
      </c>
      <c r="N41" s="251">
        <f t="shared" si="23"/>
        <v>150000000</v>
      </c>
      <c r="O41" s="251">
        <f t="shared" si="23"/>
        <v>0</v>
      </c>
      <c r="P41" s="251">
        <f t="shared" si="23"/>
        <v>0</v>
      </c>
      <c r="Q41" s="251">
        <f t="shared" si="23"/>
        <v>0</v>
      </c>
      <c r="R41" s="251">
        <f t="shared" si="23"/>
        <v>0</v>
      </c>
      <c r="S41" s="251"/>
      <c r="T41" s="251">
        <f>SUM(T42:T42)</f>
        <v>0</v>
      </c>
      <c r="U41" s="251">
        <f>SUM(E41,J41,O41,T41)</f>
        <v>150000000</v>
      </c>
      <c r="V41" s="262">
        <f>D41-U41</f>
        <v>0</v>
      </c>
      <c r="W41" s="276"/>
      <c r="X41" s="259">
        <f>'Kemhan-TNI'!AG48</f>
        <v>0</v>
      </c>
      <c r="Y41" s="258">
        <f>'Kemhan-TNI'!T48</f>
        <v>0</v>
      </c>
    </row>
    <row r="42" spans="1:25" ht="37.5" x14ac:dyDescent="0.3">
      <c r="A42" s="249"/>
      <c r="B42" s="256" t="s">
        <v>67</v>
      </c>
      <c r="C42" s="256" t="s">
        <v>68</v>
      </c>
      <c r="D42" s="257">
        <v>150000000</v>
      </c>
      <c r="E42" s="257">
        <v>0</v>
      </c>
      <c r="F42" s="257"/>
      <c r="G42" s="257"/>
      <c r="H42" s="257"/>
      <c r="I42" s="257">
        <f>Table3[[#This Row],[NILAI KONTRAK 2015]]-Table3[[#This Row],[REALISASI PENYERAPAN 2015]]</f>
        <v>0</v>
      </c>
      <c r="J42" s="257">
        <v>150000000</v>
      </c>
      <c r="K42" s="257" t="s">
        <v>225</v>
      </c>
      <c r="L42" s="257">
        <v>150000000</v>
      </c>
      <c r="M42" s="257">
        <v>0</v>
      </c>
      <c r="N42" s="257">
        <f>Table3[[#This Row],[NILAI KONTRAK 2016]]-Table3[[#This Row],[REALISASI PENYERAPAN 2016]]</f>
        <v>150000000</v>
      </c>
      <c r="O42" s="257">
        <v>0</v>
      </c>
      <c r="P42" s="257"/>
      <c r="Q42" s="257"/>
      <c r="R42" s="257"/>
      <c r="S42" s="257"/>
      <c r="T42" s="257">
        <v>0</v>
      </c>
      <c r="U42" s="251">
        <f>SUM(E42,J42,O42,T42)</f>
        <v>150000000</v>
      </c>
      <c r="V42" s="266">
        <f>D42-U42</f>
        <v>0</v>
      </c>
      <c r="W42" s="264"/>
      <c r="X42" s="259">
        <f>'Kemhan-TNI'!AG49</f>
        <v>0</v>
      </c>
      <c r="Y42" s="258">
        <f>'Kemhan-TNI'!T49</f>
        <v>0</v>
      </c>
    </row>
    <row r="43" spans="1:25" ht="18.75" x14ac:dyDescent="0.3">
      <c r="A43" s="249"/>
      <c r="B43" s="256"/>
      <c r="C43" s="256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78"/>
      <c r="U43" s="269"/>
      <c r="V43" s="269"/>
      <c r="W43" s="278"/>
      <c r="X43" s="259"/>
      <c r="Y43" s="258"/>
    </row>
    <row r="44" spans="1:25" ht="18.75" x14ac:dyDescent="0.3">
      <c r="A44" s="260">
        <v>5</v>
      </c>
      <c r="B44" s="261" t="s">
        <v>69</v>
      </c>
      <c r="C44" s="260" t="s">
        <v>70</v>
      </c>
      <c r="D44" s="251">
        <f>SUM(D45:D48)</f>
        <v>276000000</v>
      </c>
      <c r="E44" s="251">
        <f t="shared" ref="E44:Q44" si="24">SUM(E45:E48)</f>
        <v>60000000</v>
      </c>
      <c r="F44" s="251">
        <f t="shared" si="24"/>
        <v>0</v>
      </c>
      <c r="G44" s="251">
        <f t="shared" si="24"/>
        <v>59920000</v>
      </c>
      <c r="H44" s="251">
        <f t="shared" si="24"/>
        <v>59920000</v>
      </c>
      <c r="I44" s="251">
        <f t="shared" si="24"/>
        <v>0</v>
      </c>
      <c r="J44" s="251">
        <f t="shared" si="24"/>
        <v>196000000</v>
      </c>
      <c r="K44" s="251">
        <f t="shared" si="24"/>
        <v>0</v>
      </c>
      <c r="L44" s="251">
        <f t="shared" si="24"/>
        <v>196000000</v>
      </c>
      <c r="M44" s="251">
        <f t="shared" si="24"/>
        <v>78400000</v>
      </c>
      <c r="N44" s="251">
        <f t="shared" si="24"/>
        <v>117600000</v>
      </c>
      <c r="O44" s="251">
        <f t="shared" si="24"/>
        <v>20000000</v>
      </c>
      <c r="P44" s="251">
        <f t="shared" si="24"/>
        <v>0</v>
      </c>
      <c r="Q44" s="251">
        <f t="shared" si="24"/>
        <v>20000000</v>
      </c>
      <c r="R44" s="251">
        <f t="shared" ref="R44" si="25">SUM(R45:R48)</f>
        <v>0</v>
      </c>
      <c r="S44" s="251"/>
      <c r="T44" s="251">
        <f>SUM(T45:T48)</f>
        <v>0</v>
      </c>
      <c r="U44" s="251">
        <f>SUM(E44,J44,O44,T44)</f>
        <v>276000000</v>
      </c>
      <c r="V44" s="251">
        <f t="shared" ref="V44" si="26">SUM(V45:V48)</f>
        <v>0</v>
      </c>
      <c r="W44" s="276"/>
      <c r="X44" s="259">
        <f>'Kemhan-TNI'!AG51</f>
        <v>0</v>
      </c>
      <c r="Y44" s="258">
        <f>'Kemhan-TNI'!T51</f>
        <v>82200000</v>
      </c>
    </row>
    <row r="45" spans="1:25" ht="37.5" x14ac:dyDescent="0.3">
      <c r="A45" s="249"/>
      <c r="B45" s="256" t="s">
        <v>71</v>
      </c>
      <c r="C45" s="256" t="s">
        <v>72</v>
      </c>
      <c r="D45" s="269">
        <v>80000000</v>
      </c>
      <c r="E45" s="269">
        <v>60000000</v>
      </c>
      <c r="F45" s="269" t="s">
        <v>222</v>
      </c>
      <c r="G45" s="269">
        <v>59920000</v>
      </c>
      <c r="H45" s="269">
        <v>59920000</v>
      </c>
      <c r="I45" s="257">
        <f>Table3[[#This Row],[NILAI KONTRAK 2015]]-Table3[[#This Row],[REALISASI PENYERAPAN 2015]]</f>
        <v>0</v>
      </c>
      <c r="J45" s="269">
        <v>0</v>
      </c>
      <c r="K45" s="269"/>
      <c r="L45" s="269"/>
      <c r="M45" s="269"/>
      <c r="N45" s="269">
        <f>Table3[[#This Row],[NILAI KONTRAK 2016]]-Table3[[#This Row],[REALISASI PENYERAPAN 2016]]</f>
        <v>0</v>
      </c>
      <c r="O45" s="269">
        <v>20000000</v>
      </c>
      <c r="P45" s="269" t="s">
        <v>225</v>
      </c>
      <c r="Q45" s="269">
        <v>20000000</v>
      </c>
      <c r="R45" s="269">
        <v>0</v>
      </c>
      <c r="S45" s="269"/>
      <c r="T45" s="269">
        <v>0</v>
      </c>
      <c r="U45" s="251">
        <f>SUM(E45,J45,O45,T45)</f>
        <v>80000000</v>
      </c>
      <c r="V45" s="266">
        <f>D45-U45</f>
        <v>0</v>
      </c>
      <c r="W45" s="264"/>
      <c r="X45" s="259">
        <f>'Kemhan-TNI'!AG52</f>
        <v>0</v>
      </c>
      <c r="Y45" s="258">
        <f>'Kemhan-TNI'!T52</f>
        <v>0</v>
      </c>
    </row>
    <row r="46" spans="1:25" ht="37.5" x14ac:dyDescent="0.3">
      <c r="A46" s="249"/>
      <c r="B46" s="256" t="s">
        <v>73</v>
      </c>
      <c r="C46" s="256" t="s">
        <v>74</v>
      </c>
      <c r="D46" s="269">
        <v>88000000</v>
      </c>
      <c r="E46" s="269">
        <v>0</v>
      </c>
      <c r="F46" s="269"/>
      <c r="G46" s="269"/>
      <c r="H46" s="269"/>
      <c r="I46" s="257">
        <f>Table3[[#This Row],[NILAI KONTRAK 2015]]-Table3[[#This Row],[REALISASI PENYERAPAN 2015]]</f>
        <v>0</v>
      </c>
      <c r="J46" s="269">
        <v>88000000</v>
      </c>
      <c r="K46" s="269" t="s">
        <v>223</v>
      </c>
      <c r="L46" s="269">
        <v>88000000</v>
      </c>
      <c r="M46" s="269">
        <v>35200000</v>
      </c>
      <c r="N46" s="269">
        <f>Table3[[#This Row],[NILAI KONTRAK 2016]]-Table3[[#This Row],[REALISASI PENYERAPAN 2016]]</f>
        <v>52800000</v>
      </c>
      <c r="O46" s="269">
        <v>0</v>
      </c>
      <c r="P46" s="269"/>
      <c r="Q46" s="269"/>
      <c r="R46" s="269"/>
      <c r="S46" s="269"/>
      <c r="T46" s="269">
        <v>0</v>
      </c>
      <c r="U46" s="251">
        <f>SUM(E46,J46,O46,T46)</f>
        <v>88000000</v>
      </c>
      <c r="V46" s="266">
        <f>D46-U46</f>
        <v>0</v>
      </c>
      <c r="W46" s="264"/>
      <c r="X46" s="259">
        <f>'Kemhan-TNI'!AG53</f>
        <v>0</v>
      </c>
      <c r="Y46" s="258">
        <f>'Kemhan-TNI'!T53</f>
        <v>52800000</v>
      </c>
    </row>
    <row r="47" spans="1:25" ht="37.5" x14ac:dyDescent="0.3">
      <c r="A47" s="249"/>
      <c r="B47" s="256" t="s">
        <v>75</v>
      </c>
      <c r="C47" s="256" t="s">
        <v>74</v>
      </c>
      <c r="D47" s="269">
        <v>59000000</v>
      </c>
      <c r="E47" s="269">
        <v>0</v>
      </c>
      <c r="F47" s="269"/>
      <c r="G47" s="269"/>
      <c r="H47" s="269"/>
      <c r="I47" s="257">
        <f>Table3[[#This Row],[NILAI KONTRAK 2015]]-Table3[[#This Row],[REALISASI PENYERAPAN 2015]]</f>
        <v>0</v>
      </c>
      <c r="J47" s="269">
        <v>59000000</v>
      </c>
      <c r="K47" s="269" t="s">
        <v>223</v>
      </c>
      <c r="L47" s="269">
        <v>59000000</v>
      </c>
      <c r="M47" s="269">
        <v>23600000</v>
      </c>
      <c r="N47" s="269">
        <f>Table3[[#This Row],[NILAI KONTRAK 2016]]-Table3[[#This Row],[REALISASI PENYERAPAN 2016]]</f>
        <v>35400000</v>
      </c>
      <c r="O47" s="269">
        <v>0</v>
      </c>
      <c r="P47" s="269"/>
      <c r="Q47" s="269"/>
      <c r="R47" s="269"/>
      <c r="S47" s="269"/>
      <c r="T47" s="269">
        <v>0</v>
      </c>
      <c r="U47" s="251">
        <f>SUM(E47,J47,O47,T47)</f>
        <v>59000000</v>
      </c>
      <c r="V47" s="266">
        <f>D47-U47</f>
        <v>0</v>
      </c>
      <c r="W47" s="264"/>
      <c r="X47" s="259">
        <f>'Kemhan-TNI'!AG54</f>
        <v>0</v>
      </c>
      <c r="Y47" s="258">
        <f>'Kemhan-TNI'!T54</f>
        <v>0</v>
      </c>
    </row>
    <row r="48" spans="1:25" ht="37.5" x14ac:dyDescent="0.3">
      <c r="A48" s="249"/>
      <c r="B48" s="256" t="s">
        <v>76</v>
      </c>
      <c r="C48" s="256" t="s">
        <v>74</v>
      </c>
      <c r="D48" s="269">
        <v>49000000</v>
      </c>
      <c r="E48" s="269">
        <v>0</v>
      </c>
      <c r="F48" s="269"/>
      <c r="G48" s="269"/>
      <c r="H48" s="269"/>
      <c r="I48" s="257">
        <f>Table3[[#This Row],[NILAI KONTRAK 2015]]-Table3[[#This Row],[REALISASI PENYERAPAN 2015]]</f>
        <v>0</v>
      </c>
      <c r="J48" s="269">
        <v>49000000</v>
      </c>
      <c r="K48" s="269" t="s">
        <v>223</v>
      </c>
      <c r="L48" s="269">
        <v>49000000</v>
      </c>
      <c r="M48" s="269">
        <v>19600000</v>
      </c>
      <c r="N48" s="269">
        <f>Table3[[#This Row],[NILAI KONTRAK 2016]]-Table3[[#This Row],[REALISASI PENYERAPAN 2016]]</f>
        <v>29400000</v>
      </c>
      <c r="O48" s="269">
        <v>0</v>
      </c>
      <c r="P48" s="269"/>
      <c r="Q48" s="269"/>
      <c r="R48" s="269"/>
      <c r="S48" s="269"/>
      <c r="T48" s="269">
        <v>0</v>
      </c>
      <c r="U48" s="251">
        <f>SUM(E48,J48,O48,T48)</f>
        <v>49000000</v>
      </c>
      <c r="V48" s="266">
        <f>D48-U48</f>
        <v>0</v>
      </c>
      <c r="W48" s="264"/>
      <c r="X48" s="259">
        <f>'Kemhan-TNI'!AG55</f>
        <v>0</v>
      </c>
      <c r="Y48" s="258">
        <f>'Kemhan-TNI'!T55</f>
        <v>29400000</v>
      </c>
    </row>
    <row r="49" spans="1:25" ht="18.75" x14ac:dyDescent="0.3">
      <c r="A49" s="249"/>
      <c r="B49" s="256"/>
      <c r="C49" s="256"/>
      <c r="D49" s="269"/>
      <c r="E49" s="269"/>
      <c r="F49" s="269"/>
      <c r="G49" s="269"/>
      <c r="H49" s="269"/>
      <c r="I49" s="269">
        <f>Table3[[#This Row],[REALISASI PENYERAPAN 2015]]-Table3[[#This Row],[NILAI KONTRAK 2015]]</f>
        <v>0</v>
      </c>
      <c r="J49" s="269"/>
      <c r="K49" s="269"/>
      <c r="L49" s="269"/>
      <c r="M49" s="269"/>
      <c r="N49" s="269">
        <f>Table3[[#This Row],[NILAI KONTRAK 2016]]-Table3[[#This Row],[REALISASI PENYERAPAN 2016]]</f>
        <v>0</v>
      </c>
      <c r="O49" s="269"/>
      <c r="P49" s="269"/>
      <c r="Q49" s="269"/>
      <c r="R49" s="269"/>
      <c r="S49" s="269"/>
      <c r="T49" s="278"/>
      <c r="U49" s="269"/>
      <c r="V49" s="269"/>
      <c r="W49" s="278"/>
      <c r="X49" s="259">
        <f>'Kemhan-TNI'!AG56</f>
        <v>0</v>
      </c>
      <c r="Y49" s="258">
        <f>'Kemhan-TNI'!T56</f>
        <v>0</v>
      </c>
    </row>
    <row r="50" spans="1:25" ht="37.5" x14ac:dyDescent="0.3">
      <c r="A50" s="260">
        <v>6</v>
      </c>
      <c r="B50" s="280" t="s">
        <v>41</v>
      </c>
      <c r="C50" s="260" t="s">
        <v>55</v>
      </c>
      <c r="D50" s="251">
        <f>SUM(D51:D51)</f>
        <v>500000000</v>
      </c>
      <c r="E50" s="251">
        <f t="shared" ref="E50:Q50" si="27">SUM(E51:E51)</f>
        <v>34000000</v>
      </c>
      <c r="F50" s="251">
        <f t="shared" si="27"/>
        <v>0</v>
      </c>
      <c r="G50" s="251">
        <f t="shared" si="27"/>
        <v>33999743</v>
      </c>
      <c r="H50" s="251">
        <f t="shared" si="27"/>
        <v>33999743</v>
      </c>
      <c r="I50" s="251">
        <f t="shared" si="27"/>
        <v>0</v>
      </c>
      <c r="J50" s="251">
        <f t="shared" si="27"/>
        <v>0</v>
      </c>
      <c r="K50" s="251">
        <f t="shared" si="27"/>
        <v>0</v>
      </c>
      <c r="L50" s="251">
        <f t="shared" si="27"/>
        <v>0</v>
      </c>
      <c r="M50" s="251">
        <f t="shared" si="27"/>
        <v>0</v>
      </c>
      <c r="N50" s="251">
        <f t="shared" si="27"/>
        <v>0</v>
      </c>
      <c r="O50" s="251">
        <f t="shared" si="27"/>
        <v>155000000</v>
      </c>
      <c r="P50" s="251">
        <f t="shared" si="27"/>
        <v>0</v>
      </c>
      <c r="Q50" s="251">
        <f t="shared" si="27"/>
        <v>155000000</v>
      </c>
      <c r="R50" s="251">
        <f t="shared" ref="R50" si="28">SUM(R51:R51)</f>
        <v>0</v>
      </c>
      <c r="S50" s="251"/>
      <c r="T50" s="251">
        <f>SUM(T51:T51)</f>
        <v>0</v>
      </c>
      <c r="U50" s="251">
        <f>SUM(E50,J50,O50,T50)</f>
        <v>189000000</v>
      </c>
      <c r="V50" s="251">
        <f>SUM(V51:V51)</f>
        <v>311000000</v>
      </c>
      <c r="W50" s="276"/>
      <c r="X50" s="259">
        <f>'Kemhan-TNI'!AG57</f>
        <v>0</v>
      </c>
      <c r="Y50" s="258">
        <f>'Kemhan-TNI'!T57</f>
        <v>0</v>
      </c>
    </row>
    <row r="51" spans="1:25" ht="37.5" x14ac:dyDescent="0.3">
      <c r="A51" s="249"/>
      <c r="B51" s="256" t="s">
        <v>77</v>
      </c>
      <c r="C51" s="256" t="s">
        <v>25</v>
      </c>
      <c r="D51" s="269">
        <v>500000000</v>
      </c>
      <c r="E51" s="269">
        <v>34000000</v>
      </c>
      <c r="F51" s="269" t="s">
        <v>222</v>
      </c>
      <c r="G51" s="269">
        <v>33999743</v>
      </c>
      <c r="H51" s="269">
        <v>33999743</v>
      </c>
      <c r="I51" s="257">
        <f>Table3[[#This Row],[NILAI KONTRAK 2015]]-Table3[[#This Row],[REALISASI PENYERAPAN 2015]]</f>
        <v>0</v>
      </c>
      <c r="J51" s="269">
        <v>0</v>
      </c>
      <c r="K51" s="269"/>
      <c r="L51" s="269"/>
      <c r="M51" s="269"/>
      <c r="N51" s="269">
        <f>Table3[[#This Row],[NILAI KONTRAK 2016]]-Table3[[#This Row],[REALISASI PENYERAPAN 2016]]</f>
        <v>0</v>
      </c>
      <c r="O51" s="269">
        <v>155000000</v>
      </c>
      <c r="P51" s="269" t="s">
        <v>225</v>
      </c>
      <c r="Q51" s="269">
        <f>105894000+49106000</f>
        <v>155000000</v>
      </c>
      <c r="R51" s="269">
        <v>0</v>
      </c>
      <c r="S51" s="269"/>
      <c r="T51" s="269">
        <v>0</v>
      </c>
      <c r="U51" s="251">
        <f>SUM(E51,J51,O51,T51)</f>
        <v>189000000</v>
      </c>
      <c r="V51" s="266">
        <f>D51-U51</f>
        <v>311000000</v>
      </c>
      <c r="W51" s="264"/>
      <c r="X51" s="259">
        <f>'Kemhan-TNI'!AG58</f>
        <v>0</v>
      </c>
      <c r="Y51" s="258">
        <f>'Kemhan-TNI'!T58</f>
        <v>0</v>
      </c>
    </row>
    <row r="52" spans="1:25" ht="18.75" x14ac:dyDescent="0.3">
      <c r="A52" s="249"/>
      <c r="B52" s="256"/>
      <c r="C52" s="256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>
        <f>Table3[[#This Row],[NILAI KONTRAK 2016]]-Table3[[#This Row],[REALISASI PENYERAPAN 2016]]</f>
        <v>0</v>
      </c>
      <c r="O52" s="269"/>
      <c r="P52" s="269"/>
      <c r="Q52" s="269"/>
      <c r="R52" s="269"/>
      <c r="S52" s="269"/>
      <c r="T52" s="278"/>
      <c r="U52" s="269"/>
      <c r="V52" s="269"/>
      <c r="W52" s="278"/>
      <c r="X52" s="259"/>
      <c r="Y52" s="258"/>
    </row>
    <row r="53" spans="1:25" ht="37.5" x14ac:dyDescent="0.3">
      <c r="A53" s="260">
        <v>7</v>
      </c>
      <c r="B53" s="281" t="s">
        <v>78</v>
      </c>
      <c r="C53" s="260" t="s">
        <v>47</v>
      </c>
      <c r="D53" s="251">
        <f>SUM(D54:D56)</f>
        <v>58000000</v>
      </c>
      <c r="E53" s="251">
        <f t="shared" ref="E53:R53" si="29">SUM(E54:E56)</f>
        <v>58000000</v>
      </c>
      <c r="F53" s="251">
        <f t="shared" si="29"/>
        <v>0</v>
      </c>
      <c r="G53" s="251">
        <f t="shared" si="29"/>
        <v>57978748.399999999</v>
      </c>
      <c r="H53" s="251">
        <f t="shared" si="29"/>
        <v>57978748.399999999</v>
      </c>
      <c r="I53" s="251">
        <f t="shared" si="29"/>
        <v>0</v>
      </c>
      <c r="J53" s="251">
        <f t="shared" si="29"/>
        <v>0</v>
      </c>
      <c r="K53" s="251">
        <f t="shared" si="29"/>
        <v>0</v>
      </c>
      <c r="L53" s="251">
        <f t="shared" si="29"/>
        <v>0</v>
      </c>
      <c r="M53" s="251">
        <f t="shared" si="29"/>
        <v>0</v>
      </c>
      <c r="N53" s="251">
        <f t="shared" si="29"/>
        <v>0</v>
      </c>
      <c r="O53" s="251">
        <f t="shared" si="29"/>
        <v>0</v>
      </c>
      <c r="P53" s="251">
        <f t="shared" si="29"/>
        <v>0</v>
      </c>
      <c r="Q53" s="251">
        <f t="shared" si="29"/>
        <v>0</v>
      </c>
      <c r="R53" s="251">
        <f t="shared" si="29"/>
        <v>0</v>
      </c>
      <c r="S53" s="251"/>
      <c r="T53" s="251">
        <f>SUM(T54:T56)</f>
        <v>0</v>
      </c>
      <c r="U53" s="251">
        <f>SUM(E53,J53,O53,T53)</f>
        <v>58000000</v>
      </c>
      <c r="V53" s="251">
        <f t="shared" ref="V53" si="30">SUM(V54:V54)</f>
        <v>0</v>
      </c>
      <c r="W53" s="251"/>
      <c r="X53" s="259">
        <f>'Kemhan-TNI'!AG60</f>
        <v>0</v>
      </c>
      <c r="Y53" s="258">
        <f>'Kemhan-TNI'!T60</f>
        <v>0</v>
      </c>
    </row>
    <row r="54" spans="1:25" ht="37.5" x14ac:dyDescent="0.3">
      <c r="A54" s="265"/>
      <c r="B54" s="279" t="s">
        <v>79</v>
      </c>
      <c r="C54" s="279" t="s">
        <v>43</v>
      </c>
      <c r="D54" s="257">
        <v>32000000</v>
      </c>
      <c r="E54" s="257">
        <v>32000000</v>
      </c>
      <c r="F54" s="257" t="s">
        <v>222</v>
      </c>
      <c r="G54" s="257">
        <v>31999324.399999999</v>
      </c>
      <c r="H54" s="257">
        <v>31999324.399999999</v>
      </c>
      <c r="I54" s="257">
        <f>Table3[[#This Row],[NILAI KONTRAK 2015]]-Table3[[#This Row],[REALISASI PENYERAPAN 2015]]</f>
        <v>0</v>
      </c>
      <c r="J54" s="257">
        <v>0</v>
      </c>
      <c r="K54" s="257"/>
      <c r="L54" s="257"/>
      <c r="M54" s="257"/>
      <c r="N54" s="257">
        <f>Table3[[#This Row],[NILAI KONTRAK 2016]]-Table3[[#This Row],[REALISASI PENYERAPAN 2016]]</f>
        <v>0</v>
      </c>
      <c r="O54" s="257">
        <v>0</v>
      </c>
      <c r="P54" s="257"/>
      <c r="Q54" s="257"/>
      <c r="R54" s="257"/>
      <c r="S54" s="257"/>
      <c r="T54" s="257">
        <v>0</v>
      </c>
      <c r="U54" s="251">
        <f>SUM(E54,J54,O54,T54)</f>
        <v>32000000</v>
      </c>
      <c r="V54" s="266">
        <f>D54-U54</f>
        <v>0</v>
      </c>
      <c r="W54" s="264"/>
      <c r="X54" s="259">
        <f>'Kemhan-TNI'!AG61</f>
        <v>0</v>
      </c>
      <c r="Y54" s="258">
        <f>'Kemhan-TNI'!T61</f>
        <v>0</v>
      </c>
    </row>
    <row r="55" spans="1:25" ht="37.5" x14ac:dyDescent="0.3">
      <c r="A55" s="249"/>
      <c r="B55" s="256" t="s">
        <v>80</v>
      </c>
      <c r="C55" s="256" t="s">
        <v>43</v>
      </c>
      <c r="D55" s="269">
        <v>17000000</v>
      </c>
      <c r="E55" s="269">
        <v>17000000</v>
      </c>
      <c r="F55" s="269" t="s">
        <v>222</v>
      </c>
      <c r="G55" s="269">
        <v>16994824</v>
      </c>
      <c r="H55" s="269">
        <v>16994824</v>
      </c>
      <c r="I55" s="257">
        <f>Table3[[#This Row],[NILAI KONTRAK 2015]]-Table3[[#This Row],[REALISASI PENYERAPAN 2015]]</f>
        <v>0</v>
      </c>
      <c r="J55" s="269">
        <v>0</v>
      </c>
      <c r="K55" s="269"/>
      <c r="L55" s="269"/>
      <c r="M55" s="269"/>
      <c r="N55" s="269">
        <f>Table3[[#This Row],[NILAI KONTRAK 2016]]-Table3[[#This Row],[REALISASI PENYERAPAN 2016]]</f>
        <v>0</v>
      </c>
      <c r="O55" s="269">
        <v>0</v>
      </c>
      <c r="P55" s="269"/>
      <c r="Q55" s="269"/>
      <c r="R55" s="269"/>
      <c r="S55" s="269"/>
      <c r="T55" s="257">
        <v>0</v>
      </c>
      <c r="U55" s="251">
        <f>SUM(E55,J55,O55,T55)</f>
        <v>17000000</v>
      </c>
      <c r="V55" s="266">
        <f>D55-U55</f>
        <v>0</v>
      </c>
      <c r="W55" s="264"/>
      <c r="X55" s="259">
        <f>'Kemhan-TNI'!AG62</f>
        <v>0</v>
      </c>
      <c r="Y55" s="258">
        <f>'Kemhan-TNI'!T62</f>
        <v>0</v>
      </c>
    </row>
    <row r="56" spans="1:25" ht="37.5" x14ac:dyDescent="0.3">
      <c r="A56" s="249"/>
      <c r="B56" s="256" t="s">
        <v>52</v>
      </c>
      <c r="C56" s="256" t="s">
        <v>43</v>
      </c>
      <c r="D56" s="269">
        <v>9000000</v>
      </c>
      <c r="E56" s="269">
        <v>9000000</v>
      </c>
      <c r="F56" s="269" t="s">
        <v>222</v>
      </c>
      <c r="G56" s="269">
        <v>8984600</v>
      </c>
      <c r="H56" s="269">
        <v>8984600</v>
      </c>
      <c r="I56" s="257">
        <f>Table3[[#This Row],[NILAI KONTRAK 2015]]-Table3[[#This Row],[REALISASI PENYERAPAN 2015]]</f>
        <v>0</v>
      </c>
      <c r="J56" s="269">
        <v>0</v>
      </c>
      <c r="K56" s="269"/>
      <c r="L56" s="269"/>
      <c r="M56" s="269"/>
      <c r="N56" s="269">
        <f>Table3[[#This Row],[NILAI KONTRAK 2016]]-Table3[[#This Row],[REALISASI PENYERAPAN 2016]]</f>
        <v>0</v>
      </c>
      <c r="O56" s="269">
        <v>0</v>
      </c>
      <c r="P56" s="269"/>
      <c r="Q56" s="269"/>
      <c r="R56" s="269"/>
      <c r="S56" s="269"/>
      <c r="T56" s="257">
        <v>0</v>
      </c>
      <c r="U56" s="251">
        <f>SUM(E56,J56,O56,T56)</f>
        <v>9000000</v>
      </c>
      <c r="V56" s="266">
        <f>D56-U56</f>
        <v>0</v>
      </c>
      <c r="W56" s="264"/>
      <c r="X56" s="259">
        <f>'Kemhan-TNI'!AG63</f>
        <v>0</v>
      </c>
      <c r="Y56" s="258">
        <f>'Kemhan-TNI'!T63</f>
        <v>0</v>
      </c>
    </row>
    <row r="57" spans="1:25" ht="18.75" x14ac:dyDescent="0.3">
      <c r="A57" s="249"/>
      <c r="B57" s="256"/>
      <c r="C57" s="256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4"/>
      <c r="U57" s="269"/>
      <c r="V57" s="269"/>
      <c r="W57" s="264"/>
      <c r="X57" s="259"/>
      <c r="Y57" s="258"/>
    </row>
    <row r="58" spans="1:25" ht="37.5" x14ac:dyDescent="0.3">
      <c r="A58" s="260">
        <v>8</v>
      </c>
      <c r="B58" s="277" t="s">
        <v>81</v>
      </c>
      <c r="C58" s="260" t="s">
        <v>55</v>
      </c>
      <c r="D58" s="251">
        <f>SUM(D59)</f>
        <v>380000000</v>
      </c>
      <c r="E58" s="251">
        <f t="shared" ref="E58:R58" si="31">SUM(E59)</f>
        <v>0</v>
      </c>
      <c r="F58" s="251">
        <f t="shared" si="31"/>
        <v>0</v>
      </c>
      <c r="G58" s="251">
        <f t="shared" si="31"/>
        <v>0</v>
      </c>
      <c r="H58" s="251">
        <f t="shared" si="31"/>
        <v>0</v>
      </c>
      <c r="I58" s="251">
        <f t="shared" si="31"/>
        <v>0</v>
      </c>
      <c r="J58" s="251">
        <f t="shared" si="31"/>
        <v>380000000</v>
      </c>
      <c r="K58" s="251">
        <f t="shared" si="31"/>
        <v>0</v>
      </c>
      <c r="L58" s="251">
        <f t="shared" si="31"/>
        <v>379986300</v>
      </c>
      <c r="M58" s="251">
        <f t="shared" si="31"/>
        <v>113995890</v>
      </c>
      <c r="N58" s="251">
        <f t="shared" si="31"/>
        <v>265990410</v>
      </c>
      <c r="O58" s="251">
        <f t="shared" si="31"/>
        <v>0</v>
      </c>
      <c r="P58" s="251">
        <f t="shared" si="31"/>
        <v>0</v>
      </c>
      <c r="Q58" s="251">
        <f t="shared" si="31"/>
        <v>0</v>
      </c>
      <c r="R58" s="251">
        <f t="shared" si="31"/>
        <v>0</v>
      </c>
      <c r="S58" s="251"/>
      <c r="T58" s="251">
        <f>SUM(T59)</f>
        <v>0</v>
      </c>
      <c r="U58" s="251">
        <f>SUM(E58,J58,O58,T58)</f>
        <v>380000000</v>
      </c>
      <c r="V58" s="251">
        <f t="shared" ref="V58" si="32">SUM(V59)</f>
        <v>0</v>
      </c>
      <c r="W58" s="276"/>
      <c r="X58" s="259">
        <f>'Kemhan-TNI'!AG65</f>
        <v>0</v>
      </c>
      <c r="Y58" s="258">
        <f>'Kemhan-TNI'!T65</f>
        <v>266590410</v>
      </c>
    </row>
    <row r="59" spans="1:25" ht="37.5" x14ac:dyDescent="0.3">
      <c r="A59" s="249"/>
      <c r="B59" s="256" t="s">
        <v>82</v>
      </c>
      <c r="C59" s="256" t="s">
        <v>83</v>
      </c>
      <c r="D59" s="269">
        <v>380000000</v>
      </c>
      <c r="E59" s="269">
        <v>0</v>
      </c>
      <c r="F59" s="269"/>
      <c r="G59" s="269"/>
      <c r="H59" s="269"/>
      <c r="I59" s="257">
        <f>Table3[[#This Row],[NILAI KONTRAK 2015]]-Table3[[#This Row],[REALISASI PENYERAPAN 2015]]</f>
        <v>0</v>
      </c>
      <c r="J59" s="269">
        <v>380000000</v>
      </c>
      <c r="K59" s="269" t="s">
        <v>223</v>
      </c>
      <c r="L59" s="269">
        <v>379986300</v>
      </c>
      <c r="M59" s="269">
        <v>113995890</v>
      </c>
      <c r="N59" s="269">
        <f>Table3[[#This Row],[NILAI KONTRAK 2016]]-Table3[[#This Row],[REALISASI PENYERAPAN 2016]]</f>
        <v>265990410</v>
      </c>
      <c r="O59" s="269">
        <v>0</v>
      </c>
      <c r="P59" s="269"/>
      <c r="Q59" s="269"/>
      <c r="R59" s="269"/>
      <c r="S59" s="269"/>
      <c r="T59" s="269">
        <v>0</v>
      </c>
      <c r="U59" s="251">
        <f>SUM(E59,J59,O59,T59)</f>
        <v>380000000</v>
      </c>
      <c r="V59" s="266">
        <f>D59-U59</f>
        <v>0</v>
      </c>
      <c r="W59" s="264"/>
      <c r="X59" s="259">
        <f>'Kemhan-TNI'!AG66</f>
        <v>0</v>
      </c>
      <c r="Y59" s="258">
        <f>'Kemhan-TNI'!T66</f>
        <v>266590410</v>
      </c>
    </row>
    <row r="60" spans="1:25" ht="18.75" x14ac:dyDescent="0.3">
      <c r="A60" s="249"/>
      <c r="B60" s="250"/>
      <c r="C60" s="250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76"/>
      <c r="U60" s="251"/>
      <c r="V60" s="251"/>
      <c r="W60" s="276"/>
      <c r="X60" s="259"/>
      <c r="Y60" s="258"/>
    </row>
    <row r="61" spans="1:25" ht="18.75" x14ac:dyDescent="0.3">
      <c r="A61" s="282"/>
      <c r="B61" s="283"/>
      <c r="C61" s="283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84"/>
      <c r="U61" s="269"/>
      <c r="V61" s="269"/>
      <c r="W61" s="284"/>
      <c r="X61" s="259"/>
      <c r="Y61" s="258"/>
    </row>
    <row r="62" spans="1:25" ht="37.5" x14ac:dyDescent="0.25">
      <c r="A62" s="285" t="s">
        <v>84</v>
      </c>
      <c r="B62" s="285"/>
      <c r="C62" s="286" t="s">
        <v>85</v>
      </c>
      <c r="D62" s="287">
        <f>D64+D67+D70+D76+D81+D84</f>
        <v>6962500000</v>
      </c>
      <c r="E62" s="287">
        <f t="shared" ref="E62:R62" si="33">E64+E67+E70+E76+E81+E84</f>
        <v>450000000</v>
      </c>
      <c r="F62" s="287">
        <f t="shared" si="33"/>
        <v>0</v>
      </c>
      <c r="G62" s="287">
        <f t="shared" si="33"/>
        <v>449988175.17500001</v>
      </c>
      <c r="H62" s="287">
        <f t="shared" si="33"/>
        <v>288744084.18900001</v>
      </c>
      <c r="I62" s="287">
        <f t="shared" si="33"/>
        <v>161244090.986</v>
      </c>
      <c r="J62" s="287">
        <f t="shared" si="33"/>
        <v>350000000</v>
      </c>
      <c r="K62" s="287">
        <f t="shared" si="33"/>
        <v>0</v>
      </c>
      <c r="L62" s="287">
        <f t="shared" si="33"/>
        <v>349991429.60000002</v>
      </c>
      <c r="M62" s="287">
        <f t="shared" si="33"/>
        <v>11993143.68</v>
      </c>
      <c r="N62" s="287">
        <f t="shared" si="33"/>
        <v>337998285.92000002</v>
      </c>
      <c r="O62" s="287">
        <f t="shared" si="33"/>
        <v>1052500000</v>
      </c>
      <c r="P62" s="287">
        <f t="shared" si="33"/>
        <v>0</v>
      </c>
      <c r="Q62" s="287">
        <f t="shared" si="33"/>
        <v>82500000</v>
      </c>
      <c r="R62" s="287">
        <f t="shared" si="33"/>
        <v>0</v>
      </c>
      <c r="S62" s="287"/>
      <c r="T62" s="287">
        <f>T64+T67+T70+T76+T81+T84</f>
        <v>1628750000</v>
      </c>
      <c r="U62" s="287">
        <f>SUM(U64:U86)</f>
        <v>6962500000</v>
      </c>
      <c r="V62" s="287">
        <f>SUM(V64,V67,V70,V76,V81,V84)</f>
        <v>3481250000</v>
      </c>
      <c r="W62" s="288"/>
      <c r="X62" s="326">
        <f>'Kemhan-TNI'!AG69</f>
        <v>2278500000</v>
      </c>
      <c r="Y62" s="327">
        <f>'Kemhan-TNI'!T69</f>
        <v>263237235</v>
      </c>
    </row>
    <row r="63" spans="1:25" ht="18.75" x14ac:dyDescent="0.3">
      <c r="A63" s="289"/>
      <c r="B63" s="289"/>
      <c r="C63" s="289"/>
      <c r="D63" s="251"/>
      <c r="E63" s="251"/>
      <c r="F63" s="251"/>
      <c r="G63" s="251"/>
      <c r="H63" s="251"/>
      <c r="I63" s="251">
        <f>Table3[[#This Row],[REALISASI PENYERAPAN 2015]]-Table3[[#This Row],[NILAI KONTRAK 2015]]</f>
        <v>0</v>
      </c>
      <c r="J63" s="251"/>
      <c r="K63" s="251"/>
      <c r="L63" s="251"/>
      <c r="M63" s="251"/>
      <c r="N63" s="251">
        <f>Table3[[#This Row],[NILAI KONTRAK 2016]]-Table3[[#This Row],[REALISASI PENYERAPAN 2016]]</f>
        <v>0</v>
      </c>
      <c r="O63" s="251"/>
      <c r="P63" s="251"/>
      <c r="Q63" s="251"/>
      <c r="R63" s="251"/>
      <c r="S63" s="251"/>
      <c r="T63" s="276"/>
      <c r="U63" s="251"/>
      <c r="V63" s="251"/>
      <c r="W63" s="276"/>
      <c r="X63" s="259">
        <f>'Kemhan-TNI'!AG70</f>
        <v>0</v>
      </c>
      <c r="Y63" s="258">
        <f>'Kemhan-TNI'!T70</f>
        <v>0</v>
      </c>
    </row>
    <row r="64" spans="1:25" ht="37.5" x14ac:dyDescent="0.3">
      <c r="A64" s="260">
        <v>1</v>
      </c>
      <c r="B64" s="261" t="s">
        <v>86</v>
      </c>
      <c r="C64" s="260" t="s">
        <v>55</v>
      </c>
      <c r="D64" s="251">
        <f>SUM(D65:D65)</f>
        <v>2000000000</v>
      </c>
      <c r="E64" s="251">
        <f t="shared" ref="E64:Q64" si="34">SUM(E65:E65)</f>
        <v>0</v>
      </c>
      <c r="F64" s="251">
        <f t="shared" si="34"/>
        <v>0</v>
      </c>
      <c r="G64" s="251">
        <f t="shared" si="34"/>
        <v>0</v>
      </c>
      <c r="H64" s="251">
        <f t="shared" si="34"/>
        <v>0</v>
      </c>
      <c r="I64" s="251">
        <f>Table3[[#This Row],[REALISASI PENYERAPAN 2015]]-Table3[[#This Row],[NILAI KONTRAK 2015]]</f>
        <v>0</v>
      </c>
      <c r="J64" s="251">
        <f t="shared" si="34"/>
        <v>150000000</v>
      </c>
      <c r="K64" s="251">
        <f t="shared" si="34"/>
        <v>0</v>
      </c>
      <c r="L64" s="251">
        <f t="shared" si="34"/>
        <v>150000000</v>
      </c>
      <c r="M64" s="251">
        <f t="shared" si="34"/>
        <v>0</v>
      </c>
      <c r="N64" s="251">
        <f t="shared" si="34"/>
        <v>150000000</v>
      </c>
      <c r="O64" s="251">
        <f t="shared" si="34"/>
        <v>750000000</v>
      </c>
      <c r="P64" s="251">
        <f t="shared" si="34"/>
        <v>0</v>
      </c>
      <c r="Q64" s="251">
        <f t="shared" si="34"/>
        <v>0</v>
      </c>
      <c r="R64" s="251">
        <f t="shared" ref="R64" si="35">SUM(R65:R65)</f>
        <v>0</v>
      </c>
      <c r="S64" s="251"/>
      <c r="T64" s="251">
        <f>SUM(T65:T65)</f>
        <v>100000000</v>
      </c>
      <c r="U64" s="251">
        <f>SUM(E64,J64,O64,T64)</f>
        <v>1000000000</v>
      </c>
      <c r="V64" s="251">
        <f t="shared" ref="V64" si="36">SUM(V65:V65)</f>
        <v>1000000000</v>
      </c>
      <c r="W64" s="276"/>
      <c r="X64" s="328">
        <f>'Kemhan-TNI'!AG71</f>
        <v>800000000</v>
      </c>
      <c r="Y64" s="258">
        <f>'Kemhan-TNI'!T71</f>
        <v>0</v>
      </c>
    </row>
    <row r="65" spans="1:25" ht="37.5" x14ac:dyDescent="0.3">
      <c r="A65" s="265"/>
      <c r="B65" s="279" t="s">
        <v>87</v>
      </c>
      <c r="C65" s="279" t="s">
        <v>83</v>
      </c>
      <c r="D65" s="257">
        <v>2000000000</v>
      </c>
      <c r="E65" s="257">
        <v>0</v>
      </c>
      <c r="F65" s="257"/>
      <c r="G65" s="257"/>
      <c r="H65" s="257"/>
      <c r="I65" s="257">
        <f>Table3[[#This Row],[NILAI KONTRAK 2015]]-Table3[[#This Row],[REALISASI PENYERAPAN 2015]]</f>
        <v>0</v>
      </c>
      <c r="J65" s="257">
        <v>150000000</v>
      </c>
      <c r="K65" s="257" t="s">
        <v>225</v>
      </c>
      <c r="L65" s="257">
        <v>150000000</v>
      </c>
      <c r="M65" s="257">
        <v>0</v>
      </c>
      <c r="N65" s="257">
        <f>Table3[[#This Row],[NILAI KONTRAK 2016]]-Table3[[#This Row],[REALISASI PENYERAPAN 2016]]</f>
        <v>150000000</v>
      </c>
      <c r="O65" s="257">
        <v>750000000</v>
      </c>
      <c r="P65" s="257" t="s">
        <v>227</v>
      </c>
      <c r="Q65" s="257"/>
      <c r="R65" s="257"/>
      <c r="S65" s="257"/>
      <c r="T65" s="264">
        <v>100000000</v>
      </c>
      <c r="U65" s="251">
        <f>SUM(E65,J65,O65,T65)</f>
        <v>1000000000</v>
      </c>
      <c r="V65" s="257">
        <f>D65-U65</f>
        <v>1000000000</v>
      </c>
      <c r="W65" s="264"/>
      <c r="X65" s="259">
        <f>'Kemhan-TNI'!AG72</f>
        <v>800000000</v>
      </c>
      <c r="Y65" s="258">
        <f>'Kemhan-TNI'!T72</f>
        <v>0</v>
      </c>
    </row>
    <row r="66" spans="1:25" ht="18.75" x14ac:dyDescent="0.3">
      <c r="A66" s="290"/>
      <c r="B66" s="291"/>
      <c r="C66" s="283"/>
      <c r="D66" s="269"/>
      <c r="E66" s="269"/>
      <c r="F66" s="269"/>
      <c r="G66" s="269"/>
      <c r="H66" s="269"/>
      <c r="I66" s="269">
        <f>Table3[[#This Row],[REALISASI PENYERAPAN 2015]]-Table3[[#This Row],[NILAI KONTRAK 2015]]</f>
        <v>0</v>
      </c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78"/>
      <c r="U66" s="269"/>
      <c r="V66" s="269"/>
      <c r="W66" s="278"/>
      <c r="X66" s="259"/>
      <c r="Y66" s="258"/>
    </row>
    <row r="67" spans="1:25" ht="37.5" x14ac:dyDescent="0.3">
      <c r="A67" s="260">
        <v>2</v>
      </c>
      <c r="B67" s="261" t="s">
        <v>89</v>
      </c>
      <c r="C67" s="260" t="s">
        <v>55</v>
      </c>
      <c r="D67" s="251">
        <f>SUM(D68:D68)</f>
        <v>540000000</v>
      </c>
      <c r="E67" s="251">
        <f t="shared" ref="E67:Q67" si="37">SUM(E68:E68)</f>
        <v>180000000</v>
      </c>
      <c r="F67" s="251">
        <f t="shared" si="37"/>
        <v>0</v>
      </c>
      <c r="G67" s="251">
        <f t="shared" si="37"/>
        <v>179988181.97499999</v>
      </c>
      <c r="H67" s="251">
        <f t="shared" si="37"/>
        <v>89994090.988000005</v>
      </c>
      <c r="I67" s="251">
        <f t="shared" si="37"/>
        <v>89994090.986999989</v>
      </c>
      <c r="J67" s="251">
        <f t="shared" si="37"/>
        <v>0</v>
      </c>
      <c r="K67" s="251">
        <f t="shared" si="37"/>
        <v>0</v>
      </c>
      <c r="L67" s="251">
        <f t="shared" si="37"/>
        <v>0</v>
      </c>
      <c r="M67" s="251">
        <f t="shared" si="37"/>
        <v>0</v>
      </c>
      <c r="N67" s="251">
        <f t="shared" si="37"/>
        <v>0</v>
      </c>
      <c r="O67" s="251">
        <f t="shared" si="37"/>
        <v>180000000</v>
      </c>
      <c r="P67" s="251">
        <f t="shared" si="37"/>
        <v>0</v>
      </c>
      <c r="Q67" s="251">
        <f t="shared" si="37"/>
        <v>0</v>
      </c>
      <c r="R67" s="251">
        <f t="shared" ref="R67" si="38">SUM(R68:R68)</f>
        <v>0</v>
      </c>
      <c r="S67" s="251"/>
      <c r="T67" s="251">
        <f>SUM(T68:T68)</f>
        <v>0</v>
      </c>
      <c r="U67" s="251">
        <f>SUM(E67,J67,O67,T67)</f>
        <v>360000000</v>
      </c>
      <c r="V67" s="251">
        <f t="shared" ref="V67" si="39">SUM(V68:V68)</f>
        <v>180000000</v>
      </c>
      <c r="W67" s="276"/>
      <c r="X67" s="259">
        <f>'Kemhan-TNI'!AG74</f>
        <v>0</v>
      </c>
      <c r="Y67" s="258">
        <f>'Kemhan-TNI'!T74</f>
        <v>89994091</v>
      </c>
    </row>
    <row r="68" spans="1:25" ht="37.5" x14ac:dyDescent="0.3">
      <c r="A68" s="265"/>
      <c r="B68" s="279" t="s">
        <v>90</v>
      </c>
      <c r="C68" s="279" t="s">
        <v>91</v>
      </c>
      <c r="D68" s="257">
        <v>540000000</v>
      </c>
      <c r="E68" s="257">
        <v>180000000</v>
      </c>
      <c r="F68" s="257" t="s">
        <v>223</v>
      </c>
      <c r="G68" s="257">
        <v>179988181.97499999</v>
      </c>
      <c r="H68" s="257">
        <v>89994090.988000005</v>
      </c>
      <c r="I68" s="257">
        <f>Table3[[#This Row],[NILAI KONTRAK 2015]]-Table3[[#This Row],[REALISASI PENYERAPAN 2015]]</f>
        <v>89994090.986999989</v>
      </c>
      <c r="J68" s="257">
        <v>0</v>
      </c>
      <c r="K68" s="257"/>
      <c r="L68" s="257"/>
      <c r="M68" s="257"/>
      <c r="N68" s="257">
        <f>Table3[[#This Row],[NILAI KONTRAK 2016]]-Table3[[#This Row],[REALISASI PENYERAPAN 2016]]</f>
        <v>0</v>
      </c>
      <c r="O68" s="257">
        <v>180000000</v>
      </c>
      <c r="P68" s="257" t="s">
        <v>227</v>
      </c>
      <c r="Q68" s="257"/>
      <c r="R68" s="257"/>
      <c r="S68" s="257"/>
      <c r="T68" s="257">
        <v>0</v>
      </c>
      <c r="U68" s="251">
        <f>SUM(E68,J68,O68,T68)</f>
        <v>360000000</v>
      </c>
      <c r="V68" s="257">
        <f>D68-U68</f>
        <v>180000000</v>
      </c>
      <c r="W68" s="264"/>
      <c r="X68" s="259">
        <f>'Kemhan-TNI'!AG75</f>
        <v>0</v>
      </c>
      <c r="Y68" s="258">
        <f>'Kemhan-TNI'!T75</f>
        <v>89994091</v>
      </c>
    </row>
    <row r="69" spans="1:25" ht="18.75" x14ac:dyDescent="0.3">
      <c r="A69" s="265"/>
      <c r="B69" s="279"/>
      <c r="C69" s="279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64"/>
      <c r="U69" s="257"/>
      <c r="V69" s="257"/>
      <c r="W69" s="264"/>
      <c r="X69" s="259"/>
      <c r="Y69" s="258"/>
    </row>
    <row r="70" spans="1:25" ht="37.5" x14ac:dyDescent="0.25">
      <c r="A70" s="260">
        <v>3</v>
      </c>
      <c r="B70" s="261" t="s">
        <v>92</v>
      </c>
      <c r="C70" s="260" t="s">
        <v>93</v>
      </c>
      <c r="D70" s="251">
        <f>SUM(D71:D74)</f>
        <v>3130000000</v>
      </c>
      <c r="E70" s="251">
        <f t="shared" ref="E70:Q70" si="40">SUM(E71:E74)</f>
        <v>150000000</v>
      </c>
      <c r="F70" s="251">
        <f t="shared" si="40"/>
        <v>0</v>
      </c>
      <c r="G70" s="251">
        <f t="shared" si="40"/>
        <v>150000000</v>
      </c>
      <c r="H70" s="251">
        <f t="shared" si="40"/>
        <v>78750000.001000002</v>
      </c>
      <c r="I70" s="251">
        <f t="shared" si="40"/>
        <v>71249999.998999998</v>
      </c>
      <c r="J70" s="251">
        <f t="shared" si="40"/>
        <v>95000000</v>
      </c>
      <c r="K70" s="251">
        <f t="shared" si="40"/>
        <v>0</v>
      </c>
      <c r="L70" s="251">
        <f t="shared" si="40"/>
        <v>95000000</v>
      </c>
      <c r="M70" s="251">
        <f t="shared" si="40"/>
        <v>0</v>
      </c>
      <c r="N70" s="251">
        <f t="shared" si="40"/>
        <v>95000000</v>
      </c>
      <c r="O70" s="251">
        <f t="shared" si="40"/>
        <v>0</v>
      </c>
      <c r="P70" s="251">
        <f t="shared" si="40"/>
        <v>0</v>
      </c>
      <c r="Q70" s="251">
        <f t="shared" si="40"/>
        <v>0</v>
      </c>
      <c r="R70" s="251">
        <f t="shared" ref="R70" si="41">SUM(R71:R74)</f>
        <v>0</v>
      </c>
      <c r="S70" s="251"/>
      <c r="T70" s="251">
        <f>SUM(T71:T74)</f>
        <v>1442500000</v>
      </c>
      <c r="U70" s="251">
        <f>SUM(E70,J70,O70,T70)</f>
        <v>1687500000</v>
      </c>
      <c r="V70" s="251">
        <f t="shared" ref="V70" si="42">SUM(V71:V74)</f>
        <v>1442500000</v>
      </c>
      <c r="W70" s="276"/>
      <c r="X70" s="328">
        <f>'Kemhan-TNI'!AG77</f>
        <v>1009750000</v>
      </c>
      <c r="Y70" s="329">
        <f>'Kemhan-TNI'!T77</f>
        <v>71250000</v>
      </c>
    </row>
    <row r="71" spans="1:25" ht="37.5" x14ac:dyDescent="0.3">
      <c r="A71" s="265"/>
      <c r="B71" s="256" t="s">
        <v>94</v>
      </c>
      <c r="C71" s="256" t="s">
        <v>95</v>
      </c>
      <c r="D71" s="257">
        <v>150000000</v>
      </c>
      <c r="E71" s="257">
        <v>150000000</v>
      </c>
      <c r="F71" s="257" t="s">
        <v>223</v>
      </c>
      <c r="G71" s="257">
        <v>150000000</v>
      </c>
      <c r="H71" s="257">
        <v>78750000.001000002</v>
      </c>
      <c r="I71" s="257">
        <f>Table3[[#This Row],[NILAI KONTRAK 2015]]-Table3[[#This Row],[REALISASI PENYERAPAN 2015]]</f>
        <v>71249999.998999998</v>
      </c>
      <c r="J71" s="257">
        <v>0</v>
      </c>
      <c r="K71" s="257"/>
      <c r="L71" s="257"/>
      <c r="M71" s="257"/>
      <c r="N71" s="257">
        <f>Table3[[#This Row],[NILAI KONTRAK 2016]]-Table3[[#This Row],[REALISASI PENYERAPAN 2016]]</f>
        <v>0</v>
      </c>
      <c r="O71" s="257">
        <v>0</v>
      </c>
      <c r="P71" s="257"/>
      <c r="Q71" s="257"/>
      <c r="R71" s="257"/>
      <c r="S71" s="257"/>
      <c r="T71" s="257">
        <v>0</v>
      </c>
      <c r="U71" s="251">
        <f>SUM(E71,J71,O71,T71)</f>
        <v>150000000</v>
      </c>
      <c r="V71" s="257">
        <f>D71-U71</f>
        <v>0</v>
      </c>
      <c r="W71" s="264"/>
      <c r="X71" s="259">
        <f>'Kemhan-TNI'!AG78</f>
        <v>0</v>
      </c>
      <c r="Y71" s="258">
        <f>'Kemhan-TNI'!T78</f>
        <v>71250000</v>
      </c>
    </row>
    <row r="72" spans="1:25" ht="37.5" x14ac:dyDescent="0.3">
      <c r="A72" s="265"/>
      <c r="B72" s="256" t="s">
        <v>96</v>
      </c>
      <c r="C72" s="256" t="s">
        <v>91</v>
      </c>
      <c r="D72" s="257">
        <v>1995000000</v>
      </c>
      <c r="E72" s="257">
        <v>0</v>
      </c>
      <c r="F72" s="257"/>
      <c r="G72" s="257"/>
      <c r="H72" s="257"/>
      <c r="I72" s="257">
        <f>Table3[[#This Row],[NILAI KONTRAK 2015]]-Table3[[#This Row],[REALISASI PENYERAPAN 2015]]</f>
        <v>0</v>
      </c>
      <c r="J72" s="257">
        <v>0</v>
      </c>
      <c r="K72" s="257"/>
      <c r="L72" s="257"/>
      <c r="M72" s="257"/>
      <c r="N72" s="257">
        <f>Table3[[#This Row],[NILAI KONTRAK 2016]]-Table3[[#This Row],[REALISASI PENYERAPAN 2016]]</f>
        <v>0</v>
      </c>
      <c r="O72" s="257">
        <v>0</v>
      </c>
      <c r="P72" s="257"/>
      <c r="Q72" s="257"/>
      <c r="R72" s="257"/>
      <c r="S72" s="257"/>
      <c r="T72" s="264">
        <v>831250000</v>
      </c>
      <c r="U72" s="251">
        <f>SUM(E72,J72,O72,T72)</f>
        <v>831250000</v>
      </c>
      <c r="V72" s="257">
        <f>D72-U72</f>
        <v>1163750000</v>
      </c>
      <c r="W72" s="264">
        <v>249375000</v>
      </c>
      <c r="X72" s="259">
        <f>'Kemhan-TNI'!AG79</f>
        <v>581875000</v>
      </c>
      <c r="Y72" s="258">
        <f>'Kemhan-TNI'!T79</f>
        <v>0</v>
      </c>
    </row>
    <row r="73" spans="1:25" ht="56.25" x14ac:dyDescent="0.3">
      <c r="A73" s="265"/>
      <c r="B73" s="279" t="s">
        <v>97</v>
      </c>
      <c r="C73" s="292" t="s">
        <v>98</v>
      </c>
      <c r="D73" s="257">
        <v>890000000</v>
      </c>
      <c r="E73" s="257">
        <v>0</v>
      </c>
      <c r="F73" s="257"/>
      <c r="G73" s="257"/>
      <c r="H73" s="257"/>
      <c r="I73" s="257">
        <f>Table3[[#This Row],[NILAI KONTRAK 2015]]-Table3[[#This Row],[REALISASI PENYERAPAN 2015]]</f>
        <v>0</v>
      </c>
      <c r="J73" s="257">
        <v>0</v>
      </c>
      <c r="K73" s="257"/>
      <c r="L73" s="257"/>
      <c r="M73" s="257"/>
      <c r="N73" s="257">
        <f>Table3[[#This Row],[NILAI KONTRAK 2016]]-Table3[[#This Row],[REALISASI PENYERAPAN 2016]]</f>
        <v>0</v>
      </c>
      <c r="O73" s="257">
        <v>0</v>
      </c>
      <c r="P73" s="257"/>
      <c r="Q73" s="257"/>
      <c r="R73" s="257"/>
      <c r="S73" s="257"/>
      <c r="T73" s="264">
        <v>611250000</v>
      </c>
      <c r="U73" s="251">
        <f>SUM(E73,J73,O73,T73)</f>
        <v>611250000</v>
      </c>
      <c r="V73" s="257">
        <f>D73-U73</f>
        <v>278750000</v>
      </c>
      <c r="W73" s="264">
        <v>183375000</v>
      </c>
      <c r="X73" s="259">
        <f>'Kemhan-TNI'!AG80</f>
        <v>427875000</v>
      </c>
      <c r="Y73" s="258">
        <f>'Kemhan-TNI'!T80</f>
        <v>0</v>
      </c>
    </row>
    <row r="74" spans="1:25" ht="37.5" x14ac:dyDescent="0.3">
      <c r="A74" s="265"/>
      <c r="B74" s="279" t="s">
        <v>99</v>
      </c>
      <c r="C74" s="292" t="s">
        <v>43</v>
      </c>
      <c r="D74" s="257">
        <v>95000000</v>
      </c>
      <c r="E74" s="257">
        <v>0</v>
      </c>
      <c r="F74" s="257"/>
      <c r="G74" s="257"/>
      <c r="H74" s="257"/>
      <c r="I74" s="257">
        <f>Table3[[#This Row],[NILAI KONTRAK 2015]]-Table3[[#This Row],[REALISASI PENYERAPAN 2015]]</f>
        <v>0</v>
      </c>
      <c r="J74" s="257">
        <v>95000000</v>
      </c>
      <c r="K74" s="257" t="s">
        <v>225</v>
      </c>
      <c r="L74" s="257">
        <v>95000000</v>
      </c>
      <c r="M74" s="257">
        <v>0</v>
      </c>
      <c r="N74" s="257">
        <f>Table3[[#This Row],[NILAI KONTRAK 2016]]-Table3[[#This Row],[REALISASI PENYERAPAN 2016]]</f>
        <v>95000000</v>
      </c>
      <c r="O74" s="257">
        <v>0</v>
      </c>
      <c r="P74" s="257"/>
      <c r="Q74" s="257"/>
      <c r="R74" s="257"/>
      <c r="S74" s="257"/>
      <c r="T74" s="257">
        <v>0</v>
      </c>
      <c r="U74" s="251">
        <f>SUM(E74,J74,O74,T74)</f>
        <v>95000000</v>
      </c>
      <c r="V74" s="257">
        <f>D74-U74</f>
        <v>0</v>
      </c>
      <c r="W74" s="264"/>
      <c r="X74" s="259">
        <f>'Kemhan-TNI'!AG81</f>
        <v>0</v>
      </c>
      <c r="Y74" s="258">
        <f>'Kemhan-TNI'!T81</f>
        <v>0</v>
      </c>
    </row>
    <row r="75" spans="1:25" ht="18.75" x14ac:dyDescent="0.3">
      <c r="A75" s="290"/>
      <c r="B75" s="291"/>
      <c r="C75" s="283"/>
      <c r="D75" s="269"/>
      <c r="E75" s="269"/>
      <c r="F75" s="269"/>
      <c r="G75" s="269"/>
      <c r="H75" s="269"/>
      <c r="I75" s="269">
        <f>Table3[[#This Row],[REALISASI PENYERAPAN 2015]]-Table3[[#This Row],[NILAI KONTRAK 2015]]</f>
        <v>0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78"/>
      <c r="U75" s="269"/>
      <c r="V75" s="269"/>
      <c r="W75" s="278"/>
      <c r="X75" s="259">
        <f>'Kemhan-TNI'!AG82</f>
        <v>0</v>
      </c>
      <c r="Y75" s="258">
        <f>'Kemhan-TNI'!T82</f>
        <v>0</v>
      </c>
    </row>
    <row r="76" spans="1:25" ht="37.5" x14ac:dyDescent="0.3">
      <c r="A76" s="260">
        <v>4</v>
      </c>
      <c r="B76" s="261" t="s">
        <v>66</v>
      </c>
      <c r="C76" s="260" t="s">
        <v>47</v>
      </c>
      <c r="D76" s="251">
        <f>SUM(D77:D79)</f>
        <v>1047500000</v>
      </c>
      <c r="E76" s="251">
        <f t="shared" ref="E76:Q76" si="43">SUM(E77:E79)</f>
        <v>0</v>
      </c>
      <c r="F76" s="251">
        <f t="shared" si="43"/>
        <v>0</v>
      </c>
      <c r="G76" s="251">
        <f t="shared" si="43"/>
        <v>0</v>
      </c>
      <c r="H76" s="251">
        <f t="shared" si="43"/>
        <v>0</v>
      </c>
      <c r="I76" s="251">
        <f t="shared" si="43"/>
        <v>0</v>
      </c>
      <c r="J76" s="251">
        <f t="shared" si="43"/>
        <v>90000000</v>
      </c>
      <c r="K76" s="251">
        <f t="shared" si="43"/>
        <v>0</v>
      </c>
      <c r="L76" s="251">
        <f t="shared" si="43"/>
        <v>90000000</v>
      </c>
      <c r="M76" s="251">
        <f t="shared" si="43"/>
        <v>0</v>
      </c>
      <c r="N76" s="251">
        <f t="shared" si="43"/>
        <v>90000000</v>
      </c>
      <c r="O76" s="251">
        <f t="shared" si="43"/>
        <v>82500000</v>
      </c>
      <c r="P76" s="251">
        <f t="shared" si="43"/>
        <v>0</v>
      </c>
      <c r="Q76" s="251">
        <f t="shared" si="43"/>
        <v>82500000</v>
      </c>
      <c r="R76" s="251">
        <f t="shared" ref="R76" si="44">SUM(R77:R79)</f>
        <v>0</v>
      </c>
      <c r="S76" s="251"/>
      <c r="T76" s="251">
        <f>SUM(T77:T79)</f>
        <v>86250000</v>
      </c>
      <c r="U76" s="251">
        <f>SUM(E76,J76,O76,T76)</f>
        <v>258750000</v>
      </c>
      <c r="V76" s="251">
        <f>SUM(V77:V79)</f>
        <v>788750000</v>
      </c>
      <c r="W76" s="276"/>
      <c r="X76" s="259">
        <f>'Kemhan-TNI'!AG83</f>
        <v>468750000</v>
      </c>
      <c r="Y76" s="258">
        <f>'Kemhan-TNI'!T83</f>
        <v>90000000</v>
      </c>
    </row>
    <row r="77" spans="1:25" ht="37.5" x14ac:dyDescent="0.3">
      <c r="A77" s="260"/>
      <c r="B77" s="256" t="s">
        <v>101</v>
      </c>
      <c r="C77" s="256" t="s">
        <v>102</v>
      </c>
      <c r="D77" s="257">
        <v>437500000</v>
      </c>
      <c r="E77" s="257">
        <v>0</v>
      </c>
      <c r="F77" s="257"/>
      <c r="G77" s="257"/>
      <c r="H77" s="257"/>
      <c r="I77" s="257">
        <f>Table3[[#This Row],[NILAI KONTRAK 2015]]-Table3[[#This Row],[REALISASI PENYERAPAN 2015]]</f>
        <v>0</v>
      </c>
      <c r="J77" s="257">
        <v>65000000</v>
      </c>
      <c r="K77" s="257" t="s">
        <v>225</v>
      </c>
      <c r="L77" s="257">
        <v>65000000</v>
      </c>
      <c r="M77" s="257">
        <v>0</v>
      </c>
      <c r="N77" s="257">
        <f>Table3[[#This Row],[NILAI KONTRAK 2016]]-Table3[[#This Row],[REALISASI PENYERAPAN 2016]]</f>
        <v>65000000</v>
      </c>
      <c r="O77" s="257">
        <v>22500000</v>
      </c>
      <c r="P77" s="257" t="s">
        <v>225</v>
      </c>
      <c r="Q77" s="257">
        <v>22500000</v>
      </c>
      <c r="R77" s="257">
        <v>0</v>
      </c>
      <c r="S77" s="257"/>
      <c r="T77" s="264">
        <v>43750000</v>
      </c>
      <c r="U77" s="251">
        <f>SUM(E77,J77,O77,T77)</f>
        <v>131250000</v>
      </c>
      <c r="V77" s="257">
        <f>D77-U77</f>
        <v>306250000</v>
      </c>
      <c r="W77" s="264"/>
      <c r="X77" s="259">
        <f>'Kemhan-TNI'!AG84</f>
        <v>43750000</v>
      </c>
      <c r="Y77" s="258">
        <f>'Kemhan-TNI'!T84</f>
        <v>65000000</v>
      </c>
    </row>
    <row r="78" spans="1:25" ht="37.5" x14ac:dyDescent="0.3">
      <c r="A78" s="260"/>
      <c r="B78" s="256" t="s">
        <v>103</v>
      </c>
      <c r="C78" s="256" t="s">
        <v>102</v>
      </c>
      <c r="D78" s="257">
        <v>185000000</v>
      </c>
      <c r="E78" s="257">
        <v>0</v>
      </c>
      <c r="F78" s="257"/>
      <c r="G78" s="257"/>
      <c r="H78" s="257"/>
      <c r="I78" s="257">
        <f>Table3[[#This Row],[NILAI KONTRAK 2015]]-Table3[[#This Row],[REALISASI PENYERAPAN 2015]]</f>
        <v>0</v>
      </c>
      <c r="J78" s="257">
        <v>0</v>
      </c>
      <c r="K78" s="257"/>
      <c r="L78" s="257"/>
      <c r="M78" s="257"/>
      <c r="N78" s="257">
        <f>Table3[[#This Row],[NILAI KONTRAK 2016]]-Table3[[#This Row],[REALISASI PENYERAPAN 2016]]</f>
        <v>0</v>
      </c>
      <c r="O78" s="257">
        <v>0</v>
      </c>
      <c r="P78" s="257"/>
      <c r="Q78" s="257"/>
      <c r="R78" s="257"/>
      <c r="S78" s="257"/>
      <c r="T78" s="257">
        <v>0</v>
      </c>
      <c r="U78" s="251">
        <f>SUM(E78,J78,O78,T78)</f>
        <v>0</v>
      </c>
      <c r="V78" s="257">
        <f>D78-U78</f>
        <v>185000000</v>
      </c>
      <c r="W78" s="264"/>
      <c r="X78" s="259">
        <f>'Kemhan-TNI'!AG85</f>
        <v>0</v>
      </c>
      <c r="Y78" s="258">
        <f>'Kemhan-TNI'!T85</f>
        <v>0</v>
      </c>
    </row>
    <row r="79" spans="1:25" ht="37.5" x14ac:dyDescent="0.3">
      <c r="A79" s="265"/>
      <c r="B79" s="256" t="s">
        <v>104</v>
      </c>
      <c r="C79" s="256" t="s">
        <v>68</v>
      </c>
      <c r="D79" s="257">
        <v>425000000</v>
      </c>
      <c r="E79" s="257">
        <v>0</v>
      </c>
      <c r="F79" s="257"/>
      <c r="G79" s="257"/>
      <c r="H79" s="257"/>
      <c r="I79" s="257">
        <f>Table3[[#This Row],[NILAI KONTRAK 2015]]-Table3[[#This Row],[REALISASI PENYERAPAN 2015]]</f>
        <v>0</v>
      </c>
      <c r="J79" s="257">
        <v>25000000</v>
      </c>
      <c r="K79" s="257" t="s">
        <v>225</v>
      </c>
      <c r="L79" s="257">
        <v>25000000</v>
      </c>
      <c r="M79" s="257">
        <v>0</v>
      </c>
      <c r="N79" s="257">
        <f>Table3[[#This Row],[NILAI KONTRAK 2016]]-Table3[[#This Row],[REALISASI PENYERAPAN 2016]]</f>
        <v>25000000</v>
      </c>
      <c r="O79" s="257">
        <v>60000000</v>
      </c>
      <c r="P79" s="257" t="s">
        <v>225</v>
      </c>
      <c r="Q79" s="257">
        <v>60000000</v>
      </c>
      <c r="R79" s="257">
        <v>0</v>
      </c>
      <c r="S79" s="257"/>
      <c r="T79" s="264">
        <v>42500000</v>
      </c>
      <c r="U79" s="251">
        <f>SUM(E79,J79,O79,T79)</f>
        <v>127500000</v>
      </c>
      <c r="V79" s="257">
        <f>D79-U79</f>
        <v>297500000</v>
      </c>
      <c r="W79" s="264" t="s">
        <v>219</v>
      </c>
      <c r="X79" s="259">
        <f>'Kemhan-TNI'!AG86</f>
        <v>425000000</v>
      </c>
      <c r="Y79" s="258">
        <f>'Kemhan-TNI'!T86</f>
        <v>25000000</v>
      </c>
    </row>
    <row r="80" spans="1:25" ht="18.75" x14ac:dyDescent="0.3">
      <c r="A80" s="265"/>
      <c r="B80" s="279"/>
      <c r="C80" s="279"/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>
        <f>Table3[[#This Row],[NILAI KONTRAK 2016]]-Table3[[#This Row],[REALISASI PENYERAPAN 2016]]</f>
        <v>0</v>
      </c>
      <c r="O80" s="257"/>
      <c r="P80" s="257"/>
      <c r="Q80" s="257"/>
      <c r="R80" s="257"/>
      <c r="S80" s="257"/>
      <c r="T80" s="264"/>
      <c r="U80" s="257"/>
      <c r="V80" s="257"/>
      <c r="W80" s="264"/>
      <c r="X80" s="259"/>
      <c r="Y80" s="258"/>
    </row>
    <row r="81" spans="1:25" ht="37.5" x14ac:dyDescent="0.3">
      <c r="A81" s="293">
        <v>5</v>
      </c>
      <c r="B81" s="261" t="s">
        <v>35</v>
      </c>
      <c r="C81" s="260" t="s">
        <v>55</v>
      </c>
      <c r="D81" s="251">
        <f>SUM(D82)</f>
        <v>110000000</v>
      </c>
      <c r="E81" s="251">
        <f t="shared" ref="E81:Q81" si="45">SUM(E82)</f>
        <v>0</v>
      </c>
      <c r="F81" s="251">
        <f t="shared" si="45"/>
        <v>0</v>
      </c>
      <c r="G81" s="251">
        <f t="shared" si="45"/>
        <v>0</v>
      </c>
      <c r="H81" s="251">
        <f t="shared" si="45"/>
        <v>0</v>
      </c>
      <c r="I81" s="251">
        <f t="shared" si="45"/>
        <v>0</v>
      </c>
      <c r="J81" s="251">
        <f t="shared" si="45"/>
        <v>0</v>
      </c>
      <c r="K81" s="251">
        <f t="shared" si="45"/>
        <v>0</v>
      </c>
      <c r="L81" s="251">
        <f t="shared" si="45"/>
        <v>0</v>
      </c>
      <c r="M81" s="251">
        <f t="shared" si="45"/>
        <v>0</v>
      </c>
      <c r="N81" s="251">
        <f t="shared" si="45"/>
        <v>0</v>
      </c>
      <c r="O81" s="251">
        <f t="shared" si="45"/>
        <v>40000000</v>
      </c>
      <c r="P81" s="251">
        <f t="shared" si="45"/>
        <v>0</v>
      </c>
      <c r="Q81" s="251">
        <f t="shared" si="45"/>
        <v>0</v>
      </c>
      <c r="R81" s="251">
        <f t="shared" ref="R81" si="46">SUM(R82)</f>
        <v>0</v>
      </c>
      <c r="S81" s="251"/>
      <c r="T81" s="251">
        <f>SUM(T82)</f>
        <v>0</v>
      </c>
      <c r="U81" s="251">
        <f>SUM(E81,J81,O81,T81)</f>
        <v>40000000</v>
      </c>
      <c r="V81" s="251">
        <f>SUM(V82)</f>
        <v>70000000</v>
      </c>
      <c r="W81" s="276"/>
      <c r="X81" s="259">
        <f>'Kemhan-TNI'!AG88</f>
        <v>0</v>
      </c>
      <c r="Y81" s="258">
        <f>'Kemhan-TNI'!T88</f>
        <v>0</v>
      </c>
    </row>
    <row r="82" spans="1:25" ht="37.5" x14ac:dyDescent="0.3">
      <c r="A82" s="294"/>
      <c r="B82" s="279" t="s">
        <v>105</v>
      </c>
      <c r="C82" s="268" t="s">
        <v>43</v>
      </c>
      <c r="D82" s="257">
        <v>110000000</v>
      </c>
      <c r="E82" s="257">
        <v>0</v>
      </c>
      <c r="F82" s="257"/>
      <c r="G82" s="257"/>
      <c r="H82" s="257"/>
      <c r="I82" s="257">
        <f>Table3[[#This Row],[NILAI KONTRAK 2015]]-Table3[[#This Row],[REALISASI PENYERAPAN 2015]]</f>
        <v>0</v>
      </c>
      <c r="J82" s="257">
        <v>0</v>
      </c>
      <c r="K82" s="257"/>
      <c r="L82" s="257"/>
      <c r="M82" s="257"/>
      <c r="N82" s="257">
        <f>Table3[[#This Row],[NILAI KONTRAK 2016]]-Table3[[#This Row],[REALISASI PENYERAPAN 2016]]</f>
        <v>0</v>
      </c>
      <c r="O82" s="257">
        <v>40000000</v>
      </c>
      <c r="P82" s="257" t="s">
        <v>227</v>
      </c>
      <c r="Q82" s="257"/>
      <c r="R82" s="257"/>
      <c r="S82" s="257"/>
      <c r="T82" s="257">
        <v>0</v>
      </c>
      <c r="U82" s="251">
        <f>SUM(E82,J82,O82,T82)</f>
        <v>40000000</v>
      </c>
      <c r="V82" s="257">
        <f>D82-U82</f>
        <v>70000000</v>
      </c>
      <c r="W82" s="264"/>
      <c r="X82" s="259">
        <f>'Kemhan-TNI'!AG89</f>
        <v>0</v>
      </c>
      <c r="Y82" s="258">
        <f>'Kemhan-TNI'!T89</f>
        <v>0</v>
      </c>
    </row>
    <row r="83" spans="1:25" ht="18.75" x14ac:dyDescent="0.3">
      <c r="A83" s="294"/>
      <c r="B83" s="279"/>
      <c r="C83" s="268"/>
      <c r="D83" s="257"/>
      <c r="E83" s="257"/>
      <c r="F83" s="257"/>
      <c r="G83" s="257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64"/>
      <c r="U83" s="257"/>
      <c r="V83" s="257"/>
      <c r="W83" s="264"/>
      <c r="X83" s="259">
        <f>'Kemhan-TNI'!AG90</f>
        <v>0</v>
      </c>
      <c r="Y83" s="258">
        <f>'Kemhan-TNI'!T90</f>
        <v>0</v>
      </c>
    </row>
    <row r="84" spans="1:25" ht="18.75" x14ac:dyDescent="0.3">
      <c r="A84" s="260">
        <v>6</v>
      </c>
      <c r="B84" s="261" t="s">
        <v>41</v>
      </c>
      <c r="C84" s="260" t="s">
        <v>106</v>
      </c>
      <c r="D84" s="251">
        <f>SUM(D85:D86)</f>
        <v>135000000</v>
      </c>
      <c r="E84" s="251">
        <f t="shared" ref="E84:Q84" si="47">SUM(E85:E86)</f>
        <v>120000000</v>
      </c>
      <c r="F84" s="251">
        <f t="shared" si="47"/>
        <v>0</v>
      </c>
      <c r="G84" s="251">
        <f t="shared" si="47"/>
        <v>119999993.2</v>
      </c>
      <c r="H84" s="251">
        <f t="shared" si="47"/>
        <v>119999993.2</v>
      </c>
      <c r="I84" s="251">
        <f t="shared" si="47"/>
        <v>0</v>
      </c>
      <c r="J84" s="251">
        <f t="shared" si="47"/>
        <v>15000000</v>
      </c>
      <c r="K84" s="251">
        <f t="shared" si="47"/>
        <v>0</v>
      </c>
      <c r="L84" s="251">
        <f t="shared" si="47"/>
        <v>14991429.6</v>
      </c>
      <c r="M84" s="251">
        <f t="shared" si="47"/>
        <v>11993143.68</v>
      </c>
      <c r="N84" s="251">
        <f t="shared" si="47"/>
        <v>2998285.92</v>
      </c>
      <c r="O84" s="251">
        <f t="shared" si="47"/>
        <v>0</v>
      </c>
      <c r="P84" s="251">
        <f t="shared" si="47"/>
        <v>0</v>
      </c>
      <c r="Q84" s="251">
        <f t="shared" si="47"/>
        <v>0</v>
      </c>
      <c r="R84" s="251">
        <f t="shared" ref="R84" si="48">SUM(R85:R86)</f>
        <v>0</v>
      </c>
      <c r="S84" s="251"/>
      <c r="T84" s="251">
        <f>SUM(T85:T86)</f>
        <v>0</v>
      </c>
      <c r="U84" s="251">
        <f>SUM(E84,J84,O84,T84)</f>
        <v>135000000</v>
      </c>
      <c r="V84" s="251">
        <f t="shared" ref="V84" si="49">SUM(V85:V86)</f>
        <v>0</v>
      </c>
      <c r="W84" s="276"/>
      <c r="X84" s="259">
        <f>'Kemhan-TNI'!AG91</f>
        <v>0</v>
      </c>
      <c r="Y84" s="258">
        <f>'Kemhan-TNI'!T91</f>
        <v>11993144</v>
      </c>
    </row>
    <row r="85" spans="1:25" ht="37.5" x14ac:dyDescent="0.3">
      <c r="A85" s="294"/>
      <c r="B85" s="256" t="s">
        <v>107</v>
      </c>
      <c r="C85" s="268" t="s">
        <v>43</v>
      </c>
      <c r="D85" s="257">
        <v>120000000</v>
      </c>
      <c r="E85" s="257">
        <v>120000000</v>
      </c>
      <c r="F85" s="257" t="s">
        <v>222</v>
      </c>
      <c r="G85" s="257">
        <v>119999993.2</v>
      </c>
      <c r="H85" s="257">
        <v>119999993.2</v>
      </c>
      <c r="I85" s="257">
        <f>Table3[[#This Row],[NILAI KONTRAK 2015]]-Table3[[#This Row],[REALISASI PENYERAPAN 2015]]</f>
        <v>0</v>
      </c>
      <c r="J85" s="257">
        <v>0</v>
      </c>
      <c r="K85" s="257"/>
      <c r="L85" s="257"/>
      <c r="M85" s="257"/>
      <c r="N85" s="257">
        <f>Table3[[#This Row],[NILAI KONTRAK 2016]]-Table3[[#This Row],[REALISASI PENYERAPAN 2016]]</f>
        <v>0</v>
      </c>
      <c r="O85" s="257">
        <v>0</v>
      </c>
      <c r="P85" s="257"/>
      <c r="Q85" s="257"/>
      <c r="R85" s="257"/>
      <c r="S85" s="257"/>
      <c r="T85" s="257">
        <v>0</v>
      </c>
      <c r="U85" s="251">
        <f>SUM(E85,J85,O85,T85)</f>
        <v>120000000</v>
      </c>
      <c r="V85" s="257">
        <f>D85-U85</f>
        <v>0</v>
      </c>
      <c r="W85" s="264"/>
      <c r="X85" s="259">
        <f>'Kemhan-TNI'!AG92</f>
        <v>0</v>
      </c>
      <c r="Y85" s="258">
        <f>'Kemhan-TNI'!T92</f>
        <v>0</v>
      </c>
    </row>
    <row r="86" spans="1:25" ht="37.5" x14ac:dyDescent="0.3">
      <c r="A86" s="294"/>
      <c r="B86" s="295" t="s">
        <v>108</v>
      </c>
      <c r="C86" s="268" t="s">
        <v>43</v>
      </c>
      <c r="D86" s="257">
        <v>15000000</v>
      </c>
      <c r="E86" s="257">
        <v>0</v>
      </c>
      <c r="F86" s="257"/>
      <c r="G86" s="257"/>
      <c r="H86" s="257"/>
      <c r="I86" s="257">
        <f>Table3[[#This Row],[NILAI KONTRAK 2015]]-Table3[[#This Row],[REALISASI PENYERAPAN 2015]]</f>
        <v>0</v>
      </c>
      <c r="J86" s="257">
        <v>15000000</v>
      </c>
      <c r="K86" s="257" t="s">
        <v>223</v>
      </c>
      <c r="L86" s="257">
        <v>14991429.6</v>
      </c>
      <c r="M86" s="257">
        <v>11993143.68</v>
      </c>
      <c r="N86" s="257">
        <f>Table3[[#This Row],[NILAI KONTRAK 2016]]-Table3[[#This Row],[REALISASI PENYERAPAN 2016]]</f>
        <v>2998285.92</v>
      </c>
      <c r="O86" s="257">
        <v>0</v>
      </c>
      <c r="P86" s="257"/>
      <c r="Q86" s="257"/>
      <c r="R86" s="257"/>
      <c r="S86" s="257"/>
      <c r="T86" s="257">
        <v>0</v>
      </c>
      <c r="U86" s="251">
        <f>SUM(E86,J86,O86,T86)</f>
        <v>15000000</v>
      </c>
      <c r="V86" s="257">
        <f>D86-U86</f>
        <v>0</v>
      </c>
      <c r="W86" s="264"/>
      <c r="X86" s="259">
        <f>'Kemhan-TNI'!AG93</f>
        <v>0</v>
      </c>
      <c r="Y86" s="258">
        <f>'Kemhan-TNI'!T93</f>
        <v>11993144</v>
      </c>
    </row>
    <row r="87" spans="1:25" ht="18.75" x14ac:dyDescent="0.3">
      <c r="A87" s="294"/>
      <c r="B87" s="256"/>
      <c r="C87" s="268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64"/>
      <c r="U87" s="257"/>
      <c r="V87" s="257"/>
      <c r="W87" s="264"/>
      <c r="X87" s="259">
        <f>'Kemhan-TNI'!AG94</f>
        <v>0</v>
      </c>
      <c r="Y87" s="258">
        <f>'Kemhan-TNI'!T94</f>
        <v>0</v>
      </c>
    </row>
    <row r="88" spans="1:25" ht="37.5" x14ac:dyDescent="0.3">
      <c r="A88" s="296" t="s">
        <v>109</v>
      </c>
      <c r="B88" s="296"/>
      <c r="C88" s="297" t="s">
        <v>110</v>
      </c>
      <c r="D88" s="298">
        <f>D92+D97+D100+D103+D108</f>
        <v>3067000000</v>
      </c>
      <c r="E88" s="298">
        <f>E92+E97+E100+E103+E108</f>
        <v>450000000</v>
      </c>
      <c r="F88" s="298">
        <f t="shared" ref="F88:R88" si="50">F92+F97+F100+F103+F108</f>
        <v>0</v>
      </c>
      <c r="G88" s="298">
        <f t="shared" si="50"/>
        <v>338780002</v>
      </c>
      <c r="H88" s="298">
        <f t="shared" si="50"/>
        <v>279390001</v>
      </c>
      <c r="I88" s="298">
        <f t="shared" si="50"/>
        <v>59390001</v>
      </c>
      <c r="J88" s="298">
        <f t="shared" si="50"/>
        <v>300000000</v>
      </c>
      <c r="K88" s="298">
        <f t="shared" si="50"/>
        <v>0</v>
      </c>
      <c r="L88" s="298">
        <f t="shared" si="50"/>
        <v>299975075</v>
      </c>
      <c r="M88" s="298">
        <f t="shared" si="50"/>
        <v>152975075</v>
      </c>
      <c r="N88" s="298">
        <f t="shared" si="50"/>
        <v>147000000</v>
      </c>
      <c r="O88" s="298">
        <f t="shared" si="50"/>
        <v>456593300</v>
      </c>
      <c r="P88" s="298">
        <f t="shared" si="50"/>
        <v>0</v>
      </c>
      <c r="Q88" s="298">
        <f t="shared" si="50"/>
        <v>0</v>
      </c>
      <c r="R88" s="298">
        <f t="shared" si="50"/>
        <v>0</v>
      </c>
      <c r="S88" s="298"/>
      <c r="T88" s="298">
        <f>T92+T97+T100+T103+T108</f>
        <v>0</v>
      </c>
      <c r="U88" s="298">
        <f>SUM(U92:U111)</f>
        <v>2413186600</v>
      </c>
      <c r="V88" s="298">
        <f>V92+V97+V100+V103+V108</f>
        <v>1970406700</v>
      </c>
      <c r="W88" s="300"/>
      <c r="X88" s="301">
        <f>'Kemhan-TNI'!AG95</f>
        <v>0</v>
      </c>
      <c r="Y88" s="299">
        <f>'Kemhan-TNI'!T95</f>
        <v>47998070.399999999</v>
      </c>
    </row>
    <row r="89" spans="1:25" ht="18.75" x14ac:dyDescent="0.3">
      <c r="A89" s="289"/>
      <c r="B89" s="289"/>
      <c r="C89" s="289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76"/>
      <c r="U89" s="251"/>
      <c r="V89" s="251"/>
      <c r="W89" s="276"/>
      <c r="X89" s="259">
        <f>'Kemhan-TNI'!AG96</f>
        <v>0</v>
      </c>
      <c r="Y89" s="258">
        <f>'Kemhan-TNI'!T96</f>
        <v>0</v>
      </c>
    </row>
    <row r="90" spans="1:25" ht="18.75" x14ac:dyDescent="0.3">
      <c r="A90" s="260">
        <v>1</v>
      </c>
      <c r="B90" s="261" t="s">
        <v>111</v>
      </c>
      <c r="C90" s="276"/>
      <c r="D90" s="251">
        <v>0</v>
      </c>
      <c r="E90" s="251">
        <v>0</v>
      </c>
      <c r="F90" s="251"/>
      <c r="G90" s="251"/>
      <c r="H90" s="251"/>
      <c r="I90" s="251"/>
      <c r="J90" s="251"/>
      <c r="K90" s="251"/>
      <c r="L90" s="251"/>
      <c r="M90" s="251"/>
      <c r="N90" s="251">
        <f>Table3[[#This Row],[NILAI KONTRAK 2016]]-Table3[[#This Row],[REALISASI PENYERAPAN 2016]]</f>
        <v>0</v>
      </c>
      <c r="O90" s="251"/>
      <c r="P90" s="251"/>
      <c r="Q90" s="251"/>
      <c r="R90" s="251"/>
      <c r="S90" s="251"/>
      <c r="T90" s="276"/>
      <c r="U90" s="251"/>
      <c r="V90" s="251"/>
      <c r="W90" s="276"/>
      <c r="X90" s="259">
        <f>'Kemhan-TNI'!AG97</f>
        <v>0</v>
      </c>
      <c r="Y90" s="258">
        <f>'Kemhan-TNI'!T97</f>
        <v>0</v>
      </c>
    </row>
    <row r="91" spans="1:25" ht="18.75" x14ac:dyDescent="0.3">
      <c r="A91" s="290"/>
      <c r="B91" s="291"/>
      <c r="C91" s="283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>
        <f>Table3[[#This Row],[NILAI KONTRAK 2016]]-Table3[[#This Row],[REALISASI PENYERAPAN 2016]]</f>
        <v>0</v>
      </c>
      <c r="O91" s="269"/>
      <c r="P91" s="269"/>
      <c r="Q91" s="269"/>
      <c r="R91" s="269"/>
      <c r="S91" s="269"/>
      <c r="T91" s="278"/>
      <c r="U91" s="269"/>
      <c r="V91" s="269"/>
      <c r="W91" s="278"/>
      <c r="X91" s="259">
        <f>'Kemhan-TNI'!AG98</f>
        <v>0</v>
      </c>
      <c r="Y91" s="258">
        <f>'Kemhan-TNI'!T98</f>
        <v>0</v>
      </c>
    </row>
    <row r="92" spans="1:25" ht="37.5" x14ac:dyDescent="0.3">
      <c r="A92" s="260">
        <v>1</v>
      </c>
      <c r="B92" s="261" t="s">
        <v>112</v>
      </c>
      <c r="C92" s="260" t="s">
        <v>36</v>
      </c>
      <c r="D92" s="251">
        <f>SUM(D93:D94)</f>
        <v>1448000000</v>
      </c>
      <c r="E92" s="251">
        <f>SUM(E93:E95)</f>
        <v>110000000</v>
      </c>
      <c r="F92" s="251">
        <f t="shared" ref="F92:Q92" si="51">SUM(F93:F94)</f>
        <v>0</v>
      </c>
      <c r="G92" s="251">
        <f t="shared" si="51"/>
        <v>0</v>
      </c>
      <c r="H92" s="251">
        <f t="shared" si="51"/>
        <v>0</v>
      </c>
      <c r="I92" s="251">
        <f t="shared" si="51"/>
        <v>0</v>
      </c>
      <c r="J92" s="251">
        <f t="shared" si="51"/>
        <v>147000000</v>
      </c>
      <c r="K92" s="251">
        <f t="shared" si="51"/>
        <v>0</v>
      </c>
      <c r="L92" s="251">
        <f t="shared" si="51"/>
        <v>147000000</v>
      </c>
      <c r="M92" s="251">
        <f t="shared" si="51"/>
        <v>0</v>
      </c>
      <c r="N92" s="251">
        <f t="shared" si="51"/>
        <v>147000000</v>
      </c>
      <c r="O92" s="251">
        <f t="shared" si="51"/>
        <v>0</v>
      </c>
      <c r="P92" s="251">
        <f t="shared" si="51"/>
        <v>0</v>
      </c>
      <c r="Q92" s="251">
        <f t="shared" si="51"/>
        <v>0</v>
      </c>
      <c r="R92" s="251">
        <f t="shared" ref="R92" si="52">SUM(R93:R94)</f>
        <v>0</v>
      </c>
      <c r="S92" s="251"/>
      <c r="T92" s="251">
        <f>SUM(T93:T94)</f>
        <v>0</v>
      </c>
      <c r="U92" s="251">
        <f>SUM(E92,J92,O92,T92)</f>
        <v>257000000</v>
      </c>
      <c r="V92" s="251">
        <f>SUM(V93:V94)</f>
        <v>1301000000</v>
      </c>
      <c r="W92" s="276"/>
      <c r="X92" s="259">
        <f>'Kemhan-TNI'!AG99</f>
        <v>0</v>
      </c>
      <c r="Y92" s="258">
        <f>'Kemhan-TNI'!T99</f>
        <v>0</v>
      </c>
    </row>
    <row r="93" spans="1:25" ht="37.5" x14ac:dyDescent="0.3">
      <c r="A93" s="265"/>
      <c r="B93" s="256" t="s">
        <v>113</v>
      </c>
      <c r="C93" s="256" t="s">
        <v>114</v>
      </c>
      <c r="D93" s="257">
        <v>1317000000</v>
      </c>
      <c r="E93" s="257">
        <v>0</v>
      </c>
      <c r="F93" s="257"/>
      <c r="G93" s="257"/>
      <c r="H93" s="257"/>
      <c r="I93" s="257">
        <f>Table3[[#This Row],[NILAI KONTRAK 2015]]-Table3[[#This Row],[REALISASI PENYERAPAN 2015]]</f>
        <v>0</v>
      </c>
      <c r="J93" s="257">
        <v>147000000</v>
      </c>
      <c r="K93" s="257" t="s">
        <v>225</v>
      </c>
      <c r="L93" s="257">
        <v>147000000</v>
      </c>
      <c r="M93" s="257">
        <v>0</v>
      </c>
      <c r="N93" s="257">
        <f>Table3[[#This Row],[NILAI KONTRAK 2016]]-Table3[[#This Row],[REALISASI PENYERAPAN 2016]]</f>
        <v>147000000</v>
      </c>
      <c r="O93" s="257">
        <v>0</v>
      </c>
      <c r="P93" s="257"/>
      <c r="Q93" s="257"/>
      <c r="R93" s="257"/>
      <c r="S93" s="257"/>
      <c r="T93" s="257">
        <v>0</v>
      </c>
      <c r="U93" s="251">
        <f>SUM(E93,J93,O93,T93)</f>
        <v>147000000</v>
      </c>
      <c r="V93" s="257">
        <f>D93-U93</f>
        <v>1170000000</v>
      </c>
      <c r="W93" s="264"/>
      <c r="X93" s="259">
        <f>'Kemhan-TNI'!AG100</f>
        <v>0</v>
      </c>
      <c r="Y93" s="258">
        <f>'Kemhan-TNI'!T100</f>
        <v>0</v>
      </c>
    </row>
    <row r="94" spans="1:25" ht="37.5" x14ac:dyDescent="0.3">
      <c r="A94" s="265"/>
      <c r="B94" s="256" t="s">
        <v>116</v>
      </c>
      <c r="C94" s="256" t="s">
        <v>43</v>
      </c>
      <c r="D94" s="257">
        <v>131000000</v>
      </c>
      <c r="E94" s="257">
        <v>0</v>
      </c>
      <c r="F94" s="257"/>
      <c r="G94" s="257"/>
      <c r="H94" s="257"/>
      <c r="I94" s="257">
        <f>Table3[[#This Row],[NILAI KONTRAK 2015]]-Table3[[#This Row],[REALISASI PENYERAPAN 2015]]</f>
        <v>0</v>
      </c>
      <c r="J94" s="257">
        <v>0</v>
      </c>
      <c r="K94" s="257"/>
      <c r="L94" s="257"/>
      <c r="M94" s="257"/>
      <c r="N94" s="257">
        <f>Table3[[#This Row],[NILAI KONTRAK 2016]]-Table3[[#This Row],[REALISASI PENYERAPAN 2016]]</f>
        <v>0</v>
      </c>
      <c r="O94" s="257">
        <v>0</v>
      </c>
      <c r="P94" s="257"/>
      <c r="Q94" s="257"/>
      <c r="R94" s="257"/>
      <c r="S94" s="257"/>
      <c r="T94" s="257">
        <v>0</v>
      </c>
      <c r="U94" s="251">
        <f>SUM(E94,J94,O94,T94)</f>
        <v>0</v>
      </c>
      <c r="V94" s="257">
        <f>D94-U94</f>
        <v>131000000</v>
      </c>
      <c r="W94" s="264"/>
      <c r="X94" s="259">
        <f>'Kemhan-TNI'!AG101</f>
        <v>0</v>
      </c>
      <c r="Y94" s="258">
        <f>'Kemhan-TNI'!T101</f>
        <v>0</v>
      </c>
    </row>
    <row r="95" spans="1:25" ht="32.25" customHeight="1" x14ac:dyDescent="0.3">
      <c r="A95" s="265"/>
      <c r="B95" s="302" t="s">
        <v>117</v>
      </c>
      <c r="C95" s="302"/>
      <c r="D95" s="267"/>
      <c r="E95" s="267">
        <v>110000000</v>
      </c>
      <c r="F95" s="303" t="s">
        <v>224</v>
      </c>
      <c r="G95" s="267"/>
      <c r="H95" s="267"/>
      <c r="I95" s="267">
        <f>Table3[[#This Row],[NILAI KONTRAK 2015]]-Table3[[#This Row],[REALISASI PENYERAPAN 2015]]</f>
        <v>0</v>
      </c>
      <c r="J95" s="267"/>
      <c r="K95" s="267"/>
      <c r="L95" s="267"/>
      <c r="M95" s="267"/>
      <c r="N95" s="267">
        <f>Table3[[#This Row],[NILAI KONTRAK 2016]]-Table3[[#This Row],[REALISASI PENYERAPAN 2016]]</f>
        <v>0</v>
      </c>
      <c r="O95" s="267"/>
      <c r="P95" s="267"/>
      <c r="Q95" s="267"/>
      <c r="R95" s="267"/>
      <c r="S95" s="267"/>
      <c r="T95" s="304"/>
      <c r="U95" s="267">
        <f>SUM(E95:T95)</f>
        <v>110000000</v>
      </c>
      <c r="V95" s="267"/>
      <c r="W95" s="264"/>
      <c r="X95" s="259">
        <f>'Kemhan-TNI'!AG102</f>
        <v>0</v>
      </c>
      <c r="Y95" s="258">
        <f>'Kemhan-TNI'!T102</f>
        <v>0</v>
      </c>
    </row>
    <row r="96" spans="1:25" ht="18.75" x14ac:dyDescent="0.3">
      <c r="A96" s="265"/>
      <c r="B96" s="279"/>
      <c r="C96" s="279"/>
      <c r="D96" s="257"/>
      <c r="E96" s="257"/>
      <c r="F96" s="257"/>
      <c r="G96" s="257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64"/>
      <c r="U96" s="257"/>
      <c r="V96" s="257"/>
      <c r="W96" s="264"/>
      <c r="X96" s="259">
        <f>'Kemhan-TNI'!AG103</f>
        <v>0</v>
      </c>
      <c r="Y96" s="258">
        <f>'Kemhan-TNI'!T103</f>
        <v>0</v>
      </c>
    </row>
    <row r="97" spans="1:25" ht="37.5" x14ac:dyDescent="0.3">
      <c r="A97" s="260">
        <v>2</v>
      </c>
      <c r="B97" s="261" t="s">
        <v>119</v>
      </c>
      <c r="C97" s="305" t="s">
        <v>55</v>
      </c>
      <c r="D97" s="251">
        <f>SUM(D98)</f>
        <v>775000000</v>
      </c>
      <c r="E97" s="251">
        <f t="shared" ref="E97:Q97" si="53">SUM(E98)</f>
        <v>220000000</v>
      </c>
      <c r="F97" s="251">
        <f t="shared" si="53"/>
        <v>0</v>
      </c>
      <c r="G97" s="251">
        <f t="shared" si="53"/>
        <v>220000000</v>
      </c>
      <c r="H97" s="251">
        <f t="shared" si="53"/>
        <v>220000000</v>
      </c>
      <c r="I97" s="251">
        <f>Table3[[#This Row],[REALISASI PENYERAPAN 2015]]-Table3[[#This Row],[NILAI KONTRAK 2015]]</f>
        <v>0</v>
      </c>
      <c r="J97" s="251">
        <f t="shared" si="53"/>
        <v>125000000</v>
      </c>
      <c r="K97" s="251">
        <f t="shared" si="53"/>
        <v>0</v>
      </c>
      <c r="L97" s="251">
        <f t="shared" si="53"/>
        <v>125000000</v>
      </c>
      <c r="M97" s="251">
        <f t="shared" si="53"/>
        <v>125000000</v>
      </c>
      <c r="N97" s="251">
        <f t="shared" si="53"/>
        <v>0</v>
      </c>
      <c r="O97" s="251">
        <f t="shared" si="53"/>
        <v>271093300</v>
      </c>
      <c r="P97" s="251">
        <f t="shared" si="53"/>
        <v>0</v>
      </c>
      <c r="Q97" s="251">
        <f t="shared" si="53"/>
        <v>0</v>
      </c>
      <c r="R97" s="251">
        <f t="shared" ref="R97" si="54">SUM(R98)</f>
        <v>0</v>
      </c>
      <c r="S97" s="251"/>
      <c r="T97" s="251">
        <f>SUM(T98)</f>
        <v>0</v>
      </c>
      <c r="U97" s="251">
        <f>SUM(E97,J97,O97,T97)</f>
        <v>616093300</v>
      </c>
      <c r="V97" s="251">
        <f>SUM(V98)</f>
        <v>158906700</v>
      </c>
      <c r="W97" s="276"/>
      <c r="X97" s="259">
        <f>'Kemhan-TNI'!AG104</f>
        <v>0</v>
      </c>
      <c r="Y97" s="258">
        <f>'Kemhan-TNI'!T104</f>
        <v>0</v>
      </c>
    </row>
    <row r="98" spans="1:25" ht="56.25" x14ac:dyDescent="0.3">
      <c r="A98" s="260"/>
      <c r="B98" s="279" t="s">
        <v>120</v>
      </c>
      <c r="C98" s="292" t="s">
        <v>102</v>
      </c>
      <c r="D98" s="257">
        <v>775000000</v>
      </c>
      <c r="E98" s="257">
        <v>220000000</v>
      </c>
      <c r="F98" s="257" t="s">
        <v>222</v>
      </c>
      <c r="G98" s="257">
        <v>220000000</v>
      </c>
      <c r="H98" s="257">
        <v>220000000</v>
      </c>
      <c r="I98" s="257">
        <f>Table3[[#This Row],[NILAI KONTRAK 2015]]-Table3[[#This Row],[REALISASI PENYERAPAN 2015]]</f>
        <v>0</v>
      </c>
      <c r="J98" s="257">
        <v>125000000</v>
      </c>
      <c r="K98" s="257" t="s">
        <v>222</v>
      </c>
      <c r="L98" s="257">
        <v>125000000</v>
      </c>
      <c r="M98" s="257">
        <v>125000000</v>
      </c>
      <c r="N98" s="257">
        <f>Table3[[#This Row],[NILAI KONTRAK 2016]]-Table3[[#This Row],[REALISASI PENYERAPAN 2016]]</f>
        <v>0</v>
      </c>
      <c r="O98" s="257">
        <v>271093300</v>
      </c>
      <c r="P98" s="257" t="s">
        <v>226</v>
      </c>
      <c r="Q98" s="257"/>
      <c r="R98" s="257"/>
      <c r="S98" s="257"/>
      <c r="T98" s="257">
        <v>0</v>
      </c>
      <c r="U98" s="251">
        <f>SUM(E98,J98,O98,T98)</f>
        <v>616093300</v>
      </c>
      <c r="V98" s="257">
        <f>D98-U98</f>
        <v>158906700</v>
      </c>
      <c r="W98" s="264"/>
      <c r="X98" s="259">
        <f>'Kemhan-TNI'!AG105</f>
        <v>0</v>
      </c>
      <c r="Y98" s="258">
        <f>'Kemhan-TNI'!T105</f>
        <v>0</v>
      </c>
    </row>
    <row r="99" spans="1:25" ht="18.75" x14ac:dyDescent="0.3">
      <c r="A99" s="265"/>
      <c r="B99" s="279"/>
      <c r="C99" s="279"/>
      <c r="D99" s="257"/>
      <c r="E99" s="257"/>
      <c r="F99" s="257"/>
      <c r="G99" s="257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64"/>
      <c r="U99" s="257"/>
      <c r="V99" s="257"/>
      <c r="W99" s="264"/>
      <c r="X99" s="259">
        <f>'Kemhan-TNI'!AG106</f>
        <v>0</v>
      </c>
      <c r="Y99" s="258">
        <f>'Kemhan-TNI'!T106</f>
        <v>0</v>
      </c>
    </row>
    <row r="100" spans="1:25" ht="37.5" x14ac:dyDescent="0.3">
      <c r="A100" s="260">
        <v>3</v>
      </c>
      <c r="B100" s="261" t="s">
        <v>121</v>
      </c>
      <c r="C100" s="260" t="s">
        <v>55</v>
      </c>
      <c r="D100" s="251">
        <f>SUM(D101)</f>
        <v>400000000</v>
      </c>
      <c r="E100" s="251">
        <f t="shared" ref="E100:Q100" si="55">SUM(E101)</f>
        <v>60000000</v>
      </c>
      <c r="F100" s="251">
        <f t="shared" si="55"/>
        <v>0</v>
      </c>
      <c r="G100" s="251">
        <f t="shared" si="55"/>
        <v>59390001</v>
      </c>
      <c r="H100" s="251">
        <f t="shared" si="55"/>
        <v>0</v>
      </c>
      <c r="I100" s="251">
        <f t="shared" si="55"/>
        <v>59390001</v>
      </c>
      <c r="J100" s="251">
        <f t="shared" si="55"/>
        <v>0</v>
      </c>
      <c r="K100" s="251">
        <f t="shared" si="55"/>
        <v>0</v>
      </c>
      <c r="L100" s="251">
        <f t="shared" si="55"/>
        <v>0</v>
      </c>
      <c r="M100" s="251">
        <f t="shared" si="55"/>
        <v>0</v>
      </c>
      <c r="N100" s="251">
        <f t="shared" si="55"/>
        <v>0</v>
      </c>
      <c r="O100" s="251">
        <f t="shared" si="55"/>
        <v>0</v>
      </c>
      <c r="P100" s="251">
        <f t="shared" si="55"/>
        <v>0</v>
      </c>
      <c r="Q100" s="251">
        <f t="shared" si="55"/>
        <v>0</v>
      </c>
      <c r="R100" s="251">
        <f t="shared" ref="R100" si="56">SUM(R101)</f>
        <v>0</v>
      </c>
      <c r="S100" s="251"/>
      <c r="T100" s="251">
        <f>SUM(T101)</f>
        <v>0</v>
      </c>
      <c r="U100" s="251">
        <f>SUM(E100,J100,O100,T100)</f>
        <v>60000000</v>
      </c>
      <c r="V100" s="251">
        <f>SUM(V101)</f>
        <v>340000000</v>
      </c>
      <c r="W100" s="276"/>
      <c r="X100" s="259">
        <f>'Kemhan-TNI'!AG107</f>
        <v>0</v>
      </c>
      <c r="Y100" s="258">
        <f>'Kemhan-TNI'!T107</f>
        <v>47998070.399999999</v>
      </c>
    </row>
    <row r="101" spans="1:25" ht="37.5" x14ac:dyDescent="0.3">
      <c r="A101" s="260"/>
      <c r="B101" s="279" t="s">
        <v>122</v>
      </c>
      <c r="C101" s="292" t="s">
        <v>43</v>
      </c>
      <c r="D101" s="257">
        <v>400000000</v>
      </c>
      <c r="E101" s="257">
        <v>60000000</v>
      </c>
      <c r="F101" s="257" t="s">
        <v>223</v>
      </c>
      <c r="G101" s="257">
        <v>59390001</v>
      </c>
      <c r="H101" s="257">
        <v>0</v>
      </c>
      <c r="I101" s="257">
        <f>Table3[[#This Row],[NILAI KONTRAK 2015]]-Table3[[#This Row],[REALISASI PENYERAPAN 2015]]</f>
        <v>59390001</v>
      </c>
      <c r="J101" s="257">
        <v>0</v>
      </c>
      <c r="K101" s="257"/>
      <c r="L101" s="257"/>
      <c r="M101" s="257"/>
      <c r="N101" s="257">
        <f>Table3[[#This Row],[NILAI KONTRAK 2016]]-Table3[[#This Row],[REALISASI PENYERAPAN 2016]]</f>
        <v>0</v>
      </c>
      <c r="O101" s="257">
        <v>0</v>
      </c>
      <c r="P101" s="257"/>
      <c r="Q101" s="257"/>
      <c r="R101" s="257"/>
      <c r="S101" s="257"/>
      <c r="T101" s="257">
        <v>0</v>
      </c>
      <c r="U101" s="251">
        <f>SUM(E101,J101,O101,T101)</f>
        <v>60000000</v>
      </c>
      <c r="V101" s="257">
        <f>D101-U101</f>
        <v>340000000</v>
      </c>
      <c r="W101" s="264"/>
      <c r="X101" s="259">
        <f>'Kemhan-TNI'!AG108</f>
        <v>0</v>
      </c>
      <c r="Y101" s="258">
        <f>'Kemhan-TNI'!T108</f>
        <v>47998070.399999999</v>
      </c>
    </row>
    <row r="102" spans="1:25" ht="18.75" x14ac:dyDescent="0.3">
      <c r="A102" s="265"/>
      <c r="B102" s="256"/>
      <c r="C102" s="256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64"/>
      <c r="U102" s="257"/>
      <c r="V102" s="257"/>
      <c r="W102" s="264"/>
      <c r="X102" s="259">
        <f>'Kemhan-TNI'!AG109</f>
        <v>0</v>
      </c>
      <c r="Y102" s="258">
        <f>'Kemhan-TNI'!T109</f>
        <v>0</v>
      </c>
    </row>
    <row r="103" spans="1:25" ht="37.5" x14ac:dyDescent="0.3">
      <c r="A103" s="260">
        <v>4</v>
      </c>
      <c r="B103" s="261" t="s">
        <v>123</v>
      </c>
      <c r="C103" s="306" t="s">
        <v>47</v>
      </c>
      <c r="D103" s="251">
        <f>SUM(D104:D106)</f>
        <v>98500000</v>
      </c>
      <c r="E103" s="251">
        <f t="shared" ref="E103:Q103" si="57">SUM(E104:E106)</f>
        <v>0</v>
      </c>
      <c r="F103" s="251">
        <f t="shared" si="57"/>
        <v>0</v>
      </c>
      <c r="G103" s="251">
        <f t="shared" si="57"/>
        <v>0</v>
      </c>
      <c r="H103" s="251">
        <f t="shared" si="57"/>
        <v>0</v>
      </c>
      <c r="I103" s="251">
        <f t="shared" si="57"/>
        <v>0</v>
      </c>
      <c r="J103" s="251">
        <f t="shared" si="57"/>
        <v>28000000</v>
      </c>
      <c r="K103" s="251">
        <f t="shared" si="57"/>
        <v>0</v>
      </c>
      <c r="L103" s="251">
        <f t="shared" si="57"/>
        <v>27975075</v>
      </c>
      <c r="M103" s="251">
        <f t="shared" si="57"/>
        <v>27975075</v>
      </c>
      <c r="N103" s="251">
        <f t="shared" si="57"/>
        <v>0</v>
      </c>
      <c r="O103" s="251">
        <f t="shared" si="57"/>
        <v>0</v>
      </c>
      <c r="P103" s="251">
        <f t="shared" si="57"/>
        <v>0</v>
      </c>
      <c r="Q103" s="251">
        <f t="shared" si="57"/>
        <v>0</v>
      </c>
      <c r="R103" s="251">
        <f t="shared" ref="R103" si="58">SUM(R104:R106)</f>
        <v>0</v>
      </c>
      <c r="S103" s="251"/>
      <c r="T103" s="251">
        <f>SUM(T104:T106)</f>
        <v>0</v>
      </c>
      <c r="U103" s="251">
        <f>SUM(E103,J103,O103,T103)</f>
        <v>28000000</v>
      </c>
      <c r="V103" s="251">
        <f>SUM(V104:V106)</f>
        <v>70500000</v>
      </c>
      <c r="W103" s="276"/>
      <c r="X103" s="259">
        <f>'Kemhan-TNI'!AG110</f>
        <v>0</v>
      </c>
      <c r="Y103" s="258">
        <f>'Kemhan-TNI'!T110</f>
        <v>0</v>
      </c>
    </row>
    <row r="104" spans="1:25" ht="37.5" x14ac:dyDescent="0.3">
      <c r="A104" s="260"/>
      <c r="B104" s="291" t="s">
        <v>124</v>
      </c>
      <c r="C104" s="291" t="s">
        <v>125</v>
      </c>
      <c r="D104" s="269">
        <v>26500000</v>
      </c>
      <c r="E104" s="269">
        <v>0</v>
      </c>
      <c r="F104" s="269"/>
      <c r="G104" s="269"/>
      <c r="H104" s="269"/>
      <c r="I104" s="257">
        <f>Table3[[#This Row],[NILAI KONTRAK 2015]]-Table3[[#This Row],[REALISASI PENYERAPAN 2015]]</f>
        <v>0</v>
      </c>
      <c r="J104" s="269">
        <v>0</v>
      </c>
      <c r="K104" s="269"/>
      <c r="L104" s="269"/>
      <c r="M104" s="269"/>
      <c r="N104" s="269">
        <f>Table3[[#This Row],[NILAI KONTRAK 2016]]-Table3[[#This Row],[REALISASI PENYERAPAN 2016]]</f>
        <v>0</v>
      </c>
      <c r="O104" s="269">
        <v>0</v>
      </c>
      <c r="P104" s="269"/>
      <c r="Q104" s="269"/>
      <c r="R104" s="269"/>
      <c r="S104" s="269"/>
      <c r="T104" s="269">
        <v>0</v>
      </c>
      <c r="U104" s="251">
        <f>SUM(E104,J104,O104,T104)</f>
        <v>0</v>
      </c>
      <c r="V104" s="257">
        <f>D104-U104</f>
        <v>26500000</v>
      </c>
      <c r="W104" s="264"/>
      <c r="X104" s="259">
        <f>'Kemhan-TNI'!AG111</f>
        <v>0</v>
      </c>
      <c r="Y104" s="258">
        <f>'Kemhan-TNI'!T111</f>
        <v>0</v>
      </c>
    </row>
    <row r="105" spans="1:25" ht="37.5" x14ac:dyDescent="0.3">
      <c r="A105" s="260"/>
      <c r="B105" s="291" t="s">
        <v>126</v>
      </c>
      <c r="C105" s="291" t="s">
        <v>125</v>
      </c>
      <c r="D105" s="269">
        <v>44000000</v>
      </c>
      <c r="E105" s="269">
        <v>0</v>
      </c>
      <c r="F105" s="269"/>
      <c r="G105" s="269"/>
      <c r="H105" s="269"/>
      <c r="I105" s="257">
        <f>Table3[[#This Row],[NILAI KONTRAK 2015]]-Table3[[#This Row],[REALISASI PENYERAPAN 2015]]</f>
        <v>0</v>
      </c>
      <c r="J105" s="269">
        <v>0</v>
      </c>
      <c r="K105" s="269"/>
      <c r="L105" s="269"/>
      <c r="M105" s="269"/>
      <c r="N105" s="269">
        <f>Table3[[#This Row],[NILAI KONTRAK 2016]]-Table3[[#This Row],[REALISASI PENYERAPAN 2016]]</f>
        <v>0</v>
      </c>
      <c r="O105" s="269">
        <v>0</v>
      </c>
      <c r="P105" s="269"/>
      <c r="Q105" s="269"/>
      <c r="R105" s="269"/>
      <c r="S105" s="269"/>
      <c r="T105" s="269">
        <v>0</v>
      </c>
      <c r="U105" s="251">
        <f>SUM(E105,J105,O105,T105)</f>
        <v>0</v>
      </c>
      <c r="V105" s="257">
        <f>D105-U105</f>
        <v>44000000</v>
      </c>
      <c r="W105" s="264"/>
      <c r="X105" s="259">
        <f>'Kemhan-TNI'!AG112</f>
        <v>0</v>
      </c>
      <c r="Y105" s="258">
        <f>'Kemhan-TNI'!T112</f>
        <v>0</v>
      </c>
    </row>
    <row r="106" spans="1:25" ht="37.5" x14ac:dyDescent="0.3">
      <c r="A106" s="260"/>
      <c r="B106" s="291" t="s">
        <v>127</v>
      </c>
      <c r="C106" s="291" t="s">
        <v>128</v>
      </c>
      <c r="D106" s="269">
        <v>28000000</v>
      </c>
      <c r="E106" s="269">
        <v>0</v>
      </c>
      <c r="F106" s="269"/>
      <c r="G106" s="269"/>
      <c r="H106" s="269"/>
      <c r="I106" s="257">
        <f>Table3[[#This Row],[NILAI KONTRAK 2015]]-Table3[[#This Row],[REALISASI PENYERAPAN 2015]]</f>
        <v>0</v>
      </c>
      <c r="J106" s="269">
        <v>28000000</v>
      </c>
      <c r="K106" s="269" t="s">
        <v>222</v>
      </c>
      <c r="L106" s="269">
        <v>27975075</v>
      </c>
      <c r="M106" s="269">
        <v>27975075</v>
      </c>
      <c r="N106" s="269">
        <f>Table3[[#This Row],[NILAI KONTRAK 2016]]-Table3[[#This Row],[REALISASI PENYERAPAN 2016]]</f>
        <v>0</v>
      </c>
      <c r="O106" s="269">
        <v>0</v>
      </c>
      <c r="P106" s="269"/>
      <c r="Q106" s="269"/>
      <c r="R106" s="269"/>
      <c r="S106" s="269"/>
      <c r="T106" s="269">
        <v>0</v>
      </c>
      <c r="U106" s="251">
        <f>SUM(E106,J106,O106,T106)</f>
        <v>28000000</v>
      </c>
      <c r="V106" s="257">
        <f>D106-U106</f>
        <v>0</v>
      </c>
      <c r="W106" s="264"/>
      <c r="X106" s="259">
        <f>'Kemhan-TNI'!AG113</f>
        <v>0</v>
      </c>
      <c r="Y106" s="258">
        <f>'Kemhan-TNI'!T113</f>
        <v>0</v>
      </c>
    </row>
    <row r="107" spans="1:25" ht="18.75" x14ac:dyDescent="0.3">
      <c r="A107" s="265"/>
      <c r="B107" s="279"/>
      <c r="C107" s="279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64"/>
      <c r="U107" s="257"/>
      <c r="V107" s="257"/>
      <c r="W107" s="264"/>
      <c r="X107" s="259">
        <f>'Kemhan-TNI'!AG114</f>
        <v>0</v>
      </c>
      <c r="Y107" s="258">
        <f>'Kemhan-TNI'!T114</f>
        <v>0</v>
      </c>
    </row>
    <row r="108" spans="1:25" ht="37.5" x14ac:dyDescent="0.3">
      <c r="A108" s="260">
        <v>5</v>
      </c>
      <c r="B108" s="261" t="s">
        <v>130</v>
      </c>
      <c r="C108" s="305" t="s">
        <v>36</v>
      </c>
      <c r="D108" s="251">
        <f>SUM(D109:D110)</f>
        <v>345500000</v>
      </c>
      <c r="E108" s="251">
        <f t="shared" ref="E108:Q108" si="59">SUM(E109:E110)</f>
        <v>60000000</v>
      </c>
      <c r="F108" s="251">
        <f t="shared" si="59"/>
        <v>0</v>
      </c>
      <c r="G108" s="251">
        <f t="shared" si="59"/>
        <v>59390001</v>
      </c>
      <c r="H108" s="251">
        <f t="shared" si="59"/>
        <v>59390001</v>
      </c>
      <c r="I108" s="251">
        <f t="shared" si="59"/>
        <v>0</v>
      </c>
      <c r="J108" s="251">
        <f t="shared" si="59"/>
        <v>0</v>
      </c>
      <c r="K108" s="251">
        <f t="shared" si="59"/>
        <v>0</v>
      </c>
      <c r="L108" s="251">
        <f t="shared" si="59"/>
        <v>0</v>
      </c>
      <c r="M108" s="251">
        <f t="shared" si="59"/>
        <v>0</v>
      </c>
      <c r="N108" s="251">
        <f t="shared" si="59"/>
        <v>0</v>
      </c>
      <c r="O108" s="251">
        <f t="shared" si="59"/>
        <v>185500000</v>
      </c>
      <c r="P108" s="251">
        <f t="shared" si="59"/>
        <v>0</v>
      </c>
      <c r="Q108" s="251">
        <f t="shared" si="59"/>
        <v>0</v>
      </c>
      <c r="R108" s="251">
        <f t="shared" ref="R108" si="60">SUM(R109:R110)</f>
        <v>0</v>
      </c>
      <c r="S108" s="251"/>
      <c r="T108" s="251">
        <f t="shared" ref="T108" si="61">SUM(T109:T110)</f>
        <v>0</v>
      </c>
      <c r="U108" s="251">
        <f>SUM(E108,J108,O108,T108)</f>
        <v>245500000</v>
      </c>
      <c r="V108" s="251">
        <f>SUM(V109:V110)</f>
        <v>100000000</v>
      </c>
      <c r="W108" s="276"/>
      <c r="X108" s="259">
        <f>'Kemhan-TNI'!AG115</f>
        <v>0</v>
      </c>
      <c r="Y108" s="258">
        <f>'Kemhan-TNI'!T115</f>
        <v>0</v>
      </c>
    </row>
    <row r="109" spans="1:25" ht="37.5" x14ac:dyDescent="0.3">
      <c r="A109" s="260"/>
      <c r="B109" s="279" t="s">
        <v>131</v>
      </c>
      <c r="C109" s="279" t="s">
        <v>25</v>
      </c>
      <c r="D109" s="257">
        <v>160000000</v>
      </c>
      <c r="E109" s="257">
        <v>60000000</v>
      </c>
      <c r="F109" s="257" t="s">
        <v>222</v>
      </c>
      <c r="G109" s="257">
        <v>59390001</v>
      </c>
      <c r="H109" s="257">
        <v>59390001</v>
      </c>
      <c r="I109" s="257">
        <f>Table3[[#This Row],[NILAI KONTRAK 2015]]-Table3[[#This Row],[REALISASI PENYERAPAN 2015]]</f>
        <v>0</v>
      </c>
      <c r="J109" s="257">
        <v>0</v>
      </c>
      <c r="K109" s="257"/>
      <c r="L109" s="257"/>
      <c r="M109" s="257"/>
      <c r="N109" s="257">
        <f>Table3[[#This Row],[NILAI KONTRAK 2016]]-Table3[[#This Row],[REALISASI PENYERAPAN 2016]]</f>
        <v>0</v>
      </c>
      <c r="O109" s="257">
        <v>0</v>
      </c>
      <c r="P109" s="257"/>
      <c r="Q109" s="257"/>
      <c r="R109" s="257"/>
      <c r="S109" s="257"/>
      <c r="T109" s="251">
        <f t="shared" ref="T109:T110" si="62">SUM(T110:T111)</f>
        <v>0</v>
      </c>
      <c r="U109" s="251">
        <f>SUM(E109,J109,O109,T109)</f>
        <v>60000000</v>
      </c>
      <c r="V109" s="257">
        <f>D109-U109</f>
        <v>100000000</v>
      </c>
      <c r="W109" s="264"/>
      <c r="X109" s="259">
        <f>'Kemhan-TNI'!AG116</f>
        <v>0</v>
      </c>
      <c r="Y109" s="258">
        <f>'Kemhan-TNI'!T116</f>
        <v>0</v>
      </c>
    </row>
    <row r="110" spans="1:25" ht="56.25" x14ac:dyDescent="0.3">
      <c r="A110" s="260"/>
      <c r="B110" s="279" t="s">
        <v>132</v>
      </c>
      <c r="C110" s="279" t="s">
        <v>133</v>
      </c>
      <c r="D110" s="257">
        <v>185500000</v>
      </c>
      <c r="E110" s="257">
        <v>0</v>
      </c>
      <c r="F110" s="257"/>
      <c r="G110" s="257"/>
      <c r="H110" s="257"/>
      <c r="I110" s="257">
        <f>Table3[[#This Row],[NILAI KONTRAK 2015]]-Table3[[#This Row],[REALISASI PENYERAPAN 2015]]</f>
        <v>0</v>
      </c>
      <c r="J110" s="257">
        <v>0</v>
      </c>
      <c r="K110" s="257"/>
      <c r="L110" s="257"/>
      <c r="M110" s="257"/>
      <c r="N110" s="257">
        <f>Table3[[#This Row],[NILAI KONTRAK 2016]]-Table3[[#This Row],[REALISASI PENYERAPAN 2016]]</f>
        <v>0</v>
      </c>
      <c r="O110" s="257">
        <v>185500000</v>
      </c>
      <c r="P110" s="257" t="s">
        <v>226</v>
      </c>
      <c r="Q110" s="257"/>
      <c r="R110" s="257"/>
      <c r="S110" s="257"/>
      <c r="T110" s="251">
        <f t="shared" si="62"/>
        <v>0</v>
      </c>
      <c r="U110" s="251">
        <f>SUM(E110,J110,O110,T110)</f>
        <v>185500000</v>
      </c>
      <c r="V110" s="257">
        <f>D110-U110</f>
        <v>0</v>
      </c>
      <c r="W110" s="264"/>
      <c r="X110" s="259">
        <f>'Kemhan-TNI'!AG117</f>
        <v>0</v>
      </c>
      <c r="Y110" s="258">
        <f>'Kemhan-TNI'!T117</f>
        <v>0</v>
      </c>
    </row>
    <row r="111" spans="1:25" ht="18.75" x14ac:dyDescent="0.3">
      <c r="A111" s="260"/>
      <c r="B111" s="261"/>
      <c r="C111" s="26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307"/>
      <c r="U111" s="251"/>
      <c r="V111" s="257"/>
      <c r="W111" s="307"/>
      <c r="X111" s="259">
        <f>'Kemhan-TNI'!AG118</f>
        <v>0</v>
      </c>
      <c r="Y111" s="258">
        <f>'Kemhan-TNI'!T118</f>
        <v>0</v>
      </c>
    </row>
    <row r="112" spans="1:25" ht="18.75" x14ac:dyDescent="0.3">
      <c r="A112" s="294"/>
      <c r="B112" s="279"/>
      <c r="C112" s="268"/>
      <c r="D112" s="257"/>
      <c r="E112" s="257"/>
      <c r="F112" s="257"/>
      <c r="G112" s="257"/>
      <c r="H112" s="257"/>
      <c r="I112" s="257"/>
      <c r="J112" s="257"/>
      <c r="K112" s="257"/>
      <c r="L112" s="257"/>
      <c r="M112" s="257"/>
      <c r="N112" s="257"/>
      <c r="O112" s="257"/>
      <c r="P112" s="257"/>
      <c r="Q112" s="257"/>
      <c r="R112" s="257"/>
      <c r="S112" s="257"/>
      <c r="T112" s="308"/>
      <c r="U112" s="257"/>
      <c r="V112" s="257"/>
      <c r="W112" s="308"/>
      <c r="X112" s="259">
        <f>'Kemhan-TNI'!AG119</f>
        <v>0</v>
      </c>
      <c r="Y112" s="258">
        <f>'Kemhan-TNI'!T119</f>
        <v>0</v>
      </c>
    </row>
    <row r="113" spans="1:25" ht="37.5" x14ac:dyDescent="0.25">
      <c r="A113" s="310"/>
      <c r="B113" s="309" t="s">
        <v>134</v>
      </c>
      <c r="C113" s="309" t="s">
        <v>16</v>
      </c>
      <c r="D113" s="311">
        <f t="shared" ref="D113:R113" si="63">D5+D28+D62+D88</f>
        <v>15000000000</v>
      </c>
      <c r="E113" s="311">
        <f t="shared" si="63"/>
        <v>1500000000</v>
      </c>
      <c r="F113" s="311">
        <f t="shared" si="63"/>
        <v>0</v>
      </c>
      <c r="G113" s="311">
        <f t="shared" si="63"/>
        <v>1210777209.069</v>
      </c>
      <c r="H113" s="311">
        <f t="shared" si="63"/>
        <v>900513543.71099997</v>
      </c>
      <c r="I113" s="311">
        <f t="shared" si="63"/>
        <v>310263665.35799998</v>
      </c>
      <c r="J113" s="311">
        <f t="shared" si="63"/>
        <v>1485100000</v>
      </c>
      <c r="K113" s="311">
        <f t="shared" si="63"/>
        <v>0</v>
      </c>
      <c r="L113" s="311">
        <f t="shared" si="63"/>
        <v>1485039034.5999999</v>
      </c>
      <c r="M113" s="311">
        <f t="shared" si="63"/>
        <v>437670338.68000001</v>
      </c>
      <c r="N113" s="311">
        <f t="shared" si="63"/>
        <v>1047368695.9200001</v>
      </c>
      <c r="O113" s="311">
        <f t="shared" si="63"/>
        <v>2568797100</v>
      </c>
      <c r="P113" s="311">
        <f t="shared" si="63"/>
        <v>0</v>
      </c>
      <c r="Q113" s="311">
        <f t="shared" si="63"/>
        <v>1142200340</v>
      </c>
      <c r="R113" s="311">
        <f t="shared" si="63"/>
        <v>0</v>
      </c>
      <c r="S113" s="311"/>
      <c r="T113" s="311">
        <f>T5+T28+T62+T88</f>
        <v>3305286200</v>
      </c>
      <c r="U113" s="311">
        <f>U5+U28+U62+U88</f>
        <v>13547026600</v>
      </c>
      <c r="V113" s="311">
        <f>V5+V28+V62+V88</f>
        <v>6250816700</v>
      </c>
      <c r="W113" s="313"/>
      <c r="X113" s="314">
        <f>'Kemhan-TNI'!AG120</f>
        <v>3437328960</v>
      </c>
      <c r="Y113" s="312">
        <f>'Kemhan-TNI'!T120</f>
        <v>311235305.39999998</v>
      </c>
    </row>
    <row r="115" spans="1:25" x14ac:dyDescent="0.25">
      <c r="A115" t="s">
        <v>222</v>
      </c>
      <c r="E115" s="122">
        <f>SUM(E11,E16,E17,E20,E36,E39,E45,E51,E54,E55,E56,E85,E98,E109)</f>
        <v>741403800</v>
      </c>
      <c r="F115">
        <v>14</v>
      </c>
      <c r="G115" s="122">
        <f>SUM(G11,G16,G17,G20,G36,G39,G45,G51,G54,G55,G56,G85,G98,G109)</f>
        <v>696179078.25</v>
      </c>
      <c r="H115" s="122">
        <f>SUM(H11,H16,H17,H20,H36,H39,H45,H51,H54,H55,H56,H85,H98,H109)</f>
        <v>696179078.25</v>
      </c>
      <c r="I115" s="122"/>
      <c r="J115" s="122">
        <f>SUM(J10,J12,J98,J106)</f>
        <v>183000000</v>
      </c>
      <c r="K115">
        <v>4</v>
      </c>
      <c r="L115" s="122">
        <f>SUM(L10,L12,L98,L106)</f>
        <v>182961305</v>
      </c>
      <c r="M115" s="122">
        <f>SUM(M10,M12,M98,M106)</f>
        <v>182961305</v>
      </c>
      <c r="N115" s="122">
        <f>SUM(N10,N12,N98,N106)</f>
        <v>0</v>
      </c>
    </row>
    <row r="116" spans="1:25" x14ac:dyDescent="0.25">
      <c r="A116" t="s">
        <v>223</v>
      </c>
      <c r="E116" s="122">
        <f>SUM(E8,E24,E31,E68,E71,E101)</f>
        <v>518596200</v>
      </c>
      <c r="F116">
        <v>6</v>
      </c>
      <c r="G116" s="122">
        <f>SUM(G8,G24,G31,G68,G71,G101)</f>
        <v>514598130.81900001</v>
      </c>
      <c r="H116" s="122">
        <f>SUM(H8,H24,H31,H68,H71,H101)</f>
        <v>204334465.46100003</v>
      </c>
      <c r="I116" s="122">
        <f>SUM(I8,I24,I31,I68,I71,I101)</f>
        <v>310263665.35799998</v>
      </c>
      <c r="J116" s="122">
        <f>SUM(J17,J20,J31,J34,J39,J46,J47,J48,J59,J86)</f>
        <v>670100000</v>
      </c>
      <c r="K116">
        <v>10</v>
      </c>
      <c r="L116" s="122">
        <f>SUM(L17,L20,L31,L34,L39,L46,L47,L48,L59,L86)</f>
        <v>670077729.60000002</v>
      </c>
      <c r="M116" s="122">
        <f>SUM(M17,M20,M31,M34,M39,M46,M47,M48,M59,M86)</f>
        <v>254709033.68000001</v>
      </c>
      <c r="N116" s="122">
        <f>SUM(N17,N20,N31,N34,N39,N46,N47,N48,N59,N86)</f>
        <v>415368695.92000002</v>
      </c>
    </row>
    <row r="117" spans="1:25" x14ac:dyDescent="0.25">
      <c r="A117" t="s">
        <v>227</v>
      </c>
      <c r="J117">
        <v>0</v>
      </c>
      <c r="O117" s="122">
        <f>SUM(O9,O13,O65,O68,O82)</f>
        <v>1035000000</v>
      </c>
      <c r="P117">
        <v>5</v>
      </c>
      <c r="Q117" s="122">
        <f>SUM(Q9,Q13,Q65,Q68,Q82)</f>
        <v>65000000</v>
      </c>
      <c r="R117" s="122">
        <f>SUM(R9,R13,R65,R68,R82)</f>
        <v>0</v>
      </c>
      <c r="S117" s="122">
        <f>SUM(S9,S13,S65,S68,S82)</f>
        <v>0</v>
      </c>
    </row>
    <row r="118" spans="1:25" x14ac:dyDescent="0.25">
      <c r="A118" t="s">
        <v>225</v>
      </c>
      <c r="J118" s="122">
        <f>SUM(J42,J65,J74,J77,J79,J93)</f>
        <v>632000000</v>
      </c>
      <c r="K118">
        <v>6</v>
      </c>
      <c r="L118" s="122">
        <f>SUM(L42,L65,L74,L77,L79,L93)</f>
        <v>632000000</v>
      </c>
      <c r="M118" s="122">
        <f>SUM(M42,M65,M74,M77,M79,M93)</f>
        <v>0</v>
      </c>
      <c r="N118" s="122">
        <f>SUM(N42,N65,N74,N77,N79,N93)</f>
        <v>632000000</v>
      </c>
      <c r="O118" s="122">
        <f>SUM(O11,O12,O17,O20,O24,O31,O34,O39,O45,O51,O77,O79)</f>
        <v>1077203800</v>
      </c>
      <c r="P118">
        <v>12</v>
      </c>
      <c r="Q118" s="122">
        <f>SUM(Q11,Q12,Q17,Q20,Q24,Q31,Q34,Q39,Q45,Q51,Q77,Q79)</f>
        <v>1077200340</v>
      </c>
      <c r="R118" s="122">
        <f>SUM(R11,R12,R17,R20,R24,R31,R34,R39,R45,R51,R77,R79)</f>
        <v>0</v>
      </c>
      <c r="S118" s="122">
        <f>SUM(S11,S12,S17,S20,S24,S31,S34,S39,S45,S51,S77,S79)</f>
        <v>0</v>
      </c>
    </row>
    <row r="119" spans="1:25" x14ac:dyDescent="0.25">
      <c r="A119" t="s">
        <v>228</v>
      </c>
      <c r="E119" s="122">
        <f>SUM(E34)</f>
        <v>130000000</v>
      </c>
      <c r="F119">
        <v>1</v>
      </c>
      <c r="G119" s="122">
        <f>SUM(G34)</f>
        <v>0</v>
      </c>
      <c r="H119" s="122">
        <f>SUM(H34)</f>
        <v>0</v>
      </c>
      <c r="O119" s="122">
        <f>SUM(O98,O110)</f>
        <v>456593300</v>
      </c>
      <c r="P119">
        <v>2</v>
      </c>
      <c r="Q119" s="122">
        <f>SUM(Q98,Q110)</f>
        <v>0</v>
      </c>
      <c r="R119" s="122">
        <f t="shared" ref="R119:S119" si="64">SUM(R98,R110)</f>
        <v>0</v>
      </c>
      <c r="S119" s="122">
        <f t="shared" si="64"/>
        <v>0</v>
      </c>
    </row>
    <row r="120" spans="1:25" x14ac:dyDescent="0.25">
      <c r="A120" t="s">
        <v>229</v>
      </c>
    </row>
    <row r="121" spans="1:25" x14ac:dyDescent="0.25">
      <c r="A121" t="s">
        <v>224</v>
      </c>
      <c r="E121">
        <v>110000000</v>
      </c>
      <c r="F121">
        <v>1</v>
      </c>
    </row>
    <row r="123" spans="1:25" x14ac:dyDescent="0.25">
      <c r="O123" t="s">
        <v>201</v>
      </c>
    </row>
    <row r="124" spans="1:25" x14ac:dyDescent="0.25">
      <c r="A124">
        <v>15838758000</v>
      </c>
    </row>
    <row r="125" spans="1:25" x14ac:dyDescent="0.25">
      <c r="A125">
        <v>13933675307</v>
      </c>
    </row>
    <row r="126" spans="1:25" x14ac:dyDescent="0.25">
      <c r="A126">
        <v>57849411165</v>
      </c>
      <c r="O126">
        <v>5</v>
      </c>
    </row>
    <row r="127" spans="1:25" x14ac:dyDescent="0.25">
      <c r="A127">
        <v>89994090988</v>
      </c>
    </row>
    <row r="128" spans="1:25" x14ac:dyDescent="0.25">
      <c r="A128">
        <v>71249999999</v>
      </c>
    </row>
    <row r="129" spans="1:2" x14ac:dyDescent="0.25">
      <c r="A129">
        <v>47998070400</v>
      </c>
    </row>
    <row r="130" spans="1:2" x14ac:dyDescent="0.25">
      <c r="A130" s="121">
        <f>SUM(A124:A129)</f>
        <v>296864005859</v>
      </c>
      <c r="B130">
        <v>296864005859</v>
      </c>
    </row>
  </sheetData>
  <autoFilter ref="A115:Y115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zoomScale="60" zoomScaleNormal="60" workbookViewId="0">
      <pane xSplit="3" ySplit="5" topLeftCell="M51" activePane="bottomRight" state="frozen"/>
      <selection pane="topRight" activeCell="D1" sqref="D1"/>
      <selection pane="bottomLeft" activeCell="A6" sqref="A6"/>
      <selection pane="bottomRight" activeCell="Y63" sqref="Y63"/>
    </sheetView>
  </sheetViews>
  <sheetFormatPr defaultRowHeight="16.5" x14ac:dyDescent="0.3"/>
  <cols>
    <col min="1" max="1" width="12.140625" style="110" customWidth="1"/>
    <col min="2" max="2" width="16.42578125" style="110" customWidth="1"/>
    <col min="3" max="3" width="49.85546875" style="59" customWidth="1"/>
    <col min="4" max="4" width="16.28515625" style="111" customWidth="1"/>
    <col min="5" max="5" width="15.7109375" style="111" customWidth="1"/>
    <col min="6" max="6" width="13.85546875" style="608" customWidth="1"/>
    <col min="7" max="7" width="16.7109375" style="111" customWidth="1"/>
    <col min="8" max="8" width="19.140625" style="111" customWidth="1"/>
    <col min="9" max="9" width="15.7109375" style="111" customWidth="1"/>
    <col min="10" max="10" width="16.42578125" style="111" customWidth="1"/>
    <col min="11" max="14" width="19.28515625" style="111" customWidth="1"/>
    <col min="15" max="16" width="10.5703125" style="111" hidden="1" customWidth="1"/>
    <col min="17" max="17" width="9.85546875" style="111" hidden="1" customWidth="1"/>
    <col min="18" max="18" width="7.140625" style="111" hidden="1" customWidth="1"/>
    <col min="19" max="19" width="8.7109375" style="111" hidden="1" customWidth="1"/>
    <col min="20" max="20" width="5.28515625" style="111" hidden="1" customWidth="1"/>
    <col min="21" max="21" width="7.140625" style="111" hidden="1" customWidth="1"/>
    <col min="22" max="22" width="5.7109375" style="111" hidden="1" customWidth="1"/>
    <col min="23" max="23" width="16.85546875" style="111" customWidth="1"/>
    <col min="24" max="24" width="22.140625" style="111" customWidth="1"/>
    <col min="25" max="25" width="14.7109375" style="111" customWidth="1"/>
    <col min="26" max="26" width="18.42578125" style="111" customWidth="1"/>
    <col min="27" max="27" width="14.7109375" style="111" customWidth="1"/>
    <col min="28" max="28" width="16.28515625" style="111" customWidth="1"/>
    <col min="29" max="29" width="31.5703125" style="111" customWidth="1"/>
    <col min="30" max="32" width="13.42578125" style="59" bestFit="1" customWidth="1"/>
    <col min="33" max="271" width="9.140625" style="59"/>
    <col min="272" max="272" width="5.140625" style="59" customWidth="1"/>
    <col min="273" max="273" width="4.85546875" style="59" customWidth="1"/>
    <col min="274" max="274" width="49.85546875" style="59" customWidth="1"/>
    <col min="275" max="275" width="16.28515625" style="59" customWidth="1"/>
    <col min="276" max="276" width="15.7109375" style="59" customWidth="1"/>
    <col min="277" max="277" width="15.140625" style="59" customWidth="1"/>
    <col min="278" max="278" width="16.28515625" style="59" customWidth="1"/>
    <col min="279" max="284" width="0" style="59" hidden="1" customWidth="1"/>
    <col min="285" max="285" width="31.5703125" style="59" customWidth="1"/>
    <col min="286" max="288" width="13.42578125" style="59" bestFit="1" customWidth="1"/>
    <col min="289" max="527" width="9.140625" style="59"/>
    <col min="528" max="528" width="5.140625" style="59" customWidth="1"/>
    <col min="529" max="529" width="4.85546875" style="59" customWidth="1"/>
    <col min="530" max="530" width="49.85546875" style="59" customWidth="1"/>
    <col min="531" max="531" width="16.28515625" style="59" customWidth="1"/>
    <col min="532" max="532" width="15.7109375" style="59" customWidth="1"/>
    <col min="533" max="533" width="15.140625" style="59" customWidth="1"/>
    <col min="534" max="534" width="16.28515625" style="59" customWidth="1"/>
    <col min="535" max="540" width="0" style="59" hidden="1" customWidth="1"/>
    <col min="541" max="541" width="31.5703125" style="59" customWidth="1"/>
    <col min="542" max="544" width="13.42578125" style="59" bestFit="1" customWidth="1"/>
    <col min="545" max="783" width="9.140625" style="59"/>
    <col min="784" max="784" width="5.140625" style="59" customWidth="1"/>
    <col min="785" max="785" width="4.85546875" style="59" customWidth="1"/>
    <col min="786" max="786" width="49.85546875" style="59" customWidth="1"/>
    <col min="787" max="787" width="16.28515625" style="59" customWidth="1"/>
    <col min="788" max="788" width="15.7109375" style="59" customWidth="1"/>
    <col min="789" max="789" width="15.140625" style="59" customWidth="1"/>
    <col min="790" max="790" width="16.28515625" style="59" customWidth="1"/>
    <col min="791" max="796" width="0" style="59" hidden="1" customWidth="1"/>
    <col min="797" max="797" width="31.5703125" style="59" customWidth="1"/>
    <col min="798" max="800" width="13.42578125" style="59" bestFit="1" customWidth="1"/>
    <col min="801" max="1039" width="9.140625" style="59"/>
    <col min="1040" max="1040" width="5.140625" style="59" customWidth="1"/>
    <col min="1041" max="1041" width="4.85546875" style="59" customWidth="1"/>
    <col min="1042" max="1042" width="49.85546875" style="59" customWidth="1"/>
    <col min="1043" max="1043" width="16.28515625" style="59" customWidth="1"/>
    <col min="1044" max="1044" width="15.7109375" style="59" customWidth="1"/>
    <col min="1045" max="1045" width="15.140625" style="59" customWidth="1"/>
    <col min="1046" max="1046" width="16.28515625" style="59" customWidth="1"/>
    <col min="1047" max="1052" width="0" style="59" hidden="1" customWidth="1"/>
    <col min="1053" max="1053" width="31.5703125" style="59" customWidth="1"/>
    <col min="1054" max="1056" width="13.42578125" style="59" bestFit="1" customWidth="1"/>
    <col min="1057" max="1295" width="9.140625" style="59"/>
    <col min="1296" max="1296" width="5.140625" style="59" customWidth="1"/>
    <col min="1297" max="1297" width="4.85546875" style="59" customWidth="1"/>
    <col min="1298" max="1298" width="49.85546875" style="59" customWidth="1"/>
    <col min="1299" max="1299" width="16.28515625" style="59" customWidth="1"/>
    <col min="1300" max="1300" width="15.7109375" style="59" customWidth="1"/>
    <col min="1301" max="1301" width="15.140625" style="59" customWidth="1"/>
    <col min="1302" max="1302" width="16.28515625" style="59" customWidth="1"/>
    <col min="1303" max="1308" width="0" style="59" hidden="1" customWidth="1"/>
    <col min="1309" max="1309" width="31.5703125" style="59" customWidth="1"/>
    <col min="1310" max="1312" width="13.42578125" style="59" bestFit="1" customWidth="1"/>
    <col min="1313" max="1551" width="9.140625" style="59"/>
    <col min="1552" max="1552" width="5.140625" style="59" customWidth="1"/>
    <col min="1553" max="1553" width="4.85546875" style="59" customWidth="1"/>
    <col min="1554" max="1554" width="49.85546875" style="59" customWidth="1"/>
    <col min="1555" max="1555" width="16.28515625" style="59" customWidth="1"/>
    <col min="1556" max="1556" width="15.7109375" style="59" customWidth="1"/>
    <col min="1557" max="1557" width="15.140625" style="59" customWidth="1"/>
    <col min="1558" max="1558" width="16.28515625" style="59" customWidth="1"/>
    <col min="1559" max="1564" width="0" style="59" hidden="1" customWidth="1"/>
    <col min="1565" max="1565" width="31.5703125" style="59" customWidth="1"/>
    <col min="1566" max="1568" width="13.42578125" style="59" bestFit="1" customWidth="1"/>
    <col min="1569" max="1807" width="9.140625" style="59"/>
    <col min="1808" max="1808" width="5.140625" style="59" customWidth="1"/>
    <col min="1809" max="1809" width="4.85546875" style="59" customWidth="1"/>
    <col min="1810" max="1810" width="49.85546875" style="59" customWidth="1"/>
    <col min="1811" max="1811" width="16.28515625" style="59" customWidth="1"/>
    <col min="1812" max="1812" width="15.7109375" style="59" customWidth="1"/>
    <col min="1813" max="1813" width="15.140625" style="59" customWidth="1"/>
    <col min="1814" max="1814" width="16.28515625" style="59" customWidth="1"/>
    <col min="1815" max="1820" width="0" style="59" hidden="1" customWidth="1"/>
    <col min="1821" max="1821" width="31.5703125" style="59" customWidth="1"/>
    <col min="1822" max="1824" width="13.42578125" style="59" bestFit="1" customWidth="1"/>
    <col min="1825" max="2063" width="9.140625" style="59"/>
    <col min="2064" max="2064" width="5.140625" style="59" customWidth="1"/>
    <col min="2065" max="2065" width="4.85546875" style="59" customWidth="1"/>
    <col min="2066" max="2066" width="49.85546875" style="59" customWidth="1"/>
    <col min="2067" max="2067" width="16.28515625" style="59" customWidth="1"/>
    <col min="2068" max="2068" width="15.7109375" style="59" customWidth="1"/>
    <col min="2069" max="2069" width="15.140625" style="59" customWidth="1"/>
    <col min="2070" max="2070" width="16.28515625" style="59" customWidth="1"/>
    <col min="2071" max="2076" width="0" style="59" hidden="1" customWidth="1"/>
    <col min="2077" max="2077" width="31.5703125" style="59" customWidth="1"/>
    <col min="2078" max="2080" width="13.42578125" style="59" bestFit="1" customWidth="1"/>
    <col min="2081" max="2319" width="9.140625" style="59"/>
    <col min="2320" max="2320" width="5.140625" style="59" customWidth="1"/>
    <col min="2321" max="2321" width="4.85546875" style="59" customWidth="1"/>
    <col min="2322" max="2322" width="49.85546875" style="59" customWidth="1"/>
    <col min="2323" max="2323" width="16.28515625" style="59" customWidth="1"/>
    <col min="2324" max="2324" width="15.7109375" style="59" customWidth="1"/>
    <col min="2325" max="2325" width="15.140625" style="59" customWidth="1"/>
    <col min="2326" max="2326" width="16.28515625" style="59" customWidth="1"/>
    <col min="2327" max="2332" width="0" style="59" hidden="1" customWidth="1"/>
    <col min="2333" max="2333" width="31.5703125" style="59" customWidth="1"/>
    <col min="2334" max="2336" width="13.42578125" style="59" bestFit="1" customWidth="1"/>
    <col min="2337" max="2575" width="9.140625" style="59"/>
    <col min="2576" max="2576" width="5.140625" style="59" customWidth="1"/>
    <col min="2577" max="2577" width="4.85546875" style="59" customWidth="1"/>
    <col min="2578" max="2578" width="49.85546875" style="59" customWidth="1"/>
    <col min="2579" max="2579" width="16.28515625" style="59" customWidth="1"/>
    <col min="2580" max="2580" width="15.7109375" style="59" customWidth="1"/>
    <col min="2581" max="2581" width="15.140625" style="59" customWidth="1"/>
    <col min="2582" max="2582" width="16.28515625" style="59" customWidth="1"/>
    <col min="2583" max="2588" width="0" style="59" hidden="1" customWidth="1"/>
    <col min="2589" max="2589" width="31.5703125" style="59" customWidth="1"/>
    <col min="2590" max="2592" width="13.42578125" style="59" bestFit="1" customWidth="1"/>
    <col min="2593" max="2831" width="9.140625" style="59"/>
    <col min="2832" max="2832" width="5.140625" style="59" customWidth="1"/>
    <col min="2833" max="2833" width="4.85546875" style="59" customWidth="1"/>
    <col min="2834" max="2834" width="49.85546875" style="59" customWidth="1"/>
    <col min="2835" max="2835" width="16.28515625" style="59" customWidth="1"/>
    <col min="2836" max="2836" width="15.7109375" style="59" customWidth="1"/>
    <col min="2837" max="2837" width="15.140625" style="59" customWidth="1"/>
    <col min="2838" max="2838" width="16.28515625" style="59" customWidth="1"/>
    <col min="2839" max="2844" width="0" style="59" hidden="1" customWidth="1"/>
    <col min="2845" max="2845" width="31.5703125" style="59" customWidth="1"/>
    <col min="2846" max="2848" width="13.42578125" style="59" bestFit="1" customWidth="1"/>
    <col min="2849" max="3087" width="9.140625" style="59"/>
    <col min="3088" max="3088" width="5.140625" style="59" customWidth="1"/>
    <col min="3089" max="3089" width="4.85546875" style="59" customWidth="1"/>
    <col min="3090" max="3090" width="49.85546875" style="59" customWidth="1"/>
    <col min="3091" max="3091" width="16.28515625" style="59" customWidth="1"/>
    <col min="3092" max="3092" width="15.7109375" style="59" customWidth="1"/>
    <col min="3093" max="3093" width="15.140625" style="59" customWidth="1"/>
    <col min="3094" max="3094" width="16.28515625" style="59" customWidth="1"/>
    <col min="3095" max="3100" width="0" style="59" hidden="1" customWidth="1"/>
    <col min="3101" max="3101" width="31.5703125" style="59" customWidth="1"/>
    <col min="3102" max="3104" width="13.42578125" style="59" bestFit="1" customWidth="1"/>
    <col min="3105" max="3343" width="9.140625" style="59"/>
    <col min="3344" max="3344" width="5.140625" style="59" customWidth="1"/>
    <col min="3345" max="3345" width="4.85546875" style="59" customWidth="1"/>
    <col min="3346" max="3346" width="49.85546875" style="59" customWidth="1"/>
    <col min="3347" max="3347" width="16.28515625" style="59" customWidth="1"/>
    <col min="3348" max="3348" width="15.7109375" style="59" customWidth="1"/>
    <col min="3349" max="3349" width="15.140625" style="59" customWidth="1"/>
    <col min="3350" max="3350" width="16.28515625" style="59" customWidth="1"/>
    <col min="3351" max="3356" width="0" style="59" hidden="1" customWidth="1"/>
    <col min="3357" max="3357" width="31.5703125" style="59" customWidth="1"/>
    <col min="3358" max="3360" width="13.42578125" style="59" bestFit="1" customWidth="1"/>
    <col min="3361" max="3599" width="9.140625" style="59"/>
    <col min="3600" max="3600" width="5.140625" style="59" customWidth="1"/>
    <col min="3601" max="3601" width="4.85546875" style="59" customWidth="1"/>
    <col min="3602" max="3602" width="49.85546875" style="59" customWidth="1"/>
    <col min="3603" max="3603" width="16.28515625" style="59" customWidth="1"/>
    <col min="3604" max="3604" width="15.7109375" style="59" customWidth="1"/>
    <col min="3605" max="3605" width="15.140625" style="59" customWidth="1"/>
    <col min="3606" max="3606" width="16.28515625" style="59" customWidth="1"/>
    <col min="3607" max="3612" width="0" style="59" hidden="1" customWidth="1"/>
    <col min="3613" max="3613" width="31.5703125" style="59" customWidth="1"/>
    <col min="3614" max="3616" width="13.42578125" style="59" bestFit="1" customWidth="1"/>
    <col min="3617" max="3855" width="9.140625" style="59"/>
    <col min="3856" max="3856" width="5.140625" style="59" customWidth="1"/>
    <col min="3857" max="3857" width="4.85546875" style="59" customWidth="1"/>
    <col min="3858" max="3858" width="49.85546875" style="59" customWidth="1"/>
    <col min="3859" max="3859" width="16.28515625" style="59" customWidth="1"/>
    <col min="3860" max="3860" width="15.7109375" style="59" customWidth="1"/>
    <col min="3861" max="3861" width="15.140625" style="59" customWidth="1"/>
    <col min="3862" max="3862" width="16.28515625" style="59" customWidth="1"/>
    <col min="3863" max="3868" width="0" style="59" hidden="1" customWidth="1"/>
    <col min="3869" max="3869" width="31.5703125" style="59" customWidth="1"/>
    <col min="3870" max="3872" width="13.42578125" style="59" bestFit="1" customWidth="1"/>
    <col min="3873" max="4111" width="9.140625" style="59"/>
    <col min="4112" max="4112" width="5.140625" style="59" customWidth="1"/>
    <col min="4113" max="4113" width="4.85546875" style="59" customWidth="1"/>
    <col min="4114" max="4114" width="49.85546875" style="59" customWidth="1"/>
    <col min="4115" max="4115" width="16.28515625" style="59" customWidth="1"/>
    <col min="4116" max="4116" width="15.7109375" style="59" customWidth="1"/>
    <col min="4117" max="4117" width="15.140625" style="59" customWidth="1"/>
    <col min="4118" max="4118" width="16.28515625" style="59" customWidth="1"/>
    <col min="4119" max="4124" width="0" style="59" hidden="1" customWidth="1"/>
    <col min="4125" max="4125" width="31.5703125" style="59" customWidth="1"/>
    <col min="4126" max="4128" width="13.42578125" style="59" bestFit="1" customWidth="1"/>
    <col min="4129" max="4367" width="9.140625" style="59"/>
    <col min="4368" max="4368" width="5.140625" style="59" customWidth="1"/>
    <col min="4369" max="4369" width="4.85546875" style="59" customWidth="1"/>
    <col min="4370" max="4370" width="49.85546875" style="59" customWidth="1"/>
    <col min="4371" max="4371" width="16.28515625" style="59" customWidth="1"/>
    <col min="4372" max="4372" width="15.7109375" style="59" customWidth="1"/>
    <col min="4373" max="4373" width="15.140625" style="59" customWidth="1"/>
    <col min="4374" max="4374" width="16.28515625" style="59" customWidth="1"/>
    <col min="4375" max="4380" width="0" style="59" hidden="1" customWidth="1"/>
    <col min="4381" max="4381" width="31.5703125" style="59" customWidth="1"/>
    <col min="4382" max="4384" width="13.42578125" style="59" bestFit="1" customWidth="1"/>
    <col min="4385" max="4623" width="9.140625" style="59"/>
    <col min="4624" max="4624" width="5.140625" style="59" customWidth="1"/>
    <col min="4625" max="4625" width="4.85546875" style="59" customWidth="1"/>
    <col min="4626" max="4626" width="49.85546875" style="59" customWidth="1"/>
    <col min="4627" max="4627" width="16.28515625" style="59" customWidth="1"/>
    <col min="4628" max="4628" width="15.7109375" style="59" customWidth="1"/>
    <col min="4629" max="4629" width="15.140625" style="59" customWidth="1"/>
    <col min="4630" max="4630" width="16.28515625" style="59" customWidth="1"/>
    <col min="4631" max="4636" width="0" style="59" hidden="1" customWidth="1"/>
    <col min="4637" max="4637" width="31.5703125" style="59" customWidth="1"/>
    <col min="4638" max="4640" width="13.42578125" style="59" bestFit="1" customWidth="1"/>
    <col min="4641" max="4879" width="9.140625" style="59"/>
    <col min="4880" max="4880" width="5.140625" style="59" customWidth="1"/>
    <col min="4881" max="4881" width="4.85546875" style="59" customWidth="1"/>
    <col min="4882" max="4882" width="49.85546875" style="59" customWidth="1"/>
    <col min="4883" max="4883" width="16.28515625" style="59" customWidth="1"/>
    <col min="4884" max="4884" width="15.7109375" style="59" customWidth="1"/>
    <col min="4885" max="4885" width="15.140625" style="59" customWidth="1"/>
    <col min="4886" max="4886" width="16.28515625" style="59" customWidth="1"/>
    <col min="4887" max="4892" width="0" style="59" hidden="1" customWidth="1"/>
    <col min="4893" max="4893" width="31.5703125" style="59" customWidth="1"/>
    <col min="4894" max="4896" width="13.42578125" style="59" bestFit="1" customWidth="1"/>
    <col min="4897" max="5135" width="9.140625" style="59"/>
    <col min="5136" max="5136" width="5.140625" style="59" customWidth="1"/>
    <col min="5137" max="5137" width="4.85546875" style="59" customWidth="1"/>
    <col min="5138" max="5138" width="49.85546875" style="59" customWidth="1"/>
    <col min="5139" max="5139" width="16.28515625" style="59" customWidth="1"/>
    <col min="5140" max="5140" width="15.7109375" style="59" customWidth="1"/>
    <col min="5141" max="5141" width="15.140625" style="59" customWidth="1"/>
    <col min="5142" max="5142" width="16.28515625" style="59" customWidth="1"/>
    <col min="5143" max="5148" width="0" style="59" hidden="1" customWidth="1"/>
    <col min="5149" max="5149" width="31.5703125" style="59" customWidth="1"/>
    <col min="5150" max="5152" width="13.42578125" style="59" bestFit="1" customWidth="1"/>
    <col min="5153" max="5391" width="9.140625" style="59"/>
    <col min="5392" max="5392" width="5.140625" style="59" customWidth="1"/>
    <col min="5393" max="5393" width="4.85546875" style="59" customWidth="1"/>
    <col min="5394" max="5394" width="49.85546875" style="59" customWidth="1"/>
    <col min="5395" max="5395" width="16.28515625" style="59" customWidth="1"/>
    <col min="5396" max="5396" width="15.7109375" style="59" customWidth="1"/>
    <col min="5397" max="5397" width="15.140625" style="59" customWidth="1"/>
    <col min="5398" max="5398" width="16.28515625" style="59" customWidth="1"/>
    <col min="5399" max="5404" width="0" style="59" hidden="1" customWidth="1"/>
    <col min="5405" max="5405" width="31.5703125" style="59" customWidth="1"/>
    <col min="5406" max="5408" width="13.42578125" style="59" bestFit="1" customWidth="1"/>
    <col min="5409" max="5647" width="9.140625" style="59"/>
    <col min="5648" max="5648" width="5.140625" style="59" customWidth="1"/>
    <col min="5649" max="5649" width="4.85546875" style="59" customWidth="1"/>
    <col min="5650" max="5650" width="49.85546875" style="59" customWidth="1"/>
    <col min="5651" max="5651" width="16.28515625" style="59" customWidth="1"/>
    <col min="5652" max="5652" width="15.7109375" style="59" customWidth="1"/>
    <col min="5653" max="5653" width="15.140625" style="59" customWidth="1"/>
    <col min="5654" max="5654" width="16.28515625" style="59" customWidth="1"/>
    <col min="5655" max="5660" width="0" style="59" hidden="1" customWidth="1"/>
    <col min="5661" max="5661" width="31.5703125" style="59" customWidth="1"/>
    <col min="5662" max="5664" width="13.42578125" style="59" bestFit="1" customWidth="1"/>
    <col min="5665" max="5903" width="9.140625" style="59"/>
    <col min="5904" max="5904" width="5.140625" style="59" customWidth="1"/>
    <col min="5905" max="5905" width="4.85546875" style="59" customWidth="1"/>
    <col min="5906" max="5906" width="49.85546875" style="59" customWidth="1"/>
    <col min="5907" max="5907" width="16.28515625" style="59" customWidth="1"/>
    <col min="5908" max="5908" width="15.7109375" style="59" customWidth="1"/>
    <col min="5909" max="5909" width="15.140625" style="59" customWidth="1"/>
    <col min="5910" max="5910" width="16.28515625" style="59" customWidth="1"/>
    <col min="5911" max="5916" width="0" style="59" hidden="1" customWidth="1"/>
    <col min="5917" max="5917" width="31.5703125" style="59" customWidth="1"/>
    <col min="5918" max="5920" width="13.42578125" style="59" bestFit="1" customWidth="1"/>
    <col min="5921" max="6159" width="9.140625" style="59"/>
    <col min="6160" max="6160" width="5.140625" style="59" customWidth="1"/>
    <col min="6161" max="6161" width="4.85546875" style="59" customWidth="1"/>
    <col min="6162" max="6162" width="49.85546875" style="59" customWidth="1"/>
    <col min="6163" max="6163" width="16.28515625" style="59" customWidth="1"/>
    <col min="6164" max="6164" width="15.7109375" style="59" customWidth="1"/>
    <col min="6165" max="6165" width="15.140625" style="59" customWidth="1"/>
    <col min="6166" max="6166" width="16.28515625" style="59" customWidth="1"/>
    <col min="6167" max="6172" width="0" style="59" hidden="1" customWidth="1"/>
    <col min="6173" max="6173" width="31.5703125" style="59" customWidth="1"/>
    <col min="6174" max="6176" width="13.42578125" style="59" bestFit="1" customWidth="1"/>
    <col min="6177" max="6415" width="9.140625" style="59"/>
    <col min="6416" max="6416" width="5.140625" style="59" customWidth="1"/>
    <col min="6417" max="6417" width="4.85546875" style="59" customWidth="1"/>
    <col min="6418" max="6418" width="49.85546875" style="59" customWidth="1"/>
    <col min="6419" max="6419" width="16.28515625" style="59" customWidth="1"/>
    <col min="6420" max="6420" width="15.7109375" style="59" customWidth="1"/>
    <col min="6421" max="6421" width="15.140625" style="59" customWidth="1"/>
    <col min="6422" max="6422" width="16.28515625" style="59" customWidth="1"/>
    <col min="6423" max="6428" width="0" style="59" hidden="1" customWidth="1"/>
    <col min="6429" max="6429" width="31.5703125" style="59" customWidth="1"/>
    <col min="6430" max="6432" width="13.42578125" style="59" bestFit="1" customWidth="1"/>
    <col min="6433" max="6671" width="9.140625" style="59"/>
    <col min="6672" max="6672" width="5.140625" style="59" customWidth="1"/>
    <col min="6673" max="6673" width="4.85546875" style="59" customWidth="1"/>
    <col min="6674" max="6674" width="49.85546875" style="59" customWidth="1"/>
    <col min="6675" max="6675" width="16.28515625" style="59" customWidth="1"/>
    <col min="6676" max="6676" width="15.7109375" style="59" customWidth="1"/>
    <col min="6677" max="6677" width="15.140625" style="59" customWidth="1"/>
    <col min="6678" max="6678" width="16.28515625" style="59" customWidth="1"/>
    <col min="6679" max="6684" width="0" style="59" hidden="1" customWidth="1"/>
    <col min="6685" max="6685" width="31.5703125" style="59" customWidth="1"/>
    <col min="6686" max="6688" width="13.42578125" style="59" bestFit="1" customWidth="1"/>
    <col min="6689" max="6927" width="9.140625" style="59"/>
    <col min="6928" max="6928" width="5.140625" style="59" customWidth="1"/>
    <col min="6929" max="6929" width="4.85546875" style="59" customWidth="1"/>
    <col min="6930" max="6930" width="49.85546875" style="59" customWidth="1"/>
    <col min="6931" max="6931" width="16.28515625" style="59" customWidth="1"/>
    <col min="6932" max="6932" width="15.7109375" style="59" customWidth="1"/>
    <col min="6933" max="6933" width="15.140625" style="59" customWidth="1"/>
    <col min="6934" max="6934" width="16.28515625" style="59" customWidth="1"/>
    <col min="6935" max="6940" width="0" style="59" hidden="1" customWidth="1"/>
    <col min="6941" max="6941" width="31.5703125" style="59" customWidth="1"/>
    <col min="6942" max="6944" width="13.42578125" style="59" bestFit="1" customWidth="1"/>
    <col min="6945" max="7183" width="9.140625" style="59"/>
    <col min="7184" max="7184" width="5.140625" style="59" customWidth="1"/>
    <col min="7185" max="7185" width="4.85546875" style="59" customWidth="1"/>
    <col min="7186" max="7186" width="49.85546875" style="59" customWidth="1"/>
    <col min="7187" max="7187" width="16.28515625" style="59" customWidth="1"/>
    <col min="7188" max="7188" width="15.7109375" style="59" customWidth="1"/>
    <col min="7189" max="7189" width="15.140625" style="59" customWidth="1"/>
    <col min="7190" max="7190" width="16.28515625" style="59" customWidth="1"/>
    <col min="7191" max="7196" width="0" style="59" hidden="1" customWidth="1"/>
    <col min="7197" max="7197" width="31.5703125" style="59" customWidth="1"/>
    <col min="7198" max="7200" width="13.42578125" style="59" bestFit="1" customWidth="1"/>
    <col min="7201" max="7439" width="9.140625" style="59"/>
    <col min="7440" max="7440" width="5.140625" style="59" customWidth="1"/>
    <col min="7441" max="7441" width="4.85546875" style="59" customWidth="1"/>
    <col min="7442" max="7442" width="49.85546875" style="59" customWidth="1"/>
    <col min="7443" max="7443" width="16.28515625" style="59" customWidth="1"/>
    <col min="7444" max="7444" width="15.7109375" style="59" customWidth="1"/>
    <col min="7445" max="7445" width="15.140625" style="59" customWidth="1"/>
    <col min="7446" max="7446" width="16.28515625" style="59" customWidth="1"/>
    <col min="7447" max="7452" width="0" style="59" hidden="1" customWidth="1"/>
    <col min="7453" max="7453" width="31.5703125" style="59" customWidth="1"/>
    <col min="7454" max="7456" width="13.42578125" style="59" bestFit="1" customWidth="1"/>
    <col min="7457" max="7695" width="9.140625" style="59"/>
    <col min="7696" max="7696" width="5.140625" style="59" customWidth="1"/>
    <col min="7697" max="7697" width="4.85546875" style="59" customWidth="1"/>
    <col min="7698" max="7698" width="49.85546875" style="59" customWidth="1"/>
    <col min="7699" max="7699" width="16.28515625" style="59" customWidth="1"/>
    <col min="7700" max="7700" width="15.7109375" style="59" customWidth="1"/>
    <col min="7701" max="7701" width="15.140625" style="59" customWidth="1"/>
    <col min="7702" max="7702" width="16.28515625" style="59" customWidth="1"/>
    <col min="7703" max="7708" width="0" style="59" hidden="1" customWidth="1"/>
    <col min="7709" max="7709" width="31.5703125" style="59" customWidth="1"/>
    <col min="7710" max="7712" width="13.42578125" style="59" bestFit="1" customWidth="1"/>
    <col min="7713" max="7951" width="9.140625" style="59"/>
    <col min="7952" max="7952" width="5.140625" style="59" customWidth="1"/>
    <col min="7953" max="7953" width="4.85546875" style="59" customWidth="1"/>
    <col min="7954" max="7954" width="49.85546875" style="59" customWidth="1"/>
    <col min="7955" max="7955" width="16.28515625" style="59" customWidth="1"/>
    <col min="7956" max="7956" width="15.7109375" style="59" customWidth="1"/>
    <col min="7957" max="7957" width="15.140625" style="59" customWidth="1"/>
    <col min="7958" max="7958" width="16.28515625" style="59" customWidth="1"/>
    <col min="7959" max="7964" width="0" style="59" hidden="1" customWidth="1"/>
    <col min="7965" max="7965" width="31.5703125" style="59" customWidth="1"/>
    <col min="7966" max="7968" width="13.42578125" style="59" bestFit="1" customWidth="1"/>
    <col min="7969" max="8207" width="9.140625" style="59"/>
    <col min="8208" max="8208" width="5.140625" style="59" customWidth="1"/>
    <col min="8209" max="8209" width="4.85546875" style="59" customWidth="1"/>
    <col min="8210" max="8210" width="49.85546875" style="59" customWidth="1"/>
    <col min="8211" max="8211" width="16.28515625" style="59" customWidth="1"/>
    <col min="8212" max="8212" width="15.7109375" style="59" customWidth="1"/>
    <col min="8213" max="8213" width="15.140625" style="59" customWidth="1"/>
    <col min="8214" max="8214" width="16.28515625" style="59" customWidth="1"/>
    <col min="8215" max="8220" width="0" style="59" hidden="1" customWidth="1"/>
    <col min="8221" max="8221" width="31.5703125" style="59" customWidth="1"/>
    <col min="8222" max="8224" width="13.42578125" style="59" bestFit="1" customWidth="1"/>
    <col min="8225" max="8463" width="9.140625" style="59"/>
    <col min="8464" max="8464" width="5.140625" style="59" customWidth="1"/>
    <col min="8465" max="8465" width="4.85546875" style="59" customWidth="1"/>
    <col min="8466" max="8466" width="49.85546875" style="59" customWidth="1"/>
    <col min="8467" max="8467" width="16.28515625" style="59" customWidth="1"/>
    <col min="8468" max="8468" width="15.7109375" style="59" customWidth="1"/>
    <col min="8469" max="8469" width="15.140625" style="59" customWidth="1"/>
    <col min="8470" max="8470" width="16.28515625" style="59" customWidth="1"/>
    <col min="8471" max="8476" width="0" style="59" hidden="1" customWidth="1"/>
    <col min="8477" max="8477" width="31.5703125" style="59" customWidth="1"/>
    <col min="8478" max="8480" width="13.42578125" style="59" bestFit="1" customWidth="1"/>
    <col min="8481" max="8719" width="9.140625" style="59"/>
    <col min="8720" max="8720" width="5.140625" style="59" customWidth="1"/>
    <col min="8721" max="8721" width="4.85546875" style="59" customWidth="1"/>
    <col min="8722" max="8722" width="49.85546875" style="59" customWidth="1"/>
    <col min="8723" max="8723" width="16.28515625" style="59" customWidth="1"/>
    <col min="8724" max="8724" width="15.7109375" style="59" customWidth="1"/>
    <col min="8725" max="8725" width="15.140625" style="59" customWidth="1"/>
    <col min="8726" max="8726" width="16.28515625" style="59" customWidth="1"/>
    <col min="8727" max="8732" width="0" style="59" hidden="1" customWidth="1"/>
    <col min="8733" max="8733" width="31.5703125" style="59" customWidth="1"/>
    <col min="8734" max="8736" width="13.42578125" style="59" bestFit="1" customWidth="1"/>
    <col min="8737" max="8975" width="9.140625" style="59"/>
    <col min="8976" max="8976" width="5.140625" style="59" customWidth="1"/>
    <col min="8977" max="8977" width="4.85546875" style="59" customWidth="1"/>
    <col min="8978" max="8978" width="49.85546875" style="59" customWidth="1"/>
    <col min="8979" max="8979" width="16.28515625" style="59" customWidth="1"/>
    <col min="8980" max="8980" width="15.7109375" style="59" customWidth="1"/>
    <col min="8981" max="8981" width="15.140625" style="59" customWidth="1"/>
    <col min="8982" max="8982" width="16.28515625" style="59" customWidth="1"/>
    <col min="8983" max="8988" width="0" style="59" hidden="1" customWidth="1"/>
    <col min="8989" max="8989" width="31.5703125" style="59" customWidth="1"/>
    <col min="8990" max="8992" width="13.42578125" style="59" bestFit="1" customWidth="1"/>
    <col min="8993" max="9231" width="9.140625" style="59"/>
    <col min="9232" max="9232" width="5.140625" style="59" customWidth="1"/>
    <col min="9233" max="9233" width="4.85546875" style="59" customWidth="1"/>
    <col min="9234" max="9234" width="49.85546875" style="59" customWidth="1"/>
    <col min="9235" max="9235" width="16.28515625" style="59" customWidth="1"/>
    <col min="9236" max="9236" width="15.7109375" style="59" customWidth="1"/>
    <col min="9237" max="9237" width="15.140625" style="59" customWidth="1"/>
    <col min="9238" max="9238" width="16.28515625" style="59" customWidth="1"/>
    <col min="9239" max="9244" width="0" style="59" hidden="1" customWidth="1"/>
    <col min="9245" max="9245" width="31.5703125" style="59" customWidth="1"/>
    <col min="9246" max="9248" width="13.42578125" style="59" bestFit="1" customWidth="1"/>
    <col min="9249" max="9487" width="9.140625" style="59"/>
    <col min="9488" max="9488" width="5.140625" style="59" customWidth="1"/>
    <col min="9489" max="9489" width="4.85546875" style="59" customWidth="1"/>
    <col min="9490" max="9490" width="49.85546875" style="59" customWidth="1"/>
    <col min="9491" max="9491" width="16.28515625" style="59" customWidth="1"/>
    <col min="9492" max="9492" width="15.7109375" style="59" customWidth="1"/>
    <col min="9493" max="9493" width="15.140625" style="59" customWidth="1"/>
    <col min="9494" max="9494" width="16.28515625" style="59" customWidth="1"/>
    <col min="9495" max="9500" width="0" style="59" hidden="1" customWidth="1"/>
    <col min="9501" max="9501" width="31.5703125" style="59" customWidth="1"/>
    <col min="9502" max="9504" width="13.42578125" style="59" bestFit="1" customWidth="1"/>
    <col min="9505" max="9743" width="9.140625" style="59"/>
    <col min="9744" max="9744" width="5.140625" style="59" customWidth="1"/>
    <col min="9745" max="9745" width="4.85546875" style="59" customWidth="1"/>
    <col min="9746" max="9746" width="49.85546875" style="59" customWidth="1"/>
    <col min="9747" max="9747" width="16.28515625" style="59" customWidth="1"/>
    <col min="9748" max="9748" width="15.7109375" style="59" customWidth="1"/>
    <col min="9749" max="9749" width="15.140625" style="59" customWidth="1"/>
    <col min="9750" max="9750" width="16.28515625" style="59" customWidth="1"/>
    <col min="9751" max="9756" width="0" style="59" hidden="1" customWidth="1"/>
    <col min="9757" max="9757" width="31.5703125" style="59" customWidth="1"/>
    <col min="9758" max="9760" width="13.42578125" style="59" bestFit="1" customWidth="1"/>
    <col min="9761" max="9999" width="9.140625" style="59"/>
    <col min="10000" max="10000" width="5.140625" style="59" customWidth="1"/>
    <col min="10001" max="10001" width="4.85546875" style="59" customWidth="1"/>
    <col min="10002" max="10002" width="49.85546875" style="59" customWidth="1"/>
    <col min="10003" max="10003" width="16.28515625" style="59" customWidth="1"/>
    <col min="10004" max="10004" width="15.7109375" style="59" customWidth="1"/>
    <col min="10005" max="10005" width="15.140625" style="59" customWidth="1"/>
    <col min="10006" max="10006" width="16.28515625" style="59" customWidth="1"/>
    <col min="10007" max="10012" width="0" style="59" hidden="1" customWidth="1"/>
    <col min="10013" max="10013" width="31.5703125" style="59" customWidth="1"/>
    <col min="10014" max="10016" width="13.42578125" style="59" bestFit="1" customWidth="1"/>
    <col min="10017" max="10255" width="9.140625" style="59"/>
    <col min="10256" max="10256" width="5.140625" style="59" customWidth="1"/>
    <col min="10257" max="10257" width="4.85546875" style="59" customWidth="1"/>
    <col min="10258" max="10258" width="49.85546875" style="59" customWidth="1"/>
    <col min="10259" max="10259" width="16.28515625" style="59" customWidth="1"/>
    <col min="10260" max="10260" width="15.7109375" style="59" customWidth="1"/>
    <col min="10261" max="10261" width="15.140625" style="59" customWidth="1"/>
    <col min="10262" max="10262" width="16.28515625" style="59" customWidth="1"/>
    <col min="10263" max="10268" width="0" style="59" hidden="1" customWidth="1"/>
    <col min="10269" max="10269" width="31.5703125" style="59" customWidth="1"/>
    <col min="10270" max="10272" width="13.42578125" style="59" bestFit="1" customWidth="1"/>
    <col min="10273" max="10511" width="9.140625" style="59"/>
    <col min="10512" max="10512" width="5.140625" style="59" customWidth="1"/>
    <col min="10513" max="10513" width="4.85546875" style="59" customWidth="1"/>
    <col min="10514" max="10514" width="49.85546875" style="59" customWidth="1"/>
    <col min="10515" max="10515" width="16.28515625" style="59" customWidth="1"/>
    <col min="10516" max="10516" width="15.7109375" style="59" customWidth="1"/>
    <col min="10517" max="10517" width="15.140625" style="59" customWidth="1"/>
    <col min="10518" max="10518" width="16.28515625" style="59" customWidth="1"/>
    <col min="10519" max="10524" width="0" style="59" hidden="1" customWidth="1"/>
    <col min="10525" max="10525" width="31.5703125" style="59" customWidth="1"/>
    <col min="10526" max="10528" width="13.42578125" style="59" bestFit="1" customWidth="1"/>
    <col min="10529" max="10767" width="9.140625" style="59"/>
    <col min="10768" max="10768" width="5.140625" style="59" customWidth="1"/>
    <col min="10769" max="10769" width="4.85546875" style="59" customWidth="1"/>
    <col min="10770" max="10770" width="49.85546875" style="59" customWidth="1"/>
    <col min="10771" max="10771" width="16.28515625" style="59" customWidth="1"/>
    <col min="10772" max="10772" width="15.7109375" style="59" customWidth="1"/>
    <col min="10773" max="10773" width="15.140625" style="59" customWidth="1"/>
    <col min="10774" max="10774" width="16.28515625" style="59" customWidth="1"/>
    <col min="10775" max="10780" width="0" style="59" hidden="1" customWidth="1"/>
    <col min="10781" max="10781" width="31.5703125" style="59" customWidth="1"/>
    <col min="10782" max="10784" width="13.42578125" style="59" bestFit="1" customWidth="1"/>
    <col min="10785" max="11023" width="9.140625" style="59"/>
    <col min="11024" max="11024" width="5.140625" style="59" customWidth="1"/>
    <col min="11025" max="11025" width="4.85546875" style="59" customWidth="1"/>
    <col min="11026" max="11026" width="49.85546875" style="59" customWidth="1"/>
    <col min="11027" max="11027" width="16.28515625" style="59" customWidth="1"/>
    <col min="11028" max="11028" width="15.7109375" style="59" customWidth="1"/>
    <col min="11029" max="11029" width="15.140625" style="59" customWidth="1"/>
    <col min="11030" max="11030" width="16.28515625" style="59" customWidth="1"/>
    <col min="11031" max="11036" width="0" style="59" hidden="1" customWidth="1"/>
    <col min="11037" max="11037" width="31.5703125" style="59" customWidth="1"/>
    <col min="11038" max="11040" width="13.42578125" style="59" bestFit="1" customWidth="1"/>
    <col min="11041" max="11279" width="9.140625" style="59"/>
    <col min="11280" max="11280" width="5.140625" style="59" customWidth="1"/>
    <col min="11281" max="11281" width="4.85546875" style="59" customWidth="1"/>
    <col min="11282" max="11282" width="49.85546875" style="59" customWidth="1"/>
    <col min="11283" max="11283" width="16.28515625" style="59" customWidth="1"/>
    <col min="11284" max="11284" width="15.7109375" style="59" customWidth="1"/>
    <col min="11285" max="11285" width="15.140625" style="59" customWidth="1"/>
    <col min="11286" max="11286" width="16.28515625" style="59" customWidth="1"/>
    <col min="11287" max="11292" width="0" style="59" hidden="1" customWidth="1"/>
    <col min="11293" max="11293" width="31.5703125" style="59" customWidth="1"/>
    <col min="11294" max="11296" width="13.42578125" style="59" bestFit="1" customWidth="1"/>
    <col min="11297" max="11535" width="9.140625" style="59"/>
    <col min="11536" max="11536" width="5.140625" style="59" customWidth="1"/>
    <col min="11537" max="11537" width="4.85546875" style="59" customWidth="1"/>
    <col min="11538" max="11538" width="49.85546875" style="59" customWidth="1"/>
    <col min="11539" max="11539" width="16.28515625" style="59" customWidth="1"/>
    <col min="11540" max="11540" width="15.7109375" style="59" customWidth="1"/>
    <col min="11541" max="11541" width="15.140625" style="59" customWidth="1"/>
    <col min="11542" max="11542" width="16.28515625" style="59" customWidth="1"/>
    <col min="11543" max="11548" width="0" style="59" hidden="1" customWidth="1"/>
    <col min="11549" max="11549" width="31.5703125" style="59" customWidth="1"/>
    <col min="11550" max="11552" width="13.42578125" style="59" bestFit="1" customWidth="1"/>
    <col min="11553" max="11791" width="9.140625" style="59"/>
    <col min="11792" max="11792" width="5.140625" style="59" customWidth="1"/>
    <col min="11793" max="11793" width="4.85546875" style="59" customWidth="1"/>
    <col min="11794" max="11794" width="49.85546875" style="59" customWidth="1"/>
    <col min="11795" max="11795" width="16.28515625" style="59" customWidth="1"/>
    <col min="11796" max="11796" width="15.7109375" style="59" customWidth="1"/>
    <col min="11797" max="11797" width="15.140625" style="59" customWidth="1"/>
    <col min="11798" max="11798" width="16.28515625" style="59" customWidth="1"/>
    <col min="11799" max="11804" width="0" style="59" hidden="1" customWidth="1"/>
    <col min="11805" max="11805" width="31.5703125" style="59" customWidth="1"/>
    <col min="11806" max="11808" width="13.42578125" style="59" bestFit="1" customWidth="1"/>
    <col min="11809" max="12047" width="9.140625" style="59"/>
    <col min="12048" max="12048" width="5.140625" style="59" customWidth="1"/>
    <col min="12049" max="12049" width="4.85546875" style="59" customWidth="1"/>
    <col min="12050" max="12050" width="49.85546875" style="59" customWidth="1"/>
    <col min="12051" max="12051" width="16.28515625" style="59" customWidth="1"/>
    <col min="12052" max="12052" width="15.7109375" style="59" customWidth="1"/>
    <col min="12053" max="12053" width="15.140625" style="59" customWidth="1"/>
    <col min="12054" max="12054" width="16.28515625" style="59" customWidth="1"/>
    <col min="12055" max="12060" width="0" style="59" hidden="1" customWidth="1"/>
    <col min="12061" max="12061" width="31.5703125" style="59" customWidth="1"/>
    <col min="12062" max="12064" width="13.42578125" style="59" bestFit="1" customWidth="1"/>
    <col min="12065" max="12303" width="9.140625" style="59"/>
    <col min="12304" max="12304" width="5.140625" style="59" customWidth="1"/>
    <col min="12305" max="12305" width="4.85546875" style="59" customWidth="1"/>
    <col min="12306" max="12306" width="49.85546875" style="59" customWidth="1"/>
    <col min="12307" max="12307" width="16.28515625" style="59" customWidth="1"/>
    <col min="12308" max="12308" width="15.7109375" style="59" customWidth="1"/>
    <col min="12309" max="12309" width="15.140625" style="59" customWidth="1"/>
    <col min="12310" max="12310" width="16.28515625" style="59" customWidth="1"/>
    <col min="12311" max="12316" width="0" style="59" hidden="1" customWidth="1"/>
    <col min="12317" max="12317" width="31.5703125" style="59" customWidth="1"/>
    <col min="12318" max="12320" width="13.42578125" style="59" bestFit="1" customWidth="1"/>
    <col min="12321" max="12559" width="9.140625" style="59"/>
    <col min="12560" max="12560" width="5.140625" style="59" customWidth="1"/>
    <col min="12561" max="12561" width="4.85546875" style="59" customWidth="1"/>
    <col min="12562" max="12562" width="49.85546875" style="59" customWidth="1"/>
    <col min="12563" max="12563" width="16.28515625" style="59" customWidth="1"/>
    <col min="12564" max="12564" width="15.7109375" style="59" customWidth="1"/>
    <col min="12565" max="12565" width="15.140625" style="59" customWidth="1"/>
    <col min="12566" max="12566" width="16.28515625" style="59" customWidth="1"/>
    <col min="12567" max="12572" width="0" style="59" hidden="1" customWidth="1"/>
    <col min="12573" max="12573" width="31.5703125" style="59" customWidth="1"/>
    <col min="12574" max="12576" width="13.42578125" style="59" bestFit="1" customWidth="1"/>
    <col min="12577" max="12815" width="9.140625" style="59"/>
    <col min="12816" max="12816" width="5.140625" style="59" customWidth="1"/>
    <col min="12817" max="12817" width="4.85546875" style="59" customWidth="1"/>
    <col min="12818" max="12818" width="49.85546875" style="59" customWidth="1"/>
    <col min="12819" max="12819" width="16.28515625" style="59" customWidth="1"/>
    <col min="12820" max="12820" width="15.7109375" style="59" customWidth="1"/>
    <col min="12821" max="12821" width="15.140625" style="59" customWidth="1"/>
    <col min="12822" max="12822" width="16.28515625" style="59" customWidth="1"/>
    <col min="12823" max="12828" width="0" style="59" hidden="1" customWidth="1"/>
    <col min="12829" max="12829" width="31.5703125" style="59" customWidth="1"/>
    <col min="12830" max="12832" width="13.42578125" style="59" bestFit="1" customWidth="1"/>
    <col min="12833" max="13071" width="9.140625" style="59"/>
    <col min="13072" max="13072" width="5.140625" style="59" customWidth="1"/>
    <col min="13073" max="13073" width="4.85546875" style="59" customWidth="1"/>
    <col min="13074" max="13074" width="49.85546875" style="59" customWidth="1"/>
    <col min="13075" max="13075" width="16.28515625" style="59" customWidth="1"/>
    <col min="13076" max="13076" width="15.7109375" style="59" customWidth="1"/>
    <col min="13077" max="13077" width="15.140625" style="59" customWidth="1"/>
    <col min="13078" max="13078" width="16.28515625" style="59" customWidth="1"/>
    <col min="13079" max="13084" width="0" style="59" hidden="1" customWidth="1"/>
    <col min="13085" max="13085" width="31.5703125" style="59" customWidth="1"/>
    <col min="13086" max="13088" width="13.42578125" style="59" bestFit="1" customWidth="1"/>
    <col min="13089" max="13327" width="9.140625" style="59"/>
    <col min="13328" max="13328" width="5.140625" style="59" customWidth="1"/>
    <col min="13329" max="13329" width="4.85546875" style="59" customWidth="1"/>
    <col min="13330" max="13330" width="49.85546875" style="59" customWidth="1"/>
    <col min="13331" max="13331" width="16.28515625" style="59" customWidth="1"/>
    <col min="13332" max="13332" width="15.7109375" style="59" customWidth="1"/>
    <col min="13333" max="13333" width="15.140625" style="59" customWidth="1"/>
    <col min="13334" max="13334" width="16.28515625" style="59" customWidth="1"/>
    <col min="13335" max="13340" width="0" style="59" hidden="1" customWidth="1"/>
    <col min="13341" max="13341" width="31.5703125" style="59" customWidth="1"/>
    <col min="13342" max="13344" width="13.42578125" style="59" bestFit="1" customWidth="1"/>
    <col min="13345" max="13583" width="9.140625" style="59"/>
    <col min="13584" max="13584" width="5.140625" style="59" customWidth="1"/>
    <col min="13585" max="13585" width="4.85546875" style="59" customWidth="1"/>
    <col min="13586" max="13586" width="49.85546875" style="59" customWidth="1"/>
    <col min="13587" max="13587" width="16.28515625" style="59" customWidth="1"/>
    <col min="13588" max="13588" width="15.7109375" style="59" customWidth="1"/>
    <col min="13589" max="13589" width="15.140625" style="59" customWidth="1"/>
    <col min="13590" max="13590" width="16.28515625" style="59" customWidth="1"/>
    <col min="13591" max="13596" width="0" style="59" hidden="1" customWidth="1"/>
    <col min="13597" max="13597" width="31.5703125" style="59" customWidth="1"/>
    <col min="13598" max="13600" width="13.42578125" style="59" bestFit="1" customWidth="1"/>
    <col min="13601" max="13839" width="9.140625" style="59"/>
    <col min="13840" max="13840" width="5.140625" style="59" customWidth="1"/>
    <col min="13841" max="13841" width="4.85546875" style="59" customWidth="1"/>
    <col min="13842" max="13842" width="49.85546875" style="59" customWidth="1"/>
    <col min="13843" max="13843" width="16.28515625" style="59" customWidth="1"/>
    <col min="13844" max="13844" width="15.7109375" style="59" customWidth="1"/>
    <col min="13845" max="13845" width="15.140625" style="59" customWidth="1"/>
    <col min="13846" max="13846" width="16.28515625" style="59" customWidth="1"/>
    <col min="13847" max="13852" width="0" style="59" hidden="1" customWidth="1"/>
    <col min="13853" max="13853" width="31.5703125" style="59" customWidth="1"/>
    <col min="13854" max="13856" width="13.42578125" style="59" bestFit="1" customWidth="1"/>
    <col min="13857" max="14095" width="9.140625" style="59"/>
    <col min="14096" max="14096" width="5.140625" style="59" customWidth="1"/>
    <col min="14097" max="14097" width="4.85546875" style="59" customWidth="1"/>
    <col min="14098" max="14098" width="49.85546875" style="59" customWidth="1"/>
    <col min="14099" max="14099" width="16.28515625" style="59" customWidth="1"/>
    <col min="14100" max="14100" width="15.7109375" style="59" customWidth="1"/>
    <col min="14101" max="14101" width="15.140625" style="59" customWidth="1"/>
    <col min="14102" max="14102" width="16.28515625" style="59" customWidth="1"/>
    <col min="14103" max="14108" width="0" style="59" hidden="1" customWidth="1"/>
    <col min="14109" max="14109" width="31.5703125" style="59" customWidth="1"/>
    <col min="14110" max="14112" width="13.42578125" style="59" bestFit="1" customWidth="1"/>
    <col min="14113" max="14351" width="9.140625" style="59"/>
    <col min="14352" max="14352" width="5.140625" style="59" customWidth="1"/>
    <col min="14353" max="14353" width="4.85546875" style="59" customWidth="1"/>
    <col min="14354" max="14354" width="49.85546875" style="59" customWidth="1"/>
    <col min="14355" max="14355" width="16.28515625" style="59" customWidth="1"/>
    <col min="14356" max="14356" width="15.7109375" style="59" customWidth="1"/>
    <col min="14357" max="14357" width="15.140625" style="59" customWidth="1"/>
    <col min="14358" max="14358" width="16.28515625" style="59" customWidth="1"/>
    <col min="14359" max="14364" width="0" style="59" hidden="1" customWidth="1"/>
    <col min="14365" max="14365" width="31.5703125" style="59" customWidth="1"/>
    <col min="14366" max="14368" width="13.42578125" style="59" bestFit="1" customWidth="1"/>
    <col min="14369" max="14607" width="9.140625" style="59"/>
    <col min="14608" max="14608" width="5.140625" style="59" customWidth="1"/>
    <col min="14609" max="14609" width="4.85546875" style="59" customWidth="1"/>
    <col min="14610" max="14610" width="49.85546875" style="59" customWidth="1"/>
    <col min="14611" max="14611" width="16.28515625" style="59" customWidth="1"/>
    <col min="14612" max="14612" width="15.7109375" style="59" customWidth="1"/>
    <col min="14613" max="14613" width="15.140625" style="59" customWidth="1"/>
    <col min="14614" max="14614" width="16.28515625" style="59" customWidth="1"/>
    <col min="14615" max="14620" width="0" style="59" hidden="1" customWidth="1"/>
    <col min="14621" max="14621" width="31.5703125" style="59" customWidth="1"/>
    <col min="14622" max="14624" width="13.42578125" style="59" bestFit="1" customWidth="1"/>
    <col min="14625" max="14863" width="9.140625" style="59"/>
    <col min="14864" max="14864" width="5.140625" style="59" customWidth="1"/>
    <col min="14865" max="14865" width="4.85546875" style="59" customWidth="1"/>
    <col min="14866" max="14866" width="49.85546875" style="59" customWidth="1"/>
    <col min="14867" max="14867" width="16.28515625" style="59" customWidth="1"/>
    <col min="14868" max="14868" width="15.7109375" style="59" customWidth="1"/>
    <col min="14869" max="14869" width="15.140625" style="59" customWidth="1"/>
    <col min="14870" max="14870" width="16.28515625" style="59" customWidth="1"/>
    <col min="14871" max="14876" width="0" style="59" hidden="1" customWidth="1"/>
    <col min="14877" max="14877" width="31.5703125" style="59" customWidth="1"/>
    <col min="14878" max="14880" width="13.42578125" style="59" bestFit="1" customWidth="1"/>
    <col min="14881" max="15119" width="9.140625" style="59"/>
    <col min="15120" max="15120" width="5.140625" style="59" customWidth="1"/>
    <col min="15121" max="15121" width="4.85546875" style="59" customWidth="1"/>
    <col min="15122" max="15122" width="49.85546875" style="59" customWidth="1"/>
    <col min="15123" max="15123" width="16.28515625" style="59" customWidth="1"/>
    <col min="15124" max="15124" width="15.7109375" style="59" customWidth="1"/>
    <col min="15125" max="15125" width="15.140625" style="59" customWidth="1"/>
    <col min="15126" max="15126" width="16.28515625" style="59" customWidth="1"/>
    <col min="15127" max="15132" width="0" style="59" hidden="1" customWidth="1"/>
    <col min="15133" max="15133" width="31.5703125" style="59" customWidth="1"/>
    <col min="15134" max="15136" width="13.42578125" style="59" bestFit="1" customWidth="1"/>
    <col min="15137" max="15375" width="9.140625" style="59"/>
    <col min="15376" max="15376" width="5.140625" style="59" customWidth="1"/>
    <col min="15377" max="15377" width="4.85546875" style="59" customWidth="1"/>
    <col min="15378" max="15378" width="49.85546875" style="59" customWidth="1"/>
    <col min="15379" max="15379" width="16.28515625" style="59" customWidth="1"/>
    <col min="15380" max="15380" width="15.7109375" style="59" customWidth="1"/>
    <col min="15381" max="15381" width="15.140625" style="59" customWidth="1"/>
    <col min="15382" max="15382" width="16.28515625" style="59" customWidth="1"/>
    <col min="15383" max="15388" width="0" style="59" hidden="1" customWidth="1"/>
    <col min="15389" max="15389" width="31.5703125" style="59" customWidth="1"/>
    <col min="15390" max="15392" width="13.42578125" style="59" bestFit="1" customWidth="1"/>
    <col min="15393" max="15631" width="9.140625" style="59"/>
    <col min="15632" max="15632" width="5.140625" style="59" customWidth="1"/>
    <col min="15633" max="15633" width="4.85546875" style="59" customWidth="1"/>
    <col min="15634" max="15634" width="49.85546875" style="59" customWidth="1"/>
    <col min="15635" max="15635" width="16.28515625" style="59" customWidth="1"/>
    <col min="15636" max="15636" width="15.7109375" style="59" customWidth="1"/>
    <col min="15637" max="15637" width="15.140625" style="59" customWidth="1"/>
    <col min="15638" max="15638" width="16.28515625" style="59" customWidth="1"/>
    <col min="15639" max="15644" width="0" style="59" hidden="1" customWidth="1"/>
    <col min="15645" max="15645" width="31.5703125" style="59" customWidth="1"/>
    <col min="15646" max="15648" width="13.42578125" style="59" bestFit="1" customWidth="1"/>
    <col min="15649" max="15887" width="9.140625" style="59"/>
    <col min="15888" max="15888" width="5.140625" style="59" customWidth="1"/>
    <col min="15889" max="15889" width="4.85546875" style="59" customWidth="1"/>
    <col min="15890" max="15890" width="49.85546875" style="59" customWidth="1"/>
    <col min="15891" max="15891" width="16.28515625" style="59" customWidth="1"/>
    <col min="15892" max="15892" width="15.7109375" style="59" customWidth="1"/>
    <col min="15893" max="15893" width="15.140625" style="59" customWidth="1"/>
    <col min="15894" max="15894" width="16.28515625" style="59" customWidth="1"/>
    <col min="15895" max="15900" width="0" style="59" hidden="1" customWidth="1"/>
    <col min="15901" max="15901" width="31.5703125" style="59" customWidth="1"/>
    <col min="15902" max="15904" width="13.42578125" style="59" bestFit="1" customWidth="1"/>
    <col min="15905" max="16143" width="9.140625" style="59"/>
    <col min="16144" max="16144" width="5.140625" style="59" customWidth="1"/>
    <col min="16145" max="16145" width="4.85546875" style="59" customWidth="1"/>
    <col min="16146" max="16146" width="49.85546875" style="59" customWidth="1"/>
    <col min="16147" max="16147" width="16.28515625" style="59" customWidth="1"/>
    <col min="16148" max="16148" width="15.7109375" style="59" customWidth="1"/>
    <col min="16149" max="16149" width="15.140625" style="59" customWidth="1"/>
    <col min="16150" max="16150" width="16.28515625" style="59" customWidth="1"/>
    <col min="16151" max="16156" width="0" style="59" hidden="1" customWidth="1"/>
    <col min="16157" max="16157" width="31.5703125" style="59" customWidth="1"/>
    <col min="16158" max="16160" width="13.42578125" style="59" bestFit="1" customWidth="1"/>
    <col min="16161" max="16384" width="9.140625" style="59"/>
  </cols>
  <sheetData>
    <row r="1" spans="1:32" ht="20.25" x14ac:dyDescent="0.3">
      <c r="A1" s="678" t="s">
        <v>208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  <c r="AA1" s="678"/>
      <c r="AB1" s="678"/>
      <c r="AC1" s="678"/>
      <c r="AD1" s="58"/>
    </row>
    <row r="2" spans="1:32" x14ac:dyDescent="0.3">
      <c r="A2" s="679"/>
      <c r="B2" s="679"/>
      <c r="C2" s="679"/>
      <c r="D2" s="679"/>
      <c r="E2" s="679"/>
      <c r="F2" s="679"/>
      <c r="G2" s="679"/>
      <c r="H2" s="679"/>
      <c r="I2" s="679"/>
      <c r="J2" s="679"/>
      <c r="K2" s="342"/>
      <c r="L2" s="342"/>
      <c r="M2" s="342"/>
      <c r="N2" s="342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spans="1:32" x14ac:dyDescent="0.3">
      <c r="A3" s="61"/>
      <c r="B3" s="61"/>
      <c r="C3" s="60"/>
      <c r="D3" s="62"/>
      <c r="E3" s="62"/>
      <c r="F3" s="595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 t="s">
        <v>135</v>
      </c>
    </row>
    <row r="4" spans="1:32" ht="32.25" customHeight="1" thickBot="1" x14ac:dyDescent="0.35">
      <c r="A4" s="621" t="s">
        <v>342</v>
      </c>
      <c r="B4" s="622" t="s">
        <v>343</v>
      </c>
      <c r="C4" s="623" t="s">
        <v>344</v>
      </c>
      <c r="D4" s="624" t="s">
        <v>345</v>
      </c>
      <c r="E4" s="625" t="s">
        <v>346</v>
      </c>
      <c r="F4" s="625" t="s">
        <v>347</v>
      </c>
      <c r="G4" s="625" t="s">
        <v>348</v>
      </c>
      <c r="H4" s="625" t="s">
        <v>349</v>
      </c>
      <c r="I4" s="625" t="s">
        <v>350</v>
      </c>
      <c r="J4" s="625" t="s">
        <v>351</v>
      </c>
      <c r="K4" s="625" t="s">
        <v>352</v>
      </c>
      <c r="L4" s="625" t="s">
        <v>353</v>
      </c>
      <c r="M4" s="625" t="s">
        <v>354</v>
      </c>
      <c r="N4" s="625" t="s">
        <v>355</v>
      </c>
      <c r="O4" s="624" t="s">
        <v>356</v>
      </c>
      <c r="P4" s="625" t="s">
        <v>357</v>
      </c>
      <c r="Q4" s="626" t="s">
        <v>358</v>
      </c>
      <c r="R4" s="627" t="s">
        <v>359</v>
      </c>
      <c r="S4" s="628" t="s">
        <v>360</v>
      </c>
      <c r="T4" s="629" t="s">
        <v>361</v>
      </c>
      <c r="U4" s="626" t="s">
        <v>362</v>
      </c>
      <c r="V4" s="626" t="s">
        <v>363</v>
      </c>
      <c r="W4" s="625" t="s">
        <v>364</v>
      </c>
      <c r="X4" s="625" t="s">
        <v>365</v>
      </c>
      <c r="Y4" s="625" t="s">
        <v>366</v>
      </c>
      <c r="Z4" s="625" t="s">
        <v>367</v>
      </c>
      <c r="AA4" s="625" t="s">
        <v>368</v>
      </c>
      <c r="AB4" s="624" t="s">
        <v>369</v>
      </c>
      <c r="AC4" s="627" t="s">
        <v>370</v>
      </c>
    </row>
    <row r="5" spans="1:32" ht="32.25" customHeight="1" x14ac:dyDescent="0.3">
      <c r="A5" s="609" t="s">
        <v>136</v>
      </c>
      <c r="B5" s="458" t="s">
        <v>137</v>
      </c>
      <c r="C5" s="459"/>
      <c r="D5" s="456" t="s">
        <v>138</v>
      </c>
      <c r="E5" s="445" t="s">
        <v>5</v>
      </c>
      <c r="F5" s="445" t="s">
        <v>247</v>
      </c>
      <c r="G5" s="445" t="s">
        <v>248</v>
      </c>
      <c r="H5" s="445" t="s">
        <v>249</v>
      </c>
      <c r="I5" s="445" t="s">
        <v>250</v>
      </c>
      <c r="J5" s="445" t="s">
        <v>6</v>
      </c>
      <c r="K5" s="445" t="s">
        <v>251</v>
      </c>
      <c r="L5" s="445" t="s">
        <v>252</v>
      </c>
      <c r="M5" s="445" t="s">
        <v>253</v>
      </c>
      <c r="N5" s="445" t="s">
        <v>254</v>
      </c>
      <c r="O5" s="456" t="s">
        <v>139</v>
      </c>
      <c r="P5" s="445" t="s">
        <v>140</v>
      </c>
      <c r="Q5" s="450" t="s">
        <v>141</v>
      </c>
      <c r="R5" s="447" t="s">
        <v>142</v>
      </c>
      <c r="S5" s="448"/>
      <c r="T5" s="449"/>
      <c r="U5" s="450" t="s">
        <v>11</v>
      </c>
      <c r="V5" s="450" t="s">
        <v>143</v>
      </c>
      <c r="W5" s="445" t="s">
        <v>203</v>
      </c>
      <c r="X5" s="445" t="s">
        <v>255</v>
      </c>
      <c r="Y5" s="445" t="s">
        <v>256</v>
      </c>
      <c r="Z5" s="445" t="s">
        <v>274</v>
      </c>
      <c r="AA5" s="445" t="s">
        <v>258</v>
      </c>
      <c r="AB5" s="456" t="s">
        <v>139</v>
      </c>
      <c r="AC5" s="447" t="s">
        <v>12</v>
      </c>
    </row>
    <row r="6" spans="1:32" ht="17.25" thickBot="1" x14ac:dyDescent="0.35">
      <c r="A6" s="610"/>
      <c r="B6" s="460"/>
      <c r="C6" s="461"/>
      <c r="D6" s="457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57"/>
      <c r="P6" s="446"/>
      <c r="Q6" s="451"/>
      <c r="R6" s="64">
        <v>2017</v>
      </c>
      <c r="S6" s="64">
        <v>2018</v>
      </c>
      <c r="T6" s="64">
        <v>2019</v>
      </c>
      <c r="U6" s="451"/>
      <c r="V6" s="451"/>
      <c r="W6" s="446"/>
      <c r="X6" s="446"/>
      <c r="Y6" s="446"/>
      <c r="Z6" s="446"/>
      <c r="AA6" s="446"/>
      <c r="AB6" s="457"/>
      <c r="AC6" s="618"/>
    </row>
    <row r="7" spans="1:32" s="72" customFormat="1" x14ac:dyDescent="0.25">
      <c r="A7" s="611"/>
      <c r="B7" s="452"/>
      <c r="C7" s="452"/>
      <c r="D7" s="66"/>
      <c r="E7" s="66"/>
      <c r="F7" s="59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7"/>
      <c r="W7" s="67"/>
      <c r="X7" s="67"/>
      <c r="Y7" s="67"/>
      <c r="Z7" s="67"/>
      <c r="AA7" s="67"/>
      <c r="AB7" s="67"/>
      <c r="AC7" s="67"/>
    </row>
    <row r="8" spans="1:32" s="79" customFormat="1" ht="30" x14ac:dyDescent="0.25">
      <c r="A8" s="612" t="s">
        <v>144</v>
      </c>
      <c r="B8" s="453" t="s">
        <v>145</v>
      </c>
      <c r="C8" s="453"/>
      <c r="D8" s="70">
        <f t="shared" ref="D8" si="0">SUM(D9:D10)</f>
        <v>900000000</v>
      </c>
      <c r="E8" s="70"/>
      <c r="F8" s="597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619"/>
    </row>
    <row r="9" spans="1:32" s="79" customFormat="1" x14ac:dyDescent="0.25">
      <c r="A9" s="613"/>
      <c r="B9" s="74">
        <v>1</v>
      </c>
      <c r="C9" s="75" t="s">
        <v>146</v>
      </c>
      <c r="D9" s="76">
        <v>500000000</v>
      </c>
      <c r="E9" s="77">
        <v>0</v>
      </c>
      <c r="F9" s="598"/>
      <c r="G9" s="77"/>
      <c r="H9" s="77"/>
      <c r="I9" s="77"/>
      <c r="J9" s="77">
        <v>0</v>
      </c>
      <c r="K9" s="77"/>
      <c r="L9" s="77"/>
      <c r="M9" s="77"/>
      <c r="N9" s="77"/>
      <c r="O9" s="76">
        <f>+D9-E9-J9</f>
        <v>500000000</v>
      </c>
      <c r="P9" s="76">
        <f>+E9-J9-O9</f>
        <v>-500000000</v>
      </c>
      <c r="Q9" s="76">
        <f>+J9-O9-P9</f>
        <v>0</v>
      </c>
      <c r="R9" s="76">
        <f t="shared" ref="R9:U10" si="1">+O9-P9-Q9</f>
        <v>1000000000</v>
      </c>
      <c r="S9" s="76">
        <f t="shared" si="1"/>
        <v>-1500000000</v>
      </c>
      <c r="T9" s="76">
        <f t="shared" si="1"/>
        <v>500000000</v>
      </c>
      <c r="U9" s="76">
        <f t="shared" si="1"/>
        <v>2000000000</v>
      </c>
      <c r="V9" s="76"/>
      <c r="W9" s="76">
        <v>250000000</v>
      </c>
      <c r="X9" s="76" t="s">
        <v>227</v>
      </c>
      <c r="Y9" s="76"/>
      <c r="Z9" s="76"/>
      <c r="AA9" s="76"/>
      <c r="AB9" s="76">
        <f>+D9-E9-J9-W9</f>
        <v>250000000</v>
      </c>
      <c r="AC9" s="101" t="s">
        <v>88</v>
      </c>
    </row>
    <row r="10" spans="1:32" s="79" customFormat="1" x14ac:dyDescent="0.25">
      <c r="A10" s="613"/>
      <c r="B10" s="74">
        <v>2</v>
      </c>
      <c r="C10" s="75" t="s">
        <v>147</v>
      </c>
      <c r="D10" s="76">
        <v>400000000</v>
      </c>
      <c r="E10" s="80">
        <v>200000000</v>
      </c>
      <c r="F10" s="599" t="s">
        <v>223</v>
      </c>
      <c r="G10" s="80">
        <v>199500000</v>
      </c>
      <c r="H10" s="80">
        <v>159600000</v>
      </c>
      <c r="I10" s="80">
        <v>39900000</v>
      </c>
      <c r="J10" s="77">
        <v>0</v>
      </c>
      <c r="K10" s="77"/>
      <c r="L10" s="77"/>
      <c r="M10" s="77"/>
      <c r="N10" s="77"/>
      <c r="O10" s="76">
        <f>+D10-E10-J10</f>
        <v>200000000</v>
      </c>
      <c r="P10" s="76">
        <f>+E10-J10-O10</f>
        <v>0</v>
      </c>
      <c r="Q10" s="76">
        <f>+J10-O10-P10</f>
        <v>-200000000</v>
      </c>
      <c r="R10" s="76">
        <f t="shared" si="1"/>
        <v>400000000</v>
      </c>
      <c r="S10" s="76">
        <f t="shared" si="1"/>
        <v>-200000000</v>
      </c>
      <c r="T10" s="76">
        <f t="shared" si="1"/>
        <v>-400000000</v>
      </c>
      <c r="U10" s="76">
        <f t="shared" si="1"/>
        <v>1000000000</v>
      </c>
      <c r="V10" s="76" t="s">
        <v>23</v>
      </c>
      <c r="W10" s="76">
        <v>200000000</v>
      </c>
      <c r="X10" s="76" t="s">
        <v>227</v>
      </c>
      <c r="Y10" s="76"/>
      <c r="Z10" s="76"/>
      <c r="AA10" s="76"/>
      <c r="AB10" s="76">
        <f>+D10-E10-J10-W10</f>
        <v>0</v>
      </c>
      <c r="AC10" s="101" t="s">
        <v>88</v>
      </c>
    </row>
    <row r="11" spans="1:32" s="72" customFormat="1" x14ac:dyDescent="0.25">
      <c r="A11" s="613"/>
      <c r="B11" s="74"/>
      <c r="C11" s="75"/>
      <c r="D11" s="76"/>
      <c r="E11" s="80"/>
      <c r="F11" s="599"/>
      <c r="G11" s="80"/>
      <c r="H11" s="80"/>
      <c r="I11" s="80"/>
      <c r="J11" s="77"/>
      <c r="K11" s="77"/>
      <c r="L11" s="77"/>
      <c r="M11" s="77"/>
      <c r="N11" s="77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101"/>
    </row>
    <row r="12" spans="1:32" s="79" customFormat="1" ht="36.75" customHeight="1" x14ac:dyDescent="0.25">
      <c r="A12" s="612" t="s">
        <v>148</v>
      </c>
      <c r="B12" s="454" t="s">
        <v>149</v>
      </c>
      <c r="C12" s="455"/>
      <c r="D12" s="70">
        <f t="shared" ref="D12" si="2">SUM(D13:D20)</f>
        <v>740000000</v>
      </c>
      <c r="E12" s="70"/>
      <c r="F12" s="597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619"/>
    </row>
    <row r="13" spans="1:32" s="79" customFormat="1" ht="40.5" customHeight="1" x14ac:dyDescent="0.25">
      <c r="A13" s="613"/>
      <c r="B13" s="81">
        <v>3</v>
      </c>
      <c r="C13" s="82" t="s">
        <v>150</v>
      </c>
      <c r="D13" s="76">
        <v>130000000</v>
      </c>
      <c r="E13" s="83">
        <v>30000000</v>
      </c>
      <c r="F13" s="600" t="s">
        <v>222</v>
      </c>
      <c r="G13" s="83">
        <v>29627645</v>
      </c>
      <c r="H13" s="83">
        <v>29627645</v>
      </c>
      <c r="I13" s="83">
        <v>0</v>
      </c>
      <c r="J13" s="76">
        <v>20000000</v>
      </c>
      <c r="K13" s="76" t="s">
        <v>222</v>
      </c>
      <c r="L13" s="76">
        <v>19889625</v>
      </c>
      <c r="M13" s="76">
        <v>19889625</v>
      </c>
      <c r="N13" s="76">
        <v>0</v>
      </c>
      <c r="O13" s="76">
        <f t="shared" ref="O13:O20" si="3">+D13-E13-J13</f>
        <v>80000000</v>
      </c>
      <c r="P13" s="76">
        <f t="shared" ref="P13:P20" si="4">+E13-J13-O13</f>
        <v>-70000000</v>
      </c>
      <c r="Q13" s="76">
        <f t="shared" ref="Q13:Q20" si="5">+J13-O13-P13</f>
        <v>10000000</v>
      </c>
      <c r="R13" s="76">
        <f t="shared" ref="R13:U20" si="6">+O13-P13-Q13</f>
        <v>140000000</v>
      </c>
      <c r="S13" s="76">
        <f t="shared" si="6"/>
        <v>-220000000</v>
      </c>
      <c r="T13" s="76">
        <f t="shared" si="6"/>
        <v>90000000</v>
      </c>
      <c r="U13" s="76">
        <f t="shared" si="6"/>
        <v>270000000</v>
      </c>
      <c r="V13" s="84" t="s">
        <v>151</v>
      </c>
      <c r="W13" s="76">
        <v>40000000</v>
      </c>
      <c r="X13" s="76" t="s">
        <v>227</v>
      </c>
      <c r="Y13" s="76"/>
      <c r="Z13" s="76"/>
      <c r="AA13" s="76"/>
      <c r="AB13" s="76">
        <f t="shared" ref="AB13:AB20" si="7">+D13-E13-J13-W13</f>
        <v>40000000</v>
      </c>
      <c r="AC13" s="101"/>
      <c r="AD13" s="85"/>
      <c r="AE13" s="85"/>
      <c r="AF13" s="85"/>
    </row>
    <row r="14" spans="1:32" s="79" customFormat="1" ht="198" x14ac:dyDescent="0.25">
      <c r="A14" s="613"/>
      <c r="B14" s="81">
        <v>4</v>
      </c>
      <c r="C14" s="82" t="s">
        <v>152</v>
      </c>
      <c r="D14" s="76">
        <v>95000000</v>
      </c>
      <c r="E14" s="76">
        <v>20000000</v>
      </c>
      <c r="F14" s="601" t="s">
        <v>222</v>
      </c>
      <c r="G14" s="76">
        <v>19842749.300000001</v>
      </c>
      <c r="H14" s="76">
        <v>19842749.300000001</v>
      </c>
      <c r="I14" s="76">
        <v>0</v>
      </c>
      <c r="J14" s="76">
        <v>40000000</v>
      </c>
      <c r="K14" s="76" t="s">
        <v>222</v>
      </c>
      <c r="L14" s="76">
        <v>39735716.5</v>
      </c>
      <c r="M14" s="76">
        <v>39735716.5</v>
      </c>
      <c r="N14" s="76">
        <v>0</v>
      </c>
      <c r="O14" s="76">
        <f t="shared" si="3"/>
        <v>35000000</v>
      </c>
      <c r="P14" s="76">
        <f t="shared" si="4"/>
        <v>-55000000</v>
      </c>
      <c r="Q14" s="76">
        <f t="shared" si="5"/>
        <v>60000000</v>
      </c>
      <c r="R14" s="76">
        <f t="shared" si="6"/>
        <v>30000000</v>
      </c>
      <c r="S14" s="76">
        <f t="shared" si="6"/>
        <v>-145000000</v>
      </c>
      <c r="T14" s="76">
        <f t="shared" si="6"/>
        <v>175000000</v>
      </c>
      <c r="U14" s="76">
        <f t="shared" si="6"/>
        <v>0</v>
      </c>
      <c r="V14" s="84" t="s">
        <v>151</v>
      </c>
      <c r="W14" s="76">
        <v>35000000</v>
      </c>
      <c r="X14" s="76" t="s">
        <v>227</v>
      </c>
      <c r="Y14" s="76"/>
      <c r="Z14" s="76"/>
      <c r="AA14" s="76"/>
      <c r="AB14" s="76">
        <f t="shared" si="7"/>
        <v>0</v>
      </c>
      <c r="AC14" s="101"/>
      <c r="AD14" s="85"/>
      <c r="AE14" s="85"/>
      <c r="AF14" s="85"/>
    </row>
    <row r="15" spans="1:32" s="79" customFormat="1" ht="33" x14ac:dyDescent="0.25">
      <c r="A15" s="613"/>
      <c r="B15" s="81">
        <v>5</v>
      </c>
      <c r="C15" s="82" t="s">
        <v>153</v>
      </c>
      <c r="D15" s="76">
        <v>50000000</v>
      </c>
      <c r="E15" s="77">
        <v>0</v>
      </c>
      <c r="F15" s="602"/>
      <c r="G15" s="77"/>
      <c r="H15" s="77"/>
      <c r="I15" s="77"/>
      <c r="J15" s="77">
        <v>0</v>
      </c>
      <c r="K15" s="77"/>
      <c r="L15" s="77"/>
      <c r="M15" s="77"/>
      <c r="N15" s="77"/>
      <c r="O15" s="76">
        <f t="shared" si="3"/>
        <v>50000000</v>
      </c>
      <c r="P15" s="76">
        <f t="shared" si="4"/>
        <v>-50000000</v>
      </c>
      <c r="Q15" s="76">
        <f t="shared" si="5"/>
        <v>0</v>
      </c>
      <c r="R15" s="76">
        <f t="shared" si="6"/>
        <v>100000000</v>
      </c>
      <c r="S15" s="76">
        <f t="shared" si="6"/>
        <v>-150000000</v>
      </c>
      <c r="T15" s="76">
        <f t="shared" si="6"/>
        <v>50000000</v>
      </c>
      <c r="U15" s="76">
        <f t="shared" si="6"/>
        <v>200000000</v>
      </c>
      <c r="V15" s="76"/>
      <c r="W15" s="76">
        <v>50000000</v>
      </c>
      <c r="X15" s="76" t="s">
        <v>227</v>
      </c>
      <c r="Y15" s="76"/>
      <c r="Z15" s="76"/>
      <c r="AA15" s="76"/>
      <c r="AB15" s="76">
        <f t="shared" si="7"/>
        <v>0</v>
      </c>
      <c r="AC15" s="101"/>
      <c r="AD15" s="85"/>
      <c r="AE15" s="85"/>
      <c r="AF15" s="85"/>
    </row>
    <row r="16" spans="1:32" s="79" customFormat="1" ht="33" x14ac:dyDescent="0.25">
      <c r="A16" s="613"/>
      <c r="B16" s="81">
        <v>6</v>
      </c>
      <c r="C16" s="82" t="s">
        <v>154</v>
      </c>
      <c r="D16" s="76">
        <v>180000000</v>
      </c>
      <c r="E16" s="77">
        <v>0</v>
      </c>
      <c r="F16" s="602"/>
      <c r="G16" s="77"/>
      <c r="H16" s="77"/>
      <c r="I16" s="77"/>
      <c r="J16" s="77">
        <v>0</v>
      </c>
      <c r="K16" s="77"/>
      <c r="L16" s="77"/>
      <c r="M16" s="77"/>
      <c r="N16" s="77"/>
      <c r="O16" s="76">
        <f t="shared" si="3"/>
        <v>180000000</v>
      </c>
      <c r="P16" s="76">
        <f t="shared" si="4"/>
        <v>-180000000</v>
      </c>
      <c r="Q16" s="76">
        <f t="shared" si="5"/>
        <v>0</v>
      </c>
      <c r="R16" s="76">
        <f t="shared" si="6"/>
        <v>360000000</v>
      </c>
      <c r="S16" s="76">
        <f t="shared" si="6"/>
        <v>-540000000</v>
      </c>
      <c r="T16" s="76">
        <f t="shared" si="6"/>
        <v>180000000</v>
      </c>
      <c r="U16" s="76">
        <f t="shared" si="6"/>
        <v>720000000</v>
      </c>
      <c r="V16" s="76"/>
      <c r="W16" s="76">
        <v>60000000</v>
      </c>
      <c r="X16" s="76" t="s">
        <v>227</v>
      </c>
      <c r="Y16" s="76"/>
      <c r="Z16" s="76"/>
      <c r="AA16" s="76"/>
      <c r="AB16" s="76">
        <f t="shared" si="7"/>
        <v>120000000</v>
      </c>
      <c r="AC16" s="101"/>
    </row>
    <row r="17" spans="1:32" s="79" customFormat="1" x14ac:dyDescent="0.25">
      <c r="A17" s="613"/>
      <c r="B17" s="81">
        <v>7</v>
      </c>
      <c r="C17" s="82" t="s">
        <v>155</v>
      </c>
      <c r="D17" s="76">
        <v>100000000</v>
      </c>
      <c r="E17" s="77">
        <v>0</v>
      </c>
      <c r="F17" s="602"/>
      <c r="G17" s="77"/>
      <c r="H17" s="77"/>
      <c r="I17" s="77"/>
      <c r="J17" s="77">
        <v>0</v>
      </c>
      <c r="K17" s="77"/>
      <c r="L17" s="77"/>
      <c r="M17" s="77"/>
      <c r="N17" s="77"/>
      <c r="O17" s="76">
        <f t="shared" si="3"/>
        <v>100000000</v>
      </c>
      <c r="P17" s="76">
        <f t="shared" si="4"/>
        <v>-100000000</v>
      </c>
      <c r="Q17" s="76">
        <f t="shared" si="5"/>
        <v>0</v>
      </c>
      <c r="R17" s="76">
        <f t="shared" si="6"/>
        <v>200000000</v>
      </c>
      <c r="S17" s="76">
        <f t="shared" si="6"/>
        <v>-300000000</v>
      </c>
      <c r="T17" s="76">
        <f t="shared" si="6"/>
        <v>100000000</v>
      </c>
      <c r="U17" s="76">
        <f t="shared" si="6"/>
        <v>400000000</v>
      </c>
      <c r="V17" s="76"/>
      <c r="W17" s="76">
        <v>0</v>
      </c>
      <c r="X17" s="76"/>
      <c r="Y17" s="76"/>
      <c r="Z17" s="76"/>
      <c r="AA17" s="76"/>
      <c r="AB17" s="76">
        <f t="shared" si="7"/>
        <v>100000000</v>
      </c>
      <c r="AC17" s="101"/>
    </row>
    <row r="18" spans="1:32" s="79" customFormat="1" x14ac:dyDescent="0.25">
      <c r="A18" s="613"/>
      <c r="B18" s="81">
        <v>8</v>
      </c>
      <c r="C18" s="82" t="s">
        <v>156</v>
      </c>
      <c r="D18" s="76">
        <v>60000000</v>
      </c>
      <c r="E18" s="77">
        <v>0</v>
      </c>
      <c r="F18" s="602"/>
      <c r="G18" s="77"/>
      <c r="H18" s="77"/>
      <c r="I18" s="77"/>
      <c r="J18" s="77">
        <v>0</v>
      </c>
      <c r="K18" s="77"/>
      <c r="L18" s="77"/>
      <c r="M18" s="77"/>
      <c r="N18" s="77"/>
      <c r="O18" s="76">
        <f t="shared" si="3"/>
        <v>60000000</v>
      </c>
      <c r="P18" s="76">
        <f t="shared" si="4"/>
        <v>-60000000</v>
      </c>
      <c r="Q18" s="76">
        <f t="shared" si="5"/>
        <v>0</v>
      </c>
      <c r="R18" s="76">
        <f t="shared" si="6"/>
        <v>120000000</v>
      </c>
      <c r="S18" s="76">
        <f t="shared" si="6"/>
        <v>-180000000</v>
      </c>
      <c r="T18" s="76">
        <f t="shared" si="6"/>
        <v>60000000</v>
      </c>
      <c r="U18" s="76">
        <f t="shared" si="6"/>
        <v>240000000</v>
      </c>
      <c r="V18" s="76"/>
      <c r="W18" s="76">
        <v>30000000</v>
      </c>
      <c r="X18" s="76" t="s">
        <v>227</v>
      </c>
      <c r="Y18" s="76"/>
      <c r="Z18" s="76"/>
      <c r="AA18" s="76"/>
      <c r="AB18" s="76">
        <f t="shared" si="7"/>
        <v>30000000</v>
      </c>
      <c r="AC18" s="101"/>
      <c r="AD18" s="85"/>
      <c r="AE18" s="85"/>
      <c r="AF18" s="85"/>
    </row>
    <row r="19" spans="1:32" s="79" customFormat="1" ht="33" x14ac:dyDescent="0.25">
      <c r="A19" s="613"/>
      <c r="B19" s="81">
        <v>9</v>
      </c>
      <c r="C19" s="82" t="s">
        <v>157</v>
      </c>
      <c r="D19" s="76">
        <v>75000000</v>
      </c>
      <c r="E19" s="76">
        <v>35000000</v>
      </c>
      <c r="F19" s="601" t="s">
        <v>222</v>
      </c>
      <c r="G19" s="76">
        <v>34875000</v>
      </c>
      <c r="H19" s="76">
        <v>34875000</v>
      </c>
      <c r="I19" s="76">
        <v>0</v>
      </c>
      <c r="J19" s="77">
        <v>0</v>
      </c>
      <c r="K19" s="77"/>
      <c r="L19" s="77"/>
      <c r="M19" s="77"/>
      <c r="N19" s="77"/>
      <c r="O19" s="76">
        <f t="shared" si="3"/>
        <v>40000000</v>
      </c>
      <c r="P19" s="76">
        <f t="shared" si="4"/>
        <v>-5000000</v>
      </c>
      <c r="Q19" s="76">
        <f t="shared" si="5"/>
        <v>-35000000</v>
      </c>
      <c r="R19" s="76">
        <f t="shared" si="6"/>
        <v>80000000</v>
      </c>
      <c r="S19" s="76">
        <f t="shared" si="6"/>
        <v>-50000000</v>
      </c>
      <c r="T19" s="76">
        <f t="shared" si="6"/>
        <v>-65000000</v>
      </c>
      <c r="U19" s="76">
        <f t="shared" si="6"/>
        <v>195000000</v>
      </c>
      <c r="V19" s="76" t="s">
        <v>158</v>
      </c>
      <c r="W19" s="76">
        <v>0</v>
      </c>
      <c r="X19" s="76"/>
      <c r="Y19" s="76"/>
      <c r="Z19" s="76"/>
      <c r="AA19" s="76"/>
      <c r="AB19" s="76">
        <f t="shared" si="7"/>
        <v>40000000</v>
      </c>
      <c r="AC19" s="101"/>
    </row>
    <row r="20" spans="1:32" s="79" customFormat="1" x14ac:dyDescent="0.25">
      <c r="A20" s="613"/>
      <c r="B20" s="81">
        <v>10</v>
      </c>
      <c r="C20" s="82" t="s">
        <v>159</v>
      </c>
      <c r="D20" s="76">
        <v>50000000</v>
      </c>
      <c r="E20" s="76">
        <v>20000000</v>
      </c>
      <c r="F20" s="601" t="s">
        <v>222</v>
      </c>
      <c r="G20" s="76">
        <v>19393500.5</v>
      </c>
      <c r="H20" s="76">
        <v>19393500.5</v>
      </c>
      <c r="I20" s="76">
        <v>0</v>
      </c>
      <c r="J20" s="77">
        <v>0</v>
      </c>
      <c r="K20" s="77"/>
      <c r="L20" s="77"/>
      <c r="M20" s="77"/>
      <c r="N20" s="77"/>
      <c r="O20" s="76">
        <f t="shared" si="3"/>
        <v>30000000</v>
      </c>
      <c r="P20" s="76">
        <f t="shared" si="4"/>
        <v>-10000000</v>
      </c>
      <c r="Q20" s="76">
        <f t="shared" si="5"/>
        <v>-20000000</v>
      </c>
      <c r="R20" s="76">
        <f t="shared" si="6"/>
        <v>60000000</v>
      </c>
      <c r="S20" s="76">
        <f t="shared" si="6"/>
        <v>-50000000</v>
      </c>
      <c r="T20" s="76">
        <f t="shared" si="6"/>
        <v>-30000000</v>
      </c>
      <c r="U20" s="76">
        <f t="shared" si="6"/>
        <v>140000000</v>
      </c>
      <c r="V20" s="76" t="s">
        <v>158</v>
      </c>
      <c r="W20" s="76">
        <v>30000000</v>
      </c>
      <c r="X20" s="76" t="s">
        <v>222</v>
      </c>
      <c r="Y20" s="76">
        <v>29921000</v>
      </c>
      <c r="Z20" s="76">
        <v>29921000</v>
      </c>
      <c r="AA20" s="76">
        <v>0</v>
      </c>
      <c r="AB20" s="76">
        <f t="shared" si="7"/>
        <v>0</v>
      </c>
      <c r="AC20" s="101"/>
    </row>
    <row r="21" spans="1:32" s="72" customFormat="1" x14ac:dyDescent="0.25">
      <c r="A21" s="613"/>
      <c r="B21" s="81"/>
      <c r="C21" s="82"/>
      <c r="D21" s="76"/>
      <c r="E21" s="76"/>
      <c r="F21" s="601"/>
      <c r="G21" s="76"/>
      <c r="H21" s="76"/>
      <c r="I21" s="76"/>
      <c r="J21" s="86"/>
      <c r="K21" s="86"/>
      <c r="L21" s="86"/>
      <c r="M21" s="86"/>
      <c r="N21" s="8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101"/>
    </row>
    <row r="22" spans="1:32" s="79" customFormat="1" ht="30" x14ac:dyDescent="0.25">
      <c r="A22" s="612" t="s">
        <v>160</v>
      </c>
      <c r="B22" s="454" t="s">
        <v>161</v>
      </c>
      <c r="C22" s="455"/>
      <c r="D22" s="70">
        <f t="shared" ref="D22" si="8">SUM(D23:D25)</f>
        <v>165000000</v>
      </c>
      <c r="E22" s="70"/>
      <c r="F22" s="603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619"/>
    </row>
    <row r="23" spans="1:32" s="79" customFormat="1" x14ac:dyDescent="0.25">
      <c r="A23" s="613"/>
      <c r="B23" s="81">
        <v>11</v>
      </c>
      <c r="C23" s="82" t="s">
        <v>162</v>
      </c>
      <c r="D23" s="76">
        <v>80000000</v>
      </c>
      <c r="E23" s="77">
        <v>0</v>
      </c>
      <c r="F23" s="602"/>
      <c r="G23" s="77"/>
      <c r="H23" s="77"/>
      <c r="I23" s="77"/>
      <c r="J23" s="77">
        <v>0</v>
      </c>
      <c r="K23" s="77"/>
      <c r="L23" s="77"/>
      <c r="M23" s="77"/>
      <c r="N23" s="77"/>
      <c r="O23" s="76">
        <f>+D23-E23-J23</f>
        <v>80000000</v>
      </c>
      <c r="P23" s="76">
        <f>+E23-J23-O23</f>
        <v>-80000000</v>
      </c>
      <c r="Q23" s="76">
        <f>+J23-O23-P23</f>
        <v>0</v>
      </c>
      <c r="R23" s="76">
        <f t="shared" ref="R23:U25" si="9">+O23-P23-Q23</f>
        <v>160000000</v>
      </c>
      <c r="S23" s="76">
        <f t="shared" si="9"/>
        <v>-240000000</v>
      </c>
      <c r="T23" s="76">
        <f t="shared" si="9"/>
        <v>80000000</v>
      </c>
      <c r="U23" s="76">
        <f t="shared" si="9"/>
        <v>320000000</v>
      </c>
      <c r="V23" s="76"/>
      <c r="W23" s="76">
        <v>80000000</v>
      </c>
      <c r="X23" s="76" t="s">
        <v>223</v>
      </c>
      <c r="Y23" s="76">
        <v>79880000</v>
      </c>
      <c r="Z23" s="76">
        <v>15976000</v>
      </c>
      <c r="AA23" s="76">
        <f>Y23-Z23</f>
        <v>63904000</v>
      </c>
      <c r="AB23" s="76">
        <f t="shared" ref="AB23:AB25" si="10">+D23-E23-J23-W23</f>
        <v>0</v>
      </c>
      <c r="AC23" s="101"/>
    </row>
    <row r="24" spans="1:32" s="79" customFormat="1" ht="21" customHeight="1" x14ac:dyDescent="0.25">
      <c r="A24" s="613"/>
      <c r="B24" s="81">
        <v>12</v>
      </c>
      <c r="C24" s="82" t="s">
        <v>163</v>
      </c>
      <c r="D24" s="76">
        <v>20000000</v>
      </c>
      <c r="E24" s="77">
        <v>0</v>
      </c>
      <c r="F24" s="602"/>
      <c r="G24" s="77"/>
      <c r="H24" s="77"/>
      <c r="I24" s="77"/>
      <c r="J24" s="77">
        <v>0</v>
      </c>
      <c r="K24" s="77"/>
      <c r="L24" s="77"/>
      <c r="M24" s="77"/>
      <c r="N24" s="77"/>
      <c r="O24" s="76">
        <f>+D24-E24-J24</f>
        <v>20000000</v>
      </c>
      <c r="P24" s="76">
        <f>+E24-J24-O24</f>
        <v>-20000000</v>
      </c>
      <c r="Q24" s="76">
        <f>+J24-O24-P24</f>
        <v>0</v>
      </c>
      <c r="R24" s="76">
        <f t="shared" si="9"/>
        <v>40000000</v>
      </c>
      <c r="S24" s="76">
        <f t="shared" si="9"/>
        <v>-60000000</v>
      </c>
      <c r="T24" s="76">
        <f t="shared" si="9"/>
        <v>20000000</v>
      </c>
      <c r="U24" s="76">
        <f t="shared" si="9"/>
        <v>80000000</v>
      </c>
      <c r="V24" s="76"/>
      <c r="W24" s="76">
        <v>0</v>
      </c>
      <c r="X24" s="76"/>
      <c r="Y24" s="76"/>
      <c r="Z24" s="76"/>
      <c r="AA24" s="76"/>
      <c r="AB24" s="76">
        <f t="shared" si="10"/>
        <v>20000000</v>
      </c>
      <c r="AC24" s="101"/>
    </row>
    <row r="25" spans="1:32" s="79" customFormat="1" ht="214.5" x14ac:dyDescent="0.25">
      <c r="A25" s="613"/>
      <c r="B25" s="81">
        <v>13</v>
      </c>
      <c r="C25" s="82" t="s">
        <v>164</v>
      </c>
      <c r="D25" s="76">
        <v>65000000</v>
      </c>
      <c r="E25" s="76">
        <v>30000000</v>
      </c>
      <c r="F25" s="601" t="s">
        <v>222</v>
      </c>
      <c r="G25" s="76">
        <v>29857150.32</v>
      </c>
      <c r="H25" s="76">
        <v>29857150.32</v>
      </c>
      <c r="I25" s="76">
        <v>0</v>
      </c>
      <c r="J25" s="86">
        <v>30000000</v>
      </c>
      <c r="K25" s="86" t="s">
        <v>222</v>
      </c>
      <c r="L25" s="86">
        <v>29876750</v>
      </c>
      <c r="M25" s="86">
        <v>29876750</v>
      </c>
      <c r="N25" s="86">
        <v>0</v>
      </c>
      <c r="O25" s="76">
        <f>+D25-E25-J25</f>
        <v>5000000</v>
      </c>
      <c r="P25" s="76">
        <f>+E25-J25-O25</f>
        <v>-5000000</v>
      </c>
      <c r="Q25" s="76">
        <f>+J25-O25-P25</f>
        <v>30000000</v>
      </c>
      <c r="R25" s="76">
        <f t="shared" si="9"/>
        <v>-20000000</v>
      </c>
      <c r="S25" s="76">
        <f t="shared" si="9"/>
        <v>-15000000</v>
      </c>
      <c r="T25" s="76">
        <f t="shared" si="9"/>
        <v>65000000</v>
      </c>
      <c r="U25" s="76">
        <f t="shared" si="9"/>
        <v>-70000000</v>
      </c>
      <c r="V25" s="84" t="s">
        <v>165</v>
      </c>
      <c r="W25" s="76">
        <v>0</v>
      </c>
      <c r="X25" s="76"/>
      <c r="Y25" s="76"/>
      <c r="Z25" s="76"/>
      <c r="AA25" s="76"/>
      <c r="AB25" s="76">
        <f t="shared" si="10"/>
        <v>5000000</v>
      </c>
      <c r="AC25" s="101"/>
    </row>
    <row r="26" spans="1:32" s="72" customFormat="1" x14ac:dyDescent="0.25">
      <c r="A26" s="613"/>
      <c r="B26" s="81"/>
      <c r="C26" s="82"/>
      <c r="D26" s="76"/>
      <c r="E26" s="76"/>
      <c r="F26" s="601"/>
      <c r="G26" s="76"/>
      <c r="H26" s="76"/>
      <c r="I26" s="76"/>
      <c r="J26" s="86"/>
      <c r="K26" s="86"/>
      <c r="L26" s="86"/>
      <c r="M26" s="86"/>
      <c r="N26" s="8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101"/>
    </row>
    <row r="27" spans="1:32" s="79" customFormat="1" ht="30" x14ac:dyDescent="0.25">
      <c r="A27" s="612" t="s">
        <v>166</v>
      </c>
      <c r="B27" s="454" t="s">
        <v>161</v>
      </c>
      <c r="C27" s="455"/>
      <c r="D27" s="70">
        <f t="shared" ref="D27" si="11">SUM(D28:D29)</f>
        <v>245000000</v>
      </c>
      <c r="E27" s="70"/>
      <c r="F27" s="603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619"/>
    </row>
    <row r="28" spans="1:32" s="79" customFormat="1" ht="33" x14ac:dyDescent="0.25">
      <c r="A28" s="613"/>
      <c r="B28" s="81">
        <v>14</v>
      </c>
      <c r="C28" s="82" t="s">
        <v>167</v>
      </c>
      <c r="D28" s="76">
        <v>120000000</v>
      </c>
      <c r="E28" s="77">
        <v>0</v>
      </c>
      <c r="F28" s="602"/>
      <c r="G28" s="77"/>
      <c r="H28" s="77"/>
      <c r="I28" s="77"/>
      <c r="J28" s="76">
        <v>40000000</v>
      </c>
      <c r="K28" s="76" t="s">
        <v>223</v>
      </c>
      <c r="L28" s="76">
        <v>39853350</v>
      </c>
      <c r="M28" s="76">
        <v>7970670</v>
      </c>
      <c r="N28" s="76">
        <f>L28-M28</f>
        <v>31882680</v>
      </c>
      <c r="O28" s="76">
        <f>+D28-E28-J28</f>
        <v>80000000</v>
      </c>
      <c r="P28" s="76">
        <f>+E28-J28-O28</f>
        <v>-120000000</v>
      </c>
      <c r="Q28" s="76">
        <f>+J28-O28-P28</f>
        <v>80000000</v>
      </c>
      <c r="R28" s="76">
        <f t="shared" ref="R28:U29" si="12">+O28-P28-Q28</f>
        <v>120000000</v>
      </c>
      <c r="S28" s="76">
        <f t="shared" si="12"/>
        <v>-320000000</v>
      </c>
      <c r="T28" s="76">
        <f t="shared" si="12"/>
        <v>280000000</v>
      </c>
      <c r="U28" s="76">
        <f t="shared" si="12"/>
        <v>160000000</v>
      </c>
      <c r="V28" s="76"/>
      <c r="W28" s="76">
        <v>0</v>
      </c>
      <c r="X28" s="76"/>
      <c r="Y28" s="76"/>
      <c r="Z28" s="76"/>
      <c r="AA28" s="76"/>
      <c r="AB28" s="76">
        <f t="shared" ref="AB28:AB29" si="13">+D28-E28-J28-W28</f>
        <v>80000000</v>
      </c>
      <c r="AC28" s="101"/>
    </row>
    <row r="29" spans="1:32" s="79" customFormat="1" x14ac:dyDescent="0.25">
      <c r="A29" s="613"/>
      <c r="B29" s="81">
        <v>15</v>
      </c>
      <c r="C29" s="82" t="s">
        <v>168</v>
      </c>
      <c r="D29" s="76">
        <v>125000000</v>
      </c>
      <c r="E29" s="76">
        <v>50000000</v>
      </c>
      <c r="F29" s="601" t="s">
        <v>222</v>
      </c>
      <c r="G29" s="76">
        <v>49783625.450000003</v>
      </c>
      <c r="H29" s="76">
        <v>49783625.450000003</v>
      </c>
      <c r="I29" s="76">
        <v>0</v>
      </c>
      <c r="J29" s="77">
        <v>0</v>
      </c>
      <c r="K29" s="77"/>
      <c r="L29" s="77"/>
      <c r="M29" s="77"/>
      <c r="N29" s="77"/>
      <c r="O29" s="76">
        <f>+D29-E29-J29</f>
        <v>75000000</v>
      </c>
      <c r="P29" s="76">
        <f>+E29-J29-O29</f>
        <v>-25000000</v>
      </c>
      <c r="Q29" s="76">
        <f>+J29-O29-P29</f>
        <v>-50000000</v>
      </c>
      <c r="R29" s="76">
        <f t="shared" si="12"/>
        <v>150000000</v>
      </c>
      <c r="S29" s="76">
        <f t="shared" si="12"/>
        <v>-125000000</v>
      </c>
      <c r="T29" s="76">
        <f t="shared" si="12"/>
        <v>-75000000</v>
      </c>
      <c r="U29" s="76">
        <f t="shared" si="12"/>
        <v>350000000</v>
      </c>
      <c r="V29" s="76"/>
      <c r="W29" s="76">
        <v>25000000</v>
      </c>
      <c r="X29" s="76" t="s">
        <v>227</v>
      </c>
      <c r="Y29" s="76"/>
      <c r="Z29" s="76"/>
      <c r="AA29" s="76"/>
      <c r="AB29" s="76">
        <f t="shared" si="13"/>
        <v>50000000</v>
      </c>
      <c r="AC29" s="101"/>
    </row>
    <row r="30" spans="1:32" s="72" customFormat="1" ht="17.25" thickBot="1" x14ac:dyDescent="0.3">
      <c r="A30" s="614"/>
      <c r="B30" s="88"/>
      <c r="C30" s="89"/>
      <c r="D30" s="90"/>
      <c r="E30" s="90"/>
      <c r="F30" s="604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620"/>
    </row>
    <row r="31" spans="1:32" ht="45" x14ac:dyDescent="0.3">
      <c r="A31" s="612" t="s">
        <v>169</v>
      </c>
      <c r="B31" s="454" t="s">
        <v>170</v>
      </c>
      <c r="C31" s="455"/>
      <c r="D31" s="70">
        <f t="shared" ref="D31" si="14">SUM(D32:D34)</f>
        <v>205000000</v>
      </c>
      <c r="E31" s="70"/>
      <c r="F31" s="597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619"/>
    </row>
    <row r="32" spans="1:32" x14ac:dyDescent="0.3">
      <c r="A32" s="615"/>
      <c r="B32" s="93">
        <v>16</v>
      </c>
      <c r="C32" s="94" t="s">
        <v>171</v>
      </c>
      <c r="D32" s="76">
        <v>65000000</v>
      </c>
      <c r="E32" s="77">
        <v>0</v>
      </c>
      <c r="F32" s="602"/>
      <c r="G32" s="77"/>
      <c r="H32" s="77"/>
      <c r="I32" s="77"/>
      <c r="J32" s="76">
        <v>15000000</v>
      </c>
      <c r="K32" s="76" t="s">
        <v>222</v>
      </c>
      <c r="L32" s="76">
        <v>14999996.279999999</v>
      </c>
      <c r="M32" s="76">
        <v>14999996.279999999</v>
      </c>
      <c r="N32" s="76">
        <v>0</v>
      </c>
      <c r="O32" s="76">
        <f>+D32-E32-J32</f>
        <v>50000000</v>
      </c>
      <c r="P32" s="76">
        <f>+E32-J32-O32</f>
        <v>-65000000</v>
      </c>
      <c r="Q32" s="76">
        <f>+J32-O32-P32</f>
        <v>30000000</v>
      </c>
      <c r="R32" s="76">
        <f t="shared" ref="R32:U34" si="15">+O32-P32-Q32</f>
        <v>85000000</v>
      </c>
      <c r="S32" s="76">
        <f t="shared" si="15"/>
        <v>-180000000</v>
      </c>
      <c r="T32" s="76">
        <f t="shared" si="15"/>
        <v>125000000</v>
      </c>
      <c r="U32" s="76">
        <f t="shared" si="15"/>
        <v>140000000</v>
      </c>
      <c r="V32" s="76" t="s">
        <v>172</v>
      </c>
      <c r="W32" s="76">
        <v>35000000</v>
      </c>
      <c r="X32" s="76" t="s">
        <v>371</v>
      </c>
      <c r="Y32" s="76"/>
      <c r="Z32" s="76"/>
      <c r="AA32" s="76"/>
      <c r="AB32" s="76">
        <f t="shared" ref="AB32:AB34" si="16">+D32-E32-J32-W32</f>
        <v>15000000</v>
      </c>
      <c r="AC32" s="101"/>
    </row>
    <row r="33" spans="1:29" x14ac:dyDescent="0.3">
      <c r="A33" s="615"/>
      <c r="B33" s="93">
        <v>17</v>
      </c>
      <c r="C33" s="94" t="s">
        <v>173</v>
      </c>
      <c r="D33" s="76">
        <v>55000000</v>
      </c>
      <c r="E33" s="77">
        <v>0</v>
      </c>
      <c r="F33" s="602"/>
      <c r="G33" s="77"/>
      <c r="H33" s="77"/>
      <c r="I33" s="77"/>
      <c r="J33" s="76">
        <v>20000000</v>
      </c>
      <c r="K33" s="76" t="s">
        <v>222</v>
      </c>
      <c r="L33" s="76">
        <v>20000000</v>
      </c>
      <c r="M33" s="76">
        <v>20000000</v>
      </c>
      <c r="N33" s="76">
        <v>0</v>
      </c>
      <c r="O33" s="76">
        <f>+D33-E33-J33</f>
        <v>35000000</v>
      </c>
      <c r="P33" s="76">
        <f>+E33-J33-O33</f>
        <v>-55000000</v>
      </c>
      <c r="Q33" s="76">
        <f>+J33-O33-P33</f>
        <v>40000000</v>
      </c>
      <c r="R33" s="76">
        <f t="shared" si="15"/>
        <v>50000000</v>
      </c>
      <c r="S33" s="76">
        <f t="shared" si="15"/>
        <v>-145000000</v>
      </c>
      <c r="T33" s="76">
        <f t="shared" si="15"/>
        <v>135000000</v>
      </c>
      <c r="U33" s="76">
        <f t="shared" si="15"/>
        <v>60000000</v>
      </c>
      <c r="V33" s="76" t="s">
        <v>174</v>
      </c>
      <c r="W33" s="76">
        <v>0</v>
      </c>
      <c r="X33" s="76"/>
      <c r="Y33" s="76"/>
      <c r="Z33" s="76"/>
      <c r="AA33" s="76"/>
      <c r="AB33" s="76">
        <f t="shared" si="16"/>
        <v>35000000</v>
      </c>
      <c r="AC33" s="101"/>
    </row>
    <row r="34" spans="1:29" x14ac:dyDescent="0.3">
      <c r="A34" s="615"/>
      <c r="B34" s="93">
        <v>18</v>
      </c>
      <c r="C34" s="94" t="s">
        <v>175</v>
      </c>
      <c r="D34" s="76">
        <v>85000000</v>
      </c>
      <c r="E34" s="77">
        <v>0</v>
      </c>
      <c r="F34" s="602"/>
      <c r="G34" s="77"/>
      <c r="H34" s="77"/>
      <c r="I34" s="77"/>
      <c r="J34" s="76">
        <v>30000000</v>
      </c>
      <c r="K34" s="76" t="s">
        <v>222</v>
      </c>
      <c r="L34" s="76">
        <v>30000000</v>
      </c>
      <c r="M34" s="76">
        <v>30000000</v>
      </c>
      <c r="N34" s="76">
        <v>0</v>
      </c>
      <c r="O34" s="76">
        <f>+D34-E34-J34</f>
        <v>55000000</v>
      </c>
      <c r="P34" s="76">
        <f>+E34-J34-O34</f>
        <v>-85000000</v>
      </c>
      <c r="Q34" s="76">
        <f>+J34-O34-P34</f>
        <v>60000000</v>
      </c>
      <c r="R34" s="76">
        <f t="shared" si="15"/>
        <v>80000000</v>
      </c>
      <c r="S34" s="76">
        <f t="shared" si="15"/>
        <v>-225000000</v>
      </c>
      <c r="T34" s="76">
        <f t="shared" si="15"/>
        <v>205000000</v>
      </c>
      <c r="U34" s="76">
        <f t="shared" si="15"/>
        <v>100000000</v>
      </c>
      <c r="V34" s="76" t="s">
        <v>174</v>
      </c>
      <c r="W34" s="76">
        <v>0</v>
      </c>
      <c r="X34" s="76"/>
      <c r="Y34" s="76"/>
      <c r="Z34" s="76"/>
      <c r="AA34" s="76"/>
      <c r="AB34" s="76">
        <f t="shared" si="16"/>
        <v>55000000</v>
      </c>
      <c r="AC34" s="101"/>
    </row>
    <row r="35" spans="1:29" s="72" customFormat="1" x14ac:dyDescent="0.3">
      <c r="A35" s="615"/>
      <c r="B35" s="93"/>
      <c r="C35" s="94"/>
      <c r="D35" s="76"/>
      <c r="E35" s="76"/>
      <c r="F35" s="601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101"/>
    </row>
    <row r="36" spans="1:29" s="79" customFormat="1" ht="60" x14ac:dyDescent="0.25">
      <c r="A36" s="612" t="s">
        <v>176</v>
      </c>
      <c r="B36" s="454" t="s">
        <v>177</v>
      </c>
      <c r="C36" s="455"/>
      <c r="D36" s="70">
        <f t="shared" ref="D36" si="17">SUM(D37:D41)</f>
        <v>280000000</v>
      </c>
      <c r="E36" s="70"/>
      <c r="F36" s="603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619"/>
    </row>
    <row r="37" spans="1:29" s="79" customFormat="1" x14ac:dyDescent="0.25">
      <c r="A37" s="616"/>
      <c r="B37" s="81">
        <v>19</v>
      </c>
      <c r="C37" s="96" t="s">
        <v>178</v>
      </c>
      <c r="D37" s="76">
        <v>50000000</v>
      </c>
      <c r="E37" s="77">
        <v>0</v>
      </c>
      <c r="F37" s="602"/>
      <c r="G37" s="77"/>
      <c r="H37" s="77"/>
      <c r="I37" s="77"/>
      <c r="J37" s="83">
        <v>20000000</v>
      </c>
      <c r="K37" s="83" t="s">
        <v>222</v>
      </c>
      <c r="L37" s="83">
        <v>20000000</v>
      </c>
      <c r="M37" s="83">
        <v>20000000</v>
      </c>
      <c r="N37" s="83">
        <v>0</v>
      </c>
      <c r="O37" s="76">
        <f>+D37-E37-J37</f>
        <v>30000000</v>
      </c>
      <c r="P37" s="76">
        <f>+E37-J37-O37</f>
        <v>-50000000</v>
      </c>
      <c r="Q37" s="76">
        <f>+J37-O37-P37</f>
        <v>40000000</v>
      </c>
      <c r="R37" s="76">
        <f t="shared" ref="R37:U41" si="18">+O37-P37-Q37</f>
        <v>40000000</v>
      </c>
      <c r="S37" s="76">
        <f t="shared" si="18"/>
        <v>-130000000</v>
      </c>
      <c r="T37" s="76">
        <f t="shared" si="18"/>
        <v>130000000</v>
      </c>
      <c r="U37" s="76">
        <f t="shared" si="18"/>
        <v>40000000</v>
      </c>
      <c r="V37" s="76" t="s">
        <v>174</v>
      </c>
      <c r="W37" s="76">
        <v>0</v>
      </c>
      <c r="X37" s="76"/>
      <c r="Y37" s="76"/>
      <c r="Z37" s="76"/>
      <c r="AA37" s="76"/>
      <c r="AB37" s="76">
        <f t="shared" ref="AB37:AB41" si="19">+D37-E37-J37-W37</f>
        <v>30000000</v>
      </c>
      <c r="AC37" s="101"/>
    </row>
    <row r="38" spans="1:29" s="79" customFormat="1" x14ac:dyDescent="0.25">
      <c r="A38" s="613"/>
      <c r="B38" s="81">
        <v>20</v>
      </c>
      <c r="C38" s="96" t="s">
        <v>179</v>
      </c>
      <c r="D38" s="76">
        <v>65000000</v>
      </c>
      <c r="E38" s="77">
        <v>0</v>
      </c>
      <c r="F38" s="602"/>
      <c r="G38" s="77"/>
      <c r="H38" s="77"/>
      <c r="I38" s="77"/>
      <c r="J38" s="76"/>
      <c r="K38" s="76"/>
      <c r="L38" s="76"/>
      <c r="M38" s="76"/>
      <c r="N38" s="76"/>
      <c r="O38" s="76">
        <f>+D38-E38-J38</f>
        <v>65000000</v>
      </c>
      <c r="P38" s="76">
        <f>+E38-J38-O38</f>
        <v>-65000000</v>
      </c>
      <c r="Q38" s="76">
        <f>+J38-O38-P38</f>
        <v>0</v>
      </c>
      <c r="R38" s="76">
        <f t="shared" si="18"/>
        <v>130000000</v>
      </c>
      <c r="S38" s="76">
        <f t="shared" si="18"/>
        <v>-195000000</v>
      </c>
      <c r="T38" s="76">
        <f t="shared" si="18"/>
        <v>65000000</v>
      </c>
      <c r="U38" s="76">
        <f t="shared" si="18"/>
        <v>260000000</v>
      </c>
      <c r="V38" s="76"/>
      <c r="W38" s="76">
        <v>65000000</v>
      </c>
      <c r="X38" s="76" t="s">
        <v>227</v>
      </c>
      <c r="Y38" s="76"/>
      <c r="Z38" s="76"/>
      <c r="AA38" s="76"/>
      <c r="AB38" s="76">
        <f t="shared" si="19"/>
        <v>0</v>
      </c>
      <c r="AC38" s="101"/>
    </row>
    <row r="39" spans="1:29" s="79" customFormat="1" x14ac:dyDescent="0.25">
      <c r="A39" s="613"/>
      <c r="B39" s="81">
        <v>21</v>
      </c>
      <c r="C39" s="96" t="s">
        <v>180</v>
      </c>
      <c r="D39" s="76">
        <v>60000000</v>
      </c>
      <c r="E39" s="77">
        <v>0</v>
      </c>
      <c r="F39" s="602"/>
      <c r="G39" s="77"/>
      <c r="H39" s="77"/>
      <c r="I39" s="77"/>
      <c r="J39" s="76">
        <v>20000000</v>
      </c>
      <c r="K39" s="76" t="s">
        <v>222</v>
      </c>
      <c r="L39" s="76">
        <v>19988798</v>
      </c>
      <c r="M39" s="76">
        <v>19988798</v>
      </c>
      <c r="N39" s="76">
        <v>0</v>
      </c>
      <c r="O39" s="76">
        <f>+D39-E39-J39</f>
        <v>40000000</v>
      </c>
      <c r="P39" s="76">
        <f>+E39-J39-O39</f>
        <v>-60000000</v>
      </c>
      <c r="Q39" s="76">
        <f>+J39-O39-P39</f>
        <v>40000000</v>
      </c>
      <c r="R39" s="76">
        <f t="shared" si="18"/>
        <v>60000000</v>
      </c>
      <c r="S39" s="76">
        <f t="shared" si="18"/>
        <v>-160000000</v>
      </c>
      <c r="T39" s="76">
        <f t="shared" si="18"/>
        <v>140000000</v>
      </c>
      <c r="U39" s="76">
        <f t="shared" si="18"/>
        <v>80000000</v>
      </c>
      <c r="V39" s="76" t="s">
        <v>181</v>
      </c>
      <c r="W39" s="76">
        <v>0</v>
      </c>
      <c r="X39" s="76"/>
      <c r="Y39" s="76"/>
      <c r="Z39" s="76"/>
      <c r="AA39" s="76"/>
      <c r="AB39" s="76">
        <f t="shared" si="19"/>
        <v>40000000</v>
      </c>
      <c r="AC39" s="101"/>
    </row>
    <row r="40" spans="1:29" s="79" customFormat="1" x14ac:dyDescent="0.25">
      <c r="A40" s="613"/>
      <c r="B40" s="81">
        <v>22</v>
      </c>
      <c r="C40" s="96" t="s">
        <v>182</v>
      </c>
      <c r="D40" s="76">
        <v>30000000</v>
      </c>
      <c r="E40" s="77">
        <v>0</v>
      </c>
      <c r="F40" s="602"/>
      <c r="G40" s="77"/>
      <c r="H40" s="77"/>
      <c r="I40" s="77"/>
      <c r="J40" s="77">
        <v>0</v>
      </c>
      <c r="K40" s="77"/>
      <c r="L40" s="77"/>
      <c r="M40" s="77"/>
      <c r="N40" s="77"/>
      <c r="O40" s="76">
        <f>+D40-E40-J40</f>
        <v>30000000</v>
      </c>
      <c r="P40" s="76">
        <f>+E40-J40-O40</f>
        <v>-30000000</v>
      </c>
      <c r="Q40" s="76">
        <f>+J40-O40-P40</f>
        <v>0</v>
      </c>
      <c r="R40" s="76">
        <f t="shared" si="18"/>
        <v>60000000</v>
      </c>
      <c r="S40" s="76">
        <f t="shared" si="18"/>
        <v>-90000000</v>
      </c>
      <c r="T40" s="76">
        <f t="shared" si="18"/>
        <v>30000000</v>
      </c>
      <c r="U40" s="76">
        <f t="shared" si="18"/>
        <v>120000000</v>
      </c>
      <c r="V40" s="76"/>
      <c r="W40" s="76">
        <v>30000000</v>
      </c>
      <c r="X40" s="76" t="s">
        <v>223</v>
      </c>
      <c r="Y40" s="76">
        <v>29841273</v>
      </c>
      <c r="Z40" s="76">
        <v>5968254.5999999996</v>
      </c>
      <c r="AA40" s="76">
        <f>Y40-Z40</f>
        <v>23873018.399999999</v>
      </c>
      <c r="AB40" s="76">
        <f t="shared" si="19"/>
        <v>0</v>
      </c>
      <c r="AC40" s="101"/>
    </row>
    <row r="41" spans="1:29" s="79" customFormat="1" x14ac:dyDescent="0.25">
      <c r="A41" s="613"/>
      <c r="B41" s="81">
        <v>23</v>
      </c>
      <c r="C41" s="82" t="s">
        <v>183</v>
      </c>
      <c r="D41" s="76">
        <v>75000000</v>
      </c>
      <c r="E41" s="76">
        <v>25000000</v>
      </c>
      <c r="F41" s="601" t="s">
        <v>222</v>
      </c>
      <c r="G41" s="76">
        <v>24955605.5</v>
      </c>
      <c r="H41" s="76">
        <v>24955605.5</v>
      </c>
      <c r="I41" s="76">
        <v>0</v>
      </c>
      <c r="J41" s="77">
        <v>0</v>
      </c>
      <c r="K41" s="77"/>
      <c r="L41" s="77"/>
      <c r="M41" s="77"/>
      <c r="N41" s="77"/>
      <c r="O41" s="76">
        <f>+D41-E41-J41</f>
        <v>50000000</v>
      </c>
      <c r="P41" s="76">
        <f>+E41-J41-O41</f>
        <v>-25000000</v>
      </c>
      <c r="Q41" s="76">
        <f>+J41-O41-P41</f>
        <v>-25000000</v>
      </c>
      <c r="R41" s="76">
        <f t="shared" si="18"/>
        <v>100000000</v>
      </c>
      <c r="S41" s="76">
        <f t="shared" si="18"/>
        <v>-100000000</v>
      </c>
      <c r="T41" s="76">
        <f t="shared" si="18"/>
        <v>-25000000</v>
      </c>
      <c r="U41" s="76">
        <f t="shared" si="18"/>
        <v>225000000</v>
      </c>
      <c r="V41" s="76"/>
      <c r="W41" s="76">
        <v>0</v>
      </c>
      <c r="X41" s="76"/>
      <c r="Y41" s="76"/>
      <c r="Z41" s="76"/>
      <c r="AA41" s="76"/>
      <c r="AB41" s="76">
        <f t="shared" si="19"/>
        <v>50000000</v>
      </c>
      <c r="AC41" s="101"/>
    </row>
    <row r="42" spans="1:29" s="72" customFormat="1" x14ac:dyDescent="0.25">
      <c r="A42" s="613"/>
      <c r="B42" s="81"/>
      <c r="C42" s="82"/>
      <c r="D42" s="76"/>
      <c r="E42" s="76"/>
      <c r="F42" s="601"/>
      <c r="G42" s="76"/>
      <c r="H42" s="76"/>
      <c r="I42" s="76"/>
      <c r="J42" s="86"/>
      <c r="K42" s="86"/>
      <c r="L42" s="86"/>
      <c r="M42" s="86"/>
      <c r="N42" s="8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101"/>
    </row>
    <row r="43" spans="1:29" s="97" customFormat="1" ht="60" x14ac:dyDescent="0.25">
      <c r="A43" s="612" t="s">
        <v>184</v>
      </c>
      <c r="B43" s="454" t="s">
        <v>185</v>
      </c>
      <c r="C43" s="455"/>
      <c r="D43" s="70">
        <f t="shared" ref="D43" si="20">SUM(D44:D48)</f>
        <v>295000000</v>
      </c>
      <c r="E43" s="70"/>
      <c r="F43" s="603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619"/>
    </row>
    <row r="44" spans="1:29" s="97" customFormat="1" ht="33" x14ac:dyDescent="0.25">
      <c r="A44" s="613"/>
      <c r="B44" s="81">
        <v>24</v>
      </c>
      <c r="C44" s="82" t="s">
        <v>186</v>
      </c>
      <c r="D44" s="76">
        <v>30000000</v>
      </c>
      <c r="E44" s="77">
        <v>0</v>
      </c>
      <c r="F44" s="602"/>
      <c r="G44" s="77"/>
      <c r="H44" s="77"/>
      <c r="I44" s="77"/>
      <c r="J44" s="77">
        <v>0</v>
      </c>
      <c r="K44" s="77"/>
      <c r="L44" s="77"/>
      <c r="M44" s="77"/>
      <c r="N44" s="77"/>
      <c r="O44" s="76">
        <f>+D44-E44-J44</f>
        <v>30000000</v>
      </c>
      <c r="P44" s="76">
        <f>+E44-J44-O44</f>
        <v>-30000000</v>
      </c>
      <c r="Q44" s="76">
        <f>+J44-O44-P44</f>
        <v>0</v>
      </c>
      <c r="R44" s="76">
        <f t="shared" ref="R44:U48" si="21">+O44-P44-Q44</f>
        <v>60000000</v>
      </c>
      <c r="S44" s="76">
        <f t="shared" si="21"/>
        <v>-90000000</v>
      </c>
      <c r="T44" s="76">
        <f t="shared" si="21"/>
        <v>30000000</v>
      </c>
      <c r="U44" s="76">
        <f t="shared" si="21"/>
        <v>120000000</v>
      </c>
      <c r="V44" s="76"/>
      <c r="W44" s="76">
        <v>0</v>
      </c>
      <c r="X44" s="76"/>
      <c r="Y44" s="76"/>
      <c r="Z44" s="76"/>
      <c r="AA44" s="76"/>
      <c r="AB44" s="76">
        <f t="shared" ref="AB44:AB48" si="22">+D44-E44-J44-W44</f>
        <v>30000000</v>
      </c>
      <c r="AC44" s="101"/>
    </row>
    <row r="45" spans="1:29" s="79" customFormat="1" x14ac:dyDescent="0.25">
      <c r="A45" s="613"/>
      <c r="B45" s="81">
        <v>25</v>
      </c>
      <c r="C45" s="82" t="s">
        <v>187</v>
      </c>
      <c r="D45" s="76">
        <v>10000000</v>
      </c>
      <c r="E45" s="77">
        <v>0</v>
      </c>
      <c r="F45" s="602"/>
      <c r="G45" s="77"/>
      <c r="H45" s="77"/>
      <c r="I45" s="77"/>
      <c r="J45" s="77">
        <v>0</v>
      </c>
      <c r="K45" s="77"/>
      <c r="L45" s="77"/>
      <c r="M45" s="77"/>
      <c r="N45" s="77"/>
      <c r="O45" s="76">
        <f>+D45-E45-J45</f>
        <v>10000000</v>
      </c>
      <c r="P45" s="76">
        <f>+E45-J45-O45</f>
        <v>-10000000</v>
      </c>
      <c r="Q45" s="76">
        <f>+J45-O45-P45</f>
        <v>0</v>
      </c>
      <c r="R45" s="76">
        <f t="shared" si="21"/>
        <v>20000000</v>
      </c>
      <c r="S45" s="76">
        <f t="shared" si="21"/>
        <v>-30000000</v>
      </c>
      <c r="T45" s="76">
        <f t="shared" si="21"/>
        <v>10000000</v>
      </c>
      <c r="U45" s="76">
        <f t="shared" si="21"/>
        <v>40000000</v>
      </c>
      <c r="V45" s="76"/>
      <c r="W45" s="76">
        <v>0</v>
      </c>
      <c r="X45" s="76"/>
      <c r="Y45" s="76"/>
      <c r="Z45" s="76"/>
      <c r="AA45" s="76"/>
      <c r="AB45" s="76">
        <f t="shared" si="22"/>
        <v>10000000</v>
      </c>
      <c r="AC45" s="101"/>
    </row>
    <row r="46" spans="1:29" s="79" customFormat="1" x14ac:dyDescent="0.25">
      <c r="A46" s="613"/>
      <c r="B46" s="81">
        <v>26</v>
      </c>
      <c r="C46" s="96" t="s">
        <v>188</v>
      </c>
      <c r="D46" s="76">
        <v>75000000</v>
      </c>
      <c r="E46" s="76">
        <v>25000000</v>
      </c>
      <c r="F46" s="605" t="s">
        <v>222</v>
      </c>
      <c r="G46" s="76">
        <v>24870275</v>
      </c>
      <c r="H46" s="76">
        <v>24870275</v>
      </c>
      <c r="I46" s="76">
        <v>0</v>
      </c>
      <c r="J46" s="77">
        <v>0</v>
      </c>
      <c r="K46" s="77"/>
      <c r="L46" s="77"/>
      <c r="M46" s="77"/>
      <c r="N46" s="77"/>
      <c r="O46" s="76">
        <f>+D46-E46-J46</f>
        <v>50000000</v>
      </c>
      <c r="P46" s="76">
        <f>+E46-J46-O46</f>
        <v>-25000000</v>
      </c>
      <c r="Q46" s="76">
        <f>+J46-O46-P46</f>
        <v>-25000000</v>
      </c>
      <c r="R46" s="76">
        <f t="shared" si="21"/>
        <v>100000000</v>
      </c>
      <c r="S46" s="76">
        <f t="shared" si="21"/>
        <v>-100000000</v>
      </c>
      <c r="T46" s="76">
        <f t="shared" si="21"/>
        <v>-25000000</v>
      </c>
      <c r="U46" s="76">
        <f t="shared" si="21"/>
        <v>225000000</v>
      </c>
      <c r="V46" s="76"/>
      <c r="W46" s="76">
        <v>0</v>
      </c>
      <c r="X46" s="76"/>
      <c r="Y46" s="76"/>
      <c r="Z46" s="76"/>
      <c r="AA46" s="76"/>
      <c r="AB46" s="76">
        <f t="shared" si="22"/>
        <v>50000000</v>
      </c>
      <c r="AC46" s="101"/>
    </row>
    <row r="47" spans="1:29" s="97" customFormat="1" ht="33" x14ac:dyDescent="0.25">
      <c r="A47" s="613"/>
      <c r="B47" s="81">
        <v>27</v>
      </c>
      <c r="C47" s="96" t="s">
        <v>189</v>
      </c>
      <c r="D47" s="76">
        <v>30000000</v>
      </c>
      <c r="E47" s="77">
        <v>0</v>
      </c>
      <c r="F47" s="602"/>
      <c r="G47" s="77"/>
      <c r="H47" s="77"/>
      <c r="I47" s="77"/>
      <c r="J47" s="77">
        <v>0</v>
      </c>
      <c r="K47" s="77"/>
      <c r="L47" s="77"/>
      <c r="M47" s="77"/>
      <c r="N47" s="77"/>
      <c r="O47" s="76">
        <f>+D47-E47-J47</f>
        <v>30000000</v>
      </c>
      <c r="P47" s="76">
        <f>+E47-J47-O47</f>
        <v>-30000000</v>
      </c>
      <c r="Q47" s="76">
        <f>+J47-O47-P47</f>
        <v>0</v>
      </c>
      <c r="R47" s="76">
        <f t="shared" si="21"/>
        <v>60000000</v>
      </c>
      <c r="S47" s="76">
        <f t="shared" si="21"/>
        <v>-90000000</v>
      </c>
      <c r="T47" s="76">
        <f t="shared" si="21"/>
        <v>30000000</v>
      </c>
      <c r="U47" s="76">
        <f t="shared" si="21"/>
        <v>120000000</v>
      </c>
      <c r="V47" s="76"/>
      <c r="W47" s="76">
        <v>0</v>
      </c>
      <c r="X47" s="76"/>
      <c r="Y47" s="76"/>
      <c r="Z47" s="76"/>
      <c r="AA47" s="76"/>
      <c r="AB47" s="76">
        <f t="shared" si="22"/>
        <v>30000000</v>
      </c>
      <c r="AC47" s="101"/>
    </row>
    <row r="48" spans="1:29" s="97" customFormat="1" ht="33" x14ac:dyDescent="0.25">
      <c r="A48" s="613"/>
      <c r="B48" s="81">
        <v>28</v>
      </c>
      <c r="C48" s="82" t="s">
        <v>190</v>
      </c>
      <c r="D48" s="76">
        <v>150000000</v>
      </c>
      <c r="E48" s="77">
        <v>0</v>
      </c>
      <c r="F48" s="602"/>
      <c r="G48" s="77"/>
      <c r="H48" s="77"/>
      <c r="I48" s="77"/>
      <c r="J48" s="76">
        <v>60000000</v>
      </c>
      <c r="K48" s="76" t="s">
        <v>222</v>
      </c>
      <c r="L48" s="76">
        <v>59801731</v>
      </c>
      <c r="M48" s="76">
        <v>59801731</v>
      </c>
      <c r="N48" s="76">
        <v>0</v>
      </c>
      <c r="O48" s="76">
        <f>+D48-E48-J48</f>
        <v>90000000</v>
      </c>
      <c r="P48" s="76">
        <f>+E48-J48-O48</f>
        <v>-150000000</v>
      </c>
      <c r="Q48" s="76">
        <f>+J48-O48-P48</f>
        <v>120000000</v>
      </c>
      <c r="R48" s="76">
        <f t="shared" si="21"/>
        <v>120000000</v>
      </c>
      <c r="S48" s="76">
        <f t="shared" si="21"/>
        <v>-390000000</v>
      </c>
      <c r="T48" s="76">
        <f t="shared" si="21"/>
        <v>390000000</v>
      </c>
      <c r="U48" s="76">
        <f t="shared" si="21"/>
        <v>120000000</v>
      </c>
      <c r="V48" s="76" t="s">
        <v>191</v>
      </c>
      <c r="W48" s="76">
        <v>60000000</v>
      </c>
      <c r="X48" s="76" t="s">
        <v>223</v>
      </c>
      <c r="Y48" s="76">
        <v>59857402</v>
      </c>
      <c r="Z48" s="76">
        <v>11971480</v>
      </c>
      <c r="AA48" s="76">
        <f>Y48-Z48</f>
        <v>47885922</v>
      </c>
      <c r="AB48" s="76">
        <f t="shared" si="22"/>
        <v>30000000</v>
      </c>
      <c r="AC48" s="101"/>
    </row>
    <row r="49" spans="1:31" s="72" customFormat="1" x14ac:dyDescent="0.25">
      <c r="A49" s="613"/>
      <c r="B49" s="81"/>
      <c r="C49" s="82"/>
      <c r="D49" s="76"/>
      <c r="E49" s="86"/>
      <c r="F49" s="600"/>
      <c r="G49" s="86"/>
      <c r="H49" s="86"/>
      <c r="I49" s="8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101"/>
    </row>
    <row r="50" spans="1:31" s="79" customFormat="1" x14ac:dyDescent="0.25">
      <c r="A50" s="612" t="s">
        <v>160</v>
      </c>
      <c r="B50" s="454" t="s">
        <v>192</v>
      </c>
      <c r="C50" s="455"/>
      <c r="D50" s="70">
        <f t="shared" ref="D50" si="23">SUM(D51)</f>
        <v>60000000</v>
      </c>
      <c r="E50" s="70"/>
      <c r="F50" s="603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619"/>
    </row>
    <row r="51" spans="1:31" s="79" customFormat="1" ht="33" x14ac:dyDescent="0.25">
      <c r="A51" s="613"/>
      <c r="B51" s="81">
        <v>29</v>
      </c>
      <c r="C51" s="82" t="s">
        <v>193</v>
      </c>
      <c r="D51" s="76">
        <v>60000000</v>
      </c>
      <c r="E51" s="76">
        <v>20000000</v>
      </c>
      <c r="F51" s="601" t="s">
        <v>222</v>
      </c>
      <c r="G51" s="76">
        <v>18572804.199000001</v>
      </c>
      <c r="H51" s="76">
        <v>18572804.199000001</v>
      </c>
      <c r="I51" s="76">
        <v>0</v>
      </c>
      <c r="J51" s="77">
        <v>0</v>
      </c>
      <c r="K51" s="77"/>
      <c r="L51" s="77"/>
      <c r="M51" s="77"/>
      <c r="N51" s="77"/>
      <c r="O51" s="76">
        <f>+D51-E51-J51</f>
        <v>40000000</v>
      </c>
      <c r="P51" s="76">
        <f>+E51-J51-O51</f>
        <v>-20000000</v>
      </c>
      <c r="Q51" s="76">
        <f>+J51-O51-P51</f>
        <v>-20000000</v>
      </c>
      <c r="R51" s="76">
        <f t="shared" ref="R51:U51" si="24">+O51-P51-Q51</f>
        <v>80000000</v>
      </c>
      <c r="S51" s="76">
        <f t="shared" si="24"/>
        <v>-80000000</v>
      </c>
      <c r="T51" s="76">
        <f t="shared" si="24"/>
        <v>-20000000</v>
      </c>
      <c r="U51" s="76">
        <f t="shared" si="24"/>
        <v>180000000</v>
      </c>
      <c r="V51" s="76"/>
      <c r="W51" s="76">
        <v>0</v>
      </c>
      <c r="X51" s="76"/>
      <c r="Y51" s="76"/>
      <c r="Z51" s="76"/>
      <c r="AA51" s="76"/>
      <c r="AB51" s="76">
        <f>+D51-E51-J51-W51</f>
        <v>40000000</v>
      </c>
      <c r="AC51" s="101"/>
    </row>
    <row r="52" spans="1:31" s="72" customFormat="1" x14ac:dyDescent="0.25">
      <c r="A52" s="613"/>
      <c r="B52" s="81"/>
      <c r="C52" s="82"/>
      <c r="D52" s="76"/>
      <c r="E52" s="76"/>
      <c r="F52" s="601"/>
      <c r="G52" s="76"/>
      <c r="H52" s="76"/>
      <c r="I52" s="76"/>
      <c r="J52" s="86"/>
      <c r="K52" s="86"/>
      <c r="L52" s="86"/>
      <c r="M52" s="86"/>
      <c r="N52" s="8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101"/>
      <c r="AE52" s="98">
        <f>+E53+J53+R53+S53</f>
        <v>0</v>
      </c>
    </row>
    <row r="53" spans="1:31" s="79" customFormat="1" ht="75" x14ac:dyDescent="0.25">
      <c r="A53" s="612" t="s">
        <v>166</v>
      </c>
      <c r="B53" s="454" t="s">
        <v>194</v>
      </c>
      <c r="C53" s="455"/>
      <c r="D53" s="70">
        <f>SUM(D54:D56)</f>
        <v>110000000</v>
      </c>
      <c r="E53" s="70"/>
      <c r="F53" s="603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619"/>
    </row>
    <row r="54" spans="1:31" s="79" customFormat="1" x14ac:dyDescent="0.25">
      <c r="A54" s="616"/>
      <c r="B54" s="81">
        <v>30</v>
      </c>
      <c r="C54" s="99" t="s">
        <v>195</v>
      </c>
      <c r="D54" s="76">
        <v>25000000</v>
      </c>
      <c r="E54" s="76">
        <v>25000000</v>
      </c>
      <c r="F54" s="601" t="s">
        <v>222</v>
      </c>
      <c r="G54" s="76">
        <v>23669057</v>
      </c>
      <c r="H54" s="76">
        <v>23669057</v>
      </c>
      <c r="I54" s="76">
        <v>0</v>
      </c>
      <c r="J54" s="77">
        <v>0</v>
      </c>
      <c r="K54" s="77"/>
      <c r="L54" s="77"/>
      <c r="M54" s="77"/>
      <c r="N54" s="77"/>
      <c r="O54" s="76">
        <f>+D54-E54-J54</f>
        <v>0</v>
      </c>
      <c r="P54" s="100">
        <v>35000000</v>
      </c>
      <c r="Q54" s="76" t="s">
        <v>196</v>
      </c>
      <c r="R54" s="76">
        <v>0</v>
      </c>
      <c r="S54" s="76">
        <v>0</v>
      </c>
      <c r="T54" s="76">
        <v>0</v>
      </c>
      <c r="U54" s="76">
        <f>+O54-R54-S54-T54</f>
        <v>0</v>
      </c>
      <c r="V54" s="101"/>
      <c r="W54" s="101">
        <v>0</v>
      </c>
      <c r="X54" s="101"/>
      <c r="Y54" s="101"/>
      <c r="Z54" s="101"/>
      <c r="AA54" s="101"/>
      <c r="AB54" s="76">
        <f t="shared" ref="AB54:AB56" si="25">+D54-E54-J54-W54</f>
        <v>0</v>
      </c>
      <c r="AC54" s="101"/>
    </row>
    <row r="55" spans="1:31" s="79" customFormat="1" x14ac:dyDescent="0.25">
      <c r="A55" s="616"/>
      <c r="B55" s="81">
        <v>31</v>
      </c>
      <c r="C55" s="99" t="s">
        <v>197</v>
      </c>
      <c r="D55" s="76">
        <v>40000000</v>
      </c>
      <c r="E55" s="76">
        <v>20000000</v>
      </c>
      <c r="F55" s="601" t="s">
        <v>222</v>
      </c>
      <c r="G55" s="76">
        <v>19777985</v>
      </c>
      <c r="H55" s="76">
        <v>19777985</v>
      </c>
      <c r="I55" s="76">
        <v>0</v>
      </c>
      <c r="J55" s="77">
        <v>0</v>
      </c>
      <c r="K55" s="77"/>
      <c r="L55" s="77"/>
      <c r="M55" s="77"/>
      <c r="N55" s="77"/>
      <c r="O55" s="76">
        <f>+D55-E55-J55</f>
        <v>20000000</v>
      </c>
      <c r="P55" s="100">
        <v>20000000</v>
      </c>
      <c r="Q55" s="76" t="s">
        <v>196</v>
      </c>
      <c r="R55" s="76">
        <v>0</v>
      </c>
      <c r="S55" s="76">
        <v>20000000</v>
      </c>
      <c r="T55" s="76">
        <v>0</v>
      </c>
      <c r="U55" s="76">
        <f>+O55-R55-S55-T55</f>
        <v>0</v>
      </c>
      <c r="V55" s="101"/>
      <c r="W55" s="101">
        <v>0</v>
      </c>
      <c r="X55" s="101"/>
      <c r="Y55" s="101"/>
      <c r="Z55" s="101"/>
      <c r="AA55" s="101"/>
      <c r="AB55" s="76">
        <f t="shared" si="25"/>
        <v>20000000</v>
      </c>
      <c r="AC55" s="101"/>
    </row>
    <row r="56" spans="1:31" s="79" customFormat="1" x14ac:dyDescent="0.25">
      <c r="A56" s="613"/>
      <c r="B56" s="81">
        <v>32</v>
      </c>
      <c r="C56" s="82" t="s">
        <v>198</v>
      </c>
      <c r="D56" s="76">
        <v>45000000</v>
      </c>
      <c r="E56" s="86">
        <v>0</v>
      </c>
      <c r="F56" s="606"/>
      <c r="G56" s="86"/>
      <c r="H56" s="86"/>
      <c r="I56" s="86"/>
      <c r="J56" s="86">
        <v>25000000</v>
      </c>
      <c r="K56" s="86" t="s">
        <v>222</v>
      </c>
      <c r="L56" s="86">
        <v>24824385.366</v>
      </c>
      <c r="M56" s="86">
        <v>24824385.366</v>
      </c>
      <c r="N56" s="86">
        <v>0</v>
      </c>
      <c r="O56" s="76">
        <f>+D56-E56-J56</f>
        <v>20000000</v>
      </c>
      <c r="P56" s="77">
        <v>0</v>
      </c>
      <c r="Q56" s="76" t="s">
        <v>196</v>
      </c>
      <c r="R56" s="76">
        <v>20000000</v>
      </c>
      <c r="S56" s="76">
        <v>0</v>
      </c>
      <c r="T56" s="76">
        <v>0</v>
      </c>
      <c r="U56" s="76">
        <f>+O56-R56-S56-T56</f>
        <v>0</v>
      </c>
      <c r="V56" s="101" t="s">
        <v>23</v>
      </c>
      <c r="W56" s="101">
        <v>20000000</v>
      </c>
      <c r="X56" s="76" t="s">
        <v>227</v>
      </c>
      <c r="Y56" s="101"/>
      <c r="Z56" s="101"/>
      <c r="AA56" s="101"/>
      <c r="AB56" s="76">
        <f t="shared" si="25"/>
        <v>0</v>
      </c>
      <c r="AC56" s="101"/>
    </row>
    <row r="57" spans="1:31" s="72" customFormat="1" ht="17.25" thickBot="1" x14ac:dyDescent="0.3">
      <c r="A57" s="617"/>
      <c r="B57" s="103">
        <v>33</v>
      </c>
      <c r="C57" s="104" t="s">
        <v>199</v>
      </c>
      <c r="D57" s="100">
        <v>0</v>
      </c>
      <c r="E57" s="105">
        <v>0</v>
      </c>
      <c r="F57" s="607"/>
      <c r="G57" s="105"/>
      <c r="H57" s="105"/>
      <c r="I57" s="105"/>
      <c r="J57" s="105">
        <v>0</v>
      </c>
      <c r="K57" s="105"/>
      <c r="L57" s="105"/>
      <c r="M57" s="105"/>
      <c r="N57" s="105"/>
      <c r="O57" s="100"/>
      <c r="P57" s="100">
        <v>35000000</v>
      </c>
      <c r="Q57" s="100"/>
      <c r="R57" s="100"/>
      <c r="S57" s="100"/>
      <c r="T57" s="100"/>
      <c r="U57" s="100"/>
      <c r="V57" s="106"/>
      <c r="W57" s="106"/>
      <c r="X57" s="106"/>
      <c r="Y57" s="106"/>
      <c r="Z57" s="106"/>
      <c r="AA57" s="106"/>
      <c r="AB57" s="106"/>
      <c r="AC57" s="106" t="s">
        <v>200</v>
      </c>
    </row>
    <row r="58" spans="1:31" x14ac:dyDescent="0.3">
      <c r="A58" s="630" t="s">
        <v>134</v>
      </c>
      <c r="B58" s="631"/>
      <c r="C58" s="631"/>
      <c r="D58" s="632">
        <f t="shared" ref="D58" si="26">+D53+D50+D43+D36+D31+D27+D22+D12+D8</f>
        <v>3000000000</v>
      </c>
      <c r="E58" s="632">
        <f>SUM(E9:E56)</f>
        <v>500000000</v>
      </c>
      <c r="F58" s="633"/>
      <c r="G58" s="632"/>
      <c r="H58" s="632"/>
      <c r="I58" s="632"/>
      <c r="J58" s="632">
        <f t="shared" ref="J58:AB58" si="27">SUM(J9:J56)</f>
        <v>320000000</v>
      </c>
      <c r="K58" s="632"/>
      <c r="L58" s="632"/>
      <c r="M58" s="632"/>
      <c r="N58" s="632"/>
      <c r="O58" s="632">
        <f t="shared" si="27"/>
        <v>2180000000</v>
      </c>
      <c r="P58" s="632">
        <f t="shared" si="27"/>
        <v>-1925000000</v>
      </c>
      <c r="Q58" s="632">
        <f t="shared" si="27"/>
        <v>135000000</v>
      </c>
      <c r="R58" s="632">
        <f t="shared" si="27"/>
        <v>4005000000</v>
      </c>
      <c r="S58" s="632">
        <f t="shared" si="27"/>
        <v>-6080000000</v>
      </c>
      <c r="T58" s="632">
        <f t="shared" si="27"/>
        <v>2250000000</v>
      </c>
      <c r="U58" s="632">
        <f t="shared" si="27"/>
        <v>7835000000</v>
      </c>
      <c r="V58" s="632"/>
      <c r="W58" s="632">
        <f>SUM(W9:W56)</f>
        <v>1010000000</v>
      </c>
      <c r="X58" s="632"/>
      <c r="Y58" s="632"/>
      <c r="Z58" s="632"/>
      <c r="AA58" s="632"/>
      <c r="AB58" s="632">
        <f t="shared" si="27"/>
        <v>1170000000</v>
      </c>
      <c r="AC58" s="634"/>
    </row>
    <row r="59" spans="1:31" x14ac:dyDescent="0.3">
      <c r="C59" s="59" t="s">
        <v>201</v>
      </c>
    </row>
    <row r="60" spans="1:31" x14ac:dyDescent="0.3">
      <c r="J60" s="112"/>
      <c r="K60" s="112"/>
      <c r="L60" s="112"/>
      <c r="M60" s="112"/>
      <c r="N60" s="112"/>
    </row>
    <row r="61" spans="1:31" x14ac:dyDescent="0.3">
      <c r="J61" s="113">
        <f>+E58+J58+O58</f>
        <v>3000000000</v>
      </c>
      <c r="K61" s="113"/>
      <c r="L61" s="113"/>
      <c r="M61" s="113"/>
      <c r="N61" s="113"/>
      <c r="W61" s="111">
        <f>+E58+J58+W58</f>
        <v>1830000000</v>
      </c>
      <c r="AB61" s="111">
        <f>+W61+AB58</f>
        <v>3000000000</v>
      </c>
    </row>
    <row r="62" spans="1:31" x14ac:dyDescent="0.3">
      <c r="C62" s="59" t="s">
        <v>341</v>
      </c>
      <c r="E62" s="111">
        <f>SUM(E10)</f>
        <v>200000000</v>
      </c>
      <c r="F62" s="608">
        <v>1</v>
      </c>
      <c r="G62" s="111">
        <f>SUM(G10)</f>
        <v>199500000</v>
      </c>
      <c r="H62" s="111">
        <f>SUM(H10)</f>
        <v>159600000</v>
      </c>
      <c r="I62" s="111">
        <f>SUM(I10)</f>
        <v>39900000</v>
      </c>
      <c r="J62" s="111">
        <f>SUM(J28)</f>
        <v>40000000</v>
      </c>
      <c r="K62" s="111">
        <v>1</v>
      </c>
      <c r="L62" s="111">
        <f>SUM(L28)</f>
        <v>39853350</v>
      </c>
      <c r="M62" s="111">
        <f>SUM(M28)</f>
        <v>7970670</v>
      </c>
      <c r="N62" s="111">
        <f>SUM(N28)</f>
        <v>31882680</v>
      </c>
      <c r="W62" s="111">
        <f>SUM(W48,W40,W23)</f>
        <v>170000000</v>
      </c>
      <c r="X62" s="111">
        <v>3</v>
      </c>
      <c r="Y62" s="111">
        <f>SUM(Y48,Y40,Y23)</f>
        <v>169578675</v>
      </c>
      <c r="Z62" s="111">
        <f t="shared" ref="Z62:AA62" si="28">SUM(Z23:Z48)</f>
        <v>33915734.600000001</v>
      </c>
      <c r="AA62" s="111">
        <f t="shared" si="28"/>
        <v>135662940.40000001</v>
      </c>
    </row>
    <row r="63" spans="1:31" x14ac:dyDescent="0.3">
      <c r="C63" s="59" t="s">
        <v>331</v>
      </c>
      <c r="E63" s="111">
        <f>SUM(E55,E54,E51,E46,E41,E29,E25,E20,E19,E14,E13)</f>
        <v>300000000</v>
      </c>
      <c r="F63" s="608">
        <v>11</v>
      </c>
      <c r="G63" s="111">
        <f>SUM(G55,G54,G51,G46,G41,G29,G25,G20,G19,G14,G13)</f>
        <v>295225397.26899999</v>
      </c>
      <c r="H63" s="111">
        <f>SUM(H55,H54,H51,H46,H41,H29,H25,H20,H19,H14,H13)</f>
        <v>295225397.26899999</v>
      </c>
      <c r="J63" s="111">
        <f>SUM(J13,J14,J25,J32,J33,J34,J37,J39,J48,J56)</f>
        <v>280000000</v>
      </c>
      <c r="K63" s="111">
        <v>10</v>
      </c>
      <c r="L63" s="111">
        <f>SUM(L13,L14,L25,L32,L33,L34,L37,L39,L48,L56)</f>
        <v>279117002.14600003</v>
      </c>
      <c r="M63" s="111">
        <f t="shared" ref="M63:N63" si="29">SUM(M13,M14,M25,M32,M33,M34,M37,M39,M48,M56)</f>
        <v>279117002.14600003</v>
      </c>
      <c r="N63" s="111">
        <f t="shared" si="29"/>
        <v>0</v>
      </c>
      <c r="W63" s="111">
        <f>SUM(W20)</f>
        <v>30000000</v>
      </c>
      <c r="X63" s="111">
        <v>1</v>
      </c>
      <c r="Y63" s="111">
        <f>SUM(Y20)</f>
        <v>29921000</v>
      </c>
      <c r="Z63" s="111">
        <f t="shared" ref="Z63:AA63" si="30">SUM(Z20)</f>
        <v>29921000</v>
      </c>
      <c r="AA63" s="111">
        <f t="shared" si="30"/>
        <v>0</v>
      </c>
    </row>
    <row r="64" spans="1:31" x14ac:dyDescent="0.3">
      <c r="C64" s="59" t="s">
        <v>227</v>
      </c>
      <c r="W64" s="111">
        <f>SUM(W9,W10,W13,W14,W15,W16,W18,W29,W38,W56,W32)</f>
        <v>810000000</v>
      </c>
      <c r="X64" s="111">
        <v>10</v>
      </c>
      <c r="Y64" s="111">
        <f>SUM(Y9,Y10,Y13,Y14,Y15,Y16,Y18,Y29,Y38,Y56,Y32)</f>
        <v>0</v>
      </c>
      <c r="Z64" s="111">
        <f t="shared" ref="Z64:AA64" si="31">SUM(Z9,Z10,Z13,Z14,Z15,Z16,Z18,Z29,Z38,Z56)</f>
        <v>0</v>
      </c>
      <c r="AA64" s="111">
        <f t="shared" si="31"/>
        <v>0</v>
      </c>
    </row>
  </sheetData>
  <mergeCells count="2">
    <mergeCell ref="A1:AC1"/>
    <mergeCell ref="A2:J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43" zoomScale="70" zoomScaleNormal="70" workbookViewId="0">
      <selection activeCell="F33" sqref="F33"/>
    </sheetView>
  </sheetViews>
  <sheetFormatPr defaultRowHeight="16.5" x14ac:dyDescent="0.3"/>
  <cols>
    <col min="1" max="1" width="5.140625" style="110" customWidth="1"/>
    <col min="2" max="2" width="4.85546875" style="110" customWidth="1"/>
    <col min="3" max="3" width="49.85546875" style="59" customWidth="1"/>
    <col min="4" max="4" width="16.28515625" style="111" customWidth="1"/>
    <col min="5" max="5" width="15.7109375" style="111" customWidth="1"/>
    <col min="6" max="6" width="15.140625" style="111" customWidth="1"/>
    <col min="7" max="13" width="16.28515625" style="111" hidden="1" customWidth="1"/>
    <col min="14" max="14" width="20.85546875" style="111" hidden="1" customWidth="1"/>
    <col min="15" max="15" width="14.7109375" style="111" customWidth="1"/>
    <col min="16" max="16" width="16.28515625" style="111" customWidth="1"/>
    <col min="17" max="17" width="31.5703125" style="111" customWidth="1"/>
    <col min="18" max="20" width="13.42578125" style="59" bestFit="1" customWidth="1"/>
    <col min="21" max="259" width="9.140625" style="59"/>
    <col min="260" max="260" width="5.140625" style="59" customWidth="1"/>
    <col min="261" max="261" width="4.85546875" style="59" customWidth="1"/>
    <col min="262" max="262" width="49.85546875" style="59" customWidth="1"/>
    <col min="263" max="263" width="16.28515625" style="59" customWidth="1"/>
    <col min="264" max="264" width="15.7109375" style="59" customWidth="1"/>
    <col min="265" max="265" width="15.140625" style="59" customWidth="1"/>
    <col min="266" max="266" width="16.28515625" style="59" customWidth="1"/>
    <col min="267" max="272" width="0" style="59" hidden="1" customWidth="1"/>
    <col min="273" max="273" width="31.5703125" style="59" customWidth="1"/>
    <col min="274" max="276" width="13.42578125" style="59" bestFit="1" customWidth="1"/>
    <col min="277" max="515" width="9.140625" style="59"/>
    <col min="516" max="516" width="5.140625" style="59" customWidth="1"/>
    <col min="517" max="517" width="4.85546875" style="59" customWidth="1"/>
    <col min="518" max="518" width="49.85546875" style="59" customWidth="1"/>
    <col min="519" max="519" width="16.28515625" style="59" customWidth="1"/>
    <col min="520" max="520" width="15.7109375" style="59" customWidth="1"/>
    <col min="521" max="521" width="15.140625" style="59" customWidth="1"/>
    <col min="522" max="522" width="16.28515625" style="59" customWidth="1"/>
    <col min="523" max="528" width="0" style="59" hidden="1" customWidth="1"/>
    <col min="529" max="529" width="31.5703125" style="59" customWidth="1"/>
    <col min="530" max="532" width="13.42578125" style="59" bestFit="1" customWidth="1"/>
    <col min="533" max="771" width="9.140625" style="59"/>
    <col min="772" max="772" width="5.140625" style="59" customWidth="1"/>
    <col min="773" max="773" width="4.85546875" style="59" customWidth="1"/>
    <col min="774" max="774" width="49.85546875" style="59" customWidth="1"/>
    <col min="775" max="775" width="16.28515625" style="59" customWidth="1"/>
    <col min="776" max="776" width="15.7109375" style="59" customWidth="1"/>
    <col min="777" max="777" width="15.140625" style="59" customWidth="1"/>
    <col min="778" max="778" width="16.28515625" style="59" customWidth="1"/>
    <col min="779" max="784" width="0" style="59" hidden="1" customWidth="1"/>
    <col min="785" max="785" width="31.5703125" style="59" customWidth="1"/>
    <col min="786" max="788" width="13.42578125" style="59" bestFit="1" customWidth="1"/>
    <col min="789" max="1027" width="9.140625" style="59"/>
    <col min="1028" max="1028" width="5.140625" style="59" customWidth="1"/>
    <col min="1029" max="1029" width="4.85546875" style="59" customWidth="1"/>
    <col min="1030" max="1030" width="49.85546875" style="59" customWidth="1"/>
    <col min="1031" max="1031" width="16.28515625" style="59" customWidth="1"/>
    <col min="1032" max="1032" width="15.7109375" style="59" customWidth="1"/>
    <col min="1033" max="1033" width="15.140625" style="59" customWidth="1"/>
    <col min="1034" max="1034" width="16.28515625" style="59" customWidth="1"/>
    <col min="1035" max="1040" width="0" style="59" hidden="1" customWidth="1"/>
    <col min="1041" max="1041" width="31.5703125" style="59" customWidth="1"/>
    <col min="1042" max="1044" width="13.42578125" style="59" bestFit="1" customWidth="1"/>
    <col min="1045" max="1283" width="9.140625" style="59"/>
    <col min="1284" max="1284" width="5.140625" style="59" customWidth="1"/>
    <col min="1285" max="1285" width="4.85546875" style="59" customWidth="1"/>
    <col min="1286" max="1286" width="49.85546875" style="59" customWidth="1"/>
    <col min="1287" max="1287" width="16.28515625" style="59" customWidth="1"/>
    <col min="1288" max="1288" width="15.7109375" style="59" customWidth="1"/>
    <col min="1289" max="1289" width="15.140625" style="59" customWidth="1"/>
    <col min="1290" max="1290" width="16.28515625" style="59" customWidth="1"/>
    <col min="1291" max="1296" width="0" style="59" hidden="1" customWidth="1"/>
    <col min="1297" max="1297" width="31.5703125" style="59" customWidth="1"/>
    <col min="1298" max="1300" width="13.42578125" style="59" bestFit="1" customWidth="1"/>
    <col min="1301" max="1539" width="9.140625" style="59"/>
    <col min="1540" max="1540" width="5.140625" style="59" customWidth="1"/>
    <col min="1541" max="1541" width="4.85546875" style="59" customWidth="1"/>
    <col min="1542" max="1542" width="49.85546875" style="59" customWidth="1"/>
    <col min="1543" max="1543" width="16.28515625" style="59" customWidth="1"/>
    <col min="1544" max="1544" width="15.7109375" style="59" customWidth="1"/>
    <col min="1545" max="1545" width="15.140625" style="59" customWidth="1"/>
    <col min="1546" max="1546" width="16.28515625" style="59" customWidth="1"/>
    <col min="1547" max="1552" width="0" style="59" hidden="1" customWidth="1"/>
    <col min="1553" max="1553" width="31.5703125" style="59" customWidth="1"/>
    <col min="1554" max="1556" width="13.42578125" style="59" bestFit="1" customWidth="1"/>
    <col min="1557" max="1795" width="9.140625" style="59"/>
    <col min="1796" max="1796" width="5.140625" style="59" customWidth="1"/>
    <col min="1797" max="1797" width="4.85546875" style="59" customWidth="1"/>
    <col min="1798" max="1798" width="49.85546875" style="59" customWidth="1"/>
    <col min="1799" max="1799" width="16.28515625" style="59" customWidth="1"/>
    <col min="1800" max="1800" width="15.7109375" style="59" customWidth="1"/>
    <col min="1801" max="1801" width="15.140625" style="59" customWidth="1"/>
    <col min="1802" max="1802" width="16.28515625" style="59" customWidth="1"/>
    <col min="1803" max="1808" width="0" style="59" hidden="1" customWidth="1"/>
    <col min="1809" max="1809" width="31.5703125" style="59" customWidth="1"/>
    <col min="1810" max="1812" width="13.42578125" style="59" bestFit="1" customWidth="1"/>
    <col min="1813" max="2051" width="9.140625" style="59"/>
    <col min="2052" max="2052" width="5.140625" style="59" customWidth="1"/>
    <col min="2053" max="2053" width="4.85546875" style="59" customWidth="1"/>
    <col min="2054" max="2054" width="49.85546875" style="59" customWidth="1"/>
    <col min="2055" max="2055" width="16.28515625" style="59" customWidth="1"/>
    <col min="2056" max="2056" width="15.7109375" style="59" customWidth="1"/>
    <col min="2057" max="2057" width="15.140625" style="59" customWidth="1"/>
    <col min="2058" max="2058" width="16.28515625" style="59" customWidth="1"/>
    <col min="2059" max="2064" width="0" style="59" hidden="1" customWidth="1"/>
    <col min="2065" max="2065" width="31.5703125" style="59" customWidth="1"/>
    <col min="2066" max="2068" width="13.42578125" style="59" bestFit="1" customWidth="1"/>
    <col min="2069" max="2307" width="9.140625" style="59"/>
    <col min="2308" max="2308" width="5.140625" style="59" customWidth="1"/>
    <col min="2309" max="2309" width="4.85546875" style="59" customWidth="1"/>
    <col min="2310" max="2310" width="49.85546875" style="59" customWidth="1"/>
    <col min="2311" max="2311" width="16.28515625" style="59" customWidth="1"/>
    <col min="2312" max="2312" width="15.7109375" style="59" customWidth="1"/>
    <col min="2313" max="2313" width="15.140625" style="59" customWidth="1"/>
    <col min="2314" max="2314" width="16.28515625" style="59" customWidth="1"/>
    <col min="2315" max="2320" width="0" style="59" hidden="1" customWidth="1"/>
    <col min="2321" max="2321" width="31.5703125" style="59" customWidth="1"/>
    <col min="2322" max="2324" width="13.42578125" style="59" bestFit="1" customWidth="1"/>
    <col min="2325" max="2563" width="9.140625" style="59"/>
    <col min="2564" max="2564" width="5.140625" style="59" customWidth="1"/>
    <col min="2565" max="2565" width="4.85546875" style="59" customWidth="1"/>
    <col min="2566" max="2566" width="49.85546875" style="59" customWidth="1"/>
    <col min="2567" max="2567" width="16.28515625" style="59" customWidth="1"/>
    <col min="2568" max="2568" width="15.7109375" style="59" customWidth="1"/>
    <col min="2569" max="2569" width="15.140625" style="59" customWidth="1"/>
    <col min="2570" max="2570" width="16.28515625" style="59" customWidth="1"/>
    <col min="2571" max="2576" width="0" style="59" hidden="1" customWidth="1"/>
    <col min="2577" max="2577" width="31.5703125" style="59" customWidth="1"/>
    <col min="2578" max="2580" width="13.42578125" style="59" bestFit="1" customWidth="1"/>
    <col min="2581" max="2819" width="9.140625" style="59"/>
    <col min="2820" max="2820" width="5.140625" style="59" customWidth="1"/>
    <col min="2821" max="2821" width="4.85546875" style="59" customWidth="1"/>
    <col min="2822" max="2822" width="49.85546875" style="59" customWidth="1"/>
    <col min="2823" max="2823" width="16.28515625" style="59" customWidth="1"/>
    <col min="2824" max="2824" width="15.7109375" style="59" customWidth="1"/>
    <col min="2825" max="2825" width="15.140625" style="59" customWidth="1"/>
    <col min="2826" max="2826" width="16.28515625" style="59" customWidth="1"/>
    <col min="2827" max="2832" width="0" style="59" hidden="1" customWidth="1"/>
    <col min="2833" max="2833" width="31.5703125" style="59" customWidth="1"/>
    <col min="2834" max="2836" width="13.42578125" style="59" bestFit="1" customWidth="1"/>
    <col min="2837" max="3075" width="9.140625" style="59"/>
    <col min="3076" max="3076" width="5.140625" style="59" customWidth="1"/>
    <col min="3077" max="3077" width="4.85546875" style="59" customWidth="1"/>
    <col min="3078" max="3078" width="49.85546875" style="59" customWidth="1"/>
    <col min="3079" max="3079" width="16.28515625" style="59" customWidth="1"/>
    <col min="3080" max="3080" width="15.7109375" style="59" customWidth="1"/>
    <col min="3081" max="3081" width="15.140625" style="59" customWidth="1"/>
    <col min="3082" max="3082" width="16.28515625" style="59" customWidth="1"/>
    <col min="3083" max="3088" width="0" style="59" hidden="1" customWidth="1"/>
    <col min="3089" max="3089" width="31.5703125" style="59" customWidth="1"/>
    <col min="3090" max="3092" width="13.42578125" style="59" bestFit="1" customWidth="1"/>
    <col min="3093" max="3331" width="9.140625" style="59"/>
    <col min="3332" max="3332" width="5.140625" style="59" customWidth="1"/>
    <col min="3333" max="3333" width="4.85546875" style="59" customWidth="1"/>
    <col min="3334" max="3334" width="49.85546875" style="59" customWidth="1"/>
    <col min="3335" max="3335" width="16.28515625" style="59" customWidth="1"/>
    <col min="3336" max="3336" width="15.7109375" style="59" customWidth="1"/>
    <col min="3337" max="3337" width="15.140625" style="59" customWidth="1"/>
    <col min="3338" max="3338" width="16.28515625" style="59" customWidth="1"/>
    <col min="3339" max="3344" width="0" style="59" hidden="1" customWidth="1"/>
    <col min="3345" max="3345" width="31.5703125" style="59" customWidth="1"/>
    <col min="3346" max="3348" width="13.42578125" style="59" bestFit="1" customWidth="1"/>
    <col min="3349" max="3587" width="9.140625" style="59"/>
    <col min="3588" max="3588" width="5.140625" style="59" customWidth="1"/>
    <col min="3589" max="3589" width="4.85546875" style="59" customWidth="1"/>
    <col min="3590" max="3590" width="49.85546875" style="59" customWidth="1"/>
    <col min="3591" max="3591" width="16.28515625" style="59" customWidth="1"/>
    <col min="3592" max="3592" width="15.7109375" style="59" customWidth="1"/>
    <col min="3593" max="3593" width="15.140625" style="59" customWidth="1"/>
    <col min="3594" max="3594" width="16.28515625" style="59" customWidth="1"/>
    <col min="3595" max="3600" width="0" style="59" hidden="1" customWidth="1"/>
    <col min="3601" max="3601" width="31.5703125" style="59" customWidth="1"/>
    <col min="3602" max="3604" width="13.42578125" style="59" bestFit="1" customWidth="1"/>
    <col min="3605" max="3843" width="9.140625" style="59"/>
    <col min="3844" max="3844" width="5.140625" style="59" customWidth="1"/>
    <col min="3845" max="3845" width="4.85546875" style="59" customWidth="1"/>
    <col min="3846" max="3846" width="49.85546875" style="59" customWidth="1"/>
    <col min="3847" max="3847" width="16.28515625" style="59" customWidth="1"/>
    <col min="3848" max="3848" width="15.7109375" style="59" customWidth="1"/>
    <col min="3849" max="3849" width="15.140625" style="59" customWidth="1"/>
    <col min="3850" max="3850" width="16.28515625" style="59" customWidth="1"/>
    <col min="3851" max="3856" width="0" style="59" hidden="1" customWidth="1"/>
    <col min="3857" max="3857" width="31.5703125" style="59" customWidth="1"/>
    <col min="3858" max="3860" width="13.42578125" style="59" bestFit="1" customWidth="1"/>
    <col min="3861" max="4099" width="9.140625" style="59"/>
    <col min="4100" max="4100" width="5.140625" style="59" customWidth="1"/>
    <col min="4101" max="4101" width="4.85546875" style="59" customWidth="1"/>
    <col min="4102" max="4102" width="49.85546875" style="59" customWidth="1"/>
    <col min="4103" max="4103" width="16.28515625" style="59" customWidth="1"/>
    <col min="4104" max="4104" width="15.7109375" style="59" customWidth="1"/>
    <col min="4105" max="4105" width="15.140625" style="59" customWidth="1"/>
    <col min="4106" max="4106" width="16.28515625" style="59" customWidth="1"/>
    <col min="4107" max="4112" width="0" style="59" hidden="1" customWidth="1"/>
    <col min="4113" max="4113" width="31.5703125" style="59" customWidth="1"/>
    <col min="4114" max="4116" width="13.42578125" style="59" bestFit="1" customWidth="1"/>
    <col min="4117" max="4355" width="9.140625" style="59"/>
    <col min="4356" max="4356" width="5.140625" style="59" customWidth="1"/>
    <col min="4357" max="4357" width="4.85546875" style="59" customWidth="1"/>
    <col min="4358" max="4358" width="49.85546875" style="59" customWidth="1"/>
    <col min="4359" max="4359" width="16.28515625" style="59" customWidth="1"/>
    <col min="4360" max="4360" width="15.7109375" style="59" customWidth="1"/>
    <col min="4361" max="4361" width="15.140625" style="59" customWidth="1"/>
    <col min="4362" max="4362" width="16.28515625" style="59" customWidth="1"/>
    <col min="4363" max="4368" width="0" style="59" hidden="1" customWidth="1"/>
    <col min="4369" max="4369" width="31.5703125" style="59" customWidth="1"/>
    <col min="4370" max="4372" width="13.42578125" style="59" bestFit="1" customWidth="1"/>
    <col min="4373" max="4611" width="9.140625" style="59"/>
    <col min="4612" max="4612" width="5.140625" style="59" customWidth="1"/>
    <col min="4613" max="4613" width="4.85546875" style="59" customWidth="1"/>
    <col min="4614" max="4614" width="49.85546875" style="59" customWidth="1"/>
    <col min="4615" max="4615" width="16.28515625" style="59" customWidth="1"/>
    <col min="4616" max="4616" width="15.7109375" style="59" customWidth="1"/>
    <col min="4617" max="4617" width="15.140625" style="59" customWidth="1"/>
    <col min="4618" max="4618" width="16.28515625" style="59" customWidth="1"/>
    <col min="4619" max="4624" width="0" style="59" hidden="1" customWidth="1"/>
    <col min="4625" max="4625" width="31.5703125" style="59" customWidth="1"/>
    <col min="4626" max="4628" width="13.42578125" style="59" bestFit="1" customWidth="1"/>
    <col min="4629" max="4867" width="9.140625" style="59"/>
    <col min="4868" max="4868" width="5.140625" style="59" customWidth="1"/>
    <col min="4869" max="4869" width="4.85546875" style="59" customWidth="1"/>
    <col min="4870" max="4870" width="49.85546875" style="59" customWidth="1"/>
    <col min="4871" max="4871" width="16.28515625" style="59" customWidth="1"/>
    <col min="4872" max="4872" width="15.7109375" style="59" customWidth="1"/>
    <col min="4873" max="4873" width="15.140625" style="59" customWidth="1"/>
    <col min="4874" max="4874" width="16.28515625" style="59" customWidth="1"/>
    <col min="4875" max="4880" width="0" style="59" hidden="1" customWidth="1"/>
    <col min="4881" max="4881" width="31.5703125" style="59" customWidth="1"/>
    <col min="4882" max="4884" width="13.42578125" style="59" bestFit="1" customWidth="1"/>
    <col min="4885" max="5123" width="9.140625" style="59"/>
    <col min="5124" max="5124" width="5.140625" style="59" customWidth="1"/>
    <col min="5125" max="5125" width="4.85546875" style="59" customWidth="1"/>
    <col min="5126" max="5126" width="49.85546875" style="59" customWidth="1"/>
    <col min="5127" max="5127" width="16.28515625" style="59" customWidth="1"/>
    <col min="5128" max="5128" width="15.7109375" style="59" customWidth="1"/>
    <col min="5129" max="5129" width="15.140625" style="59" customWidth="1"/>
    <col min="5130" max="5130" width="16.28515625" style="59" customWidth="1"/>
    <col min="5131" max="5136" width="0" style="59" hidden="1" customWidth="1"/>
    <col min="5137" max="5137" width="31.5703125" style="59" customWidth="1"/>
    <col min="5138" max="5140" width="13.42578125" style="59" bestFit="1" customWidth="1"/>
    <col min="5141" max="5379" width="9.140625" style="59"/>
    <col min="5380" max="5380" width="5.140625" style="59" customWidth="1"/>
    <col min="5381" max="5381" width="4.85546875" style="59" customWidth="1"/>
    <col min="5382" max="5382" width="49.85546875" style="59" customWidth="1"/>
    <col min="5383" max="5383" width="16.28515625" style="59" customWidth="1"/>
    <col min="5384" max="5384" width="15.7109375" style="59" customWidth="1"/>
    <col min="5385" max="5385" width="15.140625" style="59" customWidth="1"/>
    <col min="5386" max="5386" width="16.28515625" style="59" customWidth="1"/>
    <col min="5387" max="5392" width="0" style="59" hidden="1" customWidth="1"/>
    <col min="5393" max="5393" width="31.5703125" style="59" customWidth="1"/>
    <col min="5394" max="5396" width="13.42578125" style="59" bestFit="1" customWidth="1"/>
    <col min="5397" max="5635" width="9.140625" style="59"/>
    <col min="5636" max="5636" width="5.140625" style="59" customWidth="1"/>
    <col min="5637" max="5637" width="4.85546875" style="59" customWidth="1"/>
    <col min="5638" max="5638" width="49.85546875" style="59" customWidth="1"/>
    <col min="5639" max="5639" width="16.28515625" style="59" customWidth="1"/>
    <col min="5640" max="5640" width="15.7109375" style="59" customWidth="1"/>
    <col min="5641" max="5641" width="15.140625" style="59" customWidth="1"/>
    <col min="5642" max="5642" width="16.28515625" style="59" customWidth="1"/>
    <col min="5643" max="5648" width="0" style="59" hidden="1" customWidth="1"/>
    <col min="5649" max="5649" width="31.5703125" style="59" customWidth="1"/>
    <col min="5650" max="5652" width="13.42578125" style="59" bestFit="1" customWidth="1"/>
    <col min="5653" max="5891" width="9.140625" style="59"/>
    <col min="5892" max="5892" width="5.140625" style="59" customWidth="1"/>
    <col min="5893" max="5893" width="4.85546875" style="59" customWidth="1"/>
    <col min="5894" max="5894" width="49.85546875" style="59" customWidth="1"/>
    <col min="5895" max="5895" width="16.28515625" style="59" customWidth="1"/>
    <col min="5896" max="5896" width="15.7109375" style="59" customWidth="1"/>
    <col min="5897" max="5897" width="15.140625" style="59" customWidth="1"/>
    <col min="5898" max="5898" width="16.28515625" style="59" customWidth="1"/>
    <col min="5899" max="5904" width="0" style="59" hidden="1" customWidth="1"/>
    <col min="5905" max="5905" width="31.5703125" style="59" customWidth="1"/>
    <col min="5906" max="5908" width="13.42578125" style="59" bestFit="1" customWidth="1"/>
    <col min="5909" max="6147" width="9.140625" style="59"/>
    <col min="6148" max="6148" width="5.140625" style="59" customWidth="1"/>
    <col min="6149" max="6149" width="4.85546875" style="59" customWidth="1"/>
    <col min="6150" max="6150" width="49.85546875" style="59" customWidth="1"/>
    <col min="6151" max="6151" width="16.28515625" style="59" customWidth="1"/>
    <col min="6152" max="6152" width="15.7109375" style="59" customWidth="1"/>
    <col min="6153" max="6153" width="15.140625" style="59" customWidth="1"/>
    <col min="6154" max="6154" width="16.28515625" style="59" customWidth="1"/>
    <col min="6155" max="6160" width="0" style="59" hidden="1" customWidth="1"/>
    <col min="6161" max="6161" width="31.5703125" style="59" customWidth="1"/>
    <col min="6162" max="6164" width="13.42578125" style="59" bestFit="1" customWidth="1"/>
    <col min="6165" max="6403" width="9.140625" style="59"/>
    <col min="6404" max="6404" width="5.140625" style="59" customWidth="1"/>
    <col min="6405" max="6405" width="4.85546875" style="59" customWidth="1"/>
    <col min="6406" max="6406" width="49.85546875" style="59" customWidth="1"/>
    <col min="6407" max="6407" width="16.28515625" style="59" customWidth="1"/>
    <col min="6408" max="6408" width="15.7109375" style="59" customWidth="1"/>
    <col min="6409" max="6409" width="15.140625" style="59" customWidth="1"/>
    <col min="6410" max="6410" width="16.28515625" style="59" customWidth="1"/>
    <col min="6411" max="6416" width="0" style="59" hidden="1" customWidth="1"/>
    <col min="6417" max="6417" width="31.5703125" style="59" customWidth="1"/>
    <col min="6418" max="6420" width="13.42578125" style="59" bestFit="1" customWidth="1"/>
    <col min="6421" max="6659" width="9.140625" style="59"/>
    <col min="6660" max="6660" width="5.140625" style="59" customWidth="1"/>
    <col min="6661" max="6661" width="4.85546875" style="59" customWidth="1"/>
    <col min="6662" max="6662" width="49.85546875" style="59" customWidth="1"/>
    <col min="6663" max="6663" width="16.28515625" style="59" customWidth="1"/>
    <col min="6664" max="6664" width="15.7109375" style="59" customWidth="1"/>
    <col min="6665" max="6665" width="15.140625" style="59" customWidth="1"/>
    <col min="6666" max="6666" width="16.28515625" style="59" customWidth="1"/>
    <col min="6667" max="6672" width="0" style="59" hidden="1" customWidth="1"/>
    <col min="6673" max="6673" width="31.5703125" style="59" customWidth="1"/>
    <col min="6674" max="6676" width="13.42578125" style="59" bestFit="1" customWidth="1"/>
    <col min="6677" max="6915" width="9.140625" style="59"/>
    <col min="6916" max="6916" width="5.140625" style="59" customWidth="1"/>
    <col min="6917" max="6917" width="4.85546875" style="59" customWidth="1"/>
    <col min="6918" max="6918" width="49.85546875" style="59" customWidth="1"/>
    <col min="6919" max="6919" width="16.28515625" style="59" customWidth="1"/>
    <col min="6920" max="6920" width="15.7109375" style="59" customWidth="1"/>
    <col min="6921" max="6921" width="15.140625" style="59" customWidth="1"/>
    <col min="6922" max="6922" width="16.28515625" style="59" customWidth="1"/>
    <col min="6923" max="6928" width="0" style="59" hidden="1" customWidth="1"/>
    <col min="6929" max="6929" width="31.5703125" style="59" customWidth="1"/>
    <col min="6930" max="6932" width="13.42578125" style="59" bestFit="1" customWidth="1"/>
    <col min="6933" max="7171" width="9.140625" style="59"/>
    <col min="7172" max="7172" width="5.140625" style="59" customWidth="1"/>
    <col min="7173" max="7173" width="4.85546875" style="59" customWidth="1"/>
    <col min="7174" max="7174" width="49.85546875" style="59" customWidth="1"/>
    <col min="7175" max="7175" width="16.28515625" style="59" customWidth="1"/>
    <col min="7176" max="7176" width="15.7109375" style="59" customWidth="1"/>
    <col min="7177" max="7177" width="15.140625" style="59" customWidth="1"/>
    <col min="7178" max="7178" width="16.28515625" style="59" customWidth="1"/>
    <col min="7179" max="7184" width="0" style="59" hidden="1" customWidth="1"/>
    <col min="7185" max="7185" width="31.5703125" style="59" customWidth="1"/>
    <col min="7186" max="7188" width="13.42578125" style="59" bestFit="1" customWidth="1"/>
    <col min="7189" max="7427" width="9.140625" style="59"/>
    <col min="7428" max="7428" width="5.140625" style="59" customWidth="1"/>
    <col min="7429" max="7429" width="4.85546875" style="59" customWidth="1"/>
    <col min="7430" max="7430" width="49.85546875" style="59" customWidth="1"/>
    <col min="7431" max="7431" width="16.28515625" style="59" customWidth="1"/>
    <col min="7432" max="7432" width="15.7109375" style="59" customWidth="1"/>
    <col min="7433" max="7433" width="15.140625" style="59" customWidth="1"/>
    <col min="7434" max="7434" width="16.28515625" style="59" customWidth="1"/>
    <col min="7435" max="7440" width="0" style="59" hidden="1" customWidth="1"/>
    <col min="7441" max="7441" width="31.5703125" style="59" customWidth="1"/>
    <col min="7442" max="7444" width="13.42578125" style="59" bestFit="1" customWidth="1"/>
    <col min="7445" max="7683" width="9.140625" style="59"/>
    <col min="7684" max="7684" width="5.140625" style="59" customWidth="1"/>
    <col min="7685" max="7685" width="4.85546875" style="59" customWidth="1"/>
    <col min="7686" max="7686" width="49.85546875" style="59" customWidth="1"/>
    <col min="7687" max="7687" width="16.28515625" style="59" customWidth="1"/>
    <col min="7688" max="7688" width="15.7109375" style="59" customWidth="1"/>
    <col min="7689" max="7689" width="15.140625" style="59" customWidth="1"/>
    <col min="7690" max="7690" width="16.28515625" style="59" customWidth="1"/>
    <col min="7691" max="7696" width="0" style="59" hidden="1" customWidth="1"/>
    <col min="7697" max="7697" width="31.5703125" style="59" customWidth="1"/>
    <col min="7698" max="7700" width="13.42578125" style="59" bestFit="1" customWidth="1"/>
    <col min="7701" max="7939" width="9.140625" style="59"/>
    <col min="7940" max="7940" width="5.140625" style="59" customWidth="1"/>
    <col min="7941" max="7941" width="4.85546875" style="59" customWidth="1"/>
    <col min="7942" max="7942" width="49.85546875" style="59" customWidth="1"/>
    <col min="7943" max="7943" width="16.28515625" style="59" customWidth="1"/>
    <col min="7944" max="7944" width="15.7109375" style="59" customWidth="1"/>
    <col min="7945" max="7945" width="15.140625" style="59" customWidth="1"/>
    <col min="7946" max="7946" width="16.28515625" style="59" customWidth="1"/>
    <col min="7947" max="7952" width="0" style="59" hidden="1" customWidth="1"/>
    <col min="7953" max="7953" width="31.5703125" style="59" customWidth="1"/>
    <col min="7954" max="7956" width="13.42578125" style="59" bestFit="1" customWidth="1"/>
    <col min="7957" max="8195" width="9.140625" style="59"/>
    <col min="8196" max="8196" width="5.140625" style="59" customWidth="1"/>
    <col min="8197" max="8197" width="4.85546875" style="59" customWidth="1"/>
    <col min="8198" max="8198" width="49.85546875" style="59" customWidth="1"/>
    <col min="8199" max="8199" width="16.28515625" style="59" customWidth="1"/>
    <col min="8200" max="8200" width="15.7109375" style="59" customWidth="1"/>
    <col min="8201" max="8201" width="15.140625" style="59" customWidth="1"/>
    <col min="8202" max="8202" width="16.28515625" style="59" customWidth="1"/>
    <col min="8203" max="8208" width="0" style="59" hidden="1" customWidth="1"/>
    <col min="8209" max="8209" width="31.5703125" style="59" customWidth="1"/>
    <col min="8210" max="8212" width="13.42578125" style="59" bestFit="1" customWidth="1"/>
    <col min="8213" max="8451" width="9.140625" style="59"/>
    <col min="8452" max="8452" width="5.140625" style="59" customWidth="1"/>
    <col min="8453" max="8453" width="4.85546875" style="59" customWidth="1"/>
    <col min="8454" max="8454" width="49.85546875" style="59" customWidth="1"/>
    <col min="8455" max="8455" width="16.28515625" style="59" customWidth="1"/>
    <col min="8456" max="8456" width="15.7109375" style="59" customWidth="1"/>
    <col min="8457" max="8457" width="15.140625" style="59" customWidth="1"/>
    <col min="8458" max="8458" width="16.28515625" style="59" customWidth="1"/>
    <col min="8459" max="8464" width="0" style="59" hidden="1" customWidth="1"/>
    <col min="8465" max="8465" width="31.5703125" style="59" customWidth="1"/>
    <col min="8466" max="8468" width="13.42578125" style="59" bestFit="1" customWidth="1"/>
    <col min="8469" max="8707" width="9.140625" style="59"/>
    <col min="8708" max="8708" width="5.140625" style="59" customWidth="1"/>
    <col min="8709" max="8709" width="4.85546875" style="59" customWidth="1"/>
    <col min="8710" max="8710" width="49.85546875" style="59" customWidth="1"/>
    <col min="8711" max="8711" width="16.28515625" style="59" customWidth="1"/>
    <col min="8712" max="8712" width="15.7109375" style="59" customWidth="1"/>
    <col min="8713" max="8713" width="15.140625" style="59" customWidth="1"/>
    <col min="8714" max="8714" width="16.28515625" style="59" customWidth="1"/>
    <col min="8715" max="8720" width="0" style="59" hidden="1" customWidth="1"/>
    <col min="8721" max="8721" width="31.5703125" style="59" customWidth="1"/>
    <col min="8722" max="8724" width="13.42578125" style="59" bestFit="1" customWidth="1"/>
    <col min="8725" max="8963" width="9.140625" style="59"/>
    <col min="8964" max="8964" width="5.140625" style="59" customWidth="1"/>
    <col min="8965" max="8965" width="4.85546875" style="59" customWidth="1"/>
    <col min="8966" max="8966" width="49.85546875" style="59" customWidth="1"/>
    <col min="8967" max="8967" width="16.28515625" style="59" customWidth="1"/>
    <col min="8968" max="8968" width="15.7109375" style="59" customWidth="1"/>
    <col min="8969" max="8969" width="15.140625" style="59" customWidth="1"/>
    <col min="8970" max="8970" width="16.28515625" style="59" customWidth="1"/>
    <col min="8971" max="8976" width="0" style="59" hidden="1" customWidth="1"/>
    <col min="8977" max="8977" width="31.5703125" style="59" customWidth="1"/>
    <col min="8978" max="8980" width="13.42578125" style="59" bestFit="1" customWidth="1"/>
    <col min="8981" max="9219" width="9.140625" style="59"/>
    <col min="9220" max="9220" width="5.140625" style="59" customWidth="1"/>
    <col min="9221" max="9221" width="4.85546875" style="59" customWidth="1"/>
    <col min="9222" max="9222" width="49.85546875" style="59" customWidth="1"/>
    <col min="9223" max="9223" width="16.28515625" style="59" customWidth="1"/>
    <col min="9224" max="9224" width="15.7109375" style="59" customWidth="1"/>
    <col min="9225" max="9225" width="15.140625" style="59" customWidth="1"/>
    <col min="9226" max="9226" width="16.28515625" style="59" customWidth="1"/>
    <col min="9227" max="9232" width="0" style="59" hidden="1" customWidth="1"/>
    <col min="9233" max="9233" width="31.5703125" style="59" customWidth="1"/>
    <col min="9234" max="9236" width="13.42578125" style="59" bestFit="1" customWidth="1"/>
    <col min="9237" max="9475" width="9.140625" style="59"/>
    <col min="9476" max="9476" width="5.140625" style="59" customWidth="1"/>
    <col min="9477" max="9477" width="4.85546875" style="59" customWidth="1"/>
    <col min="9478" max="9478" width="49.85546875" style="59" customWidth="1"/>
    <col min="9479" max="9479" width="16.28515625" style="59" customWidth="1"/>
    <col min="9480" max="9480" width="15.7109375" style="59" customWidth="1"/>
    <col min="9481" max="9481" width="15.140625" style="59" customWidth="1"/>
    <col min="9482" max="9482" width="16.28515625" style="59" customWidth="1"/>
    <col min="9483" max="9488" width="0" style="59" hidden="1" customWidth="1"/>
    <col min="9489" max="9489" width="31.5703125" style="59" customWidth="1"/>
    <col min="9490" max="9492" width="13.42578125" style="59" bestFit="1" customWidth="1"/>
    <col min="9493" max="9731" width="9.140625" style="59"/>
    <col min="9732" max="9732" width="5.140625" style="59" customWidth="1"/>
    <col min="9733" max="9733" width="4.85546875" style="59" customWidth="1"/>
    <col min="9734" max="9734" width="49.85546875" style="59" customWidth="1"/>
    <col min="9735" max="9735" width="16.28515625" style="59" customWidth="1"/>
    <col min="9736" max="9736" width="15.7109375" style="59" customWidth="1"/>
    <col min="9737" max="9737" width="15.140625" style="59" customWidth="1"/>
    <col min="9738" max="9738" width="16.28515625" style="59" customWidth="1"/>
    <col min="9739" max="9744" width="0" style="59" hidden="1" customWidth="1"/>
    <col min="9745" max="9745" width="31.5703125" style="59" customWidth="1"/>
    <col min="9746" max="9748" width="13.42578125" style="59" bestFit="1" customWidth="1"/>
    <col min="9749" max="9987" width="9.140625" style="59"/>
    <col min="9988" max="9988" width="5.140625" style="59" customWidth="1"/>
    <col min="9989" max="9989" width="4.85546875" style="59" customWidth="1"/>
    <col min="9990" max="9990" width="49.85546875" style="59" customWidth="1"/>
    <col min="9991" max="9991" width="16.28515625" style="59" customWidth="1"/>
    <col min="9992" max="9992" width="15.7109375" style="59" customWidth="1"/>
    <col min="9993" max="9993" width="15.140625" style="59" customWidth="1"/>
    <col min="9994" max="9994" width="16.28515625" style="59" customWidth="1"/>
    <col min="9995" max="10000" width="0" style="59" hidden="1" customWidth="1"/>
    <col min="10001" max="10001" width="31.5703125" style="59" customWidth="1"/>
    <col min="10002" max="10004" width="13.42578125" style="59" bestFit="1" customWidth="1"/>
    <col min="10005" max="10243" width="9.140625" style="59"/>
    <col min="10244" max="10244" width="5.140625" style="59" customWidth="1"/>
    <col min="10245" max="10245" width="4.85546875" style="59" customWidth="1"/>
    <col min="10246" max="10246" width="49.85546875" style="59" customWidth="1"/>
    <col min="10247" max="10247" width="16.28515625" style="59" customWidth="1"/>
    <col min="10248" max="10248" width="15.7109375" style="59" customWidth="1"/>
    <col min="10249" max="10249" width="15.140625" style="59" customWidth="1"/>
    <col min="10250" max="10250" width="16.28515625" style="59" customWidth="1"/>
    <col min="10251" max="10256" width="0" style="59" hidden="1" customWidth="1"/>
    <col min="10257" max="10257" width="31.5703125" style="59" customWidth="1"/>
    <col min="10258" max="10260" width="13.42578125" style="59" bestFit="1" customWidth="1"/>
    <col min="10261" max="10499" width="9.140625" style="59"/>
    <col min="10500" max="10500" width="5.140625" style="59" customWidth="1"/>
    <col min="10501" max="10501" width="4.85546875" style="59" customWidth="1"/>
    <col min="10502" max="10502" width="49.85546875" style="59" customWidth="1"/>
    <col min="10503" max="10503" width="16.28515625" style="59" customWidth="1"/>
    <col min="10504" max="10504" width="15.7109375" style="59" customWidth="1"/>
    <col min="10505" max="10505" width="15.140625" style="59" customWidth="1"/>
    <col min="10506" max="10506" width="16.28515625" style="59" customWidth="1"/>
    <col min="10507" max="10512" width="0" style="59" hidden="1" customWidth="1"/>
    <col min="10513" max="10513" width="31.5703125" style="59" customWidth="1"/>
    <col min="10514" max="10516" width="13.42578125" style="59" bestFit="1" customWidth="1"/>
    <col min="10517" max="10755" width="9.140625" style="59"/>
    <col min="10756" max="10756" width="5.140625" style="59" customWidth="1"/>
    <col min="10757" max="10757" width="4.85546875" style="59" customWidth="1"/>
    <col min="10758" max="10758" width="49.85546875" style="59" customWidth="1"/>
    <col min="10759" max="10759" width="16.28515625" style="59" customWidth="1"/>
    <col min="10760" max="10760" width="15.7109375" style="59" customWidth="1"/>
    <col min="10761" max="10761" width="15.140625" style="59" customWidth="1"/>
    <col min="10762" max="10762" width="16.28515625" style="59" customWidth="1"/>
    <col min="10763" max="10768" width="0" style="59" hidden="1" customWidth="1"/>
    <col min="10769" max="10769" width="31.5703125" style="59" customWidth="1"/>
    <col min="10770" max="10772" width="13.42578125" style="59" bestFit="1" customWidth="1"/>
    <col min="10773" max="11011" width="9.140625" style="59"/>
    <col min="11012" max="11012" width="5.140625" style="59" customWidth="1"/>
    <col min="11013" max="11013" width="4.85546875" style="59" customWidth="1"/>
    <col min="11014" max="11014" width="49.85546875" style="59" customWidth="1"/>
    <col min="11015" max="11015" width="16.28515625" style="59" customWidth="1"/>
    <col min="11016" max="11016" width="15.7109375" style="59" customWidth="1"/>
    <col min="11017" max="11017" width="15.140625" style="59" customWidth="1"/>
    <col min="11018" max="11018" width="16.28515625" style="59" customWidth="1"/>
    <col min="11019" max="11024" width="0" style="59" hidden="1" customWidth="1"/>
    <col min="11025" max="11025" width="31.5703125" style="59" customWidth="1"/>
    <col min="11026" max="11028" width="13.42578125" style="59" bestFit="1" customWidth="1"/>
    <col min="11029" max="11267" width="9.140625" style="59"/>
    <col min="11268" max="11268" width="5.140625" style="59" customWidth="1"/>
    <col min="11269" max="11269" width="4.85546875" style="59" customWidth="1"/>
    <col min="11270" max="11270" width="49.85546875" style="59" customWidth="1"/>
    <col min="11271" max="11271" width="16.28515625" style="59" customWidth="1"/>
    <col min="11272" max="11272" width="15.7109375" style="59" customWidth="1"/>
    <col min="11273" max="11273" width="15.140625" style="59" customWidth="1"/>
    <col min="11274" max="11274" width="16.28515625" style="59" customWidth="1"/>
    <col min="11275" max="11280" width="0" style="59" hidden="1" customWidth="1"/>
    <col min="11281" max="11281" width="31.5703125" style="59" customWidth="1"/>
    <col min="11282" max="11284" width="13.42578125" style="59" bestFit="1" customWidth="1"/>
    <col min="11285" max="11523" width="9.140625" style="59"/>
    <col min="11524" max="11524" width="5.140625" style="59" customWidth="1"/>
    <col min="11525" max="11525" width="4.85546875" style="59" customWidth="1"/>
    <col min="11526" max="11526" width="49.85546875" style="59" customWidth="1"/>
    <col min="11527" max="11527" width="16.28515625" style="59" customWidth="1"/>
    <col min="11528" max="11528" width="15.7109375" style="59" customWidth="1"/>
    <col min="11529" max="11529" width="15.140625" style="59" customWidth="1"/>
    <col min="11530" max="11530" width="16.28515625" style="59" customWidth="1"/>
    <col min="11531" max="11536" width="0" style="59" hidden="1" customWidth="1"/>
    <col min="11537" max="11537" width="31.5703125" style="59" customWidth="1"/>
    <col min="11538" max="11540" width="13.42578125" style="59" bestFit="1" customWidth="1"/>
    <col min="11541" max="11779" width="9.140625" style="59"/>
    <col min="11780" max="11780" width="5.140625" style="59" customWidth="1"/>
    <col min="11781" max="11781" width="4.85546875" style="59" customWidth="1"/>
    <col min="11782" max="11782" width="49.85546875" style="59" customWidth="1"/>
    <col min="11783" max="11783" width="16.28515625" style="59" customWidth="1"/>
    <col min="11784" max="11784" width="15.7109375" style="59" customWidth="1"/>
    <col min="11785" max="11785" width="15.140625" style="59" customWidth="1"/>
    <col min="11786" max="11786" width="16.28515625" style="59" customWidth="1"/>
    <col min="11787" max="11792" width="0" style="59" hidden="1" customWidth="1"/>
    <col min="11793" max="11793" width="31.5703125" style="59" customWidth="1"/>
    <col min="11794" max="11796" width="13.42578125" style="59" bestFit="1" customWidth="1"/>
    <col min="11797" max="12035" width="9.140625" style="59"/>
    <col min="12036" max="12036" width="5.140625" style="59" customWidth="1"/>
    <col min="12037" max="12037" width="4.85546875" style="59" customWidth="1"/>
    <col min="12038" max="12038" width="49.85546875" style="59" customWidth="1"/>
    <col min="12039" max="12039" width="16.28515625" style="59" customWidth="1"/>
    <col min="12040" max="12040" width="15.7109375" style="59" customWidth="1"/>
    <col min="12041" max="12041" width="15.140625" style="59" customWidth="1"/>
    <col min="12042" max="12042" width="16.28515625" style="59" customWidth="1"/>
    <col min="12043" max="12048" width="0" style="59" hidden="1" customWidth="1"/>
    <col min="12049" max="12049" width="31.5703125" style="59" customWidth="1"/>
    <col min="12050" max="12052" width="13.42578125" style="59" bestFit="1" customWidth="1"/>
    <col min="12053" max="12291" width="9.140625" style="59"/>
    <col min="12292" max="12292" width="5.140625" style="59" customWidth="1"/>
    <col min="12293" max="12293" width="4.85546875" style="59" customWidth="1"/>
    <col min="12294" max="12294" width="49.85546875" style="59" customWidth="1"/>
    <col min="12295" max="12295" width="16.28515625" style="59" customWidth="1"/>
    <col min="12296" max="12296" width="15.7109375" style="59" customWidth="1"/>
    <col min="12297" max="12297" width="15.140625" style="59" customWidth="1"/>
    <col min="12298" max="12298" width="16.28515625" style="59" customWidth="1"/>
    <col min="12299" max="12304" width="0" style="59" hidden="1" customWidth="1"/>
    <col min="12305" max="12305" width="31.5703125" style="59" customWidth="1"/>
    <col min="12306" max="12308" width="13.42578125" style="59" bestFit="1" customWidth="1"/>
    <col min="12309" max="12547" width="9.140625" style="59"/>
    <col min="12548" max="12548" width="5.140625" style="59" customWidth="1"/>
    <col min="12549" max="12549" width="4.85546875" style="59" customWidth="1"/>
    <col min="12550" max="12550" width="49.85546875" style="59" customWidth="1"/>
    <col min="12551" max="12551" width="16.28515625" style="59" customWidth="1"/>
    <col min="12552" max="12552" width="15.7109375" style="59" customWidth="1"/>
    <col min="12553" max="12553" width="15.140625" style="59" customWidth="1"/>
    <col min="12554" max="12554" width="16.28515625" style="59" customWidth="1"/>
    <col min="12555" max="12560" width="0" style="59" hidden="1" customWidth="1"/>
    <col min="12561" max="12561" width="31.5703125" style="59" customWidth="1"/>
    <col min="12562" max="12564" width="13.42578125" style="59" bestFit="1" customWidth="1"/>
    <col min="12565" max="12803" width="9.140625" style="59"/>
    <col min="12804" max="12804" width="5.140625" style="59" customWidth="1"/>
    <col min="12805" max="12805" width="4.85546875" style="59" customWidth="1"/>
    <col min="12806" max="12806" width="49.85546875" style="59" customWidth="1"/>
    <col min="12807" max="12807" width="16.28515625" style="59" customWidth="1"/>
    <col min="12808" max="12808" width="15.7109375" style="59" customWidth="1"/>
    <col min="12809" max="12809" width="15.140625" style="59" customWidth="1"/>
    <col min="12810" max="12810" width="16.28515625" style="59" customWidth="1"/>
    <col min="12811" max="12816" width="0" style="59" hidden="1" customWidth="1"/>
    <col min="12817" max="12817" width="31.5703125" style="59" customWidth="1"/>
    <col min="12818" max="12820" width="13.42578125" style="59" bestFit="1" customWidth="1"/>
    <col min="12821" max="13059" width="9.140625" style="59"/>
    <col min="13060" max="13060" width="5.140625" style="59" customWidth="1"/>
    <col min="13061" max="13061" width="4.85546875" style="59" customWidth="1"/>
    <col min="13062" max="13062" width="49.85546875" style="59" customWidth="1"/>
    <col min="13063" max="13063" width="16.28515625" style="59" customWidth="1"/>
    <col min="13064" max="13064" width="15.7109375" style="59" customWidth="1"/>
    <col min="13065" max="13065" width="15.140625" style="59" customWidth="1"/>
    <col min="13066" max="13066" width="16.28515625" style="59" customWidth="1"/>
    <col min="13067" max="13072" width="0" style="59" hidden="1" customWidth="1"/>
    <col min="13073" max="13073" width="31.5703125" style="59" customWidth="1"/>
    <col min="13074" max="13076" width="13.42578125" style="59" bestFit="1" customWidth="1"/>
    <col min="13077" max="13315" width="9.140625" style="59"/>
    <col min="13316" max="13316" width="5.140625" style="59" customWidth="1"/>
    <col min="13317" max="13317" width="4.85546875" style="59" customWidth="1"/>
    <col min="13318" max="13318" width="49.85546875" style="59" customWidth="1"/>
    <col min="13319" max="13319" width="16.28515625" style="59" customWidth="1"/>
    <col min="13320" max="13320" width="15.7109375" style="59" customWidth="1"/>
    <col min="13321" max="13321" width="15.140625" style="59" customWidth="1"/>
    <col min="13322" max="13322" width="16.28515625" style="59" customWidth="1"/>
    <col min="13323" max="13328" width="0" style="59" hidden="1" customWidth="1"/>
    <col min="13329" max="13329" width="31.5703125" style="59" customWidth="1"/>
    <col min="13330" max="13332" width="13.42578125" style="59" bestFit="1" customWidth="1"/>
    <col min="13333" max="13571" width="9.140625" style="59"/>
    <col min="13572" max="13572" width="5.140625" style="59" customWidth="1"/>
    <col min="13573" max="13573" width="4.85546875" style="59" customWidth="1"/>
    <col min="13574" max="13574" width="49.85546875" style="59" customWidth="1"/>
    <col min="13575" max="13575" width="16.28515625" style="59" customWidth="1"/>
    <col min="13576" max="13576" width="15.7109375" style="59" customWidth="1"/>
    <col min="13577" max="13577" width="15.140625" style="59" customWidth="1"/>
    <col min="13578" max="13578" width="16.28515625" style="59" customWidth="1"/>
    <col min="13579" max="13584" width="0" style="59" hidden="1" customWidth="1"/>
    <col min="13585" max="13585" width="31.5703125" style="59" customWidth="1"/>
    <col min="13586" max="13588" width="13.42578125" style="59" bestFit="1" customWidth="1"/>
    <col min="13589" max="13827" width="9.140625" style="59"/>
    <col min="13828" max="13828" width="5.140625" style="59" customWidth="1"/>
    <col min="13829" max="13829" width="4.85546875" style="59" customWidth="1"/>
    <col min="13830" max="13830" width="49.85546875" style="59" customWidth="1"/>
    <col min="13831" max="13831" width="16.28515625" style="59" customWidth="1"/>
    <col min="13832" max="13832" width="15.7109375" style="59" customWidth="1"/>
    <col min="13833" max="13833" width="15.140625" style="59" customWidth="1"/>
    <col min="13834" max="13834" width="16.28515625" style="59" customWidth="1"/>
    <col min="13835" max="13840" width="0" style="59" hidden="1" customWidth="1"/>
    <col min="13841" max="13841" width="31.5703125" style="59" customWidth="1"/>
    <col min="13842" max="13844" width="13.42578125" style="59" bestFit="1" customWidth="1"/>
    <col min="13845" max="14083" width="9.140625" style="59"/>
    <col min="14084" max="14084" width="5.140625" style="59" customWidth="1"/>
    <col min="14085" max="14085" width="4.85546875" style="59" customWidth="1"/>
    <col min="14086" max="14086" width="49.85546875" style="59" customWidth="1"/>
    <col min="14087" max="14087" width="16.28515625" style="59" customWidth="1"/>
    <col min="14088" max="14088" width="15.7109375" style="59" customWidth="1"/>
    <col min="14089" max="14089" width="15.140625" style="59" customWidth="1"/>
    <col min="14090" max="14090" width="16.28515625" style="59" customWidth="1"/>
    <col min="14091" max="14096" width="0" style="59" hidden="1" customWidth="1"/>
    <col min="14097" max="14097" width="31.5703125" style="59" customWidth="1"/>
    <col min="14098" max="14100" width="13.42578125" style="59" bestFit="1" customWidth="1"/>
    <col min="14101" max="14339" width="9.140625" style="59"/>
    <col min="14340" max="14340" width="5.140625" style="59" customWidth="1"/>
    <col min="14341" max="14341" width="4.85546875" style="59" customWidth="1"/>
    <col min="14342" max="14342" width="49.85546875" style="59" customWidth="1"/>
    <col min="14343" max="14343" width="16.28515625" style="59" customWidth="1"/>
    <col min="14344" max="14344" width="15.7109375" style="59" customWidth="1"/>
    <col min="14345" max="14345" width="15.140625" style="59" customWidth="1"/>
    <col min="14346" max="14346" width="16.28515625" style="59" customWidth="1"/>
    <col min="14347" max="14352" width="0" style="59" hidden="1" customWidth="1"/>
    <col min="14353" max="14353" width="31.5703125" style="59" customWidth="1"/>
    <col min="14354" max="14356" width="13.42578125" style="59" bestFit="1" customWidth="1"/>
    <col min="14357" max="14595" width="9.140625" style="59"/>
    <col min="14596" max="14596" width="5.140625" style="59" customWidth="1"/>
    <col min="14597" max="14597" width="4.85546875" style="59" customWidth="1"/>
    <col min="14598" max="14598" width="49.85546875" style="59" customWidth="1"/>
    <col min="14599" max="14599" width="16.28515625" style="59" customWidth="1"/>
    <col min="14600" max="14600" width="15.7109375" style="59" customWidth="1"/>
    <col min="14601" max="14601" width="15.140625" style="59" customWidth="1"/>
    <col min="14602" max="14602" width="16.28515625" style="59" customWidth="1"/>
    <col min="14603" max="14608" width="0" style="59" hidden="1" customWidth="1"/>
    <col min="14609" max="14609" width="31.5703125" style="59" customWidth="1"/>
    <col min="14610" max="14612" width="13.42578125" style="59" bestFit="1" customWidth="1"/>
    <col min="14613" max="14851" width="9.140625" style="59"/>
    <col min="14852" max="14852" width="5.140625" style="59" customWidth="1"/>
    <col min="14853" max="14853" width="4.85546875" style="59" customWidth="1"/>
    <col min="14854" max="14854" width="49.85546875" style="59" customWidth="1"/>
    <col min="14855" max="14855" width="16.28515625" style="59" customWidth="1"/>
    <col min="14856" max="14856" width="15.7109375" style="59" customWidth="1"/>
    <col min="14857" max="14857" width="15.140625" style="59" customWidth="1"/>
    <col min="14858" max="14858" width="16.28515625" style="59" customWidth="1"/>
    <col min="14859" max="14864" width="0" style="59" hidden="1" customWidth="1"/>
    <col min="14865" max="14865" width="31.5703125" style="59" customWidth="1"/>
    <col min="14866" max="14868" width="13.42578125" style="59" bestFit="1" customWidth="1"/>
    <col min="14869" max="15107" width="9.140625" style="59"/>
    <col min="15108" max="15108" width="5.140625" style="59" customWidth="1"/>
    <col min="15109" max="15109" width="4.85546875" style="59" customWidth="1"/>
    <col min="15110" max="15110" width="49.85546875" style="59" customWidth="1"/>
    <col min="15111" max="15111" width="16.28515625" style="59" customWidth="1"/>
    <col min="15112" max="15112" width="15.7109375" style="59" customWidth="1"/>
    <col min="15113" max="15113" width="15.140625" style="59" customWidth="1"/>
    <col min="15114" max="15114" width="16.28515625" style="59" customWidth="1"/>
    <col min="15115" max="15120" width="0" style="59" hidden="1" customWidth="1"/>
    <col min="15121" max="15121" width="31.5703125" style="59" customWidth="1"/>
    <col min="15122" max="15124" width="13.42578125" style="59" bestFit="1" customWidth="1"/>
    <col min="15125" max="15363" width="9.140625" style="59"/>
    <col min="15364" max="15364" width="5.140625" style="59" customWidth="1"/>
    <col min="15365" max="15365" width="4.85546875" style="59" customWidth="1"/>
    <col min="15366" max="15366" width="49.85546875" style="59" customWidth="1"/>
    <col min="15367" max="15367" width="16.28515625" style="59" customWidth="1"/>
    <col min="15368" max="15368" width="15.7109375" style="59" customWidth="1"/>
    <col min="15369" max="15369" width="15.140625" style="59" customWidth="1"/>
    <col min="15370" max="15370" width="16.28515625" style="59" customWidth="1"/>
    <col min="15371" max="15376" width="0" style="59" hidden="1" customWidth="1"/>
    <col min="15377" max="15377" width="31.5703125" style="59" customWidth="1"/>
    <col min="15378" max="15380" width="13.42578125" style="59" bestFit="1" customWidth="1"/>
    <col min="15381" max="15619" width="9.140625" style="59"/>
    <col min="15620" max="15620" width="5.140625" style="59" customWidth="1"/>
    <col min="15621" max="15621" width="4.85546875" style="59" customWidth="1"/>
    <col min="15622" max="15622" width="49.85546875" style="59" customWidth="1"/>
    <col min="15623" max="15623" width="16.28515625" style="59" customWidth="1"/>
    <col min="15624" max="15624" width="15.7109375" style="59" customWidth="1"/>
    <col min="15625" max="15625" width="15.140625" style="59" customWidth="1"/>
    <col min="15626" max="15626" width="16.28515625" style="59" customWidth="1"/>
    <col min="15627" max="15632" width="0" style="59" hidden="1" customWidth="1"/>
    <col min="15633" max="15633" width="31.5703125" style="59" customWidth="1"/>
    <col min="15634" max="15636" width="13.42578125" style="59" bestFit="1" customWidth="1"/>
    <col min="15637" max="15875" width="9.140625" style="59"/>
    <col min="15876" max="15876" width="5.140625" style="59" customWidth="1"/>
    <col min="15877" max="15877" width="4.85546875" style="59" customWidth="1"/>
    <col min="15878" max="15878" width="49.85546875" style="59" customWidth="1"/>
    <col min="15879" max="15879" width="16.28515625" style="59" customWidth="1"/>
    <col min="15880" max="15880" width="15.7109375" style="59" customWidth="1"/>
    <col min="15881" max="15881" width="15.140625" style="59" customWidth="1"/>
    <col min="15882" max="15882" width="16.28515625" style="59" customWidth="1"/>
    <col min="15883" max="15888" width="0" style="59" hidden="1" customWidth="1"/>
    <col min="15889" max="15889" width="31.5703125" style="59" customWidth="1"/>
    <col min="15890" max="15892" width="13.42578125" style="59" bestFit="1" customWidth="1"/>
    <col min="15893" max="16131" width="9.140625" style="59"/>
    <col min="16132" max="16132" width="5.140625" style="59" customWidth="1"/>
    <col min="16133" max="16133" width="4.85546875" style="59" customWidth="1"/>
    <col min="16134" max="16134" width="49.85546875" style="59" customWidth="1"/>
    <col min="16135" max="16135" width="16.28515625" style="59" customWidth="1"/>
    <col min="16136" max="16136" width="15.7109375" style="59" customWidth="1"/>
    <col min="16137" max="16137" width="15.140625" style="59" customWidth="1"/>
    <col min="16138" max="16138" width="16.28515625" style="59" customWidth="1"/>
    <col min="16139" max="16144" width="0" style="59" hidden="1" customWidth="1"/>
    <col min="16145" max="16145" width="31.5703125" style="59" customWidth="1"/>
    <col min="16146" max="16148" width="13.42578125" style="59" bestFit="1" customWidth="1"/>
    <col min="16149" max="16384" width="9.140625" style="59"/>
  </cols>
  <sheetData>
    <row r="1" spans="1:20" ht="20.25" x14ac:dyDescent="0.3">
      <c r="A1" s="678" t="s">
        <v>208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58"/>
    </row>
    <row r="2" spans="1:20" x14ac:dyDescent="0.3">
      <c r="A2" s="679"/>
      <c r="B2" s="679"/>
      <c r="C2" s="679"/>
      <c r="D2" s="679"/>
      <c r="E2" s="679"/>
      <c r="F2" s="679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20" ht="17.25" thickBot="1" x14ac:dyDescent="0.35">
      <c r="A3" s="61"/>
      <c r="B3" s="61"/>
      <c r="C3" s="60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 t="s">
        <v>135</v>
      </c>
    </row>
    <row r="4" spans="1:20" ht="33.75" customHeight="1" x14ac:dyDescent="0.3">
      <c r="A4" s="697" t="s">
        <v>136</v>
      </c>
      <c r="B4" s="699" t="s">
        <v>137</v>
      </c>
      <c r="C4" s="700"/>
      <c r="D4" s="693" t="s">
        <v>138</v>
      </c>
      <c r="E4" s="689" t="s">
        <v>5</v>
      </c>
      <c r="F4" s="689" t="s">
        <v>6</v>
      </c>
      <c r="G4" s="693" t="s">
        <v>139</v>
      </c>
      <c r="H4" s="689" t="s">
        <v>140</v>
      </c>
      <c r="I4" s="687" t="s">
        <v>141</v>
      </c>
      <c r="J4" s="684" t="s">
        <v>142</v>
      </c>
      <c r="K4" s="685"/>
      <c r="L4" s="686"/>
      <c r="M4" s="687" t="s">
        <v>11</v>
      </c>
      <c r="N4" s="687" t="s">
        <v>143</v>
      </c>
      <c r="O4" s="689" t="s">
        <v>203</v>
      </c>
      <c r="P4" s="693" t="s">
        <v>139</v>
      </c>
      <c r="Q4" s="695" t="s">
        <v>12</v>
      </c>
    </row>
    <row r="5" spans="1:20" ht="33.75" customHeight="1" thickBot="1" x14ac:dyDescent="0.35">
      <c r="A5" s="698"/>
      <c r="B5" s="701"/>
      <c r="C5" s="702"/>
      <c r="D5" s="694"/>
      <c r="E5" s="690"/>
      <c r="F5" s="690"/>
      <c r="G5" s="694"/>
      <c r="H5" s="690"/>
      <c r="I5" s="688"/>
      <c r="J5" s="64">
        <v>2017</v>
      </c>
      <c r="K5" s="64">
        <v>2018</v>
      </c>
      <c r="L5" s="64">
        <v>2019</v>
      </c>
      <c r="M5" s="688"/>
      <c r="N5" s="688"/>
      <c r="O5" s="690"/>
      <c r="P5" s="694"/>
      <c r="Q5" s="696"/>
    </row>
    <row r="6" spans="1:20" x14ac:dyDescent="0.3">
      <c r="A6" s="65"/>
      <c r="B6" s="691"/>
      <c r="C6" s="691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7"/>
      <c r="P6" s="67"/>
      <c r="Q6" s="68"/>
    </row>
    <row r="7" spans="1:20" s="72" customFormat="1" ht="22.5" customHeight="1" x14ac:dyDescent="0.25">
      <c r="A7" s="69" t="s">
        <v>144</v>
      </c>
      <c r="B7" s="692" t="s">
        <v>145</v>
      </c>
      <c r="C7" s="692"/>
      <c r="D7" s="70">
        <f t="shared" ref="D7" si="0">SUM(D8:D9)</f>
        <v>900000000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20" s="79" customFormat="1" x14ac:dyDescent="0.25">
      <c r="A8" s="73"/>
      <c r="B8" s="74">
        <v>1</v>
      </c>
      <c r="C8" s="75" t="s">
        <v>146</v>
      </c>
      <c r="D8" s="76">
        <v>500000000</v>
      </c>
      <c r="E8" s="77">
        <v>0</v>
      </c>
      <c r="F8" s="77">
        <v>0</v>
      </c>
      <c r="G8" s="76">
        <f>+D8-E8-F8</f>
        <v>500000000</v>
      </c>
      <c r="H8" s="76">
        <f t="shared" ref="H8:M9" si="1">+E8-F8-G8</f>
        <v>-500000000</v>
      </c>
      <c r="I8" s="76">
        <f t="shared" si="1"/>
        <v>0</v>
      </c>
      <c r="J8" s="76">
        <f t="shared" si="1"/>
        <v>1000000000</v>
      </c>
      <c r="K8" s="76">
        <f t="shared" si="1"/>
        <v>-1500000000</v>
      </c>
      <c r="L8" s="76">
        <f t="shared" si="1"/>
        <v>500000000</v>
      </c>
      <c r="M8" s="76">
        <f t="shared" si="1"/>
        <v>2000000000</v>
      </c>
      <c r="N8" s="76"/>
      <c r="O8" s="76">
        <v>250000000</v>
      </c>
      <c r="P8" s="76">
        <f>+D8-E8-F8-O8</f>
        <v>250000000</v>
      </c>
      <c r="Q8" s="78" t="s">
        <v>88</v>
      </c>
    </row>
    <row r="9" spans="1:20" s="79" customFormat="1" x14ac:dyDescent="0.25">
      <c r="A9" s="73"/>
      <c r="B9" s="74">
        <v>2</v>
      </c>
      <c r="C9" s="75" t="s">
        <v>147</v>
      </c>
      <c r="D9" s="76">
        <v>400000000</v>
      </c>
      <c r="E9" s="80">
        <v>200000000</v>
      </c>
      <c r="F9" s="77">
        <v>0</v>
      </c>
      <c r="G9" s="76">
        <f>+D9-E9-F9</f>
        <v>200000000</v>
      </c>
      <c r="H9" s="76">
        <f t="shared" si="1"/>
        <v>0</v>
      </c>
      <c r="I9" s="76">
        <f t="shared" si="1"/>
        <v>-200000000</v>
      </c>
      <c r="J9" s="76">
        <f t="shared" si="1"/>
        <v>400000000</v>
      </c>
      <c r="K9" s="76">
        <f t="shared" si="1"/>
        <v>-200000000</v>
      </c>
      <c r="L9" s="76">
        <f t="shared" si="1"/>
        <v>-400000000</v>
      </c>
      <c r="M9" s="76">
        <f t="shared" si="1"/>
        <v>1000000000</v>
      </c>
      <c r="N9" s="76" t="s">
        <v>23</v>
      </c>
      <c r="O9" s="76">
        <v>200000000</v>
      </c>
      <c r="P9" s="76">
        <f>+D9-E9-F9-O9</f>
        <v>0</v>
      </c>
      <c r="Q9" s="78" t="s">
        <v>88</v>
      </c>
    </row>
    <row r="10" spans="1:20" s="79" customFormat="1" x14ac:dyDescent="0.25">
      <c r="A10" s="73"/>
      <c r="B10" s="74"/>
      <c r="C10" s="75"/>
      <c r="D10" s="76"/>
      <c r="E10" s="80"/>
      <c r="F10" s="77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8"/>
    </row>
    <row r="11" spans="1:20" s="72" customFormat="1" ht="22.5" customHeight="1" x14ac:dyDescent="0.25">
      <c r="A11" s="69" t="s">
        <v>148</v>
      </c>
      <c r="B11" s="680" t="s">
        <v>149</v>
      </c>
      <c r="C11" s="681"/>
      <c r="D11" s="70">
        <f t="shared" ref="D11" si="2">SUM(D12:D19)</f>
        <v>740000000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20" s="79" customFormat="1" ht="49.5" x14ac:dyDescent="0.25">
      <c r="A12" s="73"/>
      <c r="B12" s="81">
        <v>3</v>
      </c>
      <c r="C12" s="82" t="s">
        <v>150</v>
      </c>
      <c r="D12" s="76">
        <v>130000000</v>
      </c>
      <c r="E12" s="83">
        <v>30000000</v>
      </c>
      <c r="F12" s="76">
        <v>20000000</v>
      </c>
      <c r="G12" s="76">
        <f t="shared" ref="G12:M19" si="3">+D12-E12-F12</f>
        <v>80000000</v>
      </c>
      <c r="H12" s="76">
        <f t="shared" si="3"/>
        <v>-70000000</v>
      </c>
      <c r="I12" s="76">
        <f t="shared" si="3"/>
        <v>10000000</v>
      </c>
      <c r="J12" s="76">
        <f t="shared" si="3"/>
        <v>140000000</v>
      </c>
      <c r="K12" s="76">
        <f t="shared" si="3"/>
        <v>-220000000</v>
      </c>
      <c r="L12" s="76">
        <f t="shared" si="3"/>
        <v>90000000</v>
      </c>
      <c r="M12" s="76">
        <f t="shared" si="3"/>
        <v>270000000</v>
      </c>
      <c r="N12" s="84" t="s">
        <v>151</v>
      </c>
      <c r="O12" s="76">
        <v>40000000</v>
      </c>
      <c r="P12" s="76">
        <f t="shared" ref="P12:P19" si="4">+D12-E12-F12-O12</f>
        <v>40000000</v>
      </c>
      <c r="Q12" s="78"/>
    </row>
    <row r="13" spans="1:20" s="79" customFormat="1" ht="49.5" x14ac:dyDescent="0.25">
      <c r="A13" s="73"/>
      <c r="B13" s="81">
        <v>4</v>
      </c>
      <c r="C13" s="82" t="s">
        <v>152</v>
      </c>
      <c r="D13" s="76">
        <v>95000000</v>
      </c>
      <c r="E13" s="76">
        <v>20000000</v>
      </c>
      <c r="F13" s="76">
        <v>40000000</v>
      </c>
      <c r="G13" s="76">
        <f t="shared" si="3"/>
        <v>35000000</v>
      </c>
      <c r="H13" s="76">
        <f t="shared" si="3"/>
        <v>-55000000</v>
      </c>
      <c r="I13" s="76">
        <f t="shared" si="3"/>
        <v>60000000</v>
      </c>
      <c r="J13" s="76">
        <f t="shared" si="3"/>
        <v>30000000</v>
      </c>
      <c r="K13" s="76">
        <f t="shared" si="3"/>
        <v>-145000000</v>
      </c>
      <c r="L13" s="76">
        <f t="shared" si="3"/>
        <v>175000000</v>
      </c>
      <c r="M13" s="76">
        <f t="shared" si="3"/>
        <v>0</v>
      </c>
      <c r="N13" s="84" t="s">
        <v>151</v>
      </c>
      <c r="O13" s="76">
        <v>35000000</v>
      </c>
      <c r="P13" s="76">
        <f t="shared" si="4"/>
        <v>0</v>
      </c>
      <c r="Q13" s="78"/>
      <c r="R13" s="85"/>
      <c r="S13" s="85"/>
      <c r="T13" s="85"/>
    </row>
    <row r="14" spans="1:20" s="79" customFormat="1" ht="33" x14ac:dyDescent="0.25">
      <c r="A14" s="73"/>
      <c r="B14" s="81">
        <v>5</v>
      </c>
      <c r="C14" s="82" t="s">
        <v>153</v>
      </c>
      <c r="D14" s="76">
        <v>50000000</v>
      </c>
      <c r="E14" s="77">
        <v>0</v>
      </c>
      <c r="F14" s="77">
        <v>0</v>
      </c>
      <c r="G14" s="76">
        <f t="shared" si="3"/>
        <v>50000000</v>
      </c>
      <c r="H14" s="76">
        <f t="shared" si="3"/>
        <v>-50000000</v>
      </c>
      <c r="I14" s="76">
        <f t="shared" si="3"/>
        <v>0</v>
      </c>
      <c r="J14" s="76">
        <f t="shared" si="3"/>
        <v>100000000</v>
      </c>
      <c r="K14" s="76">
        <f t="shared" si="3"/>
        <v>-150000000</v>
      </c>
      <c r="L14" s="76">
        <f t="shared" si="3"/>
        <v>50000000</v>
      </c>
      <c r="M14" s="76">
        <f t="shared" si="3"/>
        <v>200000000</v>
      </c>
      <c r="N14" s="76"/>
      <c r="O14" s="76">
        <v>50000000</v>
      </c>
      <c r="P14" s="76">
        <f t="shared" si="4"/>
        <v>0</v>
      </c>
      <c r="Q14" s="78"/>
      <c r="R14" s="85"/>
      <c r="S14" s="85"/>
      <c r="T14" s="85"/>
    </row>
    <row r="15" spans="1:20" s="79" customFormat="1" ht="33" x14ac:dyDescent="0.25">
      <c r="A15" s="73"/>
      <c r="B15" s="81">
        <v>6</v>
      </c>
      <c r="C15" s="82" t="s">
        <v>154</v>
      </c>
      <c r="D15" s="76">
        <v>180000000</v>
      </c>
      <c r="E15" s="77">
        <v>0</v>
      </c>
      <c r="F15" s="77">
        <v>0</v>
      </c>
      <c r="G15" s="76">
        <f t="shared" si="3"/>
        <v>180000000</v>
      </c>
      <c r="H15" s="76">
        <f t="shared" si="3"/>
        <v>-180000000</v>
      </c>
      <c r="I15" s="76">
        <f t="shared" si="3"/>
        <v>0</v>
      </c>
      <c r="J15" s="76">
        <f t="shared" si="3"/>
        <v>360000000</v>
      </c>
      <c r="K15" s="76">
        <f t="shared" si="3"/>
        <v>-540000000</v>
      </c>
      <c r="L15" s="76">
        <f t="shared" si="3"/>
        <v>180000000</v>
      </c>
      <c r="M15" s="76">
        <f t="shared" si="3"/>
        <v>720000000</v>
      </c>
      <c r="N15" s="76"/>
      <c r="O15" s="76">
        <v>60000000</v>
      </c>
      <c r="P15" s="76">
        <f t="shared" si="4"/>
        <v>120000000</v>
      </c>
      <c r="Q15" s="78"/>
      <c r="R15" s="85"/>
      <c r="S15" s="85"/>
      <c r="T15" s="85"/>
    </row>
    <row r="16" spans="1:20" s="79" customFormat="1" x14ac:dyDescent="0.25">
      <c r="A16" s="73"/>
      <c r="B16" s="81">
        <v>7</v>
      </c>
      <c r="C16" s="82" t="s">
        <v>155</v>
      </c>
      <c r="D16" s="76">
        <v>100000000</v>
      </c>
      <c r="E16" s="77">
        <v>0</v>
      </c>
      <c r="F16" s="77">
        <v>0</v>
      </c>
      <c r="G16" s="76">
        <f t="shared" si="3"/>
        <v>100000000</v>
      </c>
      <c r="H16" s="76">
        <f t="shared" si="3"/>
        <v>-100000000</v>
      </c>
      <c r="I16" s="76">
        <f t="shared" si="3"/>
        <v>0</v>
      </c>
      <c r="J16" s="76">
        <f t="shared" si="3"/>
        <v>200000000</v>
      </c>
      <c r="K16" s="76">
        <f t="shared" si="3"/>
        <v>-300000000</v>
      </c>
      <c r="L16" s="76">
        <f t="shared" si="3"/>
        <v>100000000</v>
      </c>
      <c r="M16" s="76">
        <f t="shared" si="3"/>
        <v>400000000</v>
      </c>
      <c r="N16" s="76"/>
      <c r="O16" s="76">
        <v>0</v>
      </c>
      <c r="P16" s="76">
        <f t="shared" si="4"/>
        <v>100000000</v>
      </c>
      <c r="Q16" s="78"/>
    </row>
    <row r="17" spans="1:20" s="79" customFormat="1" x14ac:dyDescent="0.25">
      <c r="A17" s="73"/>
      <c r="B17" s="81">
        <v>8</v>
      </c>
      <c r="C17" s="82" t="s">
        <v>156</v>
      </c>
      <c r="D17" s="76">
        <v>60000000</v>
      </c>
      <c r="E17" s="77">
        <v>0</v>
      </c>
      <c r="F17" s="77">
        <v>0</v>
      </c>
      <c r="G17" s="76">
        <f t="shared" si="3"/>
        <v>60000000</v>
      </c>
      <c r="H17" s="76">
        <f t="shared" si="3"/>
        <v>-60000000</v>
      </c>
      <c r="I17" s="76">
        <f t="shared" si="3"/>
        <v>0</v>
      </c>
      <c r="J17" s="76">
        <f t="shared" si="3"/>
        <v>120000000</v>
      </c>
      <c r="K17" s="76">
        <f t="shared" si="3"/>
        <v>-180000000</v>
      </c>
      <c r="L17" s="76">
        <f t="shared" si="3"/>
        <v>60000000</v>
      </c>
      <c r="M17" s="76">
        <f t="shared" si="3"/>
        <v>240000000</v>
      </c>
      <c r="N17" s="76"/>
      <c r="O17" s="76">
        <v>30000000</v>
      </c>
      <c r="P17" s="76">
        <f t="shared" si="4"/>
        <v>30000000</v>
      </c>
      <c r="Q17" s="78"/>
    </row>
    <row r="18" spans="1:20" s="79" customFormat="1" ht="33" x14ac:dyDescent="0.25">
      <c r="A18" s="73"/>
      <c r="B18" s="81">
        <v>9</v>
      </c>
      <c r="C18" s="82" t="s">
        <v>157</v>
      </c>
      <c r="D18" s="76">
        <v>75000000</v>
      </c>
      <c r="E18" s="76">
        <v>35000000</v>
      </c>
      <c r="F18" s="77">
        <v>0</v>
      </c>
      <c r="G18" s="76">
        <f t="shared" si="3"/>
        <v>40000000</v>
      </c>
      <c r="H18" s="76">
        <f t="shared" si="3"/>
        <v>-5000000</v>
      </c>
      <c r="I18" s="76">
        <f t="shared" si="3"/>
        <v>-35000000</v>
      </c>
      <c r="J18" s="76">
        <f t="shared" si="3"/>
        <v>80000000</v>
      </c>
      <c r="K18" s="76">
        <f t="shared" si="3"/>
        <v>-50000000</v>
      </c>
      <c r="L18" s="76">
        <f t="shared" si="3"/>
        <v>-65000000</v>
      </c>
      <c r="M18" s="76">
        <f t="shared" si="3"/>
        <v>195000000</v>
      </c>
      <c r="N18" s="76" t="s">
        <v>158</v>
      </c>
      <c r="O18" s="76">
        <v>0</v>
      </c>
      <c r="P18" s="76">
        <f t="shared" si="4"/>
        <v>40000000</v>
      </c>
      <c r="Q18" s="78"/>
      <c r="R18" s="85"/>
      <c r="S18" s="85"/>
      <c r="T18" s="85"/>
    </row>
    <row r="19" spans="1:20" s="79" customFormat="1" x14ac:dyDescent="0.25">
      <c r="A19" s="73"/>
      <c r="B19" s="81">
        <v>10</v>
      </c>
      <c r="C19" s="82" t="s">
        <v>159</v>
      </c>
      <c r="D19" s="76">
        <v>50000000</v>
      </c>
      <c r="E19" s="76">
        <v>20000000</v>
      </c>
      <c r="F19" s="77">
        <v>0</v>
      </c>
      <c r="G19" s="76">
        <f t="shared" si="3"/>
        <v>30000000</v>
      </c>
      <c r="H19" s="76">
        <f t="shared" si="3"/>
        <v>-10000000</v>
      </c>
      <c r="I19" s="76">
        <f t="shared" si="3"/>
        <v>-20000000</v>
      </c>
      <c r="J19" s="76">
        <f t="shared" si="3"/>
        <v>60000000</v>
      </c>
      <c r="K19" s="76">
        <f t="shared" si="3"/>
        <v>-50000000</v>
      </c>
      <c r="L19" s="76">
        <f t="shared" si="3"/>
        <v>-30000000</v>
      </c>
      <c r="M19" s="76">
        <f t="shared" si="3"/>
        <v>140000000</v>
      </c>
      <c r="N19" s="76" t="s">
        <v>158</v>
      </c>
      <c r="O19" s="76">
        <v>30000000</v>
      </c>
      <c r="P19" s="76">
        <f t="shared" si="4"/>
        <v>0</v>
      </c>
      <c r="Q19" s="78"/>
    </row>
    <row r="20" spans="1:20" s="79" customFormat="1" x14ac:dyDescent="0.25">
      <c r="A20" s="73"/>
      <c r="B20" s="81"/>
      <c r="C20" s="82"/>
      <c r="D20" s="76"/>
      <c r="E20" s="76"/>
      <c r="F20" s="8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8"/>
    </row>
    <row r="21" spans="1:20" s="72" customFormat="1" ht="22.5" customHeight="1" x14ac:dyDescent="0.25">
      <c r="A21" s="69" t="s">
        <v>160</v>
      </c>
      <c r="B21" s="680" t="s">
        <v>161</v>
      </c>
      <c r="C21" s="681"/>
      <c r="D21" s="70">
        <f t="shared" ref="D21" si="5">SUM(D22:D24)</f>
        <v>165000000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</row>
    <row r="22" spans="1:20" s="79" customFormat="1" x14ac:dyDescent="0.25">
      <c r="A22" s="73"/>
      <c r="B22" s="81">
        <v>11</v>
      </c>
      <c r="C22" s="82" t="s">
        <v>162</v>
      </c>
      <c r="D22" s="76">
        <v>80000000</v>
      </c>
      <c r="E22" s="77">
        <v>0</v>
      </c>
      <c r="F22" s="77">
        <v>0</v>
      </c>
      <c r="G22" s="76">
        <f>+D22-E22-F22</f>
        <v>80000000</v>
      </c>
      <c r="H22" s="76">
        <f t="shared" ref="H22:M24" si="6">+E22-F22-G22</f>
        <v>-80000000</v>
      </c>
      <c r="I22" s="76">
        <f t="shared" si="6"/>
        <v>0</v>
      </c>
      <c r="J22" s="76">
        <f t="shared" si="6"/>
        <v>160000000</v>
      </c>
      <c r="K22" s="76">
        <f t="shared" si="6"/>
        <v>-240000000</v>
      </c>
      <c r="L22" s="76">
        <f t="shared" si="6"/>
        <v>80000000</v>
      </c>
      <c r="M22" s="76">
        <f t="shared" si="6"/>
        <v>320000000</v>
      </c>
      <c r="N22" s="76"/>
      <c r="O22" s="76">
        <v>80000000</v>
      </c>
      <c r="P22" s="76">
        <f t="shared" ref="P22:P24" si="7">+D22-E22-F22-O22</f>
        <v>0</v>
      </c>
      <c r="Q22" s="78"/>
    </row>
    <row r="23" spans="1:20" s="79" customFormat="1" x14ac:dyDescent="0.25">
      <c r="A23" s="73"/>
      <c r="B23" s="81">
        <v>12</v>
      </c>
      <c r="C23" s="82" t="s">
        <v>163</v>
      </c>
      <c r="D23" s="76">
        <v>20000000</v>
      </c>
      <c r="E23" s="77">
        <v>0</v>
      </c>
      <c r="F23" s="77">
        <v>0</v>
      </c>
      <c r="G23" s="76">
        <f>+D23-E23-F23</f>
        <v>20000000</v>
      </c>
      <c r="H23" s="76">
        <f t="shared" si="6"/>
        <v>-20000000</v>
      </c>
      <c r="I23" s="76">
        <f t="shared" si="6"/>
        <v>0</v>
      </c>
      <c r="J23" s="76">
        <f t="shared" si="6"/>
        <v>40000000</v>
      </c>
      <c r="K23" s="76">
        <f t="shared" si="6"/>
        <v>-60000000</v>
      </c>
      <c r="L23" s="76">
        <f t="shared" si="6"/>
        <v>20000000</v>
      </c>
      <c r="M23" s="76">
        <f t="shared" si="6"/>
        <v>80000000</v>
      </c>
      <c r="N23" s="76"/>
      <c r="O23" s="76">
        <v>0</v>
      </c>
      <c r="P23" s="76">
        <f t="shared" si="7"/>
        <v>20000000</v>
      </c>
      <c r="Q23" s="78"/>
    </row>
    <row r="24" spans="1:20" s="79" customFormat="1" ht="49.5" x14ac:dyDescent="0.25">
      <c r="A24" s="73"/>
      <c r="B24" s="81">
        <v>13</v>
      </c>
      <c r="C24" s="82" t="s">
        <v>164</v>
      </c>
      <c r="D24" s="76">
        <v>65000000</v>
      </c>
      <c r="E24" s="76">
        <v>30000000</v>
      </c>
      <c r="F24" s="86">
        <v>30000000</v>
      </c>
      <c r="G24" s="76">
        <f>+D24-E24-F24</f>
        <v>5000000</v>
      </c>
      <c r="H24" s="76">
        <f t="shared" si="6"/>
        <v>-5000000</v>
      </c>
      <c r="I24" s="76">
        <f t="shared" si="6"/>
        <v>30000000</v>
      </c>
      <c r="J24" s="76">
        <f t="shared" si="6"/>
        <v>-20000000</v>
      </c>
      <c r="K24" s="76">
        <f t="shared" si="6"/>
        <v>-15000000</v>
      </c>
      <c r="L24" s="76">
        <f t="shared" si="6"/>
        <v>65000000</v>
      </c>
      <c r="M24" s="76">
        <f t="shared" si="6"/>
        <v>-70000000</v>
      </c>
      <c r="N24" s="84" t="s">
        <v>165</v>
      </c>
      <c r="O24" s="76">
        <v>0</v>
      </c>
      <c r="P24" s="76">
        <f t="shared" si="7"/>
        <v>5000000</v>
      </c>
      <c r="Q24" s="78"/>
    </row>
    <row r="25" spans="1:20" s="79" customFormat="1" x14ac:dyDescent="0.25">
      <c r="A25" s="73"/>
      <c r="B25" s="81"/>
      <c r="C25" s="82"/>
      <c r="D25" s="76"/>
      <c r="E25" s="76"/>
      <c r="F25" s="8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8"/>
    </row>
    <row r="26" spans="1:20" s="72" customFormat="1" ht="22.5" customHeight="1" x14ac:dyDescent="0.25">
      <c r="A26" s="69" t="s">
        <v>166</v>
      </c>
      <c r="B26" s="680" t="s">
        <v>161</v>
      </c>
      <c r="C26" s="681"/>
      <c r="D26" s="70">
        <f t="shared" ref="D26" si="8">SUM(D27:D28)</f>
        <v>245000000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20" s="79" customFormat="1" ht="33" x14ac:dyDescent="0.25">
      <c r="A27" s="73"/>
      <c r="B27" s="81">
        <v>14</v>
      </c>
      <c r="C27" s="82" t="s">
        <v>167</v>
      </c>
      <c r="D27" s="76">
        <v>120000000</v>
      </c>
      <c r="E27" s="77">
        <v>0</v>
      </c>
      <c r="F27" s="76">
        <v>40000000</v>
      </c>
      <c r="G27" s="76">
        <f>+D27-E27-F27</f>
        <v>80000000</v>
      </c>
      <c r="H27" s="76">
        <f t="shared" ref="H27:M28" si="9">+E27-F27-G27</f>
        <v>-120000000</v>
      </c>
      <c r="I27" s="76">
        <f t="shared" si="9"/>
        <v>80000000</v>
      </c>
      <c r="J27" s="76">
        <f t="shared" si="9"/>
        <v>120000000</v>
      </c>
      <c r="K27" s="76">
        <f t="shared" si="9"/>
        <v>-320000000</v>
      </c>
      <c r="L27" s="76">
        <f t="shared" si="9"/>
        <v>280000000</v>
      </c>
      <c r="M27" s="76">
        <f t="shared" si="9"/>
        <v>160000000</v>
      </c>
      <c r="N27" s="76"/>
      <c r="O27" s="76">
        <v>0</v>
      </c>
      <c r="P27" s="76">
        <f t="shared" ref="P27:P28" si="10">+D27-E27-F27-O27</f>
        <v>80000000</v>
      </c>
      <c r="Q27" s="78"/>
    </row>
    <row r="28" spans="1:20" s="79" customFormat="1" x14ac:dyDescent="0.25">
      <c r="A28" s="73"/>
      <c r="B28" s="81">
        <v>15</v>
      </c>
      <c r="C28" s="82" t="s">
        <v>168</v>
      </c>
      <c r="D28" s="76">
        <v>125000000</v>
      </c>
      <c r="E28" s="76">
        <v>50000000</v>
      </c>
      <c r="F28" s="77">
        <v>0</v>
      </c>
      <c r="G28" s="76">
        <f>+D28-E28-F28</f>
        <v>75000000</v>
      </c>
      <c r="H28" s="76">
        <f t="shared" si="9"/>
        <v>-25000000</v>
      </c>
      <c r="I28" s="76">
        <f t="shared" si="9"/>
        <v>-50000000</v>
      </c>
      <c r="J28" s="76">
        <f t="shared" si="9"/>
        <v>150000000</v>
      </c>
      <c r="K28" s="76">
        <f t="shared" si="9"/>
        <v>-125000000</v>
      </c>
      <c r="L28" s="76">
        <f t="shared" si="9"/>
        <v>-75000000</v>
      </c>
      <c r="M28" s="76">
        <f t="shared" si="9"/>
        <v>350000000</v>
      </c>
      <c r="N28" s="76"/>
      <c r="O28" s="76">
        <v>25000000</v>
      </c>
      <c r="P28" s="76">
        <f t="shared" si="10"/>
        <v>50000000</v>
      </c>
      <c r="Q28" s="78"/>
    </row>
    <row r="29" spans="1:20" s="79" customFormat="1" ht="17.25" thickBot="1" x14ac:dyDescent="0.3">
      <c r="A29" s="87"/>
      <c r="B29" s="88"/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</row>
    <row r="30" spans="1:20" s="72" customFormat="1" ht="22.5" customHeight="1" x14ac:dyDescent="0.25">
      <c r="A30" s="69" t="s">
        <v>169</v>
      </c>
      <c r="B30" s="680" t="s">
        <v>170</v>
      </c>
      <c r="C30" s="681"/>
      <c r="D30" s="70">
        <f t="shared" ref="D30" si="11">SUM(D31:D33)</f>
        <v>205000000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</row>
    <row r="31" spans="1:20" x14ac:dyDescent="0.3">
      <c r="A31" s="92"/>
      <c r="B31" s="93">
        <v>16</v>
      </c>
      <c r="C31" s="94" t="s">
        <v>171</v>
      </c>
      <c r="D31" s="76">
        <v>65000000</v>
      </c>
      <c r="E31" s="77">
        <v>0</v>
      </c>
      <c r="F31" s="76">
        <v>15000000</v>
      </c>
      <c r="G31" s="76">
        <f>+D31-E31-F31</f>
        <v>50000000</v>
      </c>
      <c r="H31" s="76">
        <f t="shared" ref="H31:M33" si="12">+E31-F31-G31</f>
        <v>-65000000</v>
      </c>
      <c r="I31" s="76">
        <f t="shared" si="12"/>
        <v>30000000</v>
      </c>
      <c r="J31" s="76">
        <f t="shared" si="12"/>
        <v>85000000</v>
      </c>
      <c r="K31" s="76">
        <f t="shared" si="12"/>
        <v>-180000000</v>
      </c>
      <c r="L31" s="76">
        <f t="shared" si="12"/>
        <v>125000000</v>
      </c>
      <c r="M31" s="76">
        <f t="shared" si="12"/>
        <v>140000000</v>
      </c>
      <c r="N31" s="76" t="s">
        <v>172</v>
      </c>
      <c r="O31" s="76">
        <v>35000000</v>
      </c>
      <c r="P31" s="76">
        <f t="shared" ref="P31:P33" si="13">+D31-E31-F31-O31</f>
        <v>15000000</v>
      </c>
      <c r="Q31" s="78"/>
    </row>
    <row r="32" spans="1:20" x14ac:dyDescent="0.3">
      <c r="A32" s="92"/>
      <c r="B32" s="93">
        <v>17</v>
      </c>
      <c r="C32" s="94" t="s">
        <v>173</v>
      </c>
      <c r="D32" s="76">
        <v>55000000</v>
      </c>
      <c r="E32" s="77">
        <v>0</v>
      </c>
      <c r="F32" s="76">
        <v>20000000</v>
      </c>
      <c r="G32" s="76">
        <f>+D32-E32-F32</f>
        <v>35000000</v>
      </c>
      <c r="H32" s="76">
        <f t="shared" si="12"/>
        <v>-55000000</v>
      </c>
      <c r="I32" s="76">
        <f t="shared" si="12"/>
        <v>40000000</v>
      </c>
      <c r="J32" s="76">
        <f t="shared" si="12"/>
        <v>50000000</v>
      </c>
      <c r="K32" s="76">
        <f t="shared" si="12"/>
        <v>-145000000</v>
      </c>
      <c r="L32" s="76">
        <f t="shared" si="12"/>
        <v>135000000</v>
      </c>
      <c r="M32" s="76">
        <f t="shared" si="12"/>
        <v>60000000</v>
      </c>
      <c r="N32" s="76" t="s">
        <v>174</v>
      </c>
      <c r="O32" s="76">
        <v>0</v>
      </c>
      <c r="P32" s="76">
        <f t="shared" si="13"/>
        <v>35000000</v>
      </c>
      <c r="Q32" s="78"/>
    </row>
    <row r="33" spans="1:17" x14ac:dyDescent="0.3">
      <c r="A33" s="92"/>
      <c r="B33" s="93">
        <v>18</v>
      </c>
      <c r="C33" s="94" t="s">
        <v>175</v>
      </c>
      <c r="D33" s="76">
        <v>85000000</v>
      </c>
      <c r="E33" s="77">
        <v>0</v>
      </c>
      <c r="F33" s="76">
        <v>30000000</v>
      </c>
      <c r="G33" s="76">
        <f>+D33-E33-F33</f>
        <v>55000000</v>
      </c>
      <c r="H33" s="76">
        <f t="shared" si="12"/>
        <v>-85000000</v>
      </c>
      <c r="I33" s="76">
        <f t="shared" si="12"/>
        <v>60000000</v>
      </c>
      <c r="J33" s="76">
        <f t="shared" si="12"/>
        <v>80000000</v>
      </c>
      <c r="K33" s="76">
        <f t="shared" si="12"/>
        <v>-225000000</v>
      </c>
      <c r="L33" s="76">
        <f t="shared" si="12"/>
        <v>205000000</v>
      </c>
      <c r="M33" s="76">
        <f t="shared" si="12"/>
        <v>100000000</v>
      </c>
      <c r="N33" s="76" t="s">
        <v>174</v>
      </c>
      <c r="O33" s="76">
        <v>0</v>
      </c>
      <c r="P33" s="76">
        <f t="shared" si="13"/>
        <v>55000000</v>
      </c>
      <c r="Q33" s="78"/>
    </row>
    <row r="34" spans="1:17" x14ac:dyDescent="0.3">
      <c r="A34" s="92"/>
      <c r="B34" s="93"/>
      <c r="C34" s="94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8"/>
    </row>
    <row r="35" spans="1:17" s="72" customFormat="1" ht="22.5" customHeight="1" x14ac:dyDescent="0.25">
      <c r="A35" s="69" t="s">
        <v>176</v>
      </c>
      <c r="B35" s="680" t="s">
        <v>177</v>
      </c>
      <c r="C35" s="681"/>
      <c r="D35" s="70">
        <f t="shared" ref="D35" si="14">SUM(D36:D40)</f>
        <v>280000000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36" spans="1:17" s="79" customFormat="1" x14ac:dyDescent="0.25">
      <c r="A36" s="95"/>
      <c r="B36" s="81">
        <v>19</v>
      </c>
      <c r="C36" s="96" t="s">
        <v>178</v>
      </c>
      <c r="D36" s="76">
        <v>50000000</v>
      </c>
      <c r="E36" s="77">
        <v>0</v>
      </c>
      <c r="F36" s="83">
        <v>20000000</v>
      </c>
      <c r="G36" s="76">
        <f>+D36-E36-F36</f>
        <v>30000000</v>
      </c>
      <c r="H36" s="76">
        <f t="shared" ref="H36:M40" si="15">+E36-F36-G36</f>
        <v>-50000000</v>
      </c>
      <c r="I36" s="76">
        <f t="shared" si="15"/>
        <v>40000000</v>
      </c>
      <c r="J36" s="76">
        <f t="shared" si="15"/>
        <v>40000000</v>
      </c>
      <c r="K36" s="76">
        <f t="shared" si="15"/>
        <v>-130000000</v>
      </c>
      <c r="L36" s="76">
        <f t="shared" si="15"/>
        <v>130000000</v>
      </c>
      <c r="M36" s="76">
        <f t="shared" si="15"/>
        <v>40000000</v>
      </c>
      <c r="N36" s="76" t="s">
        <v>174</v>
      </c>
      <c r="O36" s="76">
        <v>0</v>
      </c>
      <c r="P36" s="76">
        <f t="shared" ref="P36:P40" si="16">+D36-E36-F36-O36</f>
        <v>30000000</v>
      </c>
      <c r="Q36" s="78"/>
    </row>
    <row r="37" spans="1:17" s="79" customFormat="1" x14ac:dyDescent="0.25">
      <c r="A37" s="73"/>
      <c r="B37" s="81">
        <v>20</v>
      </c>
      <c r="C37" s="96" t="s">
        <v>179</v>
      </c>
      <c r="D37" s="76">
        <v>65000000</v>
      </c>
      <c r="E37" s="77">
        <v>0</v>
      </c>
      <c r="F37" s="76"/>
      <c r="G37" s="76">
        <f>+D37-E37-F37</f>
        <v>65000000</v>
      </c>
      <c r="H37" s="76">
        <f t="shared" si="15"/>
        <v>-65000000</v>
      </c>
      <c r="I37" s="76">
        <f t="shared" si="15"/>
        <v>0</v>
      </c>
      <c r="J37" s="76">
        <f t="shared" si="15"/>
        <v>130000000</v>
      </c>
      <c r="K37" s="76">
        <f t="shared" si="15"/>
        <v>-195000000</v>
      </c>
      <c r="L37" s="76">
        <f t="shared" si="15"/>
        <v>65000000</v>
      </c>
      <c r="M37" s="76">
        <f t="shared" si="15"/>
        <v>260000000</v>
      </c>
      <c r="N37" s="76"/>
      <c r="O37" s="76">
        <v>65000000</v>
      </c>
      <c r="P37" s="76">
        <f t="shared" si="16"/>
        <v>0</v>
      </c>
      <c r="Q37" s="78"/>
    </row>
    <row r="38" spans="1:17" s="79" customFormat="1" x14ac:dyDescent="0.25">
      <c r="A38" s="73"/>
      <c r="B38" s="81">
        <v>21</v>
      </c>
      <c r="C38" s="96" t="s">
        <v>180</v>
      </c>
      <c r="D38" s="76">
        <v>60000000</v>
      </c>
      <c r="E38" s="77">
        <v>0</v>
      </c>
      <c r="F38" s="76">
        <v>20000000</v>
      </c>
      <c r="G38" s="76">
        <f>+D38-E38-F38</f>
        <v>40000000</v>
      </c>
      <c r="H38" s="76">
        <f t="shared" si="15"/>
        <v>-60000000</v>
      </c>
      <c r="I38" s="76">
        <f t="shared" si="15"/>
        <v>40000000</v>
      </c>
      <c r="J38" s="76">
        <f t="shared" si="15"/>
        <v>60000000</v>
      </c>
      <c r="K38" s="76">
        <f t="shared" si="15"/>
        <v>-160000000</v>
      </c>
      <c r="L38" s="76">
        <f t="shared" si="15"/>
        <v>140000000</v>
      </c>
      <c r="M38" s="76">
        <f t="shared" si="15"/>
        <v>80000000</v>
      </c>
      <c r="N38" s="76" t="s">
        <v>181</v>
      </c>
      <c r="O38" s="76">
        <v>0</v>
      </c>
      <c r="P38" s="76">
        <f t="shared" si="16"/>
        <v>40000000</v>
      </c>
      <c r="Q38" s="78"/>
    </row>
    <row r="39" spans="1:17" s="79" customFormat="1" x14ac:dyDescent="0.25">
      <c r="A39" s="73"/>
      <c r="B39" s="81">
        <v>22</v>
      </c>
      <c r="C39" s="96" t="s">
        <v>182</v>
      </c>
      <c r="D39" s="76">
        <v>30000000</v>
      </c>
      <c r="E39" s="77">
        <v>0</v>
      </c>
      <c r="F39" s="77">
        <v>0</v>
      </c>
      <c r="G39" s="76">
        <f>+D39-E39-F39</f>
        <v>30000000</v>
      </c>
      <c r="H39" s="76">
        <f t="shared" si="15"/>
        <v>-30000000</v>
      </c>
      <c r="I39" s="76">
        <f t="shared" si="15"/>
        <v>0</v>
      </c>
      <c r="J39" s="76">
        <f t="shared" si="15"/>
        <v>60000000</v>
      </c>
      <c r="K39" s="76">
        <f t="shared" si="15"/>
        <v>-90000000</v>
      </c>
      <c r="L39" s="76">
        <f t="shared" si="15"/>
        <v>30000000</v>
      </c>
      <c r="M39" s="76">
        <f t="shared" si="15"/>
        <v>120000000</v>
      </c>
      <c r="N39" s="76"/>
      <c r="O39" s="76">
        <v>30000000</v>
      </c>
      <c r="P39" s="76">
        <f t="shared" si="16"/>
        <v>0</v>
      </c>
      <c r="Q39" s="78"/>
    </row>
    <row r="40" spans="1:17" s="79" customFormat="1" x14ac:dyDescent="0.25">
      <c r="A40" s="73"/>
      <c r="B40" s="81">
        <v>23</v>
      </c>
      <c r="C40" s="82" t="s">
        <v>183</v>
      </c>
      <c r="D40" s="76">
        <v>75000000</v>
      </c>
      <c r="E40" s="76">
        <v>25000000</v>
      </c>
      <c r="F40" s="77">
        <v>0</v>
      </c>
      <c r="G40" s="76">
        <f>+D40-E40-F40</f>
        <v>50000000</v>
      </c>
      <c r="H40" s="76">
        <f t="shared" si="15"/>
        <v>-25000000</v>
      </c>
      <c r="I40" s="76">
        <f t="shared" si="15"/>
        <v>-25000000</v>
      </c>
      <c r="J40" s="76">
        <f t="shared" si="15"/>
        <v>100000000</v>
      </c>
      <c r="K40" s="76">
        <f t="shared" si="15"/>
        <v>-100000000</v>
      </c>
      <c r="L40" s="76">
        <f t="shared" si="15"/>
        <v>-25000000</v>
      </c>
      <c r="M40" s="76">
        <f t="shared" si="15"/>
        <v>225000000</v>
      </c>
      <c r="N40" s="76"/>
      <c r="O40" s="76">
        <v>0</v>
      </c>
      <c r="P40" s="76">
        <f t="shared" si="16"/>
        <v>50000000</v>
      </c>
      <c r="Q40" s="78"/>
    </row>
    <row r="41" spans="1:17" s="79" customFormat="1" x14ac:dyDescent="0.25">
      <c r="A41" s="73"/>
      <c r="B41" s="81"/>
      <c r="C41" s="82"/>
      <c r="D41" s="76"/>
      <c r="E41" s="76"/>
      <c r="F41" s="8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8"/>
    </row>
    <row r="42" spans="1:17" s="72" customFormat="1" ht="22.5" customHeight="1" x14ac:dyDescent="0.25">
      <c r="A42" s="69" t="s">
        <v>184</v>
      </c>
      <c r="B42" s="680" t="s">
        <v>185</v>
      </c>
      <c r="C42" s="681"/>
      <c r="D42" s="70">
        <f t="shared" ref="D42" si="17">SUM(D43:D47)</f>
        <v>295000000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1"/>
    </row>
    <row r="43" spans="1:17" s="97" customFormat="1" ht="33" x14ac:dyDescent="0.25">
      <c r="A43" s="73"/>
      <c r="B43" s="81">
        <v>24</v>
      </c>
      <c r="C43" s="82" t="s">
        <v>186</v>
      </c>
      <c r="D43" s="76">
        <v>30000000</v>
      </c>
      <c r="E43" s="77">
        <v>0</v>
      </c>
      <c r="F43" s="77">
        <v>0</v>
      </c>
      <c r="G43" s="76">
        <f>+D43-E43-F43</f>
        <v>30000000</v>
      </c>
      <c r="H43" s="76">
        <f t="shared" ref="H43:M47" si="18">+E43-F43-G43</f>
        <v>-30000000</v>
      </c>
      <c r="I43" s="76">
        <f t="shared" si="18"/>
        <v>0</v>
      </c>
      <c r="J43" s="76">
        <f t="shared" si="18"/>
        <v>60000000</v>
      </c>
      <c r="K43" s="76">
        <f t="shared" si="18"/>
        <v>-90000000</v>
      </c>
      <c r="L43" s="76">
        <f t="shared" si="18"/>
        <v>30000000</v>
      </c>
      <c r="M43" s="76">
        <f t="shared" si="18"/>
        <v>120000000</v>
      </c>
      <c r="N43" s="76"/>
      <c r="O43" s="76">
        <v>0</v>
      </c>
      <c r="P43" s="76">
        <f t="shared" ref="P43:P47" si="19">+D43-E43-F43-O43</f>
        <v>30000000</v>
      </c>
      <c r="Q43" s="78"/>
    </row>
    <row r="44" spans="1:17" s="97" customFormat="1" x14ac:dyDescent="0.25">
      <c r="A44" s="73"/>
      <c r="B44" s="81">
        <v>25</v>
      </c>
      <c r="C44" s="82" t="s">
        <v>187</v>
      </c>
      <c r="D44" s="76">
        <v>10000000</v>
      </c>
      <c r="E44" s="77">
        <v>0</v>
      </c>
      <c r="F44" s="77">
        <v>0</v>
      </c>
      <c r="G44" s="76">
        <f>+D44-E44-F44</f>
        <v>10000000</v>
      </c>
      <c r="H44" s="76">
        <f t="shared" si="18"/>
        <v>-10000000</v>
      </c>
      <c r="I44" s="76">
        <f t="shared" si="18"/>
        <v>0</v>
      </c>
      <c r="J44" s="76">
        <f t="shared" si="18"/>
        <v>20000000</v>
      </c>
      <c r="K44" s="76">
        <f t="shared" si="18"/>
        <v>-30000000</v>
      </c>
      <c r="L44" s="76">
        <f t="shared" si="18"/>
        <v>10000000</v>
      </c>
      <c r="M44" s="76">
        <f t="shared" si="18"/>
        <v>40000000</v>
      </c>
      <c r="N44" s="76"/>
      <c r="O44" s="76">
        <v>0</v>
      </c>
      <c r="P44" s="76">
        <f t="shared" si="19"/>
        <v>10000000</v>
      </c>
      <c r="Q44" s="78"/>
    </row>
    <row r="45" spans="1:17" s="79" customFormat="1" x14ac:dyDescent="0.25">
      <c r="A45" s="73"/>
      <c r="B45" s="81">
        <v>26</v>
      </c>
      <c r="C45" s="96" t="s">
        <v>188</v>
      </c>
      <c r="D45" s="76">
        <v>75000000</v>
      </c>
      <c r="E45" s="76">
        <v>25000000</v>
      </c>
      <c r="F45" s="77">
        <v>0</v>
      </c>
      <c r="G45" s="76">
        <f>+D45-E45-F45</f>
        <v>50000000</v>
      </c>
      <c r="H45" s="76">
        <f t="shared" si="18"/>
        <v>-25000000</v>
      </c>
      <c r="I45" s="76">
        <f t="shared" si="18"/>
        <v>-25000000</v>
      </c>
      <c r="J45" s="76">
        <f t="shared" si="18"/>
        <v>100000000</v>
      </c>
      <c r="K45" s="76">
        <f t="shared" si="18"/>
        <v>-100000000</v>
      </c>
      <c r="L45" s="76">
        <f t="shared" si="18"/>
        <v>-25000000</v>
      </c>
      <c r="M45" s="76">
        <f t="shared" si="18"/>
        <v>225000000</v>
      </c>
      <c r="N45" s="76"/>
      <c r="O45" s="76">
        <v>0</v>
      </c>
      <c r="P45" s="76">
        <f t="shared" si="19"/>
        <v>50000000</v>
      </c>
      <c r="Q45" s="78"/>
    </row>
    <row r="46" spans="1:17" s="79" customFormat="1" ht="33" x14ac:dyDescent="0.25">
      <c r="A46" s="73"/>
      <c r="B46" s="81">
        <v>27</v>
      </c>
      <c r="C46" s="96" t="s">
        <v>189</v>
      </c>
      <c r="D46" s="76">
        <v>30000000</v>
      </c>
      <c r="E46" s="77">
        <v>0</v>
      </c>
      <c r="F46" s="77">
        <v>0</v>
      </c>
      <c r="G46" s="76">
        <f>+D46-E46-F46</f>
        <v>30000000</v>
      </c>
      <c r="H46" s="76">
        <f t="shared" si="18"/>
        <v>-30000000</v>
      </c>
      <c r="I46" s="76">
        <f t="shared" si="18"/>
        <v>0</v>
      </c>
      <c r="J46" s="76">
        <f t="shared" si="18"/>
        <v>60000000</v>
      </c>
      <c r="K46" s="76">
        <f t="shared" si="18"/>
        <v>-90000000</v>
      </c>
      <c r="L46" s="76">
        <f t="shared" si="18"/>
        <v>30000000</v>
      </c>
      <c r="M46" s="76">
        <f t="shared" si="18"/>
        <v>120000000</v>
      </c>
      <c r="N46" s="76"/>
      <c r="O46" s="76">
        <v>0</v>
      </c>
      <c r="P46" s="76">
        <f t="shared" si="19"/>
        <v>30000000</v>
      </c>
      <c r="Q46" s="78"/>
    </row>
    <row r="47" spans="1:17" s="97" customFormat="1" ht="33" x14ac:dyDescent="0.25">
      <c r="A47" s="73"/>
      <c r="B47" s="81">
        <v>28</v>
      </c>
      <c r="C47" s="82" t="s">
        <v>190</v>
      </c>
      <c r="D47" s="76">
        <v>150000000</v>
      </c>
      <c r="E47" s="77">
        <v>0</v>
      </c>
      <c r="F47" s="76">
        <v>60000000</v>
      </c>
      <c r="G47" s="76">
        <f>+D47-E47-F47</f>
        <v>90000000</v>
      </c>
      <c r="H47" s="76">
        <f t="shared" si="18"/>
        <v>-150000000</v>
      </c>
      <c r="I47" s="76">
        <f t="shared" si="18"/>
        <v>120000000</v>
      </c>
      <c r="J47" s="76">
        <f t="shared" si="18"/>
        <v>120000000</v>
      </c>
      <c r="K47" s="76">
        <f t="shared" si="18"/>
        <v>-390000000</v>
      </c>
      <c r="L47" s="76">
        <f t="shared" si="18"/>
        <v>390000000</v>
      </c>
      <c r="M47" s="76">
        <f t="shared" si="18"/>
        <v>120000000</v>
      </c>
      <c r="N47" s="76" t="s">
        <v>191</v>
      </c>
      <c r="O47" s="76">
        <v>60000000</v>
      </c>
      <c r="P47" s="76">
        <f t="shared" si="19"/>
        <v>30000000</v>
      </c>
      <c r="Q47" s="78"/>
    </row>
    <row r="48" spans="1:17" s="97" customFormat="1" x14ac:dyDescent="0.25">
      <c r="A48" s="73"/>
      <c r="B48" s="81"/>
      <c r="C48" s="82"/>
      <c r="D48" s="76"/>
      <c r="E48" s="8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8"/>
    </row>
    <row r="49" spans="1:19" s="72" customFormat="1" ht="22.5" customHeight="1" x14ac:dyDescent="0.25">
      <c r="A49" s="69" t="s">
        <v>160</v>
      </c>
      <c r="B49" s="680" t="s">
        <v>192</v>
      </c>
      <c r="C49" s="681"/>
      <c r="D49" s="70">
        <f t="shared" ref="D49" si="20">SUM(D50)</f>
        <v>60000000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1"/>
    </row>
    <row r="50" spans="1:19" s="79" customFormat="1" ht="33" x14ac:dyDescent="0.25">
      <c r="A50" s="73"/>
      <c r="B50" s="81">
        <v>29</v>
      </c>
      <c r="C50" s="82" t="s">
        <v>193</v>
      </c>
      <c r="D50" s="76">
        <v>60000000</v>
      </c>
      <c r="E50" s="76">
        <v>20000000</v>
      </c>
      <c r="F50" s="77">
        <v>0</v>
      </c>
      <c r="G50" s="76">
        <f>+D50-E50-F50</f>
        <v>40000000</v>
      </c>
      <c r="H50" s="76">
        <f t="shared" ref="H50:M50" si="21">+E50-F50-G50</f>
        <v>-20000000</v>
      </c>
      <c r="I50" s="76">
        <f t="shared" si="21"/>
        <v>-20000000</v>
      </c>
      <c r="J50" s="76">
        <f t="shared" si="21"/>
        <v>80000000</v>
      </c>
      <c r="K50" s="76">
        <f t="shared" si="21"/>
        <v>-80000000</v>
      </c>
      <c r="L50" s="76">
        <f t="shared" si="21"/>
        <v>-20000000</v>
      </c>
      <c r="M50" s="76">
        <f t="shared" si="21"/>
        <v>180000000</v>
      </c>
      <c r="N50" s="76"/>
      <c r="O50" s="76">
        <v>0</v>
      </c>
      <c r="P50" s="76">
        <f>+D50-E50-F50-O50</f>
        <v>40000000</v>
      </c>
      <c r="Q50" s="78"/>
    </row>
    <row r="51" spans="1:19" s="79" customFormat="1" x14ac:dyDescent="0.25">
      <c r="A51" s="73"/>
      <c r="B51" s="81"/>
      <c r="C51" s="82"/>
      <c r="D51" s="76"/>
      <c r="E51" s="76"/>
      <c r="F51" s="8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8"/>
    </row>
    <row r="52" spans="1:19" s="72" customFormat="1" ht="22.5" customHeight="1" x14ac:dyDescent="0.25">
      <c r="A52" s="69" t="s">
        <v>166</v>
      </c>
      <c r="B52" s="680" t="s">
        <v>194</v>
      </c>
      <c r="C52" s="681"/>
      <c r="D52" s="70">
        <f>SUM(D53:D55)</f>
        <v>110000000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1"/>
      <c r="S52" s="98">
        <f>+E52+F52+J52+K52</f>
        <v>0</v>
      </c>
    </row>
    <row r="53" spans="1:19" s="79" customFormat="1" x14ac:dyDescent="0.25">
      <c r="A53" s="95"/>
      <c r="B53" s="81">
        <v>30</v>
      </c>
      <c r="C53" s="99" t="s">
        <v>195</v>
      </c>
      <c r="D53" s="76">
        <v>25000000</v>
      </c>
      <c r="E53" s="76">
        <v>25000000</v>
      </c>
      <c r="F53" s="77">
        <v>0</v>
      </c>
      <c r="G53" s="76">
        <f>+D53-E53-F53</f>
        <v>0</v>
      </c>
      <c r="H53" s="100">
        <v>35000000</v>
      </c>
      <c r="I53" s="76" t="s">
        <v>196</v>
      </c>
      <c r="J53" s="76">
        <v>0</v>
      </c>
      <c r="K53" s="76">
        <v>0</v>
      </c>
      <c r="L53" s="76">
        <v>0</v>
      </c>
      <c r="M53" s="76">
        <f>+G53-J53-K53-L53</f>
        <v>0</v>
      </c>
      <c r="N53" s="101"/>
      <c r="O53" s="101">
        <v>0</v>
      </c>
      <c r="P53" s="76">
        <f t="shared" ref="P53:P55" si="22">+D53-E53-F53-O53</f>
        <v>0</v>
      </c>
      <c r="Q53" s="78"/>
    </row>
    <row r="54" spans="1:19" s="79" customFormat="1" x14ac:dyDescent="0.25">
      <c r="A54" s="95"/>
      <c r="B54" s="81">
        <v>31</v>
      </c>
      <c r="C54" s="99" t="s">
        <v>197</v>
      </c>
      <c r="D54" s="76">
        <v>40000000</v>
      </c>
      <c r="E54" s="76">
        <v>20000000</v>
      </c>
      <c r="F54" s="77">
        <v>0</v>
      </c>
      <c r="G54" s="76">
        <f>+D54-E54-F54</f>
        <v>20000000</v>
      </c>
      <c r="H54" s="100">
        <v>20000000</v>
      </c>
      <c r="I54" s="76" t="s">
        <v>196</v>
      </c>
      <c r="J54" s="76">
        <v>0</v>
      </c>
      <c r="K54" s="76">
        <v>20000000</v>
      </c>
      <c r="L54" s="76">
        <v>0</v>
      </c>
      <c r="M54" s="76">
        <f>+G54-J54-K54-L54</f>
        <v>0</v>
      </c>
      <c r="N54" s="101"/>
      <c r="O54" s="101">
        <v>0</v>
      </c>
      <c r="P54" s="76">
        <f t="shared" si="22"/>
        <v>20000000</v>
      </c>
      <c r="Q54" s="78"/>
    </row>
    <row r="55" spans="1:19" s="79" customFormat="1" ht="17.25" thickBot="1" x14ac:dyDescent="0.3">
      <c r="A55" s="73"/>
      <c r="B55" s="81">
        <v>32</v>
      </c>
      <c r="C55" s="82" t="s">
        <v>198</v>
      </c>
      <c r="D55" s="76">
        <v>45000000</v>
      </c>
      <c r="E55" s="86">
        <v>0</v>
      </c>
      <c r="F55" s="86">
        <v>25000000</v>
      </c>
      <c r="G55" s="76">
        <f>+D55-E55-F55</f>
        <v>20000000</v>
      </c>
      <c r="H55" s="77">
        <v>0</v>
      </c>
      <c r="I55" s="76" t="s">
        <v>196</v>
      </c>
      <c r="J55" s="76">
        <v>20000000</v>
      </c>
      <c r="K55" s="76">
        <v>0</v>
      </c>
      <c r="L55" s="76">
        <v>0</v>
      </c>
      <c r="M55" s="76">
        <f>+G55-J55-K55-L55</f>
        <v>0</v>
      </c>
      <c r="N55" s="101" t="s">
        <v>23</v>
      </c>
      <c r="O55" s="101">
        <v>20000000</v>
      </c>
      <c r="P55" s="76">
        <f t="shared" si="22"/>
        <v>0</v>
      </c>
      <c r="Q55" s="78"/>
    </row>
    <row r="56" spans="1:19" s="79" customFormat="1" ht="17.25" hidden="1" thickBot="1" x14ac:dyDescent="0.3">
      <c r="A56" s="102"/>
      <c r="B56" s="103">
        <v>33</v>
      </c>
      <c r="C56" s="104" t="s">
        <v>199</v>
      </c>
      <c r="D56" s="100">
        <v>0</v>
      </c>
      <c r="E56" s="105">
        <v>0</v>
      </c>
      <c r="F56" s="105">
        <v>0</v>
      </c>
      <c r="G56" s="100"/>
      <c r="H56" s="100">
        <v>35000000</v>
      </c>
      <c r="I56" s="100"/>
      <c r="J56" s="100"/>
      <c r="K56" s="100"/>
      <c r="L56" s="100"/>
      <c r="M56" s="100"/>
      <c r="N56" s="106"/>
      <c r="O56" s="106"/>
      <c r="P56" s="106"/>
      <c r="Q56" s="107" t="s">
        <v>200</v>
      </c>
    </row>
    <row r="57" spans="1:19" s="72" customFormat="1" ht="30" customHeight="1" thickBot="1" x14ac:dyDescent="0.3">
      <c r="A57" s="682" t="s">
        <v>134</v>
      </c>
      <c r="B57" s="683"/>
      <c r="C57" s="683"/>
      <c r="D57" s="108">
        <f t="shared" ref="D57" si="23">+D52+D49+D42+D35+D30+D26+D21+D11+D7</f>
        <v>3000000000</v>
      </c>
      <c r="E57" s="108">
        <f>SUM(E8:E55)</f>
        <v>500000000</v>
      </c>
      <c r="F57" s="108">
        <f t="shared" ref="F57:P57" si="24">SUM(F8:F55)</f>
        <v>320000000</v>
      </c>
      <c r="G57" s="108">
        <f t="shared" si="24"/>
        <v>2180000000</v>
      </c>
      <c r="H57" s="108">
        <f t="shared" si="24"/>
        <v>-1925000000</v>
      </c>
      <c r="I57" s="108">
        <f t="shared" si="24"/>
        <v>135000000</v>
      </c>
      <c r="J57" s="108">
        <f t="shared" si="24"/>
        <v>4005000000</v>
      </c>
      <c r="K57" s="108">
        <f t="shared" si="24"/>
        <v>-6080000000</v>
      </c>
      <c r="L57" s="108">
        <f t="shared" si="24"/>
        <v>2250000000</v>
      </c>
      <c r="M57" s="108">
        <f t="shared" si="24"/>
        <v>7835000000</v>
      </c>
      <c r="N57" s="108"/>
      <c r="O57" s="108">
        <f t="shared" si="24"/>
        <v>1010000000</v>
      </c>
      <c r="P57" s="108">
        <f t="shared" si="24"/>
        <v>1170000000</v>
      </c>
      <c r="Q57" s="109"/>
    </row>
    <row r="58" spans="1:19" x14ac:dyDescent="0.3">
      <c r="C58" s="59" t="s">
        <v>201</v>
      </c>
    </row>
    <row r="59" spans="1:19" x14ac:dyDescent="0.3">
      <c r="F59" s="112"/>
    </row>
    <row r="60" spans="1:19" x14ac:dyDescent="0.3">
      <c r="F60" s="113">
        <f>+E57+F57+G57</f>
        <v>3000000000</v>
      </c>
      <c r="O60" s="111">
        <f>+E57+F57+O57</f>
        <v>1830000000</v>
      </c>
      <c r="P60" s="111">
        <f>+O60+P57</f>
        <v>3000000000</v>
      </c>
    </row>
  </sheetData>
  <mergeCells count="27">
    <mergeCell ref="P4:P5"/>
    <mergeCell ref="Q4:Q5"/>
    <mergeCell ref="A1:Q1"/>
    <mergeCell ref="A2:F2"/>
    <mergeCell ref="A4:A5"/>
    <mergeCell ref="B4:C5"/>
    <mergeCell ref="D4:D5"/>
    <mergeCell ref="E4:E5"/>
    <mergeCell ref="F4:F5"/>
    <mergeCell ref="G4:G5"/>
    <mergeCell ref="H4:H5"/>
    <mergeCell ref="I4:I5"/>
    <mergeCell ref="B30:C30"/>
    <mergeCell ref="J4:L4"/>
    <mergeCell ref="M4:M5"/>
    <mergeCell ref="N4:N5"/>
    <mergeCell ref="O4:O5"/>
    <mergeCell ref="B6:C6"/>
    <mergeCell ref="B7:C7"/>
    <mergeCell ref="B11:C11"/>
    <mergeCell ref="B21:C21"/>
    <mergeCell ref="B26:C26"/>
    <mergeCell ref="B35:C35"/>
    <mergeCell ref="B42:C42"/>
    <mergeCell ref="B49:C49"/>
    <mergeCell ref="B52:C52"/>
    <mergeCell ref="A57:C57"/>
  </mergeCells>
  <printOptions horizontalCentered="1"/>
  <pageMargins left="0.78740157480314965" right="0.19685039370078741" top="0.51181102362204722" bottom="0.43307086614173229" header="0.23622047244094491" footer="0.19685039370078741"/>
  <pageSetup paperSize="9" scale="75" orientation="landscape" r:id="rId1"/>
  <rowBreaks count="1" manualBreakCount="1">
    <brk id="2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defaultRowHeight="15" x14ac:dyDescent="0.25"/>
  <cols>
    <col min="1" max="1" width="5.28515625" style="121" customWidth="1"/>
    <col min="2" max="2" width="23.28515625" style="121" customWidth="1"/>
    <col min="3" max="3" width="9.140625" style="121"/>
    <col min="4" max="4" width="16.5703125" style="121" customWidth="1"/>
    <col min="5" max="5" width="14.85546875" style="121" customWidth="1"/>
    <col min="6" max="6" width="15.42578125" style="121" customWidth="1"/>
    <col min="7" max="7" width="9.140625" style="338"/>
    <col min="8" max="8" width="16.42578125" style="121" customWidth="1"/>
    <col min="9" max="9" width="38.42578125" style="121" customWidth="1"/>
    <col min="10" max="16384" width="9.140625" style="121"/>
  </cols>
  <sheetData>
    <row r="1" spans="1:9" x14ac:dyDescent="0.25">
      <c r="B1" s="704" t="s">
        <v>330</v>
      </c>
      <c r="C1" s="704"/>
      <c r="D1" s="704"/>
      <c r="E1" s="704"/>
      <c r="F1" s="704"/>
      <c r="G1" s="704"/>
      <c r="H1" s="704"/>
      <c r="I1" s="704"/>
    </row>
    <row r="3" spans="1:9" ht="24" customHeight="1" x14ac:dyDescent="0.25">
      <c r="A3" s="703" t="s">
        <v>1</v>
      </c>
      <c r="B3" s="703" t="s">
        <v>235</v>
      </c>
      <c r="C3" s="703" t="s">
        <v>236</v>
      </c>
      <c r="D3" s="703" t="s">
        <v>237</v>
      </c>
      <c r="E3" s="703" t="s">
        <v>220</v>
      </c>
      <c r="F3" s="703" t="s">
        <v>238</v>
      </c>
      <c r="G3" s="703"/>
      <c r="H3" s="703" t="s">
        <v>240</v>
      </c>
      <c r="I3" s="703" t="s">
        <v>244</v>
      </c>
    </row>
    <row r="4" spans="1:9" x14ac:dyDescent="0.25">
      <c r="A4" s="703"/>
      <c r="B4" s="703"/>
      <c r="C4" s="703"/>
      <c r="D4" s="703"/>
      <c r="E4" s="703"/>
      <c r="F4" s="333" t="s">
        <v>134</v>
      </c>
      <c r="G4" s="337" t="s">
        <v>239</v>
      </c>
      <c r="H4" s="703"/>
      <c r="I4" s="703"/>
    </row>
    <row r="5" spans="1:9" x14ac:dyDescent="0.25">
      <c r="A5" s="333"/>
      <c r="B5" s="333"/>
      <c r="C5" s="333"/>
      <c r="D5" s="333">
        <f>SUM(D6,D13,D19,D25,D26)</f>
        <v>15000000000</v>
      </c>
      <c r="E5" s="333"/>
      <c r="F5" s="333"/>
      <c r="G5" s="337"/>
      <c r="H5" s="333"/>
      <c r="I5" s="333"/>
    </row>
    <row r="6" spans="1:9" x14ac:dyDescent="0.25">
      <c r="A6" s="244" t="s">
        <v>241</v>
      </c>
      <c r="B6" s="334" t="s">
        <v>245</v>
      </c>
      <c r="C6" s="244">
        <v>22</v>
      </c>
      <c r="D6" s="244">
        <f>SUM(D7:D12)</f>
        <v>1500000000</v>
      </c>
      <c r="E6" s="244">
        <f>SUM(E7:E10)</f>
        <v>1210777209.069</v>
      </c>
      <c r="F6" s="244">
        <f>SUM(F7:F10)</f>
        <v>900513543.71099997</v>
      </c>
      <c r="G6" s="245">
        <f>F6/E6</f>
        <v>0.74374834359777031</v>
      </c>
      <c r="H6" s="244">
        <f>SUM(H7:H12)</f>
        <v>310263665.35799998</v>
      </c>
      <c r="I6" s="244"/>
    </row>
    <row r="7" spans="1:9" x14ac:dyDescent="0.25">
      <c r="A7" s="241">
        <v>1</v>
      </c>
      <c r="B7" s="241" t="s">
        <v>222</v>
      </c>
      <c r="C7" s="241">
        <v>14</v>
      </c>
      <c r="D7" s="241">
        <f>'MAINAN GUE'!E115</f>
        <v>741403800</v>
      </c>
      <c r="E7" s="241">
        <f>'MAINAN GUE'!G115</f>
        <v>696179078.25</v>
      </c>
      <c r="F7" s="241">
        <f>'MAINAN GUE'!H115</f>
        <v>696179078.25</v>
      </c>
      <c r="G7" s="242">
        <f t="shared" ref="G7:G8" si="0">F7/E7</f>
        <v>1</v>
      </c>
      <c r="H7" s="241">
        <f>E7-F7</f>
        <v>0</v>
      </c>
      <c r="I7" s="241"/>
    </row>
    <row r="8" spans="1:9" x14ac:dyDescent="0.25">
      <c r="A8" s="241">
        <v>2</v>
      </c>
      <c r="B8" s="241" t="s">
        <v>242</v>
      </c>
      <c r="C8" s="241">
        <v>6</v>
      </c>
      <c r="D8" s="241">
        <f>'MAINAN GUE'!E116</f>
        <v>518596200</v>
      </c>
      <c r="E8" s="241">
        <f>'MAINAN GUE'!G116</f>
        <v>514598130.81900001</v>
      </c>
      <c r="F8" s="241">
        <f>'MAINAN GUE'!H116</f>
        <v>204334465.46100003</v>
      </c>
      <c r="G8" s="242">
        <f t="shared" si="0"/>
        <v>0.39707580191905273</v>
      </c>
      <c r="H8" s="241">
        <f>E8-F8</f>
        <v>310263665.35799998</v>
      </c>
      <c r="I8" s="241"/>
    </row>
    <row r="9" spans="1:9" x14ac:dyDescent="0.25">
      <c r="A9" s="241">
        <v>3</v>
      </c>
      <c r="B9" s="241" t="s">
        <v>225</v>
      </c>
      <c r="C9" s="241">
        <v>0</v>
      </c>
      <c r="D9" s="241">
        <v>0</v>
      </c>
      <c r="E9" s="241">
        <v>0</v>
      </c>
      <c r="F9" s="241">
        <v>0</v>
      </c>
      <c r="G9" s="243">
        <v>0</v>
      </c>
      <c r="H9" s="241">
        <f t="shared" ref="H9:H12" si="1">E9-F9</f>
        <v>0</v>
      </c>
      <c r="I9" s="241"/>
    </row>
    <row r="10" spans="1:9" x14ac:dyDescent="0.25">
      <c r="A10" s="241">
        <v>4</v>
      </c>
      <c r="B10" s="241" t="s">
        <v>227</v>
      </c>
      <c r="C10" s="241">
        <v>0</v>
      </c>
      <c r="D10" s="241">
        <v>0</v>
      </c>
      <c r="E10" s="241">
        <v>0</v>
      </c>
      <c r="F10" s="241">
        <v>0</v>
      </c>
      <c r="G10" s="243">
        <v>0</v>
      </c>
      <c r="H10" s="241">
        <f t="shared" si="1"/>
        <v>0</v>
      </c>
      <c r="I10" s="241"/>
    </row>
    <row r="11" spans="1:9" x14ac:dyDescent="0.25">
      <c r="A11" s="241">
        <v>5</v>
      </c>
      <c r="B11" s="241" t="s">
        <v>224</v>
      </c>
      <c r="C11" s="332">
        <v>1</v>
      </c>
      <c r="D11" s="241">
        <f>'MAINAN GUE'!E121</f>
        <v>110000000</v>
      </c>
      <c r="E11" s="241">
        <v>0</v>
      </c>
      <c r="F11" s="241">
        <v>0</v>
      </c>
      <c r="G11" s="243">
        <v>0</v>
      </c>
      <c r="H11" s="241">
        <f t="shared" si="1"/>
        <v>0</v>
      </c>
      <c r="I11" s="343" t="s">
        <v>261</v>
      </c>
    </row>
    <row r="12" spans="1:9" ht="25.5" customHeight="1" x14ac:dyDescent="0.25">
      <c r="A12" s="241">
        <v>6</v>
      </c>
      <c r="B12" s="241" t="s">
        <v>243</v>
      </c>
      <c r="C12" s="241">
        <v>1</v>
      </c>
      <c r="D12" s="241">
        <f>'MAINAN GUE'!E119</f>
        <v>130000000</v>
      </c>
      <c r="E12" s="241">
        <v>0</v>
      </c>
      <c r="F12" s="241">
        <v>0</v>
      </c>
      <c r="G12" s="243">
        <v>0</v>
      </c>
      <c r="H12" s="241">
        <f t="shared" si="1"/>
        <v>0</v>
      </c>
      <c r="I12" s="335" t="s">
        <v>260</v>
      </c>
    </row>
    <row r="13" spans="1:9" x14ac:dyDescent="0.25">
      <c r="A13" s="244" t="s">
        <v>148</v>
      </c>
      <c r="B13" s="334" t="s">
        <v>246</v>
      </c>
      <c r="C13" s="244">
        <v>20</v>
      </c>
      <c r="D13" s="244">
        <f>SUM(D14:D16)</f>
        <v>1485100000</v>
      </c>
      <c r="E13" s="244">
        <f>SUM(E14:E16)</f>
        <v>1485039034.5999999</v>
      </c>
      <c r="F13" s="244">
        <f>SUM(F14:F18)</f>
        <v>437670338.68000001</v>
      </c>
      <c r="G13" s="245">
        <f>F13/E13</f>
        <v>0.2947197538129952</v>
      </c>
      <c r="H13" s="244">
        <f>SUM(H14:H18)</f>
        <v>1047368695.9200001</v>
      </c>
      <c r="I13" s="244"/>
    </row>
    <row r="14" spans="1:9" x14ac:dyDescent="0.25">
      <c r="A14" s="241">
        <v>1</v>
      </c>
      <c r="B14" s="241" t="s">
        <v>222</v>
      </c>
      <c r="C14" s="241">
        <v>4</v>
      </c>
      <c r="D14" s="241">
        <f>'MAINAN GUE'!J115</f>
        <v>183000000</v>
      </c>
      <c r="E14" s="241">
        <f>'MAINAN GUE'!L115</f>
        <v>182961305</v>
      </c>
      <c r="F14" s="241">
        <f>'MAINAN GUE'!M115</f>
        <v>182961305</v>
      </c>
      <c r="G14" s="242">
        <f t="shared" ref="G14:G23" si="2">F14/E14</f>
        <v>1</v>
      </c>
      <c r="H14" s="241">
        <f>E14-F14</f>
        <v>0</v>
      </c>
      <c r="I14" s="241"/>
    </row>
    <row r="15" spans="1:9" x14ac:dyDescent="0.25">
      <c r="A15" s="241">
        <v>2</v>
      </c>
      <c r="B15" s="241" t="s">
        <v>242</v>
      </c>
      <c r="C15" s="241">
        <v>10</v>
      </c>
      <c r="D15" s="241">
        <f>'MAINAN GUE'!J116</f>
        <v>670100000</v>
      </c>
      <c r="E15" s="241">
        <f>'MAINAN GUE'!L116</f>
        <v>670077729.60000002</v>
      </c>
      <c r="F15" s="241">
        <f>'MAINAN GUE'!M116</f>
        <v>254709033.68000001</v>
      </c>
      <c r="G15" s="242">
        <f t="shared" si="2"/>
        <v>0.38011863762738013</v>
      </c>
      <c r="H15" s="241">
        <f t="shared" ref="H15:H24" si="3">E15-F15</f>
        <v>415368695.92000002</v>
      </c>
      <c r="I15" s="241"/>
    </row>
    <row r="16" spans="1:9" x14ac:dyDescent="0.25">
      <c r="A16" s="241">
        <v>3</v>
      </c>
      <c r="B16" s="241" t="s">
        <v>225</v>
      </c>
      <c r="C16" s="241">
        <v>6</v>
      </c>
      <c r="D16" s="241">
        <f>'MAINAN GUE'!J118</f>
        <v>632000000</v>
      </c>
      <c r="E16" s="241">
        <f>'MAINAN GUE'!L118</f>
        <v>632000000</v>
      </c>
      <c r="F16" s="241">
        <f>'MAINAN GUE'!M118</f>
        <v>0</v>
      </c>
      <c r="G16" s="242">
        <f>F16/E16</f>
        <v>0</v>
      </c>
      <c r="H16" s="241">
        <f t="shared" si="3"/>
        <v>632000000</v>
      </c>
      <c r="I16" s="241"/>
    </row>
    <row r="17" spans="1:9" x14ac:dyDescent="0.25">
      <c r="A17" s="241">
        <v>4</v>
      </c>
      <c r="B17" s="241" t="s">
        <v>227</v>
      </c>
      <c r="C17" s="241">
        <v>0</v>
      </c>
      <c r="D17" s="241">
        <f>'MAINAN GUE'!J117</f>
        <v>0</v>
      </c>
      <c r="E17" s="241">
        <v>0</v>
      </c>
      <c r="F17" s="241">
        <f>'MAINAN GUE'!M117</f>
        <v>0</v>
      </c>
      <c r="G17" s="339">
        <v>0</v>
      </c>
      <c r="H17" s="241">
        <f t="shared" si="3"/>
        <v>0</v>
      </c>
      <c r="I17" s="241"/>
    </row>
    <row r="18" spans="1:9" x14ac:dyDescent="0.25">
      <c r="A18" s="241">
        <v>5</v>
      </c>
      <c r="B18" s="241" t="s">
        <v>243</v>
      </c>
      <c r="C18" s="241">
        <v>0</v>
      </c>
      <c r="D18" s="241">
        <v>0</v>
      </c>
      <c r="E18" s="241">
        <v>0</v>
      </c>
      <c r="F18" s="241">
        <v>0</v>
      </c>
      <c r="G18" s="339">
        <v>0</v>
      </c>
      <c r="H18" s="241">
        <f t="shared" si="3"/>
        <v>0</v>
      </c>
      <c r="I18" s="336"/>
    </row>
    <row r="19" spans="1:9" x14ac:dyDescent="0.25">
      <c r="A19" s="244" t="s">
        <v>160</v>
      </c>
      <c r="B19" s="334" t="s">
        <v>262</v>
      </c>
      <c r="C19" s="244">
        <f t="shared" ref="C19:H19" si="4">SUM(C20:C24)</f>
        <v>19</v>
      </c>
      <c r="D19" s="244">
        <f>SUM(D20:D24)</f>
        <v>2568797100</v>
      </c>
      <c r="E19" s="244">
        <f>SUM(E20:E24)-65000000</f>
        <v>1077200340</v>
      </c>
      <c r="F19" s="244">
        <f t="shared" si="4"/>
        <v>0</v>
      </c>
      <c r="G19" s="245">
        <f t="shared" si="4"/>
        <v>0</v>
      </c>
      <c r="H19" s="244">
        <f t="shared" si="4"/>
        <v>1142200340</v>
      </c>
      <c r="I19" s="244"/>
    </row>
    <row r="20" spans="1:9" x14ac:dyDescent="0.25">
      <c r="A20" s="241">
        <v>1</v>
      </c>
      <c r="B20" s="241" t="s">
        <v>222</v>
      </c>
      <c r="C20" s="241">
        <f>'MAINAN GUE'!P115</f>
        <v>0</v>
      </c>
      <c r="D20" s="241">
        <f>'MAINAN GUE'!O115</f>
        <v>0</v>
      </c>
      <c r="E20" s="241">
        <f>'MAINAN GUE'!Q115</f>
        <v>0</v>
      </c>
      <c r="F20" s="241">
        <f>'MAINAN GUE'!R115</f>
        <v>0</v>
      </c>
      <c r="G20" s="242">
        <v>0</v>
      </c>
      <c r="H20" s="241">
        <f t="shared" si="3"/>
        <v>0</v>
      </c>
      <c r="I20" s="241"/>
    </row>
    <row r="21" spans="1:9" x14ac:dyDescent="0.25">
      <c r="A21" s="241">
        <v>2</v>
      </c>
      <c r="B21" s="241" t="s">
        <v>242</v>
      </c>
      <c r="C21" s="241">
        <f>'MAINAN GUE'!P116</f>
        <v>0</v>
      </c>
      <c r="D21" s="241">
        <f>'MAINAN GUE'!O116</f>
        <v>0</v>
      </c>
      <c r="E21" s="241">
        <f>'MAINAN GUE'!Q116</f>
        <v>0</v>
      </c>
      <c r="F21" s="241">
        <f>'MAINAN GUE'!R116</f>
        <v>0</v>
      </c>
      <c r="G21" s="242">
        <v>0</v>
      </c>
      <c r="H21" s="241">
        <f t="shared" si="3"/>
        <v>0</v>
      </c>
      <c r="I21" s="241"/>
    </row>
    <row r="22" spans="1:9" x14ac:dyDescent="0.25">
      <c r="A22" s="241">
        <v>3</v>
      </c>
      <c r="B22" s="241" t="s">
        <v>225</v>
      </c>
      <c r="C22" s="241">
        <f>'MAINAN GUE'!P118</f>
        <v>12</v>
      </c>
      <c r="D22" s="241">
        <f>'MAINAN GUE'!O118</f>
        <v>1077203800</v>
      </c>
      <c r="E22" s="241">
        <f>'MAINAN GUE'!Q118</f>
        <v>1077200340</v>
      </c>
      <c r="F22" s="241">
        <f>'MAINAN GUE'!R118</f>
        <v>0</v>
      </c>
      <c r="G22" s="242">
        <f t="shared" si="2"/>
        <v>0</v>
      </c>
      <c r="H22" s="241">
        <f t="shared" si="3"/>
        <v>1077200340</v>
      </c>
      <c r="I22" s="241"/>
    </row>
    <row r="23" spans="1:9" x14ac:dyDescent="0.25">
      <c r="A23" s="241">
        <v>4</v>
      </c>
      <c r="B23" s="241" t="s">
        <v>227</v>
      </c>
      <c r="C23" s="241">
        <f>'MAINAN GUE'!P117</f>
        <v>5</v>
      </c>
      <c r="D23" s="241">
        <f>'MAINAN GUE'!O117</f>
        <v>1035000000</v>
      </c>
      <c r="E23" s="584">
        <f>'MAINAN GUE'!Q117</f>
        <v>65000000</v>
      </c>
      <c r="F23" s="241">
        <f>'MAINAN GUE'!R117</f>
        <v>0</v>
      </c>
      <c r="G23" s="242">
        <f t="shared" si="2"/>
        <v>0</v>
      </c>
      <c r="H23" s="241">
        <f t="shared" si="3"/>
        <v>65000000</v>
      </c>
      <c r="I23" s="241"/>
    </row>
    <row r="24" spans="1:9" ht="36.75" customHeight="1" x14ac:dyDescent="0.25">
      <c r="A24" s="241">
        <v>5</v>
      </c>
      <c r="B24" s="241" t="s">
        <v>243</v>
      </c>
      <c r="C24" s="241">
        <f>'MAINAN GUE'!P119</f>
        <v>2</v>
      </c>
      <c r="D24" s="241">
        <f>'MAINAN GUE'!O119</f>
        <v>456593300</v>
      </c>
      <c r="E24" s="241">
        <f>'MAINAN GUE'!Q119</f>
        <v>0</v>
      </c>
      <c r="F24" s="241">
        <f>'MAINAN GUE'!R119</f>
        <v>0</v>
      </c>
      <c r="G24" s="242">
        <v>0</v>
      </c>
      <c r="H24" s="241">
        <f t="shared" si="3"/>
        <v>0</v>
      </c>
      <c r="I24" s="344" t="s">
        <v>267</v>
      </c>
    </row>
    <row r="25" spans="1:9" x14ac:dyDescent="0.25">
      <c r="A25" s="244" t="s">
        <v>166</v>
      </c>
      <c r="B25" s="244" t="s">
        <v>264</v>
      </c>
      <c r="C25" s="244">
        <v>15</v>
      </c>
      <c r="D25" s="244">
        <v>3305286200</v>
      </c>
      <c r="E25" s="241"/>
      <c r="F25" s="241"/>
      <c r="G25" s="242"/>
      <c r="H25" s="244">
        <v>3305286200</v>
      </c>
      <c r="I25" s="336"/>
    </row>
    <row r="26" spans="1:9" x14ac:dyDescent="0.25">
      <c r="A26" s="244" t="s">
        <v>266</v>
      </c>
      <c r="B26" s="244" t="s">
        <v>263</v>
      </c>
      <c r="C26" s="332" t="s">
        <v>265</v>
      </c>
      <c r="D26" s="244">
        <v>6140816700</v>
      </c>
      <c r="E26" s="241"/>
      <c r="F26" s="241"/>
      <c r="G26" s="242"/>
      <c r="H26" s="244">
        <v>6140816700</v>
      </c>
      <c r="I26" s="336"/>
    </row>
    <row r="27" spans="1:9" x14ac:dyDescent="0.25">
      <c r="A27" s="241"/>
      <c r="B27" s="340" t="s">
        <v>134</v>
      </c>
      <c r="C27" s="340">
        <f>SUM(C6,C13,C19)</f>
        <v>61</v>
      </c>
      <c r="D27" s="333">
        <f>SUM(D6,D13,D19,D25,D26)</f>
        <v>15000000000</v>
      </c>
      <c r="E27" s="340">
        <f>SUM(E6,E13,E19)</f>
        <v>3773016583.6689997</v>
      </c>
      <c r="F27" s="340">
        <f>SUM(F6,F13,F19)</f>
        <v>1338183882.391</v>
      </c>
      <c r="G27" s="341">
        <f>SUM(G6,G13,G19)/3</f>
        <v>0.34615603247025523</v>
      </c>
      <c r="H27" s="340">
        <f>SUM(H6,H13,H19,H25,H26)</f>
        <v>11945935601.278</v>
      </c>
      <c r="I27" s="123"/>
    </row>
    <row r="28" spans="1:9" x14ac:dyDescent="0.25">
      <c r="G28" s="121"/>
    </row>
    <row r="29" spans="1:9" x14ac:dyDescent="0.25">
      <c r="A29" s="703" t="s">
        <v>1</v>
      </c>
      <c r="B29" s="703" t="s">
        <v>235</v>
      </c>
      <c r="C29" s="703" t="s">
        <v>236</v>
      </c>
      <c r="D29" s="703" t="s">
        <v>237</v>
      </c>
      <c r="E29" s="703" t="s">
        <v>220</v>
      </c>
      <c r="F29" s="703" t="s">
        <v>238</v>
      </c>
      <c r="G29" s="703"/>
      <c r="H29" s="703" t="s">
        <v>240</v>
      </c>
      <c r="I29" s="703" t="s">
        <v>244</v>
      </c>
    </row>
    <row r="30" spans="1:9" x14ac:dyDescent="0.25">
      <c r="A30" s="703"/>
      <c r="B30" s="703"/>
      <c r="C30" s="703"/>
      <c r="D30" s="703"/>
      <c r="E30" s="703"/>
      <c r="F30" s="462" t="s">
        <v>134</v>
      </c>
      <c r="G30" s="337" t="s">
        <v>239</v>
      </c>
      <c r="H30" s="703"/>
      <c r="I30" s="703"/>
    </row>
    <row r="31" spans="1:9" x14ac:dyDescent="0.25">
      <c r="A31" s="462"/>
      <c r="B31" s="462"/>
      <c r="C31" s="462"/>
      <c r="D31" s="462">
        <v>3000000000</v>
      </c>
      <c r="E31" s="462"/>
      <c r="F31" s="462"/>
      <c r="G31" s="337"/>
      <c r="H31" s="462"/>
      <c r="I31" s="462"/>
    </row>
    <row r="32" spans="1:9" x14ac:dyDescent="0.25">
      <c r="A32" s="244" t="s">
        <v>241</v>
      </c>
      <c r="B32" s="334" t="s">
        <v>245</v>
      </c>
      <c r="C32" s="244">
        <v>12</v>
      </c>
      <c r="D32" s="244">
        <f>SUM(D33:D38)</f>
        <v>500000000</v>
      </c>
      <c r="E32" s="244">
        <f>SUM(E33:E38)</f>
        <v>494725397.26899999</v>
      </c>
      <c r="F32" s="244">
        <f>SUM(F33:F38)</f>
        <v>454825397.26899999</v>
      </c>
      <c r="G32" s="245">
        <f>F32/E32</f>
        <v>0.91934919812029592</v>
      </c>
      <c r="H32" s="244">
        <f>SUM(H33:H38)</f>
        <v>39900000</v>
      </c>
      <c r="I32" s="244"/>
    </row>
    <row r="33" spans="1:9" x14ac:dyDescent="0.25">
      <c r="A33" s="241">
        <v>1</v>
      </c>
      <c r="B33" s="241" t="s">
        <v>222</v>
      </c>
      <c r="C33" s="241">
        <v>11</v>
      </c>
      <c r="D33" s="241">
        <v>300000000</v>
      </c>
      <c r="E33" s="241">
        <v>295225397.26899999</v>
      </c>
      <c r="F33" s="241">
        <v>295225397.26899999</v>
      </c>
      <c r="G33" s="242">
        <f t="shared" ref="G33:G34" si="5">F33/E33</f>
        <v>1</v>
      </c>
      <c r="H33" s="241">
        <f>E33-F33</f>
        <v>0</v>
      </c>
      <c r="I33" s="241"/>
    </row>
    <row r="34" spans="1:9" x14ac:dyDescent="0.25">
      <c r="A34" s="241">
        <v>2</v>
      </c>
      <c r="B34" s="241" t="s">
        <v>242</v>
      </c>
      <c r="C34" s="241">
        <v>1</v>
      </c>
      <c r="D34" s="241">
        <v>200000000</v>
      </c>
      <c r="E34" s="241">
        <v>199500000</v>
      </c>
      <c r="F34" s="241">
        <v>159600000</v>
      </c>
      <c r="G34" s="242">
        <f t="shared" si="5"/>
        <v>0.8</v>
      </c>
      <c r="H34" s="241">
        <f>E34-F34</f>
        <v>39900000</v>
      </c>
      <c r="I34" s="241"/>
    </row>
    <row r="35" spans="1:9" x14ac:dyDescent="0.25">
      <c r="A35" s="241">
        <v>3</v>
      </c>
      <c r="B35" s="241" t="s">
        <v>225</v>
      </c>
      <c r="C35" s="241">
        <v>0</v>
      </c>
      <c r="D35" s="241">
        <v>0</v>
      </c>
      <c r="E35" s="241">
        <v>0</v>
      </c>
      <c r="F35" s="241">
        <v>0</v>
      </c>
      <c r="G35" s="243">
        <v>0</v>
      </c>
      <c r="H35" s="241">
        <f t="shared" ref="H35:H38" si="6">E35-F35</f>
        <v>0</v>
      </c>
      <c r="I35" s="241"/>
    </row>
    <row r="36" spans="1:9" x14ac:dyDescent="0.25">
      <c r="A36" s="241">
        <v>4</v>
      </c>
      <c r="B36" s="241" t="s">
        <v>227</v>
      </c>
      <c r="C36" s="241">
        <v>0</v>
      </c>
      <c r="D36" s="241">
        <v>0</v>
      </c>
      <c r="E36" s="241">
        <v>0</v>
      </c>
      <c r="F36" s="241">
        <v>0</v>
      </c>
      <c r="G36" s="243">
        <v>0</v>
      </c>
      <c r="H36" s="241">
        <f t="shared" si="6"/>
        <v>0</v>
      </c>
      <c r="I36" s="241"/>
    </row>
    <row r="37" spans="1:9" x14ac:dyDescent="0.25">
      <c r="A37" s="241">
        <v>5</v>
      </c>
      <c r="B37" s="241" t="s">
        <v>224</v>
      </c>
      <c r="C37" s="332">
        <v>0</v>
      </c>
      <c r="D37" s="241">
        <f>'MAINAN GUE'!E147</f>
        <v>0</v>
      </c>
      <c r="E37" s="241">
        <v>0</v>
      </c>
      <c r="F37" s="241">
        <v>0</v>
      </c>
      <c r="G37" s="243">
        <v>0</v>
      </c>
      <c r="H37" s="241">
        <f t="shared" si="6"/>
        <v>0</v>
      </c>
      <c r="I37" s="343"/>
    </row>
    <row r="38" spans="1:9" x14ac:dyDescent="0.25">
      <c r="A38" s="241">
        <v>6</v>
      </c>
      <c r="B38" s="241" t="s">
        <v>243</v>
      </c>
      <c r="C38" s="241">
        <v>0</v>
      </c>
      <c r="D38" s="241">
        <f>'MAINAN GUE'!E145</f>
        <v>0</v>
      </c>
      <c r="E38" s="241">
        <v>0</v>
      </c>
      <c r="F38" s="241">
        <v>0</v>
      </c>
      <c r="G38" s="243">
        <v>0</v>
      </c>
      <c r="H38" s="241">
        <f t="shared" si="6"/>
        <v>0</v>
      </c>
      <c r="I38" s="335"/>
    </row>
    <row r="39" spans="1:9" x14ac:dyDescent="0.25">
      <c r="A39" s="244" t="s">
        <v>148</v>
      </c>
      <c r="B39" s="334" t="s">
        <v>246</v>
      </c>
      <c r="C39" s="244">
        <v>11</v>
      </c>
      <c r="D39" s="244">
        <f>SUM(D40:D44)</f>
        <v>320000000</v>
      </c>
      <c r="E39" s="244">
        <f t="shared" ref="E39:F39" si="7">SUM(E40:E44)</f>
        <v>318970352.14600003</v>
      </c>
      <c r="F39" s="244">
        <f t="shared" si="7"/>
        <v>287087672.14600003</v>
      </c>
      <c r="G39" s="245">
        <f>F39/E39</f>
        <v>0.90004500485547767</v>
      </c>
      <c r="H39" s="244">
        <f>SUM(H40:H44)</f>
        <v>31882680</v>
      </c>
      <c r="I39" s="244"/>
    </row>
    <row r="40" spans="1:9" x14ac:dyDescent="0.25">
      <c r="A40" s="241">
        <v>1</v>
      </c>
      <c r="B40" s="241" t="s">
        <v>222</v>
      </c>
      <c r="C40" s="241">
        <v>10</v>
      </c>
      <c r="D40" s="241">
        <v>280000000</v>
      </c>
      <c r="E40" s="241">
        <v>279117002.14600003</v>
      </c>
      <c r="F40" s="241">
        <v>279117002.14600003</v>
      </c>
      <c r="G40" s="242">
        <f t="shared" ref="G40:G41" si="8">F40/E40</f>
        <v>1</v>
      </c>
      <c r="H40" s="241">
        <f>E40-F40</f>
        <v>0</v>
      </c>
      <c r="I40" s="241"/>
    </row>
    <row r="41" spans="1:9" x14ac:dyDescent="0.25">
      <c r="A41" s="241">
        <v>2</v>
      </c>
      <c r="B41" s="241" t="s">
        <v>242</v>
      </c>
      <c r="C41" s="241">
        <v>1</v>
      </c>
      <c r="D41" s="111">
        <v>40000000</v>
      </c>
      <c r="E41" s="241">
        <v>39853350</v>
      </c>
      <c r="F41" s="241">
        <v>7970670</v>
      </c>
      <c r="G41" s="242">
        <f t="shared" si="8"/>
        <v>0.2</v>
      </c>
      <c r="H41" s="241">
        <f t="shared" ref="H41:H44" si="9">E41-F41</f>
        <v>31882680</v>
      </c>
      <c r="I41" s="241"/>
    </row>
    <row r="42" spans="1:9" x14ac:dyDescent="0.25">
      <c r="A42" s="241">
        <v>3</v>
      </c>
      <c r="B42" s="241" t="s">
        <v>225</v>
      </c>
      <c r="C42" s="241">
        <v>0</v>
      </c>
      <c r="D42" s="241">
        <v>0</v>
      </c>
      <c r="E42" s="241">
        <v>0</v>
      </c>
      <c r="F42" s="241">
        <v>0</v>
      </c>
      <c r="G42" s="243">
        <v>0</v>
      </c>
      <c r="H42" s="241">
        <f t="shared" si="9"/>
        <v>0</v>
      </c>
      <c r="I42" s="241"/>
    </row>
    <row r="43" spans="1:9" x14ac:dyDescent="0.25">
      <c r="A43" s="241">
        <v>4</v>
      </c>
      <c r="B43" s="241" t="s">
        <v>227</v>
      </c>
      <c r="C43" s="241">
        <v>0</v>
      </c>
      <c r="D43" s="241">
        <v>0</v>
      </c>
      <c r="E43" s="241">
        <v>0</v>
      </c>
      <c r="F43" s="241">
        <f>'MAINAN GUE'!M143</f>
        <v>0</v>
      </c>
      <c r="G43" s="243">
        <v>0</v>
      </c>
      <c r="H43" s="241">
        <f t="shared" si="9"/>
        <v>0</v>
      </c>
      <c r="I43" s="241"/>
    </row>
    <row r="44" spans="1:9" x14ac:dyDescent="0.25">
      <c r="A44" s="241">
        <v>5</v>
      </c>
      <c r="B44" s="241" t="s">
        <v>243</v>
      </c>
      <c r="C44" s="241">
        <v>0</v>
      </c>
      <c r="D44" s="241">
        <v>0</v>
      </c>
      <c r="E44" s="241">
        <v>0</v>
      </c>
      <c r="F44" s="241">
        <v>0</v>
      </c>
      <c r="G44" s="243">
        <v>0</v>
      </c>
      <c r="H44" s="241">
        <f t="shared" si="9"/>
        <v>0</v>
      </c>
      <c r="I44" s="336"/>
    </row>
    <row r="45" spans="1:9" x14ac:dyDescent="0.25">
      <c r="A45" s="244" t="s">
        <v>160</v>
      </c>
      <c r="B45" s="334" t="s">
        <v>262</v>
      </c>
      <c r="C45" s="244">
        <f t="shared" ref="C45" si="10">SUM(C46:C50)</f>
        <v>14</v>
      </c>
      <c r="D45" s="244">
        <f>SUM(D46:D50)</f>
        <v>1010000000</v>
      </c>
      <c r="E45" s="244">
        <f t="shared" ref="E45:F45" si="11">SUM(E46:E50)</f>
        <v>199499675</v>
      </c>
      <c r="F45" s="244">
        <f t="shared" si="11"/>
        <v>63836734.600000001</v>
      </c>
      <c r="G45" s="245">
        <f t="shared" ref="G45:H45" si="12">SUM(G46:G50)</f>
        <v>0</v>
      </c>
      <c r="H45" s="244">
        <f t="shared" si="12"/>
        <v>135662940.40000001</v>
      </c>
      <c r="I45" s="244"/>
    </row>
    <row r="46" spans="1:9" x14ac:dyDescent="0.25">
      <c r="A46" s="241">
        <v>1</v>
      </c>
      <c r="B46" s="241" t="s">
        <v>222</v>
      </c>
      <c r="C46" s="241">
        <v>1</v>
      </c>
      <c r="D46" s="241">
        <v>30000000</v>
      </c>
      <c r="E46" s="241">
        <v>29921000</v>
      </c>
      <c r="F46" s="241">
        <v>29921000</v>
      </c>
      <c r="G46" s="242">
        <v>0</v>
      </c>
      <c r="H46" s="241">
        <f t="shared" ref="H46:H50" si="13">E46-F46</f>
        <v>0</v>
      </c>
      <c r="I46" s="241"/>
    </row>
    <row r="47" spans="1:9" x14ac:dyDescent="0.25">
      <c r="A47" s="241">
        <v>2</v>
      </c>
      <c r="B47" s="241" t="s">
        <v>242</v>
      </c>
      <c r="C47" s="241">
        <v>3</v>
      </c>
      <c r="D47" s="241">
        <v>170000000</v>
      </c>
      <c r="E47" s="241">
        <v>169578675</v>
      </c>
      <c r="F47" s="241">
        <v>33915734.600000001</v>
      </c>
      <c r="G47" s="242">
        <v>0</v>
      </c>
      <c r="H47" s="241">
        <f t="shared" si="13"/>
        <v>135662940.40000001</v>
      </c>
      <c r="I47" s="241"/>
    </row>
    <row r="48" spans="1:9" x14ac:dyDescent="0.25">
      <c r="A48" s="241">
        <v>3</v>
      </c>
      <c r="B48" s="241" t="s">
        <v>225</v>
      </c>
      <c r="C48" s="241">
        <v>0</v>
      </c>
      <c r="D48" s="241">
        <v>0</v>
      </c>
      <c r="E48" s="241">
        <v>0</v>
      </c>
      <c r="F48" s="241">
        <v>0</v>
      </c>
      <c r="G48" s="243">
        <v>0</v>
      </c>
      <c r="H48" s="241">
        <f t="shared" si="13"/>
        <v>0</v>
      </c>
      <c r="I48" s="241"/>
    </row>
    <row r="49" spans="1:9" x14ac:dyDescent="0.25">
      <c r="A49" s="241">
        <v>4</v>
      </c>
      <c r="B49" s="241" t="s">
        <v>227</v>
      </c>
      <c r="C49" s="241">
        <v>10</v>
      </c>
      <c r="D49" s="241">
        <v>810000000</v>
      </c>
      <c r="E49" s="635">
        <f>'MAINAN GUE'!Q143</f>
        <v>0</v>
      </c>
      <c r="F49" s="241">
        <v>0</v>
      </c>
      <c r="G49" s="243">
        <v>0</v>
      </c>
      <c r="H49" s="241">
        <f t="shared" si="13"/>
        <v>0</v>
      </c>
      <c r="I49" s="241"/>
    </row>
    <row r="50" spans="1:9" x14ac:dyDescent="0.25">
      <c r="A50" s="241">
        <v>5</v>
      </c>
      <c r="B50" s="241" t="s">
        <v>243</v>
      </c>
      <c r="C50" s="241">
        <f>'MAINAN GUE'!P145</f>
        <v>0</v>
      </c>
      <c r="D50" s="241">
        <f>'MAINAN GUE'!O145</f>
        <v>0</v>
      </c>
      <c r="E50" s="241">
        <f>'MAINAN GUE'!Q145</f>
        <v>0</v>
      </c>
      <c r="F50" s="241">
        <f>'MAINAN GUE'!R145</f>
        <v>0</v>
      </c>
      <c r="G50" s="243">
        <v>0</v>
      </c>
      <c r="H50" s="241">
        <f t="shared" si="13"/>
        <v>0</v>
      </c>
      <c r="I50" s="344"/>
    </row>
    <row r="51" spans="1:9" x14ac:dyDescent="0.25">
      <c r="A51" s="241"/>
      <c r="B51" s="340" t="s">
        <v>134</v>
      </c>
      <c r="C51" s="340">
        <f>SUM(C32,C39,C45)</f>
        <v>37</v>
      </c>
      <c r="D51" s="462">
        <f>SUM(D32,D39,D45)</f>
        <v>1830000000</v>
      </c>
      <c r="E51" s="340">
        <f>SUM(E32,E39,E45)</f>
        <v>1013195424.415</v>
      </c>
      <c r="F51" s="340">
        <f>SUM(F32,F39,F45)</f>
        <v>805749804.01499999</v>
      </c>
      <c r="G51" s="341">
        <f>SUM(G32,G39,G45)/3</f>
        <v>0.60646473432525783</v>
      </c>
      <c r="H51" s="340">
        <f>SUM(H32,H39,H45)</f>
        <v>207445620.40000001</v>
      </c>
      <c r="I51" s="123"/>
    </row>
  </sheetData>
  <mergeCells count="17">
    <mergeCell ref="B1:I1"/>
    <mergeCell ref="H3:H4"/>
    <mergeCell ref="I3:I4"/>
    <mergeCell ref="F3:G3"/>
    <mergeCell ref="A3:A4"/>
    <mergeCell ref="B3:B4"/>
    <mergeCell ref="C3:C4"/>
    <mergeCell ref="D3:D4"/>
    <mergeCell ref="E3:E4"/>
    <mergeCell ref="F29:G29"/>
    <mergeCell ref="H29:H30"/>
    <mergeCell ref="I29:I30"/>
    <mergeCell ref="A29:A30"/>
    <mergeCell ref="B29:B30"/>
    <mergeCell ref="C29:C30"/>
    <mergeCell ref="D29:D30"/>
    <mergeCell ref="E29:E30"/>
  </mergeCells>
  <pageMargins left="0.7" right="0.7" top="0.75" bottom="0.75" header="0.3" footer="0.3"/>
  <pageSetup paperSize="9" scale="8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22" workbookViewId="0">
      <selection activeCell="A34" sqref="A34:D40"/>
    </sheetView>
  </sheetViews>
  <sheetFormatPr defaultRowHeight="15" x14ac:dyDescent="0.25"/>
  <cols>
    <col min="1" max="1" width="18.28515625" customWidth="1"/>
    <col min="2" max="3" width="14.5703125" customWidth="1"/>
    <col min="4" max="4" width="19.28515625" customWidth="1"/>
    <col min="7" max="7" width="12.42578125" customWidth="1"/>
  </cols>
  <sheetData>
    <row r="2" spans="1:4" x14ac:dyDescent="0.25">
      <c r="B2">
        <v>2015</v>
      </c>
      <c r="C2">
        <v>2016</v>
      </c>
      <c r="D2">
        <v>2017</v>
      </c>
    </row>
    <row r="3" spans="1:4" x14ac:dyDescent="0.25">
      <c r="A3" t="s">
        <v>338</v>
      </c>
    </row>
    <row r="4" spans="1:4" x14ac:dyDescent="0.25">
      <c r="A4" t="s">
        <v>334</v>
      </c>
    </row>
    <row r="5" spans="1:4" x14ac:dyDescent="0.25">
      <c r="A5" t="s">
        <v>158</v>
      </c>
    </row>
    <row r="6" spans="1:4" x14ac:dyDescent="0.25">
      <c r="A6" t="s">
        <v>339</v>
      </c>
    </row>
    <row r="7" spans="1:4" x14ac:dyDescent="0.25">
      <c r="A7" t="s">
        <v>336</v>
      </c>
    </row>
    <row r="8" spans="1:4" x14ac:dyDescent="0.25">
      <c r="A8" t="s">
        <v>340</v>
      </c>
    </row>
    <row r="10" spans="1:4" ht="15.75" thickBot="1" x14ac:dyDescent="0.3"/>
    <row r="11" spans="1:4" ht="15.75" thickBot="1" x14ac:dyDescent="0.3">
      <c r="A11" s="592"/>
      <c r="B11" s="593">
        <v>2015</v>
      </c>
      <c r="C11" s="593">
        <v>2016</v>
      </c>
      <c r="D11" s="594">
        <v>2017</v>
      </c>
    </row>
    <row r="12" spans="1:4" ht="15.75" thickTop="1" x14ac:dyDescent="0.25">
      <c r="A12" s="564" t="s">
        <v>333</v>
      </c>
      <c r="B12" s="590">
        <v>1500</v>
      </c>
      <c r="C12" s="590">
        <v>1485.1</v>
      </c>
      <c r="D12" s="591">
        <v>2568.7970999999998</v>
      </c>
    </row>
    <row r="13" spans="1:4" x14ac:dyDescent="0.25">
      <c r="A13" s="562" t="s">
        <v>334</v>
      </c>
      <c r="B13" s="585">
        <v>1210.777209069</v>
      </c>
      <c r="C13" s="585">
        <v>1485.0390345999999</v>
      </c>
      <c r="D13" s="586">
        <v>1077.2003400000001</v>
      </c>
    </row>
    <row r="14" spans="1:4" x14ac:dyDescent="0.25">
      <c r="A14" s="562" t="s">
        <v>158</v>
      </c>
      <c r="B14" s="585">
        <v>696.17907824999998</v>
      </c>
      <c r="C14" s="585">
        <v>182.96130500000001</v>
      </c>
      <c r="D14" s="586">
        <v>0</v>
      </c>
    </row>
    <row r="15" spans="1:4" x14ac:dyDescent="0.25">
      <c r="A15" s="562" t="s">
        <v>335</v>
      </c>
      <c r="B15" s="585">
        <v>514.59813081899995</v>
      </c>
      <c r="C15" s="585">
        <v>670.0777296</v>
      </c>
      <c r="D15" s="586">
        <v>0</v>
      </c>
    </row>
    <row r="16" spans="1:4" x14ac:dyDescent="0.25">
      <c r="A16" s="562" t="s">
        <v>336</v>
      </c>
      <c r="B16" s="585">
        <v>0</v>
      </c>
      <c r="C16" s="585">
        <v>632</v>
      </c>
      <c r="D16" s="587">
        <v>1077.2003400000001</v>
      </c>
    </row>
    <row r="17" spans="1:4" ht="15.75" thickBot="1" x14ac:dyDescent="0.3">
      <c r="A17" s="563" t="s">
        <v>337</v>
      </c>
      <c r="B17" s="588">
        <v>0</v>
      </c>
      <c r="C17" s="588">
        <v>0</v>
      </c>
      <c r="D17" s="589">
        <v>0</v>
      </c>
    </row>
    <row r="18" spans="1:4" ht="15.75" thickBot="1" x14ac:dyDescent="0.3"/>
    <row r="19" spans="1:4" ht="15.75" thickBot="1" x14ac:dyDescent="0.3">
      <c r="A19" s="592" t="s">
        <v>372</v>
      </c>
      <c r="B19" s="593" t="s">
        <v>334</v>
      </c>
      <c r="C19" s="593" t="s">
        <v>158</v>
      </c>
      <c r="D19" s="594" t="s">
        <v>335</v>
      </c>
    </row>
    <row r="20" spans="1:4" ht="15.75" thickTop="1" x14ac:dyDescent="0.25">
      <c r="A20" s="564"/>
      <c r="B20" s="590"/>
      <c r="C20" s="590"/>
      <c r="D20" s="591"/>
    </row>
    <row r="21" spans="1:4" x14ac:dyDescent="0.25">
      <c r="A21" s="562"/>
      <c r="B21" s="585"/>
      <c r="C21" s="585"/>
      <c r="D21" s="586"/>
    </row>
    <row r="22" spans="1:4" x14ac:dyDescent="0.25">
      <c r="A22" s="562"/>
      <c r="B22" s="585"/>
      <c r="C22" s="585"/>
      <c r="D22" s="586"/>
    </row>
    <row r="23" spans="1:4" x14ac:dyDescent="0.25">
      <c r="A23" s="562"/>
      <c r="B23" s="585"/>
      <c r="C23" s="585"/>
      <c r="D23" s="586"/>
    </row>
    <row r="24" spans="1:4" x14ac:dyDescent="0.25">
      <c r="A24" s="562"/>
      <c r="B24" s="585"/>
      <c r="C24" s="585"/>
      <c r="D24" s="587"/>
    </row>
    <row r="25" spans="1:4" ht="15.75" thickBot="1" x14ac:dyDescent="0.3">
      <c r="A25" s="563"/>
      <c r="B25" s="588"/>
      <c r="C25" s="588"/>
      <c r="D25" s="589"/>
    </row>
    <row r="27" spans="1:4" x14ac:dyDescent="0.25">
      <c r="B27" s="641"/>
      <c r="C27" s="641"/>
      <c r="D27" s="641"/>
    </row>
    <row r="28" spans="1:4" x14ac:dyDescent="0.25">
      <c r="A28" s="562"/>
      <c r="B28" s="338"/>
      <c r="C28" s="338"/>
      <c r="D28" s="338"/>
    </row>
    <row r="29" spans="1:4" x14ac:dyDescent="0.25">
      <c r="A29" s="562"/>
      <c r="B29" s="338"/>
      <c r="C29" s="338"/>
      <c r="D29" s="338"/>
    </row>
    <row r="33" spans="1:4" ht="15.75" thickBot="1" x14ac:dyDescent="0.3"/>
    <row r="34" spans="1:4" ht="15.75" thickBot="1" x14ac:dyDescent="0.3">
      <c r="A34" s="638"/>
      <c r="B34" s="639">
        <v>2015</v>
      </c>
      <c r="C34" s="639">
        <v>2016</v>
      </c>
      <c r="D34" s="640">
        <v>2017</v>
      </c>
    </row>
    <row r="35" spans="1:4" ht="15.75" thickTop="1" x14ac:dyDescent="0.25">
      <c r="A35" s="564" t="s">
        <v>333</v>
      </c>
      <c r="B35" s="636">
        <v>500</v>
      </c>
      <c r="C35" s="590">
        <v>320</v>
      </c>
      <c r="D35" s="591">
        <v>1010</v>
      </c>
    </row>
    <row r="36" spans="1:4" x14ac:dyDescent="0.25">
      <c r="A36" s="562" t="s">
        <v>334</v>
      </c>
      <c r="B36" s="585">
        <v>494.72539726899998</v>
      </c>
      <c r="C36" s="585">
        <v>318.97035214599998</v>
      </c>
      <c r="D36" s="586">
        <v>199.499675</v>
      </c>
    </row>
    <row r="37" spans="1:4" x14ac:dyDescent="0.25">
      <c r="A37" s="562" t="s">
        <v>158</v>
      </c>
      <c r="B37" s="585">
        <v>295.22539726899998</v>
      </c>
      <c r="C37" s="585">
        <v>279.117002146</v>
      </c>
      <c r="D37" s="586">
        <v>29.920999999999999</v>
      </c>
    </row>
    <row r="38" spans="1:4" x14ac:dyDescent="0.25">
      <c r="A38" s="562" t="s">
        <v>335</v>
      </c>
      <c r="B38" s="585">
        <v>199.5</v>
      </c>
      <c r="C38" s="585">
        <v>39.853349999999999</v>
      </c>
      <c r="D38" s="586">
        <v>169.578675</v>
      </c>
    </row>
    <row r="39" spans="1:4" x14ac:dyDescent="0.25">
      <c r="A39" s="562" t="s">
        <v>337</v>
      </c>
      <c r="B39" s="585"/>
      <c r="C39" s="585"/>
      <c r="D39" s="586"/>
    </row>
    <row r="40" spans="1:4" ht="15.75" thickBot="1" x14ac:dyDescent="0.3">
      <c r="A40" s="563" t="s">
        <v>336</v>
      </c>
      <c r="B40" s="588"/>
      <c r="C40" s="588"/>
      <c r="D40" s="637"/>
    </row>
    <row r="41" spans="1:4" ht="15.75" thickBot="1" x14ac:dyDescent="0.3"/>
    <row r="42" spans="1:4" ht="15.75" thickBot="1" x14ac:dyDescent="0.3">
      <c r="A42" s="638"/>
      <c r="B42" s="639"/>
      <c r="C42" s="639"/>
      <c r="D42" s="640"/>
    </row>
    <row r="43" spans="1:4" ht="15.75" thickTop="1" x14ac:dyDescent="0.25">
      <c r="A43" s="564"/>
      <c r="B43" s="636"/>
      <c r="C43" s="590"/>
      <c r="D43" s="591"/>
    </row>
    <row r="44" spans="1:4" x14ac:dyDescent="0.25">
      <c r="A44" s="562"/>
      <c r="B44" s="585"/>
      <c r="C44" s="585"/>
      <c r="D44" s="586"/>
    </row>
    <row r="45" spans="1:4" ht="15.75" thickTop="1" x14ac:dyDescent="0.25">
      <c r="A45" s="562"/>
      <c r="B45" s="585"/>
      <c r="C45" s="585"/>
      <c r="D45" s="586"/>
    </row>
    <row r="46" spans="1:4" x14ac:dyDescent="0.25">
      <c r="A46" s="562"/>
      <c r="B46" s="585"/>
      <c r="C46" s="585"/>
      <c r="D46" s="586"/>
    </row>
    <row r="47" spans="1:4" x14ac:dyDescent="0.25">
      <c r="A47" s="562"/>
      <c r="B47" s="585"/>
      <c r="C47" s="585"/>
      <c r="D47" s="586"/>
    </row>
    <row r="48" spans="1:4" ht="15.75" thickBot="1" x14ac:dyDescent="0.3">
      <c r="A48" s="563"/>
      <c r="B48" s="588"/>
      <c r="C48" s="588"/>
      <c r="D48" s="637"/>
    </row>
    <row r="49" spans="1:4" x14ac:dyDescent="0.25">
      <c r="B49" s="583"/>
      <c r="C49" s="583"/>
      <c r="D49" s="583"/>
    </row>
    <row r="51" spans="1:4" x14ac:dyDescent="0.25">
      <c r="A51" s="562"/>
      <c r="B51" s="338"/>
      <c r="C51" s="338"/>
      <c r="D51" s="338"/>
    </row>
    <row r="52" spans="1:4" x14ac:dyDescent="0.25">
      <c r="A52" s="562"/>
      <c r="B52" s="338"/>
      <c r="C52" s="338"/>
      <c r="D52" s="3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topLeftCell="A31" workbookViewId="0">
      <selection activeCell="K49" sqref="K49"/>
    </sheetView>
  </sheetViews>
  <sheetFormatPr defaultRowHeight="15" x14ac:dyDescent="0.25"/>
  <cols>
    <col min="1" max="1" width="22.140625" customWidth="1"/>
    <col min="7" max="7" width="12.140625" customWidth="1"/>
  </cols>
  <sheetData>
    <row r="2" spans="1:10" x14ac:dyDescent="0.25">
      <c r="A2" s="726"/>
      <c r="B2" s="726">
        <v>2015</v>
      </c>
      <c r="C2" s="726">
        <v>2016</v>
      </c>
      <c r="D2" s="726">
        <v>2017</v>
      </c>
      <c r="H2" s="728"/>
      <c r="I2" s="728"/>
      <c r="J2" s="728"/>
    </row>
    <row r="3" spans="1:10" x14ac:dyDescent="0.25">
      <c r="A3" s="725" t="s">
        <v>268</v>
      </c>
      <c r="B3" s="727">
        <v>1500</v>
      </c>
      <c r="C3" s="727">
        <v>1485.1</v>
      </c>
      <c r="D3" s="727">
        <v>2568.7970999999998</v>
      </c>
      <c r="H3" s="583"/>
      <c r="I3" s="583"/>
      <c r="J3" s="583"/>
    </row>
    <row r="4" spans="1:10" x14ac:dyDescent="0.25">
      <c r="A4" s="725" t="s">
        <v>269</v>
      </c>
      <c r="B4" s="727">
        <v>500</v>
      </c>
      <c r="C4" s="727">
        <v>320</v>
      </c>
      <c r="D4" s="727">
        <v>1010</v>
      </c>
      <c r="H4" s="583"/>
      <c r="I4" s="583"/>
      <c r="J4" s="583"/>
    </row>
    <row r="8" spans="1:10" x14ac:dyDescent="0.25">
      <c r="A8" t="s">
        <v>268</v>
      </c>
    </row>
    <row r="9" spans="1:10" x14ac:dyDescent="0.25">
      <c r="A9" s="725"/>
      <c r="B9" s="729">
        <v>2015</v>
      </c>
      <c r="C9" s="729">
        <v>2016</v>
      </c>
      <c r="D9" s="729">
        <v>2017</v>
      </c>
      <c r="E9" s="725" t="s">
        <v>204</v>
      </c>
    </row>
    <row r="10" spans="1:10" x14ac:dyDescent="0.25">
      <c r="A10" s="725" t="s">
        <v>333</v>
      </c>
      <c r="B10" s="727">
        <v>1500</v>
      </c>
      <c r="C10" s="727">
        <v>1485.1</v>
      </c>
      <c r="D10" s="727">
        <v>2568.7970999999998</v>
      </c>
      <c r="E10" s="727">
        <f>SUM(B10:D10)</f>
        <v>5553.8971000000001</v>
      </c>
    </row>
    <row r="11" spans="1:10" x14ac:dyDescent="0.25">
      <c r="A11" s="725" t="s">
        <v>334</v>
      </c>
      <c r="B11" s="727">
        <v>1210.777209069</v>
      </c>
      <c r="C11" s="727">
        <v>1485.0390345999999</v>
      </c>
      <c r="D11" s="727">
        <v>1077.2003400000001</v>
      </c>
      <c r="E11" s="727">
        <f t="shared" ref="E11:E15" si="0">SUM(B11:D11)</f>
        <v>3773.0165836690003</v>
      </c>
    </row>
    <row r="12" spans="1:10" x14ac:dyDescent="0.25">
      <c r="A12" s="725" t="s">
        <v>158</v>
      </c>
      <c r="B12" s="727">
        <v>696.17907824999998</v>
      </c>
      <c r="C12" s="727">
        <v>182.96130500000001</v>
      </c>
      <c r="D12" s="727">
        <v>0</v>
      </c>
      <c r="E12" s="727">
        <f t="shared" si="0"/>
        <v>879.14038325000001</v>
      </c>
    </row>
    <row r="13" spans="1:10" x14ac:dyDescent="0.25">
      <c r="A13" s="725" t="s">
        <v>335</v>
      </c>
      <c r="B13" s="727">
        <v>514.59813081899995</v>
      </c>
      <c r="C13" s="727">
        <v>670.0777296</v>
      </c>
      <c r="D13" s="727">
        <v>0</v>
      </c>
      <c r="E13" s="727">
        <f t="shared" si="0"/>
        <v>1184.6758604189999</v>
      </c>
    </row>
    <row r="14" spans="1:10" x14ac:dyDescent="0.25">
      <c r="A14" s="725" t="s">
        <v>336</v>
      </c>
      <c r="B14" s="727">
        <v>0</v>
      </c>
      <c r="C14" s="727">
        <v>632</v>
      </c>
      <c r="D14" s="727">
        <v>1077.2003400000001</v>
      </c>
      <c r="E14" s="727">
        <f t="shared" si="0"/>
        <v>1709.2003400000001</v>
      </c>
    </row>
    <row r="15" spans="1:10" x14ac:dyDescent="0.25">
      <c r="A15" s="725" t="s">
        <v>337</v>
      </c>
      <c r="B15" s="727">
        <v>0</v>
      </c>
      <c r="C15" s="727">
        <v>0</v>
      </c>
      <c r="D15" s="727">
        <v>0</v>
      </c>
      <c r="E15" s="727">
        <f t="shared" si="0"/>
        <v>0</v>
      </c>
    </row>
    <row r="16" spans="1:10" x14ac:dyDescent="0.25">
      <c r="A16" s="725" t="s">
        <v>204</v>
      </c>
      <c r="B16" s="727">
        <f>SUM(B12:B15)</f>
        <v>1210.777209069</v>
      </c>
      <c r="C16" s="727">
        <f t="shared" ref="C16:E16" si="1">SUM(C12:C15)</f>
        <v>1485.0390345999999</v>
      </c>
      <c r="D16" s="727">
        <f t="shared" si="1"/>
        <v>1077.2003400000001</v>
      </c>
      <c r="E16" s="727">
        <f t="shared" si="1"/>
        <v>3773.0165836690003</v>
      </c>
    </row>
    <row r="17" spans="1:5" x14ac:dyDescent="0.25">
      <c r="B17" s="583"/>
      <c r="C17" s="583"/>
      <c r="D17" s="583"/>
    </row>
    <row r="19" spans="1:5" x14ac:dyDescent="0.25">
      <c r="A19" t="s">
        <v>269</v>
      </c>
    </row>
    <row r="20" spans="1:5" x14ac:dyDescent="0.25">
      <c r="A20" s="725"/>
      <c r="B20" s="725">
        <v>2015</v>
      </c>
      <c r="C20" s="725">
        <v>2016</v>
      </c>
      <c r="D20" s="725">
        <v>2017</v>
      </c>
      <c r="E20" s="725" t="s">
        <v>204</v>
      </c>
    </row>
    <row r="21" spans="1:5" x14ac:dyDescent="0.25">
      <c r="A21" s="725" t="s">
        <v>333</v>
      </c>
      <c r="B21" s="727">
        <v>500</v>
      </c>
      <c r="C21" s="727">
        <v>320</v>
      </c>
      <c r="D21" s="727">
        <v>1010</v>
      </c>
      <c r="E21" s="727">
        <f>SUM(B21:D21)</f>
        <v>1830</v>
      </c>
    </row>
    <row r="22" spans="1:5" x14ac:dyDescent="0.25">
      <c r="A22" s="725" t="s">
        <v>334</v>
      </c>
      <c r="B22" s="727">
        <v>494.72539726899998</v>
      </c>
      <c r="C22" s="727">
        <v>318.97035214599998</v>
      </c>
      <c r="D22" s="727">
        <v>199.499675</v>
      </c>
      <c r="E22" s="727">
        <f t="shared" ref="E22:E26" si="2">SUM(B22:D22)</f>
        <v>1013.1954244149999</v>
      </c>
    </row>
    <row r="23" spans="1:5" x14ac:dyDescent="0.25">
      <c r="A23" s="725" t="s">
        <v>158</v>
      </c>
      <c r="B23" s="727">
        <v>295.22539726899998</v>
      </c>
      <c r="C23" s="727">
        <v>279.117002146</v>
      </c>
      <c r="D23" s="727">
        <v>29.920999999999999</v>
      </c>
      <c r="E23" s="727">
        <f t="shared" si="2"/>
        <v>604.26339941500009</v>
      </c>
    </row>
    <row r="24" spans="1:5" x14ac:dyDescent="0.25">
      <c r="A24" s="725" t="s">
        <v>335</v>
      </c>
      <c r="B24" s="727">
        <v>199.5</v>
      </c>
      <c r="C24" s="727">
        <v>39.853349999999999</v>
      </c>
      <c r="D24" s="727">
        <v>169.578675</v>
      </c>
      <c r="E24" s="727">
        <f t="shared" si="2"/>
        <v>408.93202500000001</v>
      </c>
    </row>
    <row r="25" spans="1:5" x14ac:dyDescent="0.25">
      <c r="A25" s="725" t="s">
        <v>337</v>
      </c>
      <c r="B25" s="727"/>
      <c r="C25" s="727"/>
      <c r="D25" s="727"/>
      <c r="E25" s="727">
        <f>SUM(B25:D25)</f>
        <v>0</v>
      </c>
    </row>
    <row r="26" spans="1:5" x14ac:dyDescent="0.25">
      <c r="A26" s="725" t="s">
        <v>336</v>
      </c>
      <c r="B26" s="727"/>
      <c r="C26" s="727"/>
      <c r="D26" s="727"/>
      <c r="E26" s="727">
        <f t="shared" si="2"/>
        <v>0</v>
      </c>
    </row>
    <row r="27" spans="1:5" x14ac:dyDescent="0.25">
      <c r="A27" s="725" t="s">
        <v>204</v>
      </c>
      <c r="B27" s="727">
        <f>SUM(B23:B26)</f>
        <v>494.72539726899998</v>
      </c>
      <c r="C27" s="727">
        <f t="shared" ref="C27:E27" si="3">SUM(C23:C26)</f>
        <v>318.97035214599998</v>
      </c>
      <c r="D27" s="727">
        <f t="shared" si="3"/>
        <v>199.499675</v>
      </c>
      <c r="E27" s="727">
        <f t="shared" si="3"/>
        <v>1013.1954244150002</v>
      </c>
    </row>
    <row r="30" spans="1:5" x14ac:dyDescent="0.25">
      <c r="A30" s="725" t="s">
        <v>268</v>
      </c>
      <c r="B30" s="729">
        <v>2015</v>
      </c>
      <c r="C30" s="729">
        <v>2016</v>
      </c>
      <c r="D30" s="729">
        <v>2017</v>
      </c>
      <c r="E30" s="725" t="s">
        <v>204</v>
      </c>
    </row>
    <row r="31" spans="1:5" x14ac:dyDescent="0.25">
      <c r="A31" s="725" t="s">
        <v>334</v>
      </c>
      <c r="B31" s="727">
        <v>1210.777209069</v>
      </c>
      <c r="C31" s="727">
        <v>1485.0390345999999</v>
      </c>
      <c r="D31" s="727">
        <v>1077.2003400000001</v>
      </c>
      <c r="E31" s="727">
        <f t="shared" ref="E31" si="4">SUM(B31:D31)</f>
        <v>3773.0165836690003</v>
      </c>
    </row>
    <row r="32" spans="1:5" x14ac:dyDescent="0.25">
      <c r="A32" s="725" t="s">
        <v>158</v>
      </c>
      <c r="B32" s="730">
        <f>696.17907825/B31</f>
        <v>0.57498528468776788</v>
      </c>
      <c r="C32" s="730">
        <f>182.961305/C31</f>
        <v>0.12320302748761161</v>
      </c>
      <c r="D32" s="730">
        <f>0/D31</f>
        <v>0</v>
      </c>
      <c r="E32" s="730">
        <f>879.14038325/E31</f>
        <v>0.23300729370107781</v>
      </c>
    </row>
    <row r="33" spans="1:5" x14ac:dyDescent="0.25">
      <c r="A33" s="725" t="s">
        <v>335</v>
      </c>
      <c r="B33" s="730">
        <f>514.598130819/B31</f>
        <v>0.42501471531223206</v>
      </c>
      <c r="C33" s="730">
        <f>670.0777296/C31</f>
        <v>0.45121893363596843</v>
      </c>
      <c r="D33" s="730">
        <f>F339/D31</f>
        <v>0</v>
      </c>
      <c r="E33" s="730">
        <f>1184.675860419/E31</f>
        <v>0.31398639103435472</v>
      </c>
    </row>
    <row r="34" spans="1:5" x14ac:dyDescent="0.25">
      <c r="A34" s="725" t="s">
        <v>336</v>
      </c>
      <c r="B34" s="730">
        <v>0</v>
      </c>
      <c r="C34" s="730">
        <f>632/C31</f>
        <v>0.42557803887641998</v>
      </c>
      <c r="D34" s="730">
        <f>1077/D31</f>
        <v>0.9998140178826902</v>
      </c>
      <c r="E34" s="730">
        <f>1709.20034/E31</f>
        <v>0.45300631526456736</v>
      </c>
    </row>
    <row r="35" spans="1:5" x14ac:dyDescent="0.25">
      <c r="A35" s="725" t="s">
        <v>337</v>
      </c>
      <c r="B35" s="730">
        <v>0</v>
      </c>
      <c r="C35" s="730">
        <f>0/C31</f>
        <v>0</v>
      </c>
      <c r="D35" s="730">
        <v>0</v>
      </c>
      <c r="E35" s="730">
        <f>0/E31</f>
        <v>0</v>
      </c>
    </row>
    <row r="36" spans="1:5" x14ac:dyDescent="0.25">
      <c r="A36" s="725" t="s">
        <v>204</v>
      </c>
      <c r="B36" s="730">
        <f>SUM(B32:B35)</f>
        <v>1</v>
      </c>
      <c r="C36" s="730">
        <f t="shared" ref="C36:E36" si="5">SUM(C32:C35)</f>
        <v>1</v>
      </c>
      <c r="D36" s="730">
        <f t="shared" si="5"/>
        <v>0.9998140178826902</v>
      </c>
      <c r="E36" s="730">
        <f t="shared" si="5"/>
        <v>0.99999999999999989</v>
      </c>
    </row>
    <row r="39" spans="1:5" x14ac:dyDescent="0.25">
      <c r="A39" s="725" t="s">
        <v>269</v>
      </c>
      <c r="B39" s="725">
        <v>2015</v>
      </c>
      <c r="C39" s="725">
        <v>2016</v>
      </c>
      <c r="D39" s="725">
        <v>2017</v>
      </c>
      <c r="E39" s="725" t="s">
        <v>204</v>
      </c>
    </row>
    <row r="40" spans="1:5" x14ac:dyDescent="0.25">
      <c r="A40" s="725" t="s">
        <v>334</v>
      </c>
      <c r="B40" s="727">
        <v>494.72539726899998</v>
      </c>
      <c r="C40" s="727">
        <v>318.97035214599998</v>
      </c>
      <c r="D40" s="727">
        <v>199.499675</v>
      </c>
      <c r="E40" s="727">
        <v>1013.1954244149999</v>
      </c>
    </row>
    <row r="41" spans="1:5" x14ac:dyDescent="0.25">
      <c r="A41" s="725" t="s">
        <v>158</v>
      </c>
      <c r="B41" s="730">
        <f>295.225397269/B40</f>
        <v>0.5967459906014797</v>
      </c>
      <c r="C41" s="730">
        <f>279.117002146/C40</f>
        <v>0.87505625606934723</v>
      </c>
      <c r="D41" s="730">
        <f>29.921/D40</f>
        <v>0.1499801942033239</v>
      </c>
      <c r="E41" s="730">
        <f>604.263399415/E40</f>
        <v>0.59639373101580118</v>
      </c>
    </row>
    <row r="42" spans="1:5" x14ac:dyDescent="0.25">
      <c r="A42" s="725" t="s">
        <v>335</v>
      </c>
      <c r="B42" s="730">
        <f>199.5/B40</f>
        <v>0.4032540093985203</v>
      </c>
      <c r="C42" s="730">
        <f>39.85335/C40</f>
        <v>0.12494374393065288</v>
      </c>
      <c r="D42" s="730">
        <f>169.578675/D40</f>
        <v>0.85001980579667613</v>
      </c>
      <c r="E42" s="730">
        <f>408.932025/E40</f>
        <v>0.40360626898419888</v>
      </c>
    </row>
    <row r="43" spans="1:5" x14ac:dyDescent="0.25">
      <c r="A43" s="725" t="s">
        <v>337</v>
      </c>
      <c r="B43" s="730">
        <f>0/B40</f>
        <v>0</v>
      </c>
      <c r="C43" s="730">
        <f>0/C40</f>
        <v>0</v>
      </c>
      <c r="D43" s="730">
        <f>0/D40</f>
        <v>0</v>
      </c>
      <c r="E43" s="730">
        <f>0/E40</f>
        <v>0</v>
      </c>
    </row>
    <row r="44" spans="1:5" x14ac:dyDescent="0.25">
      <c r="A44" s="725" t="s">
        <v>336</v>
      </c>
      <c r="B44" s="730">
        <f>0/B40</f>
        <v>0</v>
      </c>
      <c r="C44" s="730">
        <f>0/C40</f>
        <v>0</v>
      </c>
      <c r="D44" s="730">
        <f>0/D40</f>
        <v>0</v>
      </c>
      <c r="E44" s="730">
        <f>0/E40</f>
        <v>0</v>
      </c>
    </row>
    <row r="45" spans="1:5" x14ac:dyDescent="0.25">
      <c r="A45" s="725" t="s">
        <v>204</v>
      </c>
      <c r="B45" s="731">
        <f>SUM(B41:B44)</f>
        <v>1</v>
      </c>
      <c r="C45" s="731">
        <f t="shared" ref="C45:E45" si="6">SUM(C41:C44)</f>
        <v>1</v>
      </c>
      <c r="D45" s="731">
        <f t="shared" si="6"/>
        <v>1</v>
      </c>
      <c r="E45" s="731">
        <f t="shared" si="6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Kemhan-TNI</vt:lpstr>
      <vt:lpstr>MAINAN GUE</vt:lpstr>
      <vt:lpstr>MAINAN GUE 2</vt:lpstr>
      <vt:lpstr>Sheet7</vt:lpstr>
      <vt:lpstr>Polri</vt:lpstr>
      <vt:lpstr>Sheet2</vt:lpstr>
      <vt:lpstr>Sheet6</vt:lpstr>
      <vt:lpstr>Sheet8</vt:lpstr>
      <vt:lpstr>Sheet3</vt:lpstr>
      <vt:lpstr>Sheet4</vt:lpstr>
      <vt:lpstr>Sandingan Usulan Tambahan</vt:lpstr>
      <vt:lpstr>Tidak ada di DKPDN</vt:lpstr>
      <vt:lpstr>Sheet1</vt:lpstr>
      <vt:lpstr>Sheet5</vt:lpstr>
      <vt:lpstr>'Kemhan-TNI'!Print_Area</vt:lpstr>
      <vt:lpstr>Polri!Print_Area</vt:lpstr>
      <vt:lpstr>'Kemhan-TNI'!Print_Titles</vt:lpstr>
      <vt:lpstr>Polri!Print_Titles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Renbang 05</cp:lastModifiedBy>
  <cp:lastPrinted>2018-02-19T14:14:58Z</cp:lastPrinted>
  <dcterms:created xsi:type="dcterms:W3CDTF">2017-02-13T01:56:00Z</dcterms:created>
  <dcterms:modified xsi:type="dcterms:W3CDTF">2018-02-20T03:44:15Z</dcterms:modified>
</cp:coreProperties>
</file>