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macbookpro-02/Desktop/"/>
    </mc:Choice>
  </mc:AlternateContent>
  <xr:revisionPtr revIDLastSave="0" documentId="8_{035F6CD8-4AA7-BA4C-8540-0911D660C6D9}" xr6:coauthVersionLast="47" xr6:coauthVersionMax="47" xr10:uidLastSave="{00000000-0000-0000-0000-000000000000}"/>
  <bookViews>
    <workbookView xWindow="0" yWindow="460" windowWidth="28800" windowHeight="16440" activeTab="1" xr2:uid="{00000000-000D-0000-FFFF-FFFF00000000}"/>
  </bookViews>
  <sheets>
    <sheet name="Model" sheetId="10" r:id="rId1"/>
    <sheet name="Cost" sheetId="4" r:id="rId2"/>
    <sheet name="CEA" sheetId="14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4" l="1"/>
  <c r="N6" i="14"/>
  <c r="I49" i="14"/>
  <c r="I47" i="14"/>
  <c r="I45" i="14"/>
  <c r="I43" i="14"/>
  <c r="I40" i="14"/>
  <c r="I38" i="14"/>
  <c r="I36" i="14"/>
  <c r="I34" i="14"/>
  <c r="K49" i="14"/>
  <c r="K47" i="14"/>
  <c r="K45" i="14"/>
  <c r="K43" i="14"/>
  <c r="K40" i="14"/>
  <c r="K38" i="14"/>
  <c r="K36" i="14"/>
  <c r="K34" i="14"/>
  <c r="K31" i="14"/>
  <c r="K29" i="14"/>
  <c r="K27" i="14"/>
  <c r="K25" i="14"/>
  <c r="K23" i="14"/>
  <c r="K21" i="14"/>
  <c r="I31" i="14"/>
  <c r="I29" i="14"/>
  <c r="I27" i="14"/>
  <c r="I25" i="14"/>
  <c r="I23" i="14"/>
  <c r="I21" i="14"/>
  <c r="D58" i="14"/>
  <c r="E58" i="14"/>
  <c r="D59" i="14"/>
  <c r="E59" i="14"/>
  <c r="B61" i="14"/>
  <c r="C61" i="14"/>
  <c r="B62" i="14"/>
  <c r="C62" i="14"/>
  <c r="B63" i="14"/>
  <c r="C63" i="14"/>
  <c r="B64" i="14"/>
  <c r="C64" i="14"/>
  <c r="B65" i="14"/>
  <c r="C65" i="14"/>
  <c r="B66" i="14"/>
  <c r="C66" i="14"/>
  <c r="B58" i="14"/>
  <c r="C58" i="14"/>
  <c r="B59" i="14"/>
  <c r="C59" i="14"/>
  <c r="K4" i="14"/>
  <c r="K3" i="14"/>
  <c r="H4" i="14"/>
  <c r="H7" i="14"/>
  <c r="H8" i="14"/>
  <c r="H9" i="14"/>
  <c r="H3" i="14"/>
  <c r="G4" i="14"/>
  <c r="G7" i="14"/>
  <c r="G8" i="14"/>
  <c r="G9" i="14"/>
  <c r="G11" i="14"/>
  <c r="G12" i="14"/>
  <c r="G14" i="14"/>
  <c r="G15" i="14"/>
  <c r="G3" i="14"/>
  <c r="D3" i="14"/>
  <c r="C52" i="14"/>
  <c r="D52" i="14" s="1"/>
  <c r="E52" i="14" s="1"/>
  <c r="C51" i="14"/>
  <c r="D51" i="14" s="1"/>
  <c r="E51" i="14" s="1"/>
  <c r="C50" i="14"/>
  <c r="D50" i="14" s="1"/>
  <c r="E50" i="14" s="1"/>
  <c r="C47" i="14"/>
  <c r="D47" i="14" s="1"/>
  <c r="E47" i="14" s="1"/>
  <c r="C46" i="14"/>
  <c r="D46" i="14" s="1"/>
  <c r="E46" i="14" s="1"/>
  <c r="C45" i="14"/>
  <c r="D45" i="14" s="1"/>
  <c r="E45" i="14" s="1"/>
  <c r="D42" i="14"/>
  <c r="E42" i="14" s="1"/>
  <c r="D41" i="14"/>
  <c r="E41" i="14" s="1"/>
  <c r="D40" i="14"/>
  <c r="E40" i="14" s="1"/>
  <c r="D37" i="14"/>
  <c r="E37" i="14" s="1"/>
  <c r="D36" i="14"/>
  <c r="E36" i="14" s="1"/>
  <c r="D35" i="14"/>
  <c r="E35" i="14" s="1"/>
  <c r="D32" i="14"/>
  <c r="E32" i="14" s="1"/>
  <c r="D31" i="14"/>
  <c r="E31" i="14" s="1"/>
  <c r="D30" i="14"/>
  <c r="E30" i="14" s="1"/>
  <c r="D27" i="14"/>
  <c r="E27" i="14" s="1"/>
  <c r="D26" i="14"/>
  <c r="E26" i="14" s="1"/>
  <c r="D25" i="14"/>
  <c r="E25" i="14" s="1"/>
  <c r="B22" i="14"/>
  <c r="D22" i="14" s="1"/>
  <c r="E22" i="14" s="1"/>
  <c r="B21" i="14"/>
  <c r="D21" i="14" s="1"/>
  <c r="E21" i="14" s="1"/>
  <c r="B20" i="14"/>
  <c r="D20" i="14" s="1"/>
  <c r="E20" i="14" s="1"/>
  <c r="J11" i="14" l="1"/>
  <c r="E63" i="14" s="1"/>
  <c r="I11" i="14"/>
  <c r="D63" i="14" s="1"/>
  <c r="I9" i="14"/>
  <c r="D62" i="14" s="1"/>
  <c r="J9" i="14"/>
  <c r="I8" i="14"/>
  <c r="D61" i="14" s="1"/>
  <c r="J8" i="14"/>
  <c r="E61" i="14" s="1"/>
  <c r="J14" i="14"/>
  <c r="E65" i="14" s="1"/>
  <c r="I14" i="14"/>
  <c r="D65" i="14" s="1"/>
  <c r="I15" i="14"/>
  <c r="D66" i="14" s="1"/>
  <c r="J15" i="14"/>
  <c r="E66" i="14" s="1"/>
  <c r="J12" i="14"/>
  <c r="E64" i="14" s="1"/>
  <c r="I12" i="14"/>
  <c r="D64" i="14" s="1"/>
  <c r="C7" i="14"/>
  <c r="B7" i="14"/>
  <c r="D12" i="14"/>
  <c r="D11" i="14"/>
  <c r="D9" i="14"/>
  <c r="D8" i="14"/>
  <c r="D7" i="14"/>
  <c r="D4" i="14"/>
  <c r="D15" i="14"/>
  <c r="D14" i="14"/>
  <c r="K9" i="14" l="1"/>
  <c r="E62" i="14"/>
  <c r="D60" i="14"/>
  <c r="B60" i="14"/>
  <c r="J7" i="14"/>
  <c r="E60" i="14" s="1"/>
  <c r="C60" i="14"/>
  <c r="K15" i="14"/>
  <c r="K12" i="14"/>
  <c r="K11" i="14"/>
  <c r="K14" i="14"/>
  <c r="K8" i="14"/>
  <c r="E15" i="14"/>
  <c r="E9" i="14"/>
  <c r="E7" i="14"/>
  <c r="E12" i="14"/>
  <c r="E14" i="14"/>
  <c r="E8" i="14"/>
  <c r="E3" i="14"/>
  <c r="E4" i="14"/>
  <c r="E11" i="14"/>
  <c r="E27" i="4"/>
  <c r="D29" i="4"/>
  <c r="J19" i="4"/>
  <c r="J22" i="4"/>
  <c r="D8" i="4"/>
  <c r="G9" i="4" s="1"/>
  <c r="K7" i="14" l="1"/>
  <c r="J5" i="14"/>
  <c r="I5" i="14"/>
  <c r="K5" i="14" s="1"/>
  <c r="L8" i="14"/>
  <c r="L7" i="14"/>
  <c r="L11" i="14"/>
  <c r="L12" i="14"/>
  <c r="O8" i="14"/>
  <c r="M14" i="14"/>
  <c r="M15" i="14"/>
  <c r="N7" i="14"/>
  <c r="M9" i="14"/>
  <c r="N15" i="14"/>
  <c r="M11" i="14"/>
  <c r="L14" i="14"/>
  <c r="O15" i="14"/>
  <c r="N9" i="14"/>
  <c r="N14" i="14"/>
  <c r="O14" i="14"/>
  <c r="N12" i="14"/>
  <c r="N11" i="14"/>
  <c r="O11" i="14"/>
  <c r="O12" i="14"/>
  <c r="N8" i="14"/>
  <c r="O7" i="14"/>
  <c r="O9" i="14"/>
  <c r="L9" i="14"/>
  <c r="M12" i="14"/>
  <c r="M8" i="14"/>
  <c r="L15" i="14"/>
  <c r="M7" i="14"/>
  <c r="G10" i="4"/>
  <c r="E22" i="4"/>
  <c r="E21" i="4"/>
  <c r="F21" i="4" s="1"/>
  <c r="D34" i="4"/>
  <c r="H34" i="4" s="1"/>
  <c r="D33" i="4"/>
  <c r="H33" i="4" s="1"/>
  <c r="D31" i="4"/>
  <c r="H31" i="4" s="1"/>
  <c r="D30" i="4"/>
  <c r="H30" i="4" s="1"/>
  <c r="E29" i="4"/>
  <c r="I27" i="4"/>
  <c r="H27" i="4"/>
  <c r="N25" i="4"/>
  <c r="I22" i="4" s="1"/>
  <c r="N24" i="4"/>
  <c r="N23" i="4"/>
  <c r="H22" i="4" s="1"/>
  <c r="N20" i="4"/>
  <c r="I21" i="4" s="1"/>
  <c r="N19" i="4"/>
  <c r="N18" i="4"/>
  <c r="H21" i="4" s="1"/>
  <c r="L4" i="4"/>
  <c r="N4" i="4" s="1"/>
  <c r="D17" i="4" s="1"/>
  <c r="E17" i="4" s="1"/>
  <c r="L5" i="4"/>
  <c r="N5" i="4" s="1"/>
  <c r="I17" i="4" s="1"/>
  <c r="L3" i="4"/>
  <c r="N3" i="4" s="1"/>
  <c r="H17" i="4" s="1"/>
  <c r="N14" i="4"/>
  <c r="D19" i="4" s="1"/>
  <c r="E19" i="4" s="1"/>
  <c r="N15" i="4"/>
  <c r="I19" i="4" s="1"/>
  <c r="N13" i="4"/>
  <c r="H19" i="4" s="1"/>
  <c r="C18" i="4"/>
  <c r="N9" i="4"/>
  <c r="D18" i="4" s="1"/>
  <c r="E18" i="4" s="1"/>
  <c r="N10" i="4"/>
  <c r="I18" i="4" s="1"/>
  <c r="N8" i="4"/>
  <c r="H18" i="4" s="1"/>
  <c r="L13" i="14" l="1"/>
  <c r="L10" i="14"/>
  <c r="M13" i="14"/>
  <c r="M10" i="14"/>
  <c r="N13" i="14"/>
  <c r="O6" i="14"/>
  <c r="L6" i="14"/>
  <c r="O10" i="14"/>
  <c r="O13" i="14"/>
  <c r="N10" i="14"/>
  <c r="M6" i="14"/>
  <c r="F17" i="4"/>
  <c r="E33" i="4"/>
  <c r="I30" i="4"/>
  <c r="E30" i="4"/>
  <c r="F22" i="4"/>
  <c r="E34" i="4"/>
  <c r="E31" i="4"/>
  <c r="H29" i="4"/>
  <c r="I29" i="4"/>
  <c r="E32" i="4" l="1"/>
  <c r="E28" i="4"/>
  <c r="F20" i="4"/>
  <c r="F18" i="4" l="1"/>
  <c r="F19" i="4"/>
  <c r="E15" i="4"/>
  <c r="D4" i="4"/>
  <c r="E3" i="4"/>
  <c r="G5" i="4" l="1"/>
  <c r="F4" i="4"/>
  <c r="F16" i="4"/>
  <c r="E4" i="4"/>
  <c r="F15" i="4"/>
  <c r="D41" i="4" s="1"/>
  <c r="G6" i="4"/>
  <c r="G7" i="4"/>
  <c r="F8" i="4"/>
  <c r="D46" i="4" l="1"/>
  <c r="D43" i="4"/>
  <c r="D42" i="4"/>
  <c r="D40" i="4" s="1"/>
  <c r="D45" i="4"/>
  <c r="D4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Auliya A Suwantika</author>
  </authors>
  <commentList>
    <comment ref="D17" authorId="0" shapeId="0" xr:uid="{1AFBB594-8796-D94D-8092-9CFDFBC46994}">
      <text>
        <r>
          <rPr>
            <b/>
            <sz val="10"/>
            <color rgb="FF000000"/>
            <rFont val="Tahoma"/>
            <family val="2"/>
          </rPr>
          <t>Auliya A Suwantika: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gross= 144 pcs</t>
        </r>
      </text>
    </comment>
  </commentList>
</comments>
</file>

<file path=xl/sharedStrings.xml><?xml version="1.0" encoding="utf-8"?>
<sst xmlns="http://schemas.openxmlformats.org/spreadsheetml/2006/main" count="265" uniqueCount="122">
  <si>
    <t>%</t>
  </si>
  <si>
    <t>ICER</t>
  </si>
  <si>
    <t>IUD</t>
  </si>
  <si>
    <t>Upper</t>
  </si>
  <si>
    <t>Lower</t>
  </si>
  <si>
    <t>Effectiveness</t>
  </si>
  <si>
    <t>Implant</t>
  </si>
  <si>
    <t>Injection</t>
  </si>
  <si>
    <t>Pill</t>
  </si>
  <si>
    <t>Vasectomy</t>
  </si>
  <si>
    <t>Condom</t>
  </si>
  <si>
    <t>Contraceptive Method</t>
  </si>
  <si>
    <t>Number of user</t>
  </si>
  <si>
    <t>Cost (Rp)</t>
  </si>
  <si>
    <t>Incremental cost-effectiveness ratio (cost per pregnancy averted)</t>
  </si>
  <si>
    <t>No Contraceptive</t>
  </si>
  <si>
    <t>Method</t>
  </si>
  <si>
    <t>SARC</t>
  </si>
  <si>
    <t>LARC</t>
  </si>
  <si>
    <t>Effectiveness (%)</t>
  </si>
  <si>
    <t>Tubal ligation</t>
  </si>
  <si>
    <t>Annual cost ($)</t>
  </si>
  <si>
    <t>Pregnancy averted in 1,000 women</t>
  </si>
  <si>
    <t>Total cost in 1,000 women</t>
  </si>
  <si>
    <t>A</t>
  </si>
  <si>
    <t>B</t>
  </si>
  <si>
    <t>C</t>
  </si>
  <si>
    <t>Price</t>
  </si>
  <si>
    <t>Cycle</t>
  </si>
  <si>
    <t>Annual Cost</t>
  </si>
  <si>
    <t>Administration</t>
  </si>
  <si>
    <t>Frequency</t>
  </si>
  <si>
    <t>Duration</t>
  </si>
  <si>
    <t>Effectiveness of condom ↓</t>
  </si>
  <si>
    <t>Effectiveness of condom ↑</t>
  </si>
  <si>
    <t>Effectiveness of pill ↓</t>
  </si>
  <si>
    <t>Effectiveness of pill ↑</t>
  </si>
  <si>
    <t>Effectiveness of injection ↓</t>
  </si>
  <si>
    <t>Effectiveness of injection ↑</t>
  </si>
  <si>
    <t>Cost of condom ↓</t>
  </si>
  <si>
    <t>Cost of condom ↑</t>
  </si>
  <si>
    <t>Cost of pill ↓</t>
  </si>
  <si>
    <t>Cost of pill ↑</t>
  </si>
  <si>
    <t>Cost of injection ↓</t>
  </si>
  <si>
    <t>Cost of injection ↑</t>
  </si>
  <si>
    <t xml:space="preserve">Baseline </t>
  </si>
  <si>
    <t>Scenario (SARC)</t>
  </si>
  <si>
    <t>Effectiveness of implant ↓</t>
  </si>
  <si>
    <t>Effectiveness of implant ↑</t>
  </si>
  <si>
    <t>Effectiveness of IUD ↓</t>
  </si>
  <si>
    <t>Effectiveness of IUD ↑</t>
  </si>
  <si>
    <t>Effectiveness of tubal ligation ↓</t>
  </si>
  <si>
    <t>Effectiveness of tubal ligation ↑</t>
  </si>
  <si>
    <t>Effectiveness of vasectomy ↓</t>
  </si>
  <si>
    <t>Effectiveness of vasectomy ↑</t>
  </si>
  <si>
    <t>Cost of implant ↓</t>
  </si>
  <si>
    <t>Cost of implant ↑</t>
  </si>
  <si>
    <t>Cost of IUD ↓</t>
  </si>
  <si>
    <t>Cost of IUD ↑</t>
  </si>
  <si>
    <t>No contraceptive</t>
  </si>
  <si>
    <t>Before</t>
  </si>
  <si>
    <t>Pandemic</t>
  </si>
  <si>
    <t>Prevalence</t>
  </si>
  <si>
    <t>Natural contraceptive</t>
  </si>
  <si>
    <t>Permanent</t>
  </si>
  <si>
    <t>https://www.rhknowledge.ui.ac.id/upload/dokumen-pelatihan/1614706241.pdf</t>
  </si>
  <si>
    <t xml:space="preserve">    SARC</t>
  </si>
  <si>
    <t xml:space="preserve">        Condom</t>
  </si>
  <si>
    <t xml:space="preserve">        Pill</t>
  </si>
  <si>
    <t xml:space="preserve">        Injection</t>
  </si>
  <si>
    <t xml:space="preserve">    LARC</t>
  </si>
  <si>
    <t xml:space="preserve">        Implant</t>
  </si>
  <si>
    <t xml:space="preserve">        IUD</t>
  </si>
  <si>
    <t xml:space="preserve">    Permanent</t>
  </si>
  <si>
    <t xml:space="preserve">        Vasectomy</t>
  </si>
  <si>
    <t>https://www.nhs.uk/conditions/contraception/how-effective-contraception/</t>
  </si>
  <si>
    <t>TL</t>
  </si>
  <si>
    <t>Cost per 1,000,000 population</t>
  </si>
  <si>
    <t xml:space="preserve">        TL</t>
  </si>
  <si>
    <t>Pregnancy averted</t>
  </si>
  <si>
    <t>1m population</t>
  </si>
  <si>
    <t>Cost per pregnancy averted</t>
  </si>
  <si>
    <t>cost saving</t>
  </si>
  <si>
    <t>Parameter</t>
  </si>
  <si>
    <t>Baseline</t>
  </si>
  <si>
    <t>Eff condom ↓</t>
  </si>
  <si>
    <t>Eff condom ↑</t>
  </si>
  <si>
    <t>Eff pill ↓</t>
  </si>
  <si>
    <t>Eff pill ↑</t>
  </si>
  <si>
    <t>Eff injection ↓</t>
  </si>
  <si>
    <t>Eff injection ↑</t>
  </si>
  <si>
    <t>Cost condom ↓</t>
  </si>
  <si>
    <t>Cost condom ↑</t>
  </si>
  <si>
    <t>Cost pill ↓</t>
  </si>
  <si>
    <t>Cost pill ↑</t>
  </si>
  <si>
    <t>Cost inj ↓</t>
  </si>
  <si>
    <t>Cost inj ↑</t>
  </si>
  <si>
    <t>Eff implant ↓</t>
  </si>
  <si>
    <t>Eff implant ↑</t>
  </si>
  <si>
    <t>Eff IUD ↓</t>
  </si>
  <si>
    <t>Eff IUD ↑</t>
  </si>
  <si>
    <t>Cost implant ↓</t>
  </si>
  <si>
    <t>Cost implant ↑</t>
  </si>
  <si>
    <t>Cost IUD ↓</t>
  </si>
  <si>
    <t>Cost IUD ↑</t>
  </si>
  <si>
    <t>Eff TL ↓</t>
  </si>
  <si>
    <t>Eff TL ↑</t>
  </si>
  <si>
    <t>Eff vasectomy ↓</t>
  </si>
  <si>
    <t>Eff vasectomy ↑</t>
  </si>
  <si>
    <t>Cost TL ↓</t>
  </si>
  <si>
    <t>Cost TL ↑</t>
  </si>
  <si>
    <t>Cost Vas ↓</t>
  </si>
  <si>
    <t>Cost Vas ↑</t>
  </si>
  <si>
    <t>Incremental</t>
  </si>
  <si>
    <t>Contrception method</t>
  </si>
  <si>
    <t>Non-contraception</t>
  </si>
  <si>
    <t>Traditional contraception</t>
  </si>
  <si>
    <t>Modern contraception</t>
  </si>
  <si>
    <t>∆</t>
  </si>
  <si>
    <t>SARC (Baseline)</t>
  </si>
  <si>
    <t>LARC (Baseline)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</si>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</sst>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_-;\-* #,##0_-;_-* &quot;-&quot;_-;_-@_-"/>
    <numFmt numFmtId="165" formatCode="&quot;Rp&quot;#,##0"/>
    <numFmt numFmtId="166" formatCode="_-[$$-409]* #,##0.00_ ;_-[$$-409]* \-#,##0.00\ ;_-[$$-409]* &quot;-&quot;??_ ;_-@_ "/>
    <numFmt numFmtId="167" formatCode="[$$-409]#,##0.00"/>
    <numFmt numFmtId="168" formatCode="[$$-409]#,##0_);\([$$-409]#,##0\)"/>
    <numFmt numFmtId="169" formatCode="[$$-409]#,##0"/>
    <numFmt numFmtId="170" formatCode="[$Rp-421]#,##0"/>
    <numFmt numFmtId="172" formatCode="[$$-409]#,##0.0000"/>
    <numFmt numFmtId="173" formatCode="[$$-409]#,##0.000"/>
    <numFmt numFmtId="174" formatCode="0.0%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5"/>
      <color theme="0"/>
      <name val="Century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64" fontId="1" fillId="2" borderId="0" xfId="1" applyFont="1" applyFill="1" applyBorder="1" applyAlignment="1">
      <alignment horizontal="center" vertical="center"/>
    </xf>
    <xf numFmtId="164" fontId="1" fillId="2" borderId="1" xfId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64" fontId="1" fillId="2" borderId="1" xfId="1" applyFont="1" applyFill="1" applyBorder="1" applyAlignment="1">
      <alignment horizontal="right"/>
    </xf>
    <xf numFmtId="10" fontId="1" fillId="2" borderId="1" xfId="2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right" vertical="center"/>
    </xf>
    <xf numFmtId="167" fontId="1" fillId="2" borderId="1" xfId="0" applyNumberFormat="1" applyFont="1" applyFill="1" applyBorder="1" applyAlignment="1">
      <alignment horizontal="right" vertical="center"/>
    </xf>
    <xf numFmtId="165" fontId="1" fillId="2" borderId="1" xfId="1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top"/>
    </xf>
    <xf numFmtId="164" fontId="1" fillId="2" borderId="0" xfId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0" fontId="1" fillId="2" borderId="1" xfId="2" applyNumberFormat="1" applyFont="1" applyFill="1" applyBorder="1" applyAlignment="1">
      <alignment horizontal="right" wrapText="1"/>
    </xf>
    <xf numFmtId="10" fontId="1" fillId="2" borderId="1" xfId="2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 wrapText="1"/>
    </xf>
    <xf numFmtId="166" fontId="1" fillId="2" borderId="0" xfId="0" applyNumberFormat="1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vertical="center"/>
    </xf>
    <xf numFmtId="169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70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top"/>
    </xf>
    <xf numFmtId="173" fontId="1" fillId="2" borderId="1" xfId="0" applyNumberFormat="1" applyFont="1" applyFill="1" applyBorder="1" applyAlignment="1">
      <alignment horizontal="center" vertical="center"/>
    </xf>
    <xf numFmtId="172" fontId="1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vertical="center"/>
    </xf>
    <xf numFmtId="10" fontId="1" fillId="2" borderId="0" xfId="0" applyNumberFormat="1" applyFont="1" applyFill="1" applyAlignment="1">
      <alignment vertical="center"/>
    </xf>
    <xf numFmtId="10" fontId="1" fillId="2" borderId="0" xfId="2" applyNumberFormat="1" applyFont="1" applyFill="1" applyBorder="1" applyAlignment="1">
      <alignment vertical="center"/>
    </xf>
    <xf numFmtId="10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165" fontId="1" fillId="2" borderId="0" xfId="1" applyNumberFormat="1" applyFont="1" applyFill="1" applyBorder="1" applyAlignment="1">
      <alignment horizontal="right" vertical="center"/>
    </xf>
    <xf numFmtId="167" fontId="1" fillId="2" borderId="0" xfId="0" applyNumberFormat="1" applyFont="1" applyFill="1" applyAlignment="1">
      <alignment horizontal="right" vertical="center"/>
    </xf>
    <xf numFmtId="167" fontId="1" fillId="2" borderId="0" xfId="0" applyNumberFormat="1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1" fillId="2" borderId="0" xfId="1" applyNumberFormat="1" applyFont="1" applyFill="1" applyBorder="1" applyAlignment="1">
      <alignment horizontal="center" vertical="center"/>
    </xf>
    <xf numFmtId="170" fontId="1" fillId="2" borderId="0" xfId="0" applyNumberFormat="1" applyFont="1" applyFill="1" applyAlignment="1">
      <alignment horizontal="center" vertical="center"/>
    </xf>
    <xf numFmtId="173" fontId="1" fillId="2" borderId="0" xfId="0" applyNumberFormat="1" applyFont="1" applyFill="1" applyAlignment="1">
      <alignment horizontal="center" vertical="center"/>
    </xf>
    <xf numFmtId="0" fontId="6" fillId="0" borderId="0" xfId="13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0" fontId="0" fillId="0" borderId="1" xfId="0" applyNumberFormat="1" applyBorder="1" applyAlignment="1">
      <alignment horizontal="center"/>
    </xf>
    <xf numFmtId="0" fontId="1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0" xfId="13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0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0" borderId="2" xfId="0" applyNumberFormat="1" applyBorder="1"/>
    <xf numFmtId="167" fontId="0" fillId="0" borderId="4" xfId="0" applyNumberFormat="1" applyBorder="1"/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3" fontId="0" fillId="2" borderId="1" xfId="0" applyNumberFormat="1" applyFill="1" applyBorder="1" applyAlignment="1">
      <alignment horizontal="center" vertical="center"/>
    </xf>
    <xf numFmtId="173" fontId="0" fillId="4" borderId="1" xfId="0" applyNumberFormat="1" applyFill="1" applyBorder="1" applyAlignment="1">
      <alignment horizontal="center"/>
    </xf>
    <xf numFmtId="173" fontId="0" fillId="0" borderId="1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173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1" fillId="2" borderId="0" xfId="0" applyNumberFormat="1" applyFont="1" applyFill="1" applyAlignment="1">
      <alignment horizontal="right" vertical="center"/>
    </xf>
    <xf numFmtId="10" fontId="1" fillId="2" borderId="1" xfId="2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10" fontId="1" fillId="2" borderId="3" xfId="0" applyNumberFormat="1" applyFont="1" applyFill="1" applyBorder="1" applyAlignment="1">
      <alignment horizontal="center" vertical="center"/>
    </xf>
    <xf numFmtId="10" fontId="1" fillId="2" borderId="6" xfId="0" applyNumberFormat="1" applyFont="1" applyFill="1" applyBorder="1" applyAlignment="1">
      <alignment horizontal="center" vertical="center"/>
    </xf>
    <xf numFmtId="10" fontId="1" fillId="2" borderId="7" xfId="0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10" fontId="1" fillId="2" borderId="6" xfId="2" applyNumberFormat="1" applyFont="1" applyFill="1" applyBorder="1" applyAlignment="1">
      <alignment horizontal="center" vertical="center"/>
    </xf>
    <xf numFmtId="10" fontId="1" fillId="2" borderId="7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168" fontId="1" fillId="2" borderId="2" xfId="2" applyNumberFormat="1" applyFont="1" applyFill="1" applyBorder="1" applyAlignment="1">
      <alignment horizontal="right" vertical="center"/>
    </xf>
    <xf numFmtId="168" fontId="1" fillId="2" borderId="4" xfId="2" applyNumberFormat="1" applyFont="1" applyFill="1" applyBorder="1" applyAlignment="1">
      <alignment horizontal="right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73" fontId="1" fillId="2" borderId="1" xfId="0" applyNumberFormat="1" applyFont="1" applyFill="1" applyBorder="1" applyAlignment="1">
      <alignment horizontal="center" vertical="center" wrapText="1"/>
    </xf>
    <xf numFmtId="173" fontId="1" fillId="2" borderId="2" xfId="0" applyNumberFormat="1" applyFont="1" applyFill="1" applyBorder="1" applyAlignment="1">
      <alignment horizontal="center" vertical="center"/>
    </xf>
    <xf numFmtId="173" fontId="1" fillId="2" borderId="4" xfId="0" applyNumberFormat="1" applyFont="1" applyFill="1" applyBorder="1" applyAlignment="1">
      <alignment horizontal="center" vertical="center"/>
    </xf>
    <xf numFmtId="173" fontId="1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4" xfId="0" applyNumberFormat="1" applyFont="1" applyFill="1" applyBorder="1" applyAlignment="1">
      <alignment horizontal="right" vertical="center"/>
    </xf>
    <xf numFmtId="168" fontId="1" fillId="2" borderId="1" xfId="2" applyNumberFormat="1" applyFont="1" applyFill="1" applyBorder="1" applyAlignment="1">
      <alignment horizontal="right" vertical="center"/>
    </xf>
    <xf numFmtId="168" fontId="1" fillId="2" borderId="0" xfId="2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3" borderId="2" xfId="0" applyNumberFormat="1" applyFill="1" applyBorder="1" applyAlignment="1">
      <alignment horizontal="center"/>
    </xf>
    <xf numFmtId="167" fontId="0" fillId="3" borderId="4" xfId="0" applyNumberFormat="1" applyFill="1" applyBorder="1" applyAlignment="1">
      <alignment horizontal="center"/>
    </xf>
    <xf numFmtId="167" fontId="14" fillId="3" borderId="2" xfId="0" applyNumberFormat="1" applyFont="1" applyFill="1" applyBorder="1" applyAlignment="1">
      <alignment horizontal="center"/>
    </xf>
    <xf numFmtId="167" fontId="14" fillId="3" borderId="4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3" fontId="0" fillId="0" borderId="3" xfId="0" applyNumberFormat="1" applyBorder="1" applyAlignment="1">
      <alignment horizontal="center" vertical="center"/>
    </xf>
    <xf numFmtId="173" fontId="0" fillId="0" borderId="7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shrinkToFit="1"/>
    </xf>
  </cellXfs>
  <cellStyles count="14">
    <cellStyle name="Comma [0]" xfId="1" builtinId="6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95049504950488E-2"/>
          <c:y val="3.3333333333333333E-2"/>
          <c:w val="0.91498349834983517"/>
          <c:h val="0.811377714149367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CEA!$B$57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CEA!$A$58:$A$66</c:f>
              <c:strCache>
                <c:ptCount val="9"/>
                <c:pt idx="0">
                  <c:v>Non-contraception</c:v>
                </c:pt>
                <c:pt idx="1">
                  <c:v>Traditional contraception</c:v>
                </c:pt>
                <c:pt idx="2">
                  <c:v>Condom</c:v>
                </c:pt>
                <c:pt idx="3">
                  <c:v>Pill</c:v>
                </c:pt>
                <c:pt idx="4">
                  <c:v>Injection</c:v>
                </c:pt>
                <c:pt idx="5">
                  <c:v>Implant</c:v>
                </c:pt>
                <c:pt idx="6">
                  <c:v>IUD</c:v>
                </c:pt>
                <c:pt idx="7">
                  <c:v>Tubal ligation</c:v>
                </c:pt>
                <c:pt idx="8">
                  <c:v>Vasectomy</c:v>
                </c:pt>
              </c:strCache>
            </c:strRef>
          </c:cat>
          <c:val>
            <c:numRef>
              <c:f>CEA!$B$58:$B$66</c:f>
              <c:numCache>
                <c:formatCode>0.0%</c:formatCode>
                <c:ptCount val="9"/>
                <c:pt idx="0">
                  <c:v>0.318</c:v>
                </c:pt>
                <c:pt idx="1">
                  <c:v>4.4999999999999998E-2</c:v>
                </c:pt>
                <c:pt idx="2">
                  <c:v>8.109999999999995E-2</c:v>
                </c:pt>
                <c:pt idx="3">
                  <c:v>0.1043</c:v>
                </c:pt>
                <c:pt idx="4">
                  <c:v>0.1797</c:v>
                </c:pt>
                <c:pt idx="5">
                  <c:v>8.5300000000000001E-2</c:v>
                </c:pt>
                <c:pt idx="6">
                  <c:v>0.1424</c:v>
                </c:pt>
                <c:pt idx="7">
                  <c:v>4.1300000000000003E-2</c:v>
                </c:pt>
                <c:pt idx="8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B-D445-88E9-B1F90CAE5690}"/>
            </c:ext>
          </c:extLst>
        </c:ser>
        <c:ser>
          <c:idx val="1"/>
          <c:order val="1"/>
          <c:tx>
            <c:strRef>
              <c:f>CEA!$C$57</c:f>
              <c:strCache>
                <c:ptCount val="1"/>
                <c:pt idx="0">
                  <c:v>Pandemic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CEA!$A$58:$A$66</c:f>
              <c:strCache>
                <c:ptCount val="9"/>
                <c:pt idx="0">
                  <c:v>Non-contraception</c:v>
                </c:pt>
                <c:pt idx="1">
                  <c:v>Traditional contraception</c:v>
                </c:pt>
                <c:pt idx="2">
                  <c:v>Condom</c:v>
                </c:pt>
                <c:pt idx="3">
                  <c:v>Pill</c:v>
                </c:pt>
                <c:pt idx="4">
                  <c:v>Injection</c:v>
                </c:pt>
                <c:pt idx="5">
                  <c:v>Implant</c:v>
                </c:pt>
                <c:pt idx="6">
                  <c:v>IUD</c:v>
                </c:pt>
                <c:pt idx="7">
                  <c:v>Tubal ligation</c:v>
                </c:pt>
                <c:pt idx="8">
                  <c:v>Vasectomy</c:v>
                </c:pt>
              </c:strCache>
            </c:strRef>
          </c:cat>
          <c:val>
            <c:numRef>
              <c:f>CEA!$C$58:$C$66</c:f>
              <c:numCache>
                <c:formatCode>0.0%</c:formatCode>
                <c:ptCount val="9"/>
                <c:pt idx="0">
                  <c:v>0.35199999999999998</c:v>
                </c:pt>
                <c:pt idx="1">
                  <c:v>5.1999999999999998E-2</c:v>
                </c:pt>
                <c:pt idx="2">
                  <c:v>8.0300000000000038E-2</c:v>
                </c:pt>
                <c:pt idx="3">
                  <c:v>9.74E-2</c:v>
                </c:pt>
                <c:pt idx="4">
                  <c:v>0.1547</c:v>
                </c:pt>
                <c:pt idx="5">
                  <c:v>8.09E-2</c:v>
                </c:pt>
                <c:pt idx="6">
                  <c:v>0.13769999999999999</c:v>
                </c:pt>
                <c:pt idx="7">
                  <c:v>4.1799999999999997E-2</c:v>
                </c:pt>
                <c:pt idx="8">
                  <c:v>3.2000000000000002E-3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B-D445-88E9-B1F90CAE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415407"/>
        <c:axId val="385599503"/>
      </c:barChart>
      <c:catAx>
        <c:axId val="38541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Contraception Methods</a:t>
                </a:r>
              </a:p>
            </c:rich>
          </c:tx>
          <c:layout>
            <c:manualLayout>
              <c:xMode val="edge"/>
              <c:yMode val="edge"/>
              <c:x val="0.44617156518801487"/>
              <c:y val="0.95128704366499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99503"/>
        <c:crosses val="autoZero"/>
        <c:auto val="1"/>
        <c:lblAlgn val="ctr"/>
        <c:lblOffset val="100"/>
        <c:noMultiLvlLbl val="0"/>
      </c:catAx>
      <c:valAx>
        <c:axId val="385599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Rate</a:t>
                </a:r>
              </a:p>
            </c:rich>
          </c:tx>
          <c:layout>
            <c:manualLayout>
              <c:xMode val="edge"/>
              <c:yMode val="edge"/>
              <c:x val="1.0494529767937422E-3"/>
              <c:y val="0.32316607015032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15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805202567500833"/>
          <c:y val="0.26099928418038648"/>
          <c:w val="0.12706416153426367"/>
          <c:h val="5.1121927940825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944414126452"/>
          <c:y val="3.3333333333333333E-2"/>
          <c:w val="0.87958410644214025"/>
          <c:h val="0.82646886184681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CEA!$D$57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CEA!$A$60:$A$66</c:f>
              <c:strCache>
                <c:ptCount val="7"/>
                <c:pt idx="0">
                  <c:v>Condom</c:v>
                </c:pt>
                <c:pt idx="1">
                  <c:v>Pill</c:v>
                </c:pt>
                <c:pt idx="2">
                  <c:v>Injection</c:v>
                </c:pt>
                <c:pt idx="3">
                  <c:v>Implant</c:v>
                </c:pt>
                <c:pt idx="4">
                  <c:v>IUD</c:v>
                </c:pt>
                <c:pt idx="5">
                  <c:v>Tubal ligation</c:v>
                </c:pt>
                <c:pt idx="6">
                  <c:v>Vasectomy</c:v>
                </c:pt>
              </c:strCache>
            </c:strRef>
          </c:cat>
          <c:val>
            <c:numRef>
              <c:f>CEA!$D$60:$D$66</c:f>
              <c:numCache>
                <c:formatCode>[$$-409]#,##0</c:formatCode>
                <c:ptCount val="7"/>
                <c:pt idx="0">
                  <c:v>265361.68582375458</c:v>
                </c:pt>
                <c:pt idx="1">
                  <c:v>293960.30172413797</c:v>
                </c:pt>
                <c:pt idx="2">
                  <c:v>743586.20689655177</c:v>
                </c:pt>
                <c:pt idx="3">
                  <c:v>117655.17241379312</c:v>
                </c:pt>
                <c:pt idx="4">
                  <c:v>98206.896551724145</c:v>
                </c:pt>
                <c:pt idx="5">
                  <c:v>27691.570881226056</c:v>
                </c:pt>
                <c:pt idx="6">
                  <c:v>4666.6666666666661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A-3B43-AA4D-D9C232B6FAA1}"/>
            </c:ext>
          </c:extLst>
        </c:ser>
        <c:ser>
          <c:idx val="1"/>
          <c:order val="1"/>
          <c:tx>
            <c:strRef>
              <c:f>CEA!$E$57</c:f>
              <c:strCache>
                <c:ptCount val="1"/>
                <c:pt idx="0">
                  <c:v>Pandemic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CEA!$A$60:$A$66</c:f>
              <c:strCache>
                <c:ptCount val="7"/>
                <c:pt idx="0">
                  <c:v>Condom</c:v>
                </c:pt>
                <c:pt idx="1">
                  <c:v>Pill</c:v>
                </c:pt>
                <c:pt idx="2">
                  <c:v>Injection</c:v>
                </c:pt>
                <c:pt idx="3">
                  <c:v>Implant</c:v>
                </c:pt>
                <c:pt idx="4">
                  <c:v>IUD</c:v>
                </c:pt>
                <c:pt idx="5">
                  <c:v>Tubal ligation</c:v>
                </c:pt>
                <c:pt idx="6">
                  <c:v>Vasectomy</c:v>
                </c:pt>
              </c:strCache>
            </c:strRef>
          </c:cat>
          <c:val>
            <c:numRef>
              <c:f>CEA!$E$60:$E$66</c:f>
              <c:numCache>
                <c:formatCode>[$$-409]#,##0</c:formatCode>
                <c:ptCount val="7"/>
                <c:pt idx="0">
                  <c:v>262744.06130268209</c:v>
                </c:pt>
                <c:pt idx="1">
                  <c:v>274513.26354679803</c:v>
                </c:pt>
                <c:pt idx="2">
                  <c:v>640137.93103448278</c:v>
                </c:pt>
                <c:pt idx="3">
                  <c:v>111586.20689655172</c:v>
                </c:pt>
                <c:pt idx="4">
                  <c:v>94965.517241379304</c:v>
                </c:pt>
                <c:pt idx="5">
                  <c:v>28026.819923371644</c:v>
                </c:pt>
                <c:pt idx="6">
                  <c:v>5149.4252873563219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A-3B43-AA4D-D9C232B6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415407"/>
        <c:axId val="385599503"/>
      </c:barChart>
      <c:catAx>
        <c:axId val="38541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Modern Contraception Methods</a:t>
                </a:r>
              </a:p>
            </c:rich>
          </c:tx>
          <c:layout>
            <c:manualLayout>
              <c:xMode val="edge"/>
              <c:yMode val="edge"/>
              <c:x val="0.44667331930043397"/>
              <c:y val="0.94522643760439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99503"/>
        <c:crosses val="autoZero"/>
        <c:auto val="1"/>
        <c:lblAlgn val="ctr"/>
        <c:lblOffset val="100"/>
        <c:noMultiLvlLbl val="0"/>
      </c:catAx>
      <c:valAx>
        <c:axId val="385599503"/>
        <c:scaling>
          <c:orientation val="minMax"/>
          <c:max val="8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Contraception Cost</a:t>
                </a:r>
              </a:p>
            </c:rich>
          </c:tx>
          <c:layout>
            <c:manualLayout>
              <c:xMode val="edge"/>
              <c:yMode val="edge"/>
              <c:x val="5.2805280528052806E-3"/>
              <c:y val="0.31589358148413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15407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6526857410149"/>
          <c:y val="0.33372655690765923"/>
          <c:w val="0.12706416153426367"/>
          <c:h val="5.1121927940825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273959</xdr:colOff>
      <xdr:row>0</xdr:row>
      <xdr:rowOff>113509</xdr:rowOff>
    </xdr:from>
    <xdr:to>
      <xdr:col>8</xdr:col>
      <xdr:colOff>76201</xdr:colOff>
      <xdr:row>36</xdr:row>
      <xdr:rowOff>40250</xdr:rowOff>
    </xdr:to>
    <xdr:grpSp>
      <xdr:nvGrpSpPr>
        <xdr:cNvPr id="403" name="Group 402">
          <a:extLst>
            <a:ext uri="{FF2B5EF4-FFF2-40B4-BE49-F238E27FC236}">
              <a16:creationId xmlns:a16="http://schemas.microsoft.com/office/drawing/2014/main" id="{C061C1F8-C05C-8A43-AD77-6CB41DC4B270}"/>
            </a:ext>
          </a:extLst>
        </xdr:cNvPr>
        <xdr:cNvGrpSpPr/>
      </xdr:nvGrpSpPr>
      <xdr:grpSpPr>
        <a:xfrm>
          <a:off x="273959" y="113509"/>
          <a:ext cx="6452424" cy="6992559"/>
          <a:chOff x="9604226" y="113509"/>
          <a:chExt cx="6440108" cy="7055674"/>
        </a:xfrm>
      </xdr:grpSpPr>
      <xdr:grpSp>
        <xdr:nvGrpSpPr>
          <xdr:cNvPr id="377" name="Group 376">
            <a:extLst>
              <a:ext uri="{FF2B5EF4-FFF2-40B4-BE49-F238E27FC236}">
                <a16:creationId xmlns:a16="http://schemas.microsoft.com/office/drawing/2014/main" id="{EB92F8D4-C63D-2640-8B30-F2CCF0FD2171}"/>
              </a:ext>
            </a:extLst>
          </xdr:cNvPr>
          <xdr:cNvGrpSpPr/>
        </xdr:nvGrpSpPr>
        <xdr:grpSpPr>
          <a:xfrm>
            <a:off x="9604226" y="113509"/>
            <a:ext cx="6413097" cy="7055674"/>
            <a:chOff x="9602686" y="113509"/>
            <a:chExt cx="6425413" cy="7154196"/>
          </a:xfrm>
        </xdr:grpSpPr>
        <xdr:grpSp>
          <xdr:nvGrpSpPr>
            <xdr:cNvPr id="372" name="Group 371">
              <a:extLst>
                <a:ext uri="{FF2B5EF4-FFF2-40B4-BE49-F238E27FC236}">
                  <a16:creationId xmlns:a16="http://schemas.microsoft.com/office/drawing/2014/main" id="{B884262A-86C7-C84D-B599-C87960F6556D}"/>
                </a:ext>
              </a:extLst>
            </xdr:cNvPr>
            <xdr:cNvGrpSpPr/>
          </xdr:nvGrpSpPr>
          <xdr:grpSpPr>
            <a:xfrm>
              <a:off x="9602686" y="113509"/>
              <a:ext cx="6425413" cy="7154196"/>
              <a:chOff x="9583059" y="113509"/>
              <a:chExt cx="6379231" cy="6962541"/>
            </a:xfrm>
          </xdr:grpSpPr>
          <xdr:grpSp>
            <xdr:nvGrpSpPr>
              <xdr:cNvPr id="371" name="Group 370">
                <a:extLst>
                  <a:ext uri="{FF2B5EF4-FFF2-40B4-BE49-F238E27FC236}">
                    <a16:creationId xmlns:a16="http://schemas.microsoft.com/office/drawing/2014/main" id="{2663A5C2-7E87-5847-B35D-E7B3AA791C5D}"/>
                  </a:ext>
                </a:extLst>
              </xdr:cNvPr>
              <xdr:cNvGrpSpPr/>
            </xdr:nvGrpSpPr>
            <xdr:grpSpPr>
              <a:xfrm>
                <a:off x="9583059" y="113509"/>
                <a:ext cx="6379231" cy="6962541"/>
                <a:chOff x="9583059" y="113509"/>
                <a:chExt cx="6379231" cy="6962541"/>
              </a:xfrm>
            </xdr:grpSpPr>
            <xdr:cxnSp macro="">
              <xdr:nvCxnSpPr>
                <xdr:cNvPr id="107" name="Straight Connector 106">
                  <a:extLst>
                    <a:ext uri="{FF2B5EF4-FFF2-40B4-BE49-F238E27FC236}">
                      <a16:creationId xmlns:a16="http://schemas.microsoft.com/office/drawing/2014/main" id="{C4A53D9E-EEF7-8B4D-BBB6-A086B4E9BD48}"/>
                    </a:ext>
                  </a:extLst>
                </xdr:cNvPr>
                <xdr:cNvCxnSpPr/>
              </xdr:nvCxnSpPr>
              <xdr:spPr>
                <a:xfrm flipH="1" flipV="1">
                  <a:off x="10932887" y="3612244"/>
                  <a:ext cx="852713" cy="3135085"/>
                </a:xfrm>
                <a:prstGeom prst="line">
                  <a:avLst/>
                </a:prstGeom>
                <a:ln w="12700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76" name="Straight Connector 175">
                  <a:extLst>
                    <a:ext uri="{FF2B5EF4-FFF2-40B4-BE49-F238E27FC236}">
                      <a16:creationId xmlns:a16="http://schemas.microsoft.com/office/drawing/2014/main" id="{3AEF97A7-DA03-BD41-A7DA-4F0459F750A3}"/>
                    </a:ext>
                  </a:extLst>
                </xdr:cNvPr>
                <xdr:cNvCxnSpPr/>
              </xdr:nvCxnSpPr>
              <xdr:spPr>
                <a:xfrm flipV="1">
                  <a:off x="10932885" y="480786"/>
                  <a:ext cx="861786" cy="3140529"/>
                </a:xfrm>
                <a:prstGeom prst="line">
                  <a:avLst/>
                </a:prstGeom>
                <a:ln w="12700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79" name="Straight Connector 178">
                  <a:extLst>
                    <a:ext uri="{FF2B5EF4-FFF2-40B4-BE49-F238E27FC236}">
                      <a16:creationId xmlns:a16="http://schemas.microsoft.com/office/drawing/2014/main" id="{BC62EB7D-1E12-7A48-9854-B3307EF459A5}"/>
                    </a:ext>
                  </a:extLst>
                </xdr:cNvPr>
                <xdr:cNvCxnSpPr/>
              </xdr:nvCxnSpPr>
              <xdr:spPr>
                <a:xfrm flipH="1" flipV="1">
                  <a:off x="12955815" y="3585029"/>
                  <a:ext cx="498928" cy="2340429"/>
                </a:xfrm>
                <a:prstGeom prst="line">
                  <a:avLst/>
                </a:prstGeom>
                <a:ln w="12700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3" name="Straight Connector 102">
                  <a:extLst>
                    <a:ext uri="{FF2B5EF4-FFF2-40B4-BE49-F238E27FC236}">
                      <a16:creationId xmlns:a16="http://schemas.microsoft.com/office/drawing/2014/main" id="{1AE05D64-7C6B-564E-BAE6-2DC2E4722F22}"/>
                    </a:ext>
                  </a:extLst>
                </xdr:cNvPr>
                <xdr:cNvCxnSpPr/>
              </xdr:nvCxnSpPr>
              <xdr:spPr>
                <a:xfrm flipV="1">
                  <a:off x="12955814" y="1255486"/>
                  <a:ext cx="489857" cy="2329544"/>
                </a:xfrm>
                <a:prstGeom prst="line">
                  <a:avLst/>
                </a:prstGeom>
                <a:ln w="12700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4" name="Straight Connector 103">
                  <a:extLst>
                    <a:ext uri="{FF2B5EF4-FFF2-40B4-BE49-F238E27FC236}">
                      <a16:creationId xmlns:a16="http://schemas.microsoft.com/office/drawing/2014/main" id="{3A7279D3-1308-AF4D-94D8-6E6953F7117B}"/>
                    </a:ext>
                  </a:extLst>
                </xdr:cNvPr>
                <xdr:cNvCxnSpPr/>
              </xdr:nvCxnSpPr>
              <xdr:spPr>
                <a:xfrm flipH="1" flipV="1">
                  <a:off x="12964885" y="3575957"/>
                  <a:ext cx="480746" cy="762001"/>
                </a:xfrm>
                <a:prstGeom prst="line">
                  <a:avLst/>
                </a:prstGeom>
                <a:ln w="12700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29" name="Straight Connector 328">
                  <a:extLst>
                    <a:ext uri="{FF2B5EF4-FFF2-40B4-BE49-F238E27FC236}">
                      <a16:creationId xmlns:a16="http://schemas.microsoft.com/office/drawing/2014/main" id="{8A36FEAC-0114-FD40-B603-726FE451980E}"/>
                    </a:ext>
                  </a:extLst>
                </xdr:cNvPr>
                <xdr:cNvCxnSpPr/>
              </xdr:nvCxnSpPr>
              <xdr:spPr>
                <a:xfrm flipV="1">
                  <a:off x="12964885" y="2028372"/>
                  <a:ext cx="478972" cy="1556657"/>
                </a:xfrm>
                <a:prstGeom prst="line">
                  <a:avLst/>
                </a:prstGeom>
                <a:ln w="12700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1" name="Straight Connector 330">
                  <a:extLst>
                    <a:ext uri="{FF2B5EF4-FFF2-40B4-BE49-F238E27FC236}">
                      <a16:creationId xmlns:a16="http://schemas.microsoft.com/office/drawing/2014/main" id="{F67203D6-C6E2-704C-AE1D-A1C67DCE01C5}"/>
                    </a:ext>
                  </a:extLst>
                </xdr:cNvPr>
                <xdr:cNvCxnSpPr/>
              </xdr:nvCxnSpPr>
              <xdr:spPr>
                <a:xfrm flipV="1">
                  <a:off x="12964885" y="2801258"/>
                  <a:ext cx="480786" cy="783771"/>
                </a:xfrm>
                <a:prstGeom prst="line">
                  <a:avLst/>
                </a:prstGeom>
                <a:ln w="12700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5" name="Straight Connector 334">
                  <a:extLst>
                    <a:ext uri="{FF2B5EF4-FFF2-40B4-BE49-F238E27FC236}">
                      <a16:creationId xmlns:a16="http://schemas.microsoft.com/office/drawing/2014/main" id="{8B63FBF9-3276-7D4B-97D1-481B0C82B2AB}"/>
                    </a:ext>
                  </a:extLst>
                </xdr:cNvPr>
                <xdr:cNvCxnSpPr/>
              </xdr:nvCxnSpPr>
              <xdr:spPr>
                <a:xfrm flipH="1" flipV="1">
                  <a:off x="12973957" y="3585029"/>
                  <a:ext cx="469859" cy="1534887"/>
                </a:xfrm>
                <a:prstGeom prst="line">
                  <a:avLst/>
                </a:prstGeom>
                <a:ln w="12700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362" name="Group 361">
                  <a:extLst>
                    <a:ext uri="{FF2B5EF4-FFF2-40B4-BE49-F238E27FC236}">
                      <a16:creationId xmlns:a16="http://schemas.microsoft.com/office/drawing/2014/main" id="{89DACA33-D1A9-BE48-AA0A-2A64A88345D0}"/>
                    </a:ext>
                  </a:extLst>
                </xdr:cNvPr>
                <xdr:cNvGrpSpPr/>
              </xdr:nvGrpSpPr>
              <xdr:grpSpPr>
                <a:xfrm>
                  <a:off x="11794671" y="113509"/>
                  <a:ext cx="4132649" cy="714954"/>
                  <a:chOff x="11792857" y="113509"/>
                  <a:chExt cx="4132649" cy="714954"/>
                </a:xfrm>
              </xdr:grpSpPr>
              <xdr:sp macro="" textlink="">
                <xdr:nvSpPr>
                  <xdr:cNvPr id="193" name="Rectangle 192">
                    <a:extLst>
                      <a:ext uri="{FF2B5EF4-FFF2-40B4-BE49-F238E27FC236}">
                        <a16:creationId xmlns:a16="http://schemas.microsoft.com/office/drawing/2014/main" id="{387861DE-C313-D549-A833-7AE84CBE43BC}"/>
                      </a:ext>
                    </a:extLst>
                  </xdr:cNvPr>
                  <xdr:cNvSpPr/>
                </xdr:nvSpPr>
                <xdr:spPr>
                  <a:xfrm>
                    <a:off x="12246490" y="284466"/>
                    <a:ext cx="2013800" cy="150963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tx1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Traditional contraception </a:t>
                    </a:r>
                  </a:p>
                </xdr:txBody>
              </xdr:sp>
              <xdr:grpSp>
                <xdr:nvGrpSpPr>
                  <xdr:cNvPr id="323" name="Group 322">
                    <a:extLst>
                      <a:ext uri="{FF2B5EF4-FFF2-40B4-BE49-F238E27FC236}">
                        <a16:creationId xmlns:a16="http://schemas.microsoft.com/office/drawing/2014/main" id="{3AD2410F-6478-FE4A-8D42-13301D777AC7}"/>
                      </a:ext>
                    </a:extLst>
                  </xdr:cNvPr>
                  <xdr:cNvGrpSpPr/>
                </xdr:nvGrpSpPr>
                <xdr:grpSpPr>
                  <a:xfrm>
                    <a:off x="11792857" y="113509"/>
                    <a:ext cx="4132649" cy="714954"/>
                    <a:chOff x="11792857" y="113509"/>
                    <a:chExt cx="4132649" cy="714954"/>
                  </a:xfrm>
                </xdr:grpSpPr>
                <xdr:grpSp>
                  <xdr:nvGrpSpPr>
                    <xdr:cNvPr id="322" name="Group 321">
                      <a:extLst>
                        <a:ext uri="{FF2B5EF4-FFF2-40B4-BE49-F238E27FC236}">
                          <a16:creationId xmlns:a16="http://schemas.microsoft.com/office/drawing/2014/main" id="{99157C39-E347-2041-8D2F-33120DBD5564}"/>
                        </a:ext>
                      </a:extLst>
                    </xdr:cNvPr>
                    <xdr:cNvGrpSpPr/>
                  </xdr:nvGrpSpPr>
                  <xdr:grpSpPr>
                    <a:xfrm>
                      <a:off x="11792857" y="113509"/>
                      <a:ext cx="4132649" cy="714954"/>
                      <a:chOff x="11792857" y="68154"/>
                      <a:chExt cx="4132649" cy="714954"/>
                    </a:xfrm>
                  </xdr:grpSpPr>
                  <xdr:cxnSp macro="">
                    <xdr:nvCxnSpPr>
                      <xdr:cNvPr id="139" name="Straight Connector 138">
                        <a:extLst>
                          <a:ext uri="{FF2B5EF4-FFF2-40B4-BE49-F238E27FC236}">
                            <a16:creationId xmlns:a16="http://schemas.microsoft.com/office/drawing/2014/main" id="{4DA863DA-BD9A-3842-8660-75D4F8E9774B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1792857" y="425359"/>
                        <a:ext cx="2871607" cy="998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12" name="Straight Connector 111">
                        <a:extLst>
                          <a:ext uri="{FF2B5EF4-FFF2-40B4-BE49-F238E27FC236}">
                            <a16:creationId xmlns:a16="http://schemas.microsoft.com/office/drawing/2014/main" id="{300880D1-9EB1-6349-BB3B-91F19C45D9FC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649751" y="214150"/>
                        <a:ext cx="266554" cy="216289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13" name="Straight Connector 112">
                        <a:extLst>
                          <a:ext uri="{FF2B5EF4-FFF2-40B4-BE49-F238E27FC236}">
                            <a16:creationId xmlns:a16="http://schemas.microsoft.com/office/drawing/2014/main" id="{1626487C-D805-A642-9310-8DB6F6F9C6E2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14649754" y="430441"/>
                        <a:ext cx="273751" cy="199526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14" name="Straight Connector 113">
                        <a:extLst>
                          <a:ext uri="{FF2B5EF4-FFF2-40B4-BE49-F238E27FC236}">
                            <a16:creationId xmlns:a16="http://schemas.microsoft.com/office/drawing/2014/main" id="{4C467845-CC05-D844-9DB5-2E8B9D47027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910905" y="621984"/>
                        <a:ext cx="1013235" cy="1800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15" name="Straight Connector 114">
                        <a:extLst>
                          <a:ext uri="{FF2B5EF4-FFF2-40B4-BE49-F238E27FC236}">
                            <a16:creationId xmlns:a16="http://schemas.microsoft.com/office/drawing/2014/main" id="{FC2F3203-AC3D-E34C-8A74-B339815D662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11455" y="214149"/>
                        <a:ext cx="914126" cy="3088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26" name="Triangle 125">
                        <a:extLst>
                          <a:ext uri="{FF2B5EF4-FFF2-40B4-BE49-F238E27FC236}">
                            <a16:creationId xmlns:a16="http://schemas.microsoft.com/office/drawing/2014/main" id="{05DDD3E4-0919-C14B-AC41-165575CF438C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14128" y="168077"/>
                        <a:ext cx="113366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127" name="Triangle 126">
                        <a:extLst>
                          <a:ext uri="{FF2B5EF4-FFF2-40B4-BE49-F238E27FC236}">
                            <a16:creationId xmlns:a16="http://schemas.microsoft.com/office/drawing/2014/main" id="{7ACDD51C-3290-B346-B878-F5262DBC2079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18445" y="573474"/>
                        <a:ext cx="113365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189" name="Rectangle 188">
                        <a:extLst>
                          <a:ext uri="{FF2B5EF4-FFF2-40B4-BE49-F238E27FC236}">
                            <a16:creationId xmlns:a16="http://schemas.microsoft.com/office/drawing/2014/main" id="{DEC4881C-5AC0-684A-AEF4-9877B57DDC5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03930" y="68154"/>
                        <a:ext cx="921467" cy="13838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Succeed</a:t>
                        </a:r>
                      </a:p>
                    </xdr:txBody>
                  </xdr:sp>
                  <xdr:sp macro="" textlink="">
                    <xdr:nvSpPr>
                      <xdr:cNvPr id="190" name="Rectangle 189">
                        <a:extLst>
                          <a:ext uri="{FF2B5EF4-FFF2-40B4-BE49-F238E27FC236}">
                            <a16:creationId xmlns:a16="http://schemas.microsoft.com/office/drawing/2014/main" id="{AD51F3E4-5440-FD42-9F4C-652C4F405FB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18272" y="226778"/>
                        <a:ext cx="921467" cy="14511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76.00%</a:t>
                        </a:r>
                      </a:p>
                    </xdr:txBody>
                  </xdr:sp>
                  <xdr:sp macro="" textlink="">
                    <xdr:nvSpPr>
                      <xdr:cNvPr id="191" name="Rectangle 190">
                        <a:extLst>
                          <a:ext uri="{FF2B5EF4-FFF2-40B4-BE49-F238E27FC236}">
                            <a16:creationId xmlns:a16="http://schemas.microsoft.com/office/drawing/2014/main" id="{28552AF2-1CD3-E344-8EBA-14AF2E60E88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06240" y="486099"/>
                        <a:ext cx="921467" cy="13838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Fail</a:t>
                        </a:r>
                      </a:p>
                    </xdr:txBody>
                  </xdr:sp>
                  <xdr:sp macro="" textlink="">
                    <xdr:nvSpPr>
                      <xdr:cNvPr id="192" name="Rectangle 191">
                        <a:extLst>
                          <a:ext uri="{FF2B5EF4-FFF2-40B4-BE49-F238E27FC236}">
                            <a16:creationId xmlns:a16="http://schemas.microsoft.com/office/drawing/2014/main" id="{DA9A7E4E-440D-8149-809D-0AB414B79FF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23056" y="637994"/>
                        <a:ext cx="921467" cy="145114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24.00%</a:t>
                        </a:r>
                      </a:p>
                    </xdr:txBody>
                  </xdr:sp>
                </xdr:grpSp>
                <xdr:sp macro="" textlink="">
                  <xdr:nvSpPr>
                    <xdr:cNvPr id="186" name="Oval 185">
                      <a:extLst>
                        <a:ext uri="{FF2B5EF4-FFF2-40B4-BE49-F238E27FC236}">
                          <a16:creationId xmlns:a16="http://schemas.microsoft.com/office/drawing/2014/main" id="{64C42D19-9E67-3A42-94AB-271B5205A401}"/>
                        </a:ext>
                      </a:extLst>
                    </xdr:cNvPr>
                    <xdr:cNvSpPr/>
                  </xdr:nvSpPr>
                  <xdr:spPr>
                    <a:xfrm>
                      <a:off x="14617414" y="421841"/>
                      <a:ext cx="97189" cy="87037"/>
                    </a:xfrm>
                    <a:prstGeom prst="ellipse">
                      <a:avLst/>
                    </a:prstGeom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800">
                        <a:latin typeface="Century" charset="0"/>
                        <a:ea typeface="Century" charset="0"/>
                        <a:cs typeface="Century" charset="0"/>
                      </a:endParaRPr>
                    </a:p>
                  </xdr:txBody>
                </xdr:sp>
              </xdr:grpSp>
              <xdr:sp macro="" textlink="">
                <xdr:nvSpPr>
                  <xdr:cNvPr id="342" name="Rectangle 341">
                    <a:extLst>
                      <a:ext uri="{FF2B5EF4-FFF2-40B4-BE49-F238E27FC236}">
                        <a16:creationId xmlns:a16="http://schemas.microsoft.com/office/drawing/2014/main" id="{CA4F309F-B5F1-C949-AADA-0CBD003D1653}"/>
                      </a:ext>
                    </a:extLst>
                  </xdr:cNvPr>
                  <xdr:cNvSpPr/>
                </xdr:nvSpPr>
                <xdr:spPr>
                  <a:xfrm>
                    <a:off x="12540124" y="480909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accent5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4.50%</a:t>
                    </a:r>
                  </a:p>
                </xdr:txBody>
              </xdr:sp>
              <xdr:sp macro="" textlink="">
                <xdr:nvSpPr>
                  <xdr:cNvPr id="343" name="Rectangle 342">
                    <a:extLst>
                      <a:ext uri="{FF2B5EF4-FFF2-40B4-BE49-F238E27FC236}">
                        <a16:creationId xmlns:a16="http://schemas.microsoft.com/office/drawing/2014/main" id="{0F38151B-4B10-884E-A52F-AAB6678FB4EC}"/>
                      </a:ext>
                    </a:extLst>
                  </xdr:cNvPr>
                  <xdr:cNvSpPr/>
                </xdr:nvSpPr>
                <xdr:spPr>
                  <a:xfrm>
                    <a:off x="13200523" y="479095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rgbClr val="FF0000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5.20%</a:t>
                    </a:r>
                  </a:p>
                </xdr:txBody>
              </xdr:sp>
            </xdr:grpSp>
            <xdr:grpSp>
              <xdr:nvGrpSpPr>
                <xdr:cNvPr id="370" name="Group 369">
                  <a:extLst>
                    <a:ext uri="{FF2B5EF4-FFF2-40B4-BE49-F238E27FC236}">
                      <a16:creationId xmlns:a16="http://schemas.microsoft.com/office/drawing/2014/main" id="{403C4B12-369F-0B49-8025-FEC81AE673B1}"/>
                    </a:ext>
                  </a:extLst>
                </xdr:cNvPr>
                <xdr:cNvGrpSpPr/>
              </xdr:nvGrpSpPr>
              <xdr:grpSpPr>
                <a:xfrm>
                  <a:off x="11776529" y="6368029"/>
                  <a:ext cx="4168282" cy="708021"/>
                  <a:chOff x="11774715" y="6331743"/>
                  <a:chExt cx="4168282" cy="693507"/>
                </a:xfrm>
              </xdr:grpSpPr>
              <xdr:grpSp>
                <xdr:nvGrpSpPr>
                  <xdr:cNvPr id="341" name="Group 340">
                    <a:extLst>
                      <a:ext uri="{FF2B5EF4-FFF2-40B4-BE49-F238E27FC236}">
                        <a16:creationId xmlns:a16="http://schemas.microsoft.com/office/drawing/2014/main" id="{777E9822-EBB3-5049-92E4-57EB5218EE22}"/>
                      </a:ext>
                    </a:extLst>
                  </xdr:cNvPr>
                  <xdr:cNvGrpSpPr/>
                </xdr:nvGrpSpPr>
                <xdr:grpSpPr>
                  <a:xfrm>
                    <a:off x="11774715" y="6331743"/>
                    <a:ext cx="4168282" cy="693507"/>
                    <a:chOff x="11774715" y="6331743"/>
                    <a:chExt cx="4168282" cy="693507"/>
                  </a:xfrm>
                </xdr:grpSpPr>
                <xdr:grpSp>
                  <xdr:nvGrpSpPr>
                    <xdr:cNvPr id="337" name="Group 336">
                      <a:extLst>
                        <a:ext uri="{FF2B5EF4-FFF2-40B4-BE49-F238E27FC236}">
                          <a16:creationId xmlns:a16="http://schemas.microsoft.com/office/drawing/2014/main" id="{626CB3C4-C81D-EB4E-A2C4-0DD362C6B18E}"/>
                        </a:ext>
                      </a:extLst>
                    </xdr:cNvPr>
                    <xdr:cNvGrpSpPr/>
                  </xdr:nvGrpSpPr>
                  <xdr:grpSpPr>
                    <a:xfrm>
                      <a:off x="11774715" y="6331743"/>
                      <a:ext cx="4168282" cy="693507"/>
                      <a:chOff x="11783786" y="7538243"/>
                      <a:chExt cx="4168282" cy="693507"/>
                    </a:xfrm>
                  </xdr:grpSpPr>
                  <xdr:cxnSp macro="">
                    <xdr:nvCxnSpPr>
                      <xdr:cNvPr id="3" name="Straight Connector 2">
                        <a:extLst>
                          <a:ext uri="{FF2B5EF4-FFF2-40B4-BE49-F238E27FC236}">
                            <a16:creationId xmlns:a16="http://schemas.microsoft.com/office/drawing/2014/main" id="{4D38E840-E196-2943-A572-675ABB9326BB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783786" y="7901214"/>
                        <a:ext cx="2875643" cy="0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2" name="Straight Connector 81">
                        <a:extLst>
                          <a:ext uri="{FF2B5EF4-FFF2-40B4-BE49-F238E27FC236}">
                            <a16:creationId xmlns:a16="http://schemas.microsoft.com/office/drawing/2014/main" id="{3ECCE5D0-10C3-0B45-AA39-1063C034C7BB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14653379" y="7900806"/>
                        <a:ext cx="266553" cy="187451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3" name="Straight Connector 82">
                        <a:extLst>
                          <a:ext uri="{FF2B5EF4-FFF2-40B4-BE49-F238E27FC236}">
                            <a16:creationId xmlns:a16="http://schemas.microsoft.com/office/drawing/2014/main" id="{AF22A822-E4D8-2D41-B1C7-2A804D71BD52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653377" y="7679596"/>
                        <a:ext cx="254098" cy="221210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4" name="Straight Connector 93">
                        <a:extLst>
                          <a:ext uri="{FF2B5EF4-FFF2-40B4-BE49-F238E27FC236}">
                            <a16:creationId xmlns:a16="http://schemas.microsoft.com/office/drawing/2014/main" id="{E41BE102-4DB1-3D41-A9F0-A976D0A9256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07475" y="8085168"/>
                        <a:ext cx="956993" cy="6177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5" name="Straight Connector 94">
                        <a:extLst>
                          <a:ext uri="{FF2B5EF4-FFF2-40B4-BE49-F238E27FC236}">
                            <a16:creationId xmlns:a16="http://schemas.microsoft.com/office/drawing/2014/main" id="{2431EB77-8C6F-414A-B1B4-D45A272FA63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00530" y="7682292"/>
                        <a:ext cx="914126" cy="3088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96" name="Triangle 95">
                        <a:extLst>
                          <a:ext uri="{FF2B5EF4-FFF2-40B4-BE49-F238E27FC236}">
                            <a16:creationId xmlns:a16="http://schemas.microsoft.com/office/drawing/2014/main" id="{0F622A0E-9810-D04D-9F18-2721EC89FF42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09332" y="7635902"/>
                        <a:ext cx="113366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97" name="Triangle 96">
                        <a:extLst>
                          <a:ext uri="{FF2B5EF4-FFF2-40B4-BE49-F238E27FC236}">
                            <a16:creationId xmlns:a16="http://schemas.microsoft.com/office/drawing/2014/main" id="{FD0DA46F-37C1-C64E-9778-14BBF556D062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13649" y="8038593"/>
                        <a:ext cx="113366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98" name="Rectangle 97">
                        <a:extLst>
                          <a:ext uri="{FF2B5EF4-FFF2-40B4-BE49-F238E27FC236}">
                            <a16:creationId xmlns:a16="http://schemas.microsoft.com/office/drawing/2014/main" id="{8E5215F5-2C87-634B-9315-9366D4CD369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55068" y="7538243"/>
                        <a:ext cx="921467" cy="14264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Succeed</a:t>
                        </a:r>
                      </a:p>
                    </xdr:txBody>
                  </xdr:sp>
                  <xdr:sp macro="" textlink="">
                    <xdr:nvSpPr>
                      <xdr:cNvPr id="99" name="Rectangle 98">
                        <a:extLst>
                          <a:ext uri="{FF2B5EF4-FFF2-40B4-BE49-F238E27FC236}">
                            <a16:creationId xmlns:a16="http://schemas.microsoft.com/office/drawing/2014/main" id="{8AB34D2A-8B5C-204F-8CB7-EFB5063D2CEF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13657" y="7955179"/>
                        <a:ext cx="1033496" cy="126397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Fail</a:t>
                        </a:r>
                      </a:p>
                    </xdr:txBody>
                  </xdr:sp>
                  <xdr:sp macro="" textlink="">
                    <xdr:nvSpPr>
                      <xdr:cNvPr id="108" name="Rectangle 107">
                        <a:extLst>
                          <a:ext uri="{FF2B5EF4-FFF2-40B4-BE49-F238E27FC236}">
                            <a16:creationId xmlns:a16="http://schemas.microsoft.com/office/drawing/2014/main" id="{F8B52199-D76D-0A4C-943F-DD505B105011}"/>
                          </a:ext>
                        </a:extLst>
                      </xdr:cNvPr>
                      <xdr:cNvSpPr/>
                    </xdr:nvSpPr>
                    <xdr:spPr>
                      <a:xfrm>
                        <a:off x="12482278" y="7673222"/>
                        <a:ext cx="1533065" cy="200778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12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Non-contraception</a:t>
                        </a:r>
                      </a:p>
                    </xdr:txBody>
                  </xdr:sp>
                  <xdr:sp macro="" textlink="">
                    <xdr:nvSpPr>
                      <xdr:cNvPr id="110" name="Rectangle 109">
                        <a:extLst>
                          <a:ext uri="{FF2B5EF4-FFF2-40B4-BE49-F238E27FC236}">
                            <a16:creationId xmlns:a16="http://schemas.microsoft.com/office/drawing/2014/main" id="{848E51BC-4106-8640-84EF-ABF90C647EB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59983" y="7688415"/>
                        <a:ext cx="921467" cy="142642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15.00%</a:t>
                        </a:r>
                      </a:p>
                    </xdr:txBody>
                  </xdr:sp>
                  <xdr:sp macro="" textlink="">
                    <xdr:nvSpPr>
                      <xdr:cNvPr id="111" name="Rectangle 110">
                        <a:extLst>
                          <a:ext uri="{FF2B5EF4-FFF2-40B4-BE49-F238E27FC236}">
                            <a16:creationId xmlns:a16="http://schemas.microsoft.com/office/drawing/2014/main" id="{13C5F196-60BB-5C41-B052-09627FDC671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18572" y="8105353"/>
                        <a:ext cx="1033496" cy="126397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85.00%</a:t>
                        </a:r>
                      </a:p>
                    </xdr:txBody>
                  </xdr:sp>
                </xdr:grpSp>
                <xdr:sp macro="" textlink="">
                  <xdr:nvSpPr>
                    <xdr:cNvPr id="90" name="Oval 89">
                      <a:extLst>
                        <a:ext uri="{FF2B5EF4-FFF2-40B4-BE49-F238E27FC236}">
                          <a16:creationId xmlns:a16="http://schemas.microsoft.com/office/drawing/2014/main" id="{3A7C5D47-9551-6249-B77B-378EDDDE6CF2}"/>
                        </a:ext>
                      </a:extLst>
                    </xdr:cNvPr>
                    <xdr:cNvSpPr/>
                  </xdr:nvSpPr>
                  <xdr:spPr>
                    <a:xfrm>
                      <a:off x="14604233" y="6650457"/>
                      <a:ext cx="97189" cy="87037"/>
                    </a:xfrm>
                    <a:prstGeom prst="ellipse">
                      <a:avLst/>
                    </a:prstGeom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800">
                        <a:latin typeface="Century" charset="0"/>
                        <a:ea typeface="Century" charset="0"/>
                        <a:cs typeface="Century" charset="0"/>
                      </a:endParaRPr>
                    </a:p>
                  </xdr:txBody>
                </xdr:sp>
              </xdr:grpSp>
              <xdr:sp macro="" textlink="">
                <xdr:nvSpPr>
                  <xdr:cNvPr id="344" name="Rectangle 343">
                    <a:extLst>
                      <a:ext uri="{FF2B5EF4-FFF2-40B4-BE49-F238E27FC236}">
                        <a16:creationId xmlns:a16="http://schemas.microsoft.com/office/drawing/2014/main" id="{F0A2A383-51C8-584E-9740-C9EFAC132B91}"/>
                      </a:ext>
                    </a:extLst>
                  </xdr:cNvPr>
                  <xdr:cNvSpPr/>
                </xdr:nvSpPr>
                <xdr:spPr>
                  <a:xfrm>
                    <a:off x="12565523" y="6702093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accent5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31.80%</a:t>
                    </a:r>
                  </a:p>
                </xdr:txBody>
              </xdr:sp>
              <xdr:sp macro="" textlink="">
                <xdr:nvSpPr>
                  <xdr:cNvPr id="345" name="Rectangle 344">
                    <a:extLst>
                      <a:ext uri="{FF2B5EF4-FFF2-40B4-BE49-F238E27FC236}">
                        <a16:creationId xmlns:a16="http://schemas.microsoft.com/office/drawing/2014/main" id="{EBFBE60F-71BC-2641-92D3-1973FE5C2E6A}"/>
                      </a:ext>
                    </a:extLst>
                  </xdr:cNvPr>
                  <xdr:cNvSpPr/>
                </xdr:nvSpPr>
                <xdr:spPr>
                  <a:xfrm>
                    <a:off x="13225922" y="6700279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rgbClr val="FF0000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35.20%</a:t>
                    </a:r>
                  </a:p>
                </xdr:txBody>
              </xdr:sp>
            </xdr:grpSp>
            <xdr:grpSp>
              <xdr:nvGrpSpPr>
                <xdr:cNvPr id="363" name="Group 362">
                  <a:extLst>
                    <a:ext uri="{FF2B5EF4-FFF2-40B4-BE49-F238E27FC236}">
                      <a16:creationId xmlns:a16="http://schemas.microsoft.com/office/drawing/2014/main" id="{F59A0C34-3957-A345-A8C0-9C2260197F59}"/>
                    </a:ext>
                  </a:extLst>
                </xdr:cNvPr>
                <xdr:cNvGrpSpPr/>
              </xdr:nvGrpSpPr>
              <xdr:grpSpPr>
                <a:xfrm>
                  <a:off x="13395673" y="887190"/>
                  <a:ext cx="2517888" cy="708226"/>
                  <a:chOff x="13393859" y="887190"/>
                  <a:chExt cx="2517888" cy="700969"/>
                </a:xfrm>
              </xdr:grpSpPr>
              <xdr:grpSp>
                <xdr:nvGrpSpPr>
                  <xdr:cNvPr id="298" name="Group 297">
                    <a:extLst>
                      <a:ext uri="{FF2B5EF4-FFF2-40B4-BE49-F238E27FC236}">
                        <a16:creationId xmlns:a16="http://schemas.microsoft.com/office/drawing/2014/main" id="{58C84C4C-18BE-C54D-BF91-04F1C904FD71}"/>
                      </a:ext>
                    </a:extLst>
                  </xdr:cNvPr>
                  <xdr:cNvGrpSpPr/>
                </xdr:nvGrpSpPr>
                <xdr:grpSpPr>
                  <a:xfrm>
                    <a:off x="13393859" y="887190"/>
                    <a:ext cx="2517888" cy="700969"/>
                    <a:chOff x="13393859" y="1195613"/>
                    <a:chExt cx="2517888" cy="700969"/>
                  </a:xfrm>
                </xdr:grpSpPr>
                <xdr:grpSp>
                  <xdr:nvGrpSpPr>
                    <xdr:cNvPr id="297" name="Group 296">
                      <a:extLst>
                        <a:ext uri="{FF2B5EF4-FFF2-40B4-BE49-F238E27FC236}">
                          <a16:creationId xmlns:a16="http://schemas.microsoft.com/office/drawing/2014/main" id="{D8C4EE3D-C755-C24C-875A-A82E0130BC07}"/>
                        </a:ext>
                      </a:extLst>
                    </xdr:cNvPr>
                    <xdr:cNvGrpSpPr/>
                  </xdr:nvGrpSpPr>
                  <xdr:grpSpPr>
                    <a:xfrm>
                      <a:off x="13393859" y="1195613"/>
                      <a:ext cx="2517888" cy="700969"/>
                      <a:chOff x="13393859" y="1195613"/>
                      <a:chExt cx="2517888" cy="700969"/>
                    </a:xfrm>
                  </xdr:grpSpPr>
                  <xdr:sp macro="" textlink="">
                    <xdr:nvSpPr>
                      <xdr:cNvPr id="10" name="Rectangle 9">
                        <a:extLst>
                          <a:ext uri="{FF2B5EF4-FFF2-40B4-BE49-F238E27FC236}">
                            <a16:creationId xmlns:a16="http://schemas.microsoft.com/office/drawing/2014/main" id="{E51155CC-4CA1-604D-9958-303C20BB878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15854" y="1195613"/>
                        <a:ext cx="921467" cy="144153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Succeed</a:t>
                        </a:r>
                      </a:p>
                    </xdr:txBody>
                  </xdr:sp>
                  <xdr:sp macro="" textlink="">
                    <xdr:nvSpPr>
                      <xdr:cNvPr id="11" name="Rectangle 10">
                        <a:extLst>
                          <a:ext uri="{FF2B5EF4-FFF2-40B4-BE49-F238E27FC236}">
                            <a16:creationId xmlns:a16="http://schemas.microsoft.com/office/drawing/2014/main" id="{F5FA262C-DCCE-4048-B823-0F15723CD60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853827" y="1614061"/>
                        <a:ext cx="1033496" cy="127909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Fail</a:t>
                        </a:r>
                      </a:p>
                    </xdr:txBody>
                  </xdr:sp>
                  <xdr:cxnSp macro="">
                    <xdr:nvCxnSpPr>
                      <xdr:cNvPr id="12" name="Straight Connector 11">
                        <a:extLst>
                          <a:ext uri="{FF2B5EF4-FFF2-40B4-BE49-F238E27FC236}">
                            <a16:creationId xmlns:a16="http://schemas.microsoft.com/office/drawing/2014/main" id="{4DAC089F-AB58-A344-BE7C-35DE8B71A17E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638899" y="1341179"/>
                        <a:ext cx="266554" cy="218512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" name="Straight Connector 12">
                        <a:extLst>
                          <a:ext uri="{FF2B5EF4-FFF2-40B4-BE49-F238E27FC236}">
                            <a16:creationId xmlns:a16="http://schemas.microsoft.com/office/drawing/2014/main" id="{C961DB91-F69A-7D45-90FB-651F5B9EFF68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14638901" y="1559692"/>
                        <a:ext cx="266553" cy="188963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4" name="Straight Connector 13">
                        <a:extLst>
                          <a:ext uri="{FF2B5EF4-FFF2-40B4-BE49-F238E27FC236}">
                            <a16:creationId xmlns:a16="http://schemas.microsoft.com/office/drawing/2014/main" id="{C61896CE-C674-864A-AD4A-1875AB2661AB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899681" y="1751040"/>
                        <a:ext cx="912479" cy="1209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5" name="Straight Connector 14">
                        <a:extLst>
                          <a:ext uri="{FF2B5EF4-FFF2-40B4-BE49-F238E27FC236}">
                            <a16:creationId xmlns:a16="http://schemas.microsoft.com/office/drawing/2014/main" id="{0EA55F26-73AF-4A4E-8A4D-71C08405F38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00603" y="1341178"/>
                        <a:ext cx="914126" cy="3088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6" name="Triangle 15">
                        <a:extLst>
                          <a:ext uri="{FF2B5EF4-FFF2-40B4-BE49-F238E27FC236}">
                            <a16:creationId xmlns:a16="http://schemas.microsoft.com/office/drawing/2014/main" id="{A2B4080E-C9E2-2848-8305-7AB965D98965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05442" y="1292984"/>
                        <a:ext cx="111854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17" name="Triangle 16">
                        <a:extLst>
                          <a:ext uri="{FF2B5EF4-FFF2-40B4-BE49-F238E27FC236}">
                            <a16:creationId xmlns:a16="http://schemas.microsoft.com/office/drawing/2014/main" id="{231BF8CF-C4C6-0142-9FEF-0576F7D1B485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799171" y="1698990"/>
                        <a:ext cx="113366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27" name="Rectangle 26">
                        <a:extLst>
                          <a:ext uri="{FF2B5EF4-FFF2-40B4-BE49-F238E27FC236}">
                            <a16:creationId xmlns:a16="http://schemas.microsoft.com/office/drawing/2014/main" id="{5F51C835-5913-374F-9D76-11D8FCFD661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393859" y="1372835"/>
                        <a:ext cx="1300673" cy="15903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12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Condom</a:t>
                        </a:r>
                      </a:p>
                    </xdr:txBody>
                  </xdr:sp>
                  <xdr:cxnSp macro="">
                    <xdr:nvCxnSpPr>
                      <xdr:cNvPr id="31" name="Straight Connector 30">
                        <a:extLst>
                          <a:ext uri="{FF2B5EF4-FFF2-40B4-BE49-F238E27FC236}">
                            <a16:creationId xmlns:a16="http://schemas.microsoft.com/office/drawing/2014/main" id="{4C89C060-F0F2-CD4B-AB2D-CE10B864660F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3443857" y="1560280"/>
                        <a:ext cx="1206500" cy="6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24" name="Rectangle 123">
                        <a:extLst>
                          <a:ext uri="{FF2B5EF4-FFF2-40B4-BE49-F238E27FC236}">
                            <a16:creationId xmlns:a16="http://schemas.microsoft.com/office/drawing/2014/main" id="{A9CB0E31-43EA-C449-8F78-DE20B44B1A5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24424" y="1360010"/>
                        <a:ext cx="921467" cy="14264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82.00%</a:t>
                        </a:r>
                      </a:p>
                    </xdr:txBody>
                  </xdr:sp>
                  <xdr:sp macro="" textlink="">
                    <xdr:nvSpPr>
                      <xdr:cNvPr id="125" name="Rectangle 124">
                        <a:extLst>
                          <a:ext uri="{FF2B5EF4-FFF2-40B4-BE49-F238E27FC236}">
                            <a16:creationId xmlns:a16="http://schemas.microsoft.com/office/drawing/2014/main" id="{046162BA-F499-854D-A299-68F1489A99C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873942" y="1768673"/>
                        <a:ext cx="1033496" cy="127909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18.00%</a:t>
                        </a:r>
                      </a:p>
                    </xdr:txBody>
                  </xdr:sp>
                </xdr:grpSp>
                <xdr:sp macro="" textlink="">
                  <xdr:nvSpPr>
                    <xdr:cNvPr id="36" name="Oval 35">
                      <a:extLst>
                        <a:ext uri="{FF2B5EF4-FFF2-40B4-BE49-F238E27FC236}">
                          <a16:creationId xmlns:a16="http://schemas.microsoft.com/office/drawing/2014/main" id="{06506604-42D8-1644-BE17-412129017C46}"/>
                        </a:ext>
                      </a:extLst>
                    </xdr:cNvPr>
                    <xdr:cNvSpPr/>
                  </xdr:nvSpPr>
                  <xdr:spPr>
                    <a:xfrm>
                      <a:off x="14601663" y="1516502"/>
                      <a:ext cx="97189" cy="87037"/>
                    </a:xfrm>
                    <a:prstGeom prst="ellipse">
                      <a:avLst/>
                    </a:prstGeom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800">
                        <a:latin typeface="Century" charset="0"/>
                        <a:ea typeface="Century" charset="0"/>
                        <a:cs typeface="Century" charset="0"/>
                      </a:endParaRPr>
                    </a:p>
                  </xdr:txBody>
                </xdr:sp>
              </xdr:grpSp>
              <xdr:sp macro="" textlink="">
                <xdr:nvSpPr>
                  <xdr:cNvPr id="346" name="Rectangle 345">
                    <a:extLst>
                      <a:ext uri="{FF2B5EF4-FFF2-40B4-BE49-F238E27FC236}">
                        <a16:creationId xmlns:a16="http://schemas.microsoft.com/office/drawing/2014/main" id="{FA27F4AB-F735-E240-8E0F-AA059882B74C}"/>
                      </a:ext>
                    </a:extLst>
                  </xdr:cNvPr>
                  <xdr:cNvSpPr/>
                </xdr:nvSpPr>
                <xdr:spPr>
                  <a:xfrm>
                    <a:off x="13436379" y="1259239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accent5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8.11%</a:t>
                    </a:r>
                  </a:p>
                </xdr:txBody>
              </xdr:sp>
              <xdr:sp macro="" textlink="">
                <xdr:nvSpPr>
                  <xdr:cNvPr id="347" name="Rectangle 346">
                    <a:extLst>
                      <a:ext uri="{FF2B5EF4-FFF2-40B4-BE49-F238E27FC236}">
                        <a16:creationId xmlns:a16="http://schemas.microsoft.com/office/drawing/2014/main" id="{62D6C2E2-4306-6441-AFFC-680FA384E2BB}"/>
                      </a:ext>
                    </a:extLst>
                  </xdr:cNvPr>
                  <xdr:cNvSpPr/>
                </xdr:nvSpPr>
                <xdr:spPr>
                  <a:xfrm>
                    <a:off x="13960713" y="1257425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rgbClr val="FF0000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8.03%</a:t>
                    </a:r>
                  </a:p>
                </xdr:txBody>
              </xdr:sp>
            </xdr:grpSp>
            <xdr:grpSp>
              <xdr:nvGrpSpPr>
                <xdr:cNvPr id="364" name="Group 363">
                  <a:extLst>
                    <a:ext uri="{FF2B5EF4-FFF2-40B4-BE49-F238E27FC236}">
                      <a16:creationId xmlns:a16="http://schemas.microsoft.com/office/drawing/2014/main" id="{92F1F308-5360-CF44-BF3D-982E76584B85}"/>
                    </a:ext>
                  </a:extLst>
                </xdr:cNvPr>
                <xdr:cNvGrpSpPr/>
              </xdr:nvGrpSpPr>
              <xdr:grpSpPr>
                <a:xfrm>
                  <a:off x="13348803" y="1668272"/>
                  <a:ext cx="2578590" cy="697394"/>
                  <a:chOff x="13346989" y="1661015"/>
                  <a:chExt cx="2578590" cy="697394"/>
                </a:xfrm>
              </xdr:grpSpPr>
              <xdr:grpSp>
                <xdr:nvGrpSpPr>
                  <xdr:cNvPr id="303" name="Group 302">
                    <a:extLst>
                      <a:ext uri="{FF2B5EF4-FFF2-40B4-BE49-F238E27FC236}">
                        <a16:creationId xmlns:a16="http://schemas.microsoft.com/office/drawing/2014/main" id="{B11BD93B-4A30-FC42-8987-2E35C56AEA4E}"/>
                      </a:ext>
                    </a:extLst>
                  </xdr:cNvPr>
                  <xdr:cNvGrpSpPr/>
                </xdr:nvGrpSpPr>
                <xdr:grpSpPr>
                  <a:xfrm>
                    <a:off x="13346989" y="1661015"/>
                    <a:ext cx="2578590" cy="697394"/>
                    <a:chOff x="13346989" y="1933149"/>
                    <a:chExt cx="2578590" cy="697394"/>
                  </a:xfrm>
                </xdr:grpSpPr>
                <xdr:grpSp>
                  <xdr:nvGrpSpPr>
                    <xdr:cNvPr id="302" name="Group 301">
                      <a:extLst>
                        <a:ext uri="{FF2B5EF4-FFF2-40B4-BE49-F238E27FC236}">
                          <a16:creationId xmlns:a16="http://schemas.microsoft.com/office/drawing/2014/main" id="{79051B2B-FF73-0240-80AA-5614EC032D68}"/>
                        </a:ext>
                      </a:extLst>
                    </xdr:cNvPr>
                    <xdr:cNvGrpSpPr/>
                  </xdr:nvGrpSpPr>
                  <xdr:grpSpPr>
                    <a:xfrm>
                      <a:off x="13346989" y="1933149"/>
                      <a:ext cx="2578590" cy="697394"/>
                      <a:chOff x="13346989" y="1933149"/>
                      <a:chExt cx="2578590" cy="697394"/>
                    </a:xfrm>
                  </xdr:grpSpPr>
                  <xdr:cxnSp macro="">
                    <xdr:nvCxnSpPr>
                      <xdr:cNvPr id="32" name="Straight Connector 31">
                        <a:extLst>
                          <a:ext uri="{FF2B5EF4-FFF2-40B4-BE49-F238E27FC236}">
                            <a16:creationId xmlns:a16="http://schemas.microsoft.com/office/drawing/2014/main" id="{785B2C8C-9B98-7344-A59B-C054F6FC8914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3443857" y="2295071"/>
                        <a:ext cx="1215572" cy="0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" name="Straight Connector 17">
                        <a:extLst>
                          <a:ext uri="{FF2B5EF4-FFF2-40B4-BE49-F238E27FC236}">
                            <a16:creationId xmlns:a16="http://schemas.microsoft.com/office/drawing/2014/main" id="{A494A51E-A04A-9846-ADF5-7783317E0DFE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643220" y="2078712"/>
                        <a:ext cx="266554" cy="220024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" name="Straight Connector 18">
                        <a:extLst>
                          <a:ext uri="{FF2B5EF4-FFF2-40B4-BE49-F238E27FC236}">
                            <a16:creationId xmlns:a16="http://schemas.microsoft.com/office/drawing/2014/main" id="{150C9556-8252-5A4C-AA6A-23E7ECCC4CE0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14643222" y="2298737"/>
                        <a:ext cx="266553" cy="188963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" name="Straight Connector 19">
                        <a:extLst>
                          <a:ext uri="{FF2B5EF4-FFF2-40B4-BE49-F238E27FC236}">
                            <a16:creationId xmlns:a16="http://schemas.microsoft.com/office/drawing/2014/main" id="{D74E6182-726F-BC4C-BE21-F11AE47344B2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904002" y="2483597"/>
                        <a:ext cx="1013235" cy="1800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1" name="Straight Connector 20">
                        <a:extLst>
                          <a:ext uri="{FF2B5EF4-FFF2-40B4-BE49-F238E27FC236}">
                            <a16:creationId xmlns:a16="http://schemas.microsoft.com/office/drawing/2014/main" id="{A60F2A06-C20B-7049-BF3A-A79A3CFF0A9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04924" y="2078711"/>
                        <a:ext cx="914126" cy="3088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2" name="Triangle 21">
                        <a:extLst>
                          <a:ext uri="{FF2B5EF4-FFF2-40B4-BE49-F238E27FC236}">
                            <a16:creationId xmlns:a16="http://schemas.microsoft.com/office/drawing/2014/main" id="{03D13D71-D45B-DA4F-AD19-392870D84860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799174" y="2032639"/>
                        <a:ext cx="113366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23" name="Triangle 22">
                        <a:extLst>
                          <a:ext uri="{FF2B5EF4-FFF2-40B4-BE49-F238E27FC236}">
                            <a16:creationId xmlns:a16="http://schemas.microsoft.com/office/drawing/2014/main" id="{E4D13FAE-C471-304F-A7B1-3E881AD3D4A8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11915" y="2431351"/>
                        <a:ext cx="113366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28" name="Rectangle 27">
                        <a:extLst>
                          <a:ext uri="{FF2B5EF4-FFF2-40B4-BE49-F238E27FC236}">
                            <a16:creationId xmlns:a16="http://schemas.microsoft.com/office/drawing/2014/main" id="{405D2D48-9CAE-FD4E-A563-9D737DB0A84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346989" y="2096987"/>
                        <a:ext cx="1405767" cy="183032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12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Pill</a:t>
                        </a:r>
                      </a:p>
                    </xdr:txBody>
                  </xdr:sp>
                  <xdr:sp macro="" textlink="">
                    <xdr:nvSpPr>
                      <xdr:cNvPr id="38" name="Rectangle 37">
                        <a:extLst>
                          <a:ext uri="{FF2B5EF4-FFF2-40B4-BE49-F238E27FC236}">
                            <a16:creationId xmlns:a16="http://schemas.microsoft.com/office/drawing/2014/main" id="{FA79986D-7E8A-9346-B7E3-F77E796FC49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08627" y="1933149"/>
                        <a:ext cx="921467" cy="144153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Succeed</a:t>
                        </a:r>
                      </a:p>
                    </xdr:txBody>
                  </xdr:sp>
                  <xdr:sp macro="" textlink="">
                    <xdr:nvSpPr>
                      <xdr:cNvPr id="39" name="Rectangle 38">
                        <a:extLst>
                          <a:ext uri="{FF2B5EF4-FFF2-40B4-BE49-F238E27FC236}">
                            <a16:creationId xmlns:a16="http://schemas.microsoft.com/office/drawing/2014/main" id="{A11468D0-7268-AE41-A3D9-ADE17623BB41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858144" y="2353110"/>
                        <a:ext cx="1033496" cy="127909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Fail</a:t>
                        </a:r>
                      </a:p>
                    </xdr:txBody>
                  </xdr:sp>
                  <xdr:sp macro="" textlink="">
                    <xdr:nvSpPr>
                      <xdr:cNvPr id="122" name="Rectangle 121">
                        <a:extLst>
                          <a:ext uri="{FF2B5EF4-FFF2-40B4-BE49-F238E27FC236}">
                            <a16:creationId xmlns:a16="http://schemas.microsoft.com/office/drawing/2014/main" id="{3D08226B-75D5-1B4E-8209-775CBBC2841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42565" y="2092459"/>
                        <a:ext cx="921467" cy="144153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91.00%</a:t>
                        </a:r>
                      </a:p>
                    </xdr:txBody>
                  </xdr:sp>
                  <xdr:sp macro="" textlink="">
                    <xdr:nvSpPr>
                      <xdr:cNvPr id="123" name="Rectangle 122">
                        <a:extLst>
                          <a:ext uri="{FF2B5EF4-FFF2-40B4-BE49-F238E27FC236}">
                            <a16:creationId xmlns:a16="http://schemas.microsoft.com/office/drawing/2014/main" id="{D5307AEF-DB59-E047-9DC9-C7DE921499B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892083" y="2502634"/>
                        <a:ext cx="1033496" cy="127909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9.00%</a:t>
                        </a:r>
                      </a:p>
                    </xdr:txBody>
                  </xdr:sp>
                </xdr:grpSp>
                <xdr:sp macro="" textlink="">
                  <xdr:nvSpPr>
                    <xdr:cNvPr id="34" name="Oval 33">
                      <a:extLst>
                        <a:ext uri="{FF2B5EF4-FFF2-40B4-BE49-F238E27FC236}">
                          <a16:creationId xmlns:a16="http://schemas.microsoft.com/office/drawing/2014/main" id="{DE0D5164-A50A-B04B-8BE8-C0A270292DCB}"/>
                        </a:ext>
                      </a:extLst>
                    </xdr:cNvPr>
                    <xdr:cNvSpPr/>
                  </xdr:nvSpPr>
                  <xdr:spPr>
                    <a:xfrm>
                      <a:off x="14606439" y="2253392"/>
                      <a:ext cx="97189" cy="87037"/>
                    </a:xfrm>
                    <a:prstGeom prst="ellipse">
                      <a:avLst/>
                    </a:prstGeom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latin typeface="Century" charset="0"/>
                        <a:ea typeface="Century" charset="0"/>
                        <a:cs typeface="Century" charset="0"/>
                      </a:endParaRPr>
                    </a:p>
                  </xdr:txBody>
                </xdr:sp>
              </xdr:grpSp>
              <xdr:sp macro="" textlink="">
                <xdr:nvSpPr>
                  <xdr:cNvPr id="348" name="Rectangle 347">
                    <a:extLst>
                      <a:ext uri="{FF2B5EF4-FFF2-40B4-BE49-F238E27FC236}">
                        <a16:creationId xmlns:a16="http://schemas.microsoft.com/office/drawing/2014/main" id="{63D65BBD-AA47-9941-B40F-2CE993FCC89D}"/>
                      </a:ext>
                    </a:extLst>
                  </xdr:cNvPr>
                  <xdr:cNvSpPr/>
                </xdr:nvSpPr>
                <xdr:spPr>
                  <a:xfrm>
                    <a:off x="13434567" y="2028494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accent5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10.43%</a:t>
                    </a:r>
                  </a:p>
                </xdr:txBody>
              </xdr:sp>
              <xdr:sp macro="" textlink="">
                <xdr:nvSpPr>
                  <xdr:cNvPr id="349" name="Rectangle 348">
                    <a:extLst>
                      <a:ext uri="{FF2B5EF4-FFF2-40B4-BE49-F238E27FC236}">
                        <a16:creationId xmlns:a16="http://schemas.microsoft.com/office/drawing/2014/main" id="{768D9281-B7E5-9941-AAC2-6E07B87FCF74}"/>
                      </a:ext>
                    </a:extLst>
                  </xdr:cNvPr>
                  <xdr:cNvSpPr/>
                </xdr:nvSpPr>
                <xdr:spPr>
                  <a:xfrm>
                    <a:off x="13977043" y="2026680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rgbClr val="FF0000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9.74%</a:t>
                    </a:r>
                  </a:p>
                </xdr:txBody>
              </xdr:sp>
            </xdr:grpSp>
            <xdr:grpSp>
              <xdr:nvGrpSpPr>
                <xdr:cNvPr id="365" name="Group 364">
                  <a:extLst>
                    <a:ext uri="{FF2B5EF4-FFF2-40B4-BE49-F238E27FC236}">
                      <a16:creationId xmlns:a16="http://schemas.microsoft.com/office/drawing/2014/main" id="{3FCE3A2F-1BB3-544B-AC8D-718FCD827EF8}"/>
                    </a:ext>
                  </a:extLst>
                </xdr:cNvPr>
                <xdr:cNvGrpSpPr/>
              </xdr:nvGrpSpPr>
              <xdr:grpSpPr>
                <a:xfrm>
                  <a:off x="13403989" y="2435440"/>
                  <a:ext cx="2545702" cy="695585"/>
                  <a:chOff x="13402175" y="2428183"/>
                  <a:chExt cx="2545702" cy="695585"/>
                </a:xfrm>
              </xdr:grpSpPr>
              <xdr:grpSp>
                <xdr:nvGrpSpPr>
                  <xdr:cNvPr id="306" name="Group 305">
                    <a:extLst>
                      <a:ext uri="{FF2B5EF4-FFF2-40B4-BE49-F238E27FC236}">
                        <a16:creationId xmlns:a16="http://schemas.microsoft.com/office/drawing/2014/main" id="{7EEEB3C3-5E0B-E747-B2F4-299BF6812244}"/>
                      </a:ext>
                    </a:extLst>
                  </xdr:cNvPr>
                  <xdr:cNvGrpSpPr/>
                </xdr:nvGrpSpPr>
                <xdr:grpSpPr>
                  <a:xfrm>
                    <a:off x="13402175" y="2428183"/>
                    <a:ext cx="2545702" cy="695585"/>
                    <a:chOff x="13402175" y="2664029"/>
                    <a:chExt cx="2545702" cy="695585"/>
                  </a:xfrm>
                </xdr:grpSpPr>
                <xdr:grpSp>
                  <xdr:nvGrpSpPr>
                    <xdr:cNvPr id="305" name="Group 304">
                      <a:extLst>
                        <a:ext uri="{FF2B5EF4-FFF2-40B4-BE49-F238E27FC236}">
                          <a16:creationId xmlns:a16="http://schemas.microsoft.com/office/drawing/2014/main" id="{9D40B119-1873-BC4E-857D-71A21E9A5BC2}"/>
                        </a:ext>
                      </a:extLst>
                    </xdr:cNvPr>
                    <xdr:cNvGrpSpPr/>
                  </xdr:nvGrpSpPr>
                  <xdr:grpSpPr>
                    <a:xfrm>
                      <a:off x="13402175" y="2664029"/>
                      <a:ext cx="2545702" cy="695585"/>
                      <a:chOff x="13402175" y="2664029"/>
                      <a:chExt cx="2545702" cy="695585"/>
                    </a:xfrm>
                  </xdr:grpSpPr>
                  <xdr:cxnSp macro="">
                    <xdr:nvCxnSpPr>
                      <xdr:cNvPr id="7" name="Straight Connector 6">
                        <a:extLst>
                          <a:ext uri="{FF2B5EF4-FFF2-40B4-BE49-F238E27FC236}">
                            <a16:creationId xmlns:a16="http://schemas.microsoft.com/office/drawing/2014/main" id="{77B2A97D-B2F0-E241-BF9C-E3C8A2F6655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3443857" y="3029857"/>
                        <a:ext cx="1224643" cy="0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" name="Straight Connector 7">
                        <a:extLst>
                          <a:ext uri="{FF2B5EF4-FFF2-40B4-BE49-F238E27FC236}">
                            <a16:creationId xmlns:a16="http://schemas.microsoft.com/office/drawing/2014/main" id="{4FBCEDF9-BD34-204E-A49C-B763FC8FBB9E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14656172" y="3029617"/>
                        <a:ext cx="266553" cy="188963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" name="Straight Connector 8">
                        <a:extLst>
                          <a:ext uri="{FF2B5EF4-FFF2-40B4-BE49-F238E27FC236}">
                            <a16:creationId xmlns:a16="http://schemas.microsoft.com/office/drawing/2014/main" id="{22BDE413-0033-DF44-B46A-4948A3CFE05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656170" y="2806895"/>
                        <a:ext cx="254098" cy="222721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40" name="Straight Connector 39">
                        <a:extLst>
                          <a:ext uri="{FF2B5EF4-FFF2-40B4-BE49-F238E27FC236}">
                            <a16:creationId xmlns:a16="http://schemas.microsoft.com/office/drawing/2014/main" id="{0351C100-13D5-A440-955D-4FC75799D003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16952" y="3222174"/>
                        <a:ext cx="956993" cy="6177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41" name="Straight Connector 40">
                        <a:extLst>
                          <a:ext uri="{FF2B5EF4-FFF2-40B4-BE49-F238E27FC236}">
                            <a16:creationId xmlns:a16="http://schemas.microsoft.com/office/drawing/2014/main" id="{7841DFA1-C4A5-A649-A85B-B9C937478F3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10818" y="2809592"/>
                        <a:ext cx="914126" cy="3088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42" name="Triangle 41">
                        <a:extLst>
                          <a:ext uri="{FF2B5EF4-FFF2-40B4-BE49-F238E27FC236}">
                            <a16:creationId xmlns:a16="http://schemas.microsoft.com/office/drawing/2014/main" id="{2A18F39B-EAB0-204A-97E8-2E2060F3F657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12124" y="2763201"/>
                        <a:ext cx="113366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43" name="Triangle 42">
                        <a:extLst>
                          <a:ext uri="{FF2B5EF4-FFF2-40B4-BE49-F238E27FC236}">
                            <a16:creationId xmlns:a16="http://schemas.microsoft.com/office/drawing/2014/main" id="{A8F79FEA-485E-3644-AA3F-BB45D8190D8D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07371" y="3175599"/>
                        <a:ext cx="113366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44" name="Rectangle 43">
                        <a:extLst>
                          <a:ext uri="{FF2B5EF4-FFF2-40B4-BE49-F238E27FC236}">
                            <a16:creationId xmlns:a16="http://schemas.microsoft.com/office/drawing/2014/main" id="{6F642464-F9C7-C74D-9639-EF5F6E2A0B6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21577" y="2664029"/>
                        <a:ext cx="921467" cy="144153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Succeed</a:t>
                        </a:r>
                      </a:p>
                    </xdr:txBody>
                  </xdr:sp>
                  <xdr:sp macro="" textlink="">
                    <xdr:nvSpPr>
                      <xdr:cNvPr id="45" name="Rectangle 44">
                        <a:extLst>
                          <a:ext uri="{FF2B5EF4-FFF2-40B4-BE49-F238E27FC236}">
                            <a16:creationId xmlns:a16="http://schemas.microsoft.com/office/drawing/2014/main" id="{7862E21A-1418-B34A-9C7B-18DF3D794B0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871094" y="3083990"/>
                        <a:ext cx="1033496" cy="127909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Fail</a:t>
                        </a:r>
                      </a:p>
                    </xdr:txBody>
                  </xdr:sp>
                  <xdr:sp macro="" textlink="">
                    <xdr:nvSpPr>
                      <xdr:cNvPr id="46" name="Rectangle 45">
                        <a:extLst>
                          <a:ext uri="{FF2B5EF4-FFF2-40B4-BE49-F238E27FC236}">
                            <a16:creationId xmlns:a16="http://schemas.microsoft.com/office/drawing/2014/main" id="{0DF08EE8-2658-8A44-ACF3-A8D9A937F2D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402175" y="2862776"/>
                        <a:ext cx="1300673" cy="15903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12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Injection</a:t>
                        </a:r>
                      </a:p>
                    </xdr:txBody>
                  </xdr:sp>
                  <xdr:sp macro="" textlink="">
                    <xdr:nvSpPr>
                      <xdr:cNvPr id="120" name="Rectangle 119">
                        <a:extLst>
                          <a:ext uri="{FF2B5EF4-FFF2-40B4-BE49-F238E27FC236}">
                            <a16:creationId xmlns:a16="http://schemas.microsoft.com/office/drawing/2014/main" id="{F24F7B43-ADCF-7640-ADB5-A82E285D4B5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64863" y="2821530"/>
                        <a:ext cx="921467" cy="144153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94.00%</a:t>
                        </a:r>
                      </a:p>
                    </xdr:txBody>
                  </xdr:sp>
                  <xdr:sp macro="" textlink="">
                    <xdr:nvSpPr>
                      <xdr:cNvPr id="121" name="Rectangle 120">
                        <a:extLst>
                          <a:ext uri="{FF2B5EF4-FFF2-40B4-BE49-F238E27FC236}">
                            <a16:creationId xmlns:a16="http://schemas.microsoft.com/office/drawing/2014/main" id="{DABBB30E-DC39-4E4D-ABE5-E4AEBCC29CA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14381" y="3231705"/>
                        <a:ext cx="1033496" cy="127909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6.00%</a:t>
                        </a:r>
                      </a:p>
                    </xdr:txBody>
                  </xdr:sp>
                </xdr:grpSp>
                <xdr:sp macro="" textlink="">
                  <xdr:nvSpPr>
                    <xdr:cNvPr id="35" name="Oval 34">
                      <a:extLst>
                        <a:ext uri="{FF2B5EF4-FFF2-40B4-BE49-F238E27FC236}">
                          <a16:creationId xmlns:a16="http://schemas.microsoft.com/office/drawing/2014/main" id="{65278B59-046E-1848-959E-E6504AC822B8}"/>
                        </a:ext>
                      </a:extLst>
                    </xdr:cNvPr>
                    <xdr:cNvSpPr/>
                  </xdr:nvSpPr>
                  <xdr:spPr>
                    <a:xfrm>
                      <a:off x="14625202" y="2985752"/>
                      <a:ext cx="97189" cy="87037"/>
                    </a:xfrm>
                    <a:prstGeom prst="ellipse">
                      <a:avLst/>
                    </a:prstGeom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800">
                        <a:latin typeface="Century" charset="0"/>
                        <a:ea typeface="Century" charset="0"/>
                        <a:cs typeface="Century" charset="0"/>
                      </a:endParaRPr>
                    </a:p>
                  </xdr:txBody>
                </xdr:sp>
              </xdr:grpSp>
              <xdr:sp macro="" textlink="">
                <xdr:nvSpPr>
                  <xdr:cNvPr id="350" name="Rectangle 349">
                    <a:extLst>
                      <a:ext uri="{FF2B5EF4-FFF2-40B4-BE49-F238E27FC236}">
                        <a16:creationId xmlns:a16="http://schemas.microsoft.com/office/drawing/2014/main" id="{47CF1577-20C1-3E4F-90A9-D4D90509BB09}"/>
                      </a:ext>
                    </a:extLst>
                  </xdr:cNvPr>
                  <xdr:cNvSpPr/>
                </xdr:nvSpPr>
                <xdr:spPr>
                  <a:xfrm>
                    <a:off x="13416644" y="2801922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accent5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17.97%</a:t>
                    </a:r>
                  </a:p>
                </xdr:txBody>
              </xdr:sp>
              <xdr:sp macro="" textlink="">
                <xdr:nvSpPr>
                  <xdr:cNvPr id="351" name="Rectangle 350">
                    <a:extLst>
                      <a:ext uri="{FF2B5EF4-FFF2-40B4-BE49-F238E27FC236}">
                        <a16:creationId xmlns:a16="http://schemas.microsoft.com/office/drawing/2014/main" id="{24ECFACD-AF41-D140-986A-B5230A407EE8}"/>
                      </a:ext>
                    </a:extLst>
                  </xdr:cNvPr>
                  <xdr:cNvSpPr/>
                </xdr:nvSpPr>
                <xdr:spPr>
                  <a:xfrm>
                    <a:off x="14004475" y="2800108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rgbClr val="FF0000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15.47%</a:t>
                    </a:r>
                  </a:p>
                </xdr:txBody>
              </xdr:sp>
            </xdr:grpSp>
            <xdr:grpSp>
              <xdr:nvGrpSpPr>
                <xdr:cNvPr id="366" name="Group 365">
                  <a:extLst>
                    <a:ext uri="{FF2B5EF4-FFF2-40B4-BE49-F238E27FC236}">
                      <a16:creationId xmlns:a16="http://schemas.microsoft.com/office/drawing/2014/main" id="{CBAE4937-B50F-7243-8A67-0FC07D6C5469}"/>
                    </a:ext>
                  </a:extLst>
                </xdr:cNvPr>
                <xdr:cNvGrpSpPr/>
              </xdr:nvGrpSpPr>
              <xdr:grpSpPr>
                <a:xfrm>
                  <a:off x="9583059" y="3206625"/>
                  <a:ext cx="6361716" cy="704207"/>
                  <a:chOff x="9581245" y="3199368"/>
                  <a:chExt cx="6361716" cy="700578"/>
                </a:xfrm>
              </xdr:grpSpPr>
              <xdr:grpSp>
                <xdr:nvGrpSpPr>
                  <xdr:cNvPr id="309" name="Group 308">
                    <a:extLst>
                      <a:ext uri="{FF2B5EF4-FFF2-40B4-BE49-F238E27FC236}">
                        <a16:creationId xmlns:a16="http://schemas.microsoft.com/office/drawing/2014/main" id="{536E0358-4607-AE47-8842-3F3EDE01A7B9}"/>
                      </a:ext>
                    </a:extLst>
                  </xdr:cNvPr>
                  <xdr:cNvGrpSpPr/>
                </xdr:nvGrpSpPr>
                <xdr:grpSpPr>
                  <a:xfrm>
                    <a:off x="9661071" y="3199368"/>
                    <a:ext cx="6281890" cy="700578"/>
                    <a:chOff x="9661071" y="3743648"/>
                    <a:chExt cx="6281890" cy="700578"/>
                  </a:xfrm>
                </xdr:grpSpPr>
                <xdr:grpSp>
                  <xdr:nvGrpSpPr>
                    <xdr:cNvPr id="308" name="Group 307">
                      <a:extLst>
                        <a:ext uri="{FF2B5EF4-FFF2-40B4-BE49-F238E27FC236}">
                          <a16:creationId xmlns:a16="http://schemas.microsoft.com/office/drawing/2014/main" id="{D76AAC0B-1502-9742-A05E-03505948174A}"/>
                        </a:ext>
                      </a:extLst>
                    </xdr:cNvPr>
                    <xdr:cNvGrpSpPr/>
                  </xdr:nvGrpSpPr>
                  <xdr:grpSpPr>
                    <a:xfrm>
                      <a:off x="9661071" y="3743648"/>
                      <a:ext cx="6281890" cy="700578"/>
                      <a:chOff x="9661071" y="3743648"/>
                      <a:chExt cx="6281890" cy="700578"/>
                    </a:xfrm>
                  </xdr:grpSpPr>
                  <xdr:sp macro="" textlink="">
                    <xdr:nvSpPr>
                      <xdr:cNvPr id="50" name="Rectangle 49">
                        <a:extLst>
                          <a:ext uri="{FF2B5EF4-FFF2-40B4-BE49-F238E27FC236}">
                            <a16:creationId xmlns:a16="http://schemas.microsoft.com/office/drawing/2014/main" id="{DC4E89D4-0373-AE48-BB3A-C790E1772653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26616" y="3743648"/>
                        <a:ext cx="921467" cy="144153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Succeed</a:t>
                        </a:r>
                      </a:p>
                    </xdr:txBody>
                  </xdr:sp>
                  <xdr:sp macro="" textlink="">
                    <xdr:nvSpPr>
                      <xdr:cNvPr id="51" name="Rectangle 50">
                        <a:extLst>
                          <a:ext uri="{FF2B5EF4-FFF2-40B4-BE49-F238E27FC236}">
                            <a16:creationId xmlns:a16="http://schemas.microsoft.com/office/drawing/2014/main" id="{5837BDCE-165C-1745-AD82-E1B76CF76F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876133" y="4163608"/>
                        <a:ext cx="1033496" cy="127909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Fail</a:t>
                        </a:r>
                      </a:p>
                    </xdr:txBody>
                  </xdr:sp>
                  <xdr:cxnSp macro="">
                    <xdr:nvCxnSpPr>
                      <xdr:cNvPr id="52" name="Straight Connector 51">
                        <a:extLst>
                          <a:ext uri="{FF2B5EF4-FFF2-40B4-BE49-F238E27FC236}">
                            <a16:creationId xmlns:a16="http://schemas.microsoft.com/office/drawing/2014/main" id="{49AA036C-4CD3-E941-921F-819DBDEBDF23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661206" y="3889214"/>
                        <a:ext cx="266554" cy="220024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3" name="Straight Connector 52">
                        <a:extLst>
                          <a:ext uri="{FF2B5EF4-FFF2-40B4-BE49-F238E27FC236}">
                            <a16:creationId xmlns:a16="http://schemas.microsoft.com/office/drawing/2014/main" id="{D675EDD2-2ABC-4148-A87D-12D34138F9ED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14661208" y="4109237"/>
                        <a:ext cx="266553" cy="188963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4" name="Straight Connector 53">
                        <a:extLst>
                          <a:ext uri="{FF2B5EF4-FFF2-40B4-BE49-F238E27FC236}">
                            <a16:creationId xmlns:a16="http://schemas.microsoft.com/office/drawing/2014/main" id="{61707DDE-63C5-214D-99CE-C20909F9966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22360" y="4295112"/>
                        <a:ext cx="956993" cy="6177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5" name="Straight Connector 54">
                        <a:extLst>
                          <a:ext uri="{FF2B5EF4-FFF2-40B4-BE49-F238E27FC236}">
                            <a16:creationId xmlns:a16="http://schemas.microsoft.com/office/drawing/2014/main" id="{3C0E923F-CC99-3348-83AF-AC3ED9C4E7D3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22909" y="3889214"/>
                        <a:ext cx="914126" cy="3088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56" name="Triangle 55">
                        <a:extLst>
                          <a:ext uri="{FF2B5EF4-FFF2-40B4-BE49-F238E27FC236}">
                            <a16:creationId xmlns:a16="http://schemas.microsoft.com/office/drawing/2014/main" id="{CC070A3E-08A0-AA47-A1C2-D508BF743969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08089" y="3843140"/>
                        <a:ext cx="113366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57" name="Triangle 56">
                        <a:extLst>
                          <a:ext uri="{FF2B5EF4-FFF2-40B4-BE49-F238E27FC236}">
                            <a16:creationId xmlns:a16="http://schemas.microsoft.com/office/drawing/2014/main" id="{7B32316B-F4C6-5F43-BD9B-2D4FCAAA1E61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03335" y="4248537"/>
                        <a:ext cx="113366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65" name="Rectangle 64">
                        <a:extLst>
                          <a:ext uri="{FF2B5EF4-FFF2-40B4-BE49-F238E27FC236}">
                            <a16:creationId xmlns:a16="http://schemas.microsoft.com/office/drawing/2014/main" id="{E294D7CD-052A-C245-A1CA-537BACAE5AC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404056" y="3923096"/>
                        <a:ext cx="1300673" cy="15903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12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Implant</a:t>
                        </a:r>
                      </a:p>
                    </xdr:txBody>
                  </xdr:sp>
                  <xdr:cxnSp macro="">
                    <xdr:nvCxnSpPr>
                      <xdr:cNvPr id="69" name="Straight Connector 68">
                        <a:extLst>
                          <a:ext uri="{FF2B5EF4-FFF2-40B4-BE49-F238E27FC236}">
                            <a16:creationId xmlns:a16="http://schemas.microsoft.com/office/drawing/2014/main" id="{4B04234D-6D9C-E847-809F-743D9206B7A1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9661071" y="4110952"/>
                        <a:ext cx="5005386" cy="7471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18" name="Rectangle 117">
                        <a:extLst>
                          <a:ext uri="{FF2B5EF4-FFF2-40B4-BE49-F238E27FC236}">
                            <a16:creationId xmlns:a16="http://schemas.microsoft.com/office/drawing/2014/main" id="{C1F3D2D5-732E-7948-895F-C71FE70143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59947" y="3906142"/>
                        <a:ext cx="921467" cy="144153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99.00%</a:t>
                        </a:r>
                      </a:p>
                    </xdr:txBody>
                  </xdr:sp>
                  <xdr:sp macro="" textlink="">
                    <xdr:nvSpPr>
                      <xdr:cNvPr id="119" name="Rectangle 118">
                        <a:extLst>
                          <a:ext uri="{FF2B5EF4-FFF2-40B4-BE49-F238E27FC236}">
                            <a16:creationId xmlns:a16="http://schemas.microsoft.com/office/drawing/2014/main" id="{70D9CE5D-4553-DA49-8FAF-094E5E2C0DA1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09465" y="4316317"/>
                        <a:ext cx="1033496" cy="127909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1.00%</a:t>
                        </a:r>
                      </a:p>
                    </xdr:txBody>
                  </xdr:sp>
                </xdr:grpSp>
                <xdr:sp macro="" textlink="">
                  <xdr:nvSpPr>
                    <xdr:cNvPr id="71" name="Oval 70">
                      <a:extLst>
                        <a:ext uri="{FF2B5EF4-FFF2-40B4-BE49-F238E27FC236}">
                          <a16:creationId xmlns:a16="http://schemas.microsoft.com/office/drawing/2014/main" id="{87E5067E-0CD5-8043-979F-57368C50862F}"/>
                        </a:ext>
                      </a:extLst>
                    </xdr:cNvPr>
                    <xdr:cNvSpPr/>
                  </xdr:nvSpPr>
                  <xdr:spPr>
                    <a:xfrm>
                      <a:off x="14623967" y="4066048"/>
                      <a:ext cx="97189" cy="87037"/>
                    </a:xfrm>
                    <a:prstGeom prst="ellipse">
                      <a:avLst/>
                    </a:prstGeom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800">
                        <a:latin typeface="Century" charset="0"/>
                        <a:ea typeface="Century" charset="0"/>
                        <a:cs typeface="Century" charset="0"/>
                      </a:endParaRPr>
                    </a:p>
                  </xdr:txBody>
                </xdr:sp>
              </xdr:grpSp>
              <xdr:sp macro="" textlink="">
                <xdr:nvSpPr>
                  <xdr:cNvPr id="24" name="Rectangle 23">
                    <a:extLst>
                      <a:ext uri="{FF2B5EF4-FFF2-40B4-BE49-F238E27FC236}">
                        <a16:creationId xmlns:a16="http://schemas.microsoft.com/office/drawing/2014/main" id="{6C273C3B-C86A-EA4E-8C57-2A8D844FA46D}"/>
                      </a:ext>
                    </a:extLst>
                  </xdr:cNvPr>
                  <xdr:cNvSpPr/>
                </xdr:nvSpPr>
                <xdr:spPr>
                  <a:xfrm>
                    <a:off x="9581245" y="3361479"/>
                    <a:ext cx="1412205" cy="37135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400">
                        <a:solidFill>
                          <a:schemeClr val="tx1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Pregnancy prevention</a:t>
                    </a:r>
                  </a:p>
                </xdr:txBody>
              </xdr:sp>
              <xdr:sp macro="" textlink="">
                <xdr:nvSpPr>
                  <xdr:cNvPr id="214" name="Rectangle 213">
                    <a:extLst>
                      <a:ext uri="{FF2B5EF4-FFF2-40B4-BE49-F238E27FC236}">
                        <a16:creationId xmlns:a16="http://schemas.microsoft.com/office/drawing/2014/main" id="{4CA84D4C-6280-EB40-99C3-B4FA4CF9E8EE}"/>
                      </a:ext>
                    </a:extLst>
                  </xdr:cNvPr>
                  <xdr:cNvSpPr/>
                </xdr:nvSpPr>
                <xdr:spPr>
                  <a:xfrm>
                    <a:off x="11308224" y="3567008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accent5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63.70%</a:t>
                    </a:r>
                  </a:p>
                </xdr:txBody>
              </xdr:sp>
              <xdr:sp macro="" textlink="">
                <xdr:nvSpPr>
                  <xdr:cNvPr id="215" name="Rectangle 214">
                    <a:extLst>
                      <a:ext uri="{FF2B5EF4-FFF2-40B4-BE49-F238E27FC236}">
                        <a16:creationId xmlns:a16="http://schemas.microsoft.com/office/drawing/2014/main" id="{FE18906D-40A2-9A42-BB09-000ADA188109}"/>
                      </a:ext>
                    </a:extLst>
                  </xdr:cNvPr>
                  <xdr:cNvSpPr/>
                </xdr:nvSpPr>
                <xdr:spPr>
                  <a:xfrm>
                    <a:off x="11968623" y="3565194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rgbClr val="FF0000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59.60%</a:t>
                    </a:r>
                  </a:p>
                </xdr:txBody>
              </xdr:sp>
              <xdr:sp macro="" textlink="">
                <xdr:nvSpPr>
                  <xdr:cNvPr id="275" name="Rectangle 274">
                    <a:extLst>
                      <a:ext uri="{FF2B5EF4-FFF2-40B4-BE49-F238E27FC236}">
                        <a16:creationId xmlns:a16="http://schemas.microsoft.com/office/drawing/2014/main" id="{F523E95C-656A-9442-99D7-EEB0970E695B}"/>
                      </a:ext>
                    </a:extLst>
                  </xdr:cNvPr>
                  <xdr:cNvSpPr/>
                </xdr:nvSpPr>
                <xdr:spPr>
                  <a:xfrm>
                    <a:off x="11092606" y="3376010"/>
                    <a:ext cx="1770682" cy="17091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tx1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Modern Contraception </a:t>
                    </a:r>
                  </a:p>
                </xdr:txBody>
              </xdr:sp>
              <xdr:sp macro="" textlink="">
                <xdr:nvSpPr>
                  <xdr:cNvPr id="352" name="Rectangle 351">
                    <a:extLst>
                      <a:ext uri="{FF2B5EF4-FFF2-40B4-BE49-F238E27FC236}">
                        <a16:creationId xmlns:a16="http://schemas.microsoft.com/office/drawing/2014/main" id="{ACC8C22A-62E0-A842-B9CF-4245ED6DA869}"/>
                      </a:ext>
                    </a:extLst>
                  </xdr:cNvPr>
                  <xdr:cNvSpPr/>
                </xdr:nvSpPr>
                <xdr:spPr>
                  <a:xfrm>
                    <a:off x="13434568" y="3570632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accent5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8.53%</a:t>
                    </a:r>
                  </a:p>
                </xdr:txBody>
              </xdr:sp>
              <xdr:sp macro="" textlink="">
                <xdr:nvSpPr>
                  <xdr:cNvPr id="353" name="Rectangle 352">
                    <a:extLst>
                      <a:ext uri="{FF2B5EF4-FFF2-40B4-BE49-F238E27FC236}">
                        <a16:creationId xmlns:a16="http://schemas.microsoft.com/office/drawing/2014/main" id="{E907624A-0F92-DA4B-9EB5-6E028244DE2B}"/>
                      </a:ext>
                    </a:extLst>
                  </xdr:cNvPr>
                  <xdr:cNvSpPr/>
                </xdr:nvSpPr>
                <xdr:spPr>
                  <a:xfrm>
                    <a:off x="13958902" y="3568818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rgbClr val="FF0000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8.09%</a:t>
                    </a:r>
                  </a:p>
                </xdr:txBody>
              </xdr:sp>
            </xdr:grpSp>
            <xdr:grpSp>
              <xdr:nvGrpSpPr>
                <xdr:cNvPr id="367" name="Group 366">
                  <a:extLst>
                    <a:ext uri="{FF2B5EF4-FFF2-40B4-BE49-F238E27FC236}">
                      <a16:creationId xmlns:a16="http://schemas.microsoft.com/office/drawing/2014/main" id="{F34BF764-13EA-9441-8845-BA37C4498CEC}"/>
                    </a:ext>
                  </a:extLst>
                </xdr:cNvPr>
                <xdr:cNvGrpSpPr/>
              </xdr:nvGrpSpPr>
              <xdr:grpSpPr>
                <a:xfrm>
                  <a:off x="13368826" y="3973864"/>
                  <a:ext cx="2580864" cy="695850"/>
                  <a:chOff x="13367012" y="3962978"/>
                  <a:chExt cx="2580864" cy="695850"/>
                </a:xfrm>
              </xdr:grpSpPr>
              <xdr:grpSp>
                <xdr:nvGrpSpPr>
                  <xdr:cNvPr id="312" name="Group 311">
                    <a:extLst>
                      <a:ext uri="{FF2B5EF4-FFF2-40B4-BE49-F238E27FC236}">
                        <a16:creationId xmlns:a16="http://schemas.microsoft.com/office/drawing/2014/main" id="{1FAB13FF-DDAF-EE48-A5C9-DF7749457D34}"/>
                      </a:ext>
                    </a:extLst>
                  </xdr:cNvPr>
                  <xdr:cNvGrpSpPr/>
                </xdr:nvGrpSpPr>
                <xdr:grpSpPr>
                  <a:xfrm>
                    <a:off x="13367012" y="3962978"/>
                    <a:ext cx="2580864" cy="695850"/>
                    <a:chOff x="13367012" y="4552609"/>
                    <a:chExt cx="2580864" cy="695850"/>
                  </a:xfrm>
                </xdr:grpSpPr>
                <xdr:grpSp>
                  <xdr:nvGrpSpPr>
                    <xdr:cNvPr id="311" name="Group 310">
                      <a:extLst>
                        <a:ext uri="{FF2B5EF4-FFF2-40B4-BE49-F238E27FC236}">
                          <a16:creationId xmlns:a16="http://schemas.microsoft.com/office/drawing/2014/main" id="{AEE7F3AA-B675-8A49-9F8E-DB86477A61B6}"/>
                        </a:ext>
                      </a:extLst>
                    </xdr:cNvPr>
                    <xdr:cNvGrpSpPr/>
                  </xdr:nvGrpSpPr>
                  <xdr:grpSpPr>
                    <a:xfrm>
                      <a:off x="13367012" y="4552609"/>
                      <a:ext cx="2580864" cy="695850"/>
                      <a:chOff x="13367012" y="4552609"/>
                      <a:chExt cx="2580864" cy="695850"/>
                    </a:xfrm>
                  </xdr:grpSpPr>
                  <xdr:cxnSp macro="">
                    <xdr:nvCxnSpPr>
                      <xdr:cNvPr id="5" name="Straight Connector 4">
                        <a:extLst>
                          <a:ext uri="{FF2B5EF4-FFF2-40B4-BE49-F238E27FC236}">
                            <a16:creationId xmlns:a16="http://schemas.microsoft.com/office/drawing/2014/main" id="{C1DC612E-7E58-334F-9D4A-88DDEF83136F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3443857" y="4916713"/>
                        <a:ext cx="1242745" cy="1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8" name="Straight Connector 57">
                        <a:extLst>
                          <a:ext uri="{FF2B5EF4-FFF2-40B4-BE49-F238E27FC236}">
                            <a16:creationId xmlns:a16="http://schemas.microsoft.com/office/drawing/2014/main" id="{5981F531-0D14-A94A-9F0B-BAF8A9D413EA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665526" y="4698171"/>
                        <a:ext cx="266554" cy="218513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9" name="Straight Connector 58">
                        <a:extLst>
                          <a:ext uri="{FF2B5EF4-FFF2-40B4-BE49-F238E27FC236}">
                            <a16:creationId xmlns:a16="http://schemas.microsoft.com/office/drawing/2014/main" id="{84DD0FA7-C84F-AC47-8EAD-9A2088C703D8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14665528" y="4916685"/>
                        <a:ext cx="266553" cy="187451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0" name="Straight Connector 59">
                        <a:extLst>
                          <a:ext uri="{FF2B5EF4-FFF2-40B4-BE49-F238E27FC236}">
                            <a16:creationId xmlns:a16="http://schemas.microsoft.com/office/drawing/2014/main" id="{C977A625-9490-6E42-AA6B-AFA06D1D2494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926308" y="5104571"/>
                        <a:ext cx="912479" cy="3160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" name="Straight Connector 60">
                        <a:extLst>
                          <a:ext uri="{FF2B5EF4-FFF2-40B4-BE49-F238E27FC236}">
                            <a16:creationId xmlns:a16="http://schemas.microsoft.com/office/drawing/2014/main" id="{D0FC972A-3AF1-EE45-93DB-CB901450C34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27230" y="4698170"/>
                        <a:ext cx="914126" cy="3088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62" name="Triangle 61">
                        <a:extLst>
                          <a:ext uri="{FF2B5EF4-FFF2-40B4-BE49-F238E27FC236}">
                            <a16:creationId xmlns:a16="http://schemas.microsoft.com/office/drawing/2014/main" id="{00BA1D23-D251-EC49-8EC9-CCEA2B2D096D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04094" y="4651344"/>
                        <a:ext cx="111855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63" name="Triangle 62">
                        <a:extLst>
                          <a:ext uri="{FF2B5EF4-FFF2-40B4-BE49-F238E27FC236}">
                            <a16:creationId xmlns:a16="http://schemas.microsoft.com/office/drawing/2014/main" id="{038D2901-2D07-9F49-BE3C-480B2E12F22D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08412" y="5053715"/>
                        <a:ext cx="111853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66" name="Rectangle 65">
                        <a:extLst>
                          <a:ext uri="{FF2B5EF4-FFF2-40B4-BE49-F238E27FC236}">
                            <a16:creationId xmlns:a16="http://schemas.microsoft.com/office/drawing/2014/main" id="{07B08DD4-450F-4645-A111-9F66A81C06F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367012" y="4707375"/>
                        <a:ext cx="1405767" cy="18152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12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IUD</a:t>
                        </a:r>
                      </a:p>
                    </xdr:txBody>
                  </xdr:sp>
                  <xdr:sp macro="" textlink="">
                    <xdr:nvSpPr>
                      <xdr:cNvPr id="73" name="Rectangle 72">
                        <a:extLst>
                          <a:ext uri="{FF2B5EF4-FFF2-40B4-BE49-F238E27FC236}">
                            <a16:creationId xmlns:a16="http://schemas.microsoft.com/office/drawing/2014/main" id="{B095A107-6A1C-9E40-9956-3EFB7F03A883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30933" y="4552609"/>
                        <a:ext cx="921467" cy="144153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Succeed</a:t>
                        </a:r>
                      </a:p>
                    </xdr:txBody>
                  </xdr:sp>
                  <xdr:sp macro="" textlink="">
                    <xdr:nvSpPr>
                      <xdr:cNvPr id="74" name="Rectangle 73">
                        <a:extLst>
                          <a:ext uri="{FF2B5EF4-FFF2-40B4-BE49-F238E27FC236}">
                            <a16:creationId xmlns:a16="http://schemas.microsoft.com/office/drawing/2014/main" id="{38403EBF-1052-B14C-AC47-416D1AED8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880451" y="4969548"/>
                        <a:ext cx="1033496" cy="127909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Fail</a:t>
                        </a:r>
                      </a:p>
                    </xdr:txBody>
                  </xdr:sp>
                  <xdr:sp macro="" textlink="">
                    <xdr:nvSpPr>
                      <xdr:cNvPr id="116" name="Rectangle 115">
                        <a:extLst>
                          <a:ext uri="{FF2B5EF4-FFF2-40B4-BE49-F238E27FC236}">
                            <a16:creationId xmlns:a16="http://schemas.microsoft.com/office/drawing/2014/main" id="{9FBEA3AF-0863-784C-8E57-FE964359AA54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64862" y="4705126"/>
                        <a:ext cx="921467" cy="142642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99.00%</a:t>
                        </a:r>
                      </a:p>
                    </xdr:txBody>
                  </xdr:sp>
                  <xdr:sp macro="" textlink="">
                    <xdr:nvSpPr>
                      <xdr:cNvPr id="117" name="Rectangle 116">
                        <a:extLst>
                          <a:ext uri="{FF2B5EF4-FFF2-40B4-BE49-F238E27FC236}">
                            <a16:creationId xmlns:a16="http://schemas.microsoft.com/office/drawing/2014/main" id="{4EF4C506-C230-084D-9E1F-1E308855D98C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14380" y="5122063"/>
                        <a:ext cx="1033496" cy="126396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1.00%</a:t>
                        </a:r>
                      </a:p>
                    </xdr:txBody>
                  </xdr:sp>
                </xdr:grpSp>
                <xdr:sp macro="" textlink="">
                  <xdr:nvSpPr>
                    <xdr:cNvPr id="72" name="Oval 71">
                      <a:extLst>
                        <a:ext uri="{FF2B5EF4-FFF2-40B4-BE49-F238E27FC236}">
                          <a16:creationId xmlns:a16="http://schemas.microsoft.com/office/drawing/2014/main" id="{5ECE01B4-E177-4643-B9A9-3755DCC25AD7}"/>
                        </a:ext>
                      </a:extLst>
                    </xdr:cNvPr>
                    <xdr:cNvSpPr/>
                  </xdr:nvSpPr>
                  <xdr:spPr>
                    <a:xfrm>
                      <a:off x="14633038" y="4871334"/>
                      <a:ext cx="97189" cy="85525"/>
                    </a:xfrm>
                    <a:prstGeom prst="ellipse">
                      <a:avLst/>
                    </a:prstGeom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800">
                        <a:latin typeface="Century" charset="0"/>
                        <a:ea typeface="Century" charset="0"/>
                        <a:cs typeface="Century" charset="0"/>
                      </a:endParaRPr>
                    </a:p>
                  </xdr:txBody>
                </xdr:sp>
              </xdr:grpSp>
              <xdr:sp macro="" textlink="">
                <xdr:nvSpPr>
                  <xdr:cNvPr id="356" name="Rectangle 355">
                    <a:extLst>
                      <a:ext uri="{FF2B5EF4-FFF2-40B4-BE49-F238E27FC236}">
                        <a16:creationId xmlns:a16="http://schemas.microsoft.com/office/drawing/2014/main" id="{CDD2FE2F-2AAF-4E46-885D-F51B290CF48E}"/>
                      </a:ext>
                    </a:extLst>
                  </xdr:cNvPr>
                  <xdr:cNvSpPr/>
                </xdr:nvSpPr>
                <xdr:spPr>
                  <a:xfrm>
                    <a:off x="13414831" y="4333175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accent5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14.24%</a:t>
                    </a:r>
                  </a:p>
                </xdr:txBody>
              </xdr:sp>
              <xdr:sp macro="" textlink="">
                <xdr:nvSpPr>
                  <xdr:cNvPr id="357" name="Rectangle 356">
                    <a:extLst>
                      <a:ext uri="{FF2B5EF4-FFF2-40B4-BE49-F238E27FC236}">
                        <a16:creationId xmlns:a16="http://schemas.microsoft.com/office/drawing/2014/main" id="{631A8881-DD86-A541-8DE7-BE4A06A4666F}"/>
                      </a:ext>
                    </a:extLst>
                  </xdr:cNvPr>
                  <xdr:cNvSpPr/>
                </xdr:nvSpPr>
                <xdr:spPr>
                  <a:xfrm>
                    <a:off x="14002662" y="4331361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rgbClr val="FF0000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13.77%</a:t>
                    </a:r>
                  </a:p>
                </xdr:txBody>
              </xdr:sp>
            </xdr:grpSp>
            <xdr:grpSp>
              <xdr:nvGrpSpPr>
                <xdr:cNvPr id="368" name="Group 367">
                  <a:extLst>
                    <a:ext uri="{FF2B5EF4-FFF2-40B4-BE49-F238E27FC236}">
                      <a16:creationId xmlns:a16="http://schemas.microsoft.com/office/drawing/2014/main" id="{86A36DEB-F682-424A-850C-0C5B2ECDC36A}"/>
                    </a:ext>
                  </a:extLst>
                </xdr:cNvPr>
                <xdr:cNvGrpSpPr/>
              </xdr:nvGrpSpPr>
              <xdr:grpSpPr>
                <a:xfrm>
                  <a:off x="13445450" y="4749926"/>
                  <a:ext cx="2511925" cy="693690"/>
                  <a:chOff x="13443636" y="4739040"/>
                  <a:chExt cx="2511925" cy="682805"/>
                </a:xfrm>
              </xdr:grpSpPr>
              <xdr:grpSp>
                <xdr:nvGrpSpPr>
                  <xdr:cNvPr id="315" name="Group 314">
                    <a:extLst>
                      <a:ext uri="{FF2B5EF4-FFF2-40B4-BE49-F238E27FC236}">
                        <a16:creationId xmlns:a16="http://schemas.microsoft.com/office/drawing/2014/main" id="{83A96DD5-261A-BE43-8D39-A22CF5628672}"/>
                      </a:ext>
                    </a:extLst>
                  </xdr:cNvPr>
                  <xdr:cNvGrpSpPr/>
                </xdr:nvGrpSpPr>
                <xdr:grpSpPr>
                  <a:xfrm>
                    <a:off x="13443857" y="4739040"/>
                    <a:ext cx="2511704" cy="682805"/>
                    <a:chOff x="13443857" y="5682463"/>
                    <a:chExt cx="2511704" cy="682805"/>
                  </a:xfrm>
                </xdr:grpSpPr>
                <xdr:grpSp>
                  <xdr:nvGrpSpPr>
                    <xdr:cNvPr id="314" name="Group 313">
                      <a:extLst>
                        <a:ext uri="{FF2B5EF4-FFF2-40B4-BE49-F238E27FC236}">
                          <a16:creationId xmlns:a16="http://schemas.microsoft.com/office/drawing/2014/main" id="{238BEDBB-127E-7142-BD6B-4CC87F9BBC99}"/>
                        </a:ext>
                      </a:extLst>
                    </xdr:cNvPr>
                    <xdr:cNvGrpSpPr/>
                  </xdr:nvGrpSpPr>
                  <xdr:grpSpPr>
                    <a:xfrm>
                      <a:off x="13443857" y="5682463"/>
                      <a:ext cx="2511704" cy="682805"/>
                      <a:chOff x="13443857" y="5682463"/>
                      <a:chExt cx="2511704" cy="682805"/>
                    </a:xfrm>
                  </xdr:grpSpPr>
                  <xdr:sp macro="" textlink="">
                    <xdr:nvSpPr>
                      <xdr:cNvPr id="156" name="Rectangle 155">
                        <a:extLst>
                          <a:ext uri="{FF2B5EF4-FFF2-40B4-BE49-F238E27FC236}">
                            <a16:creationId xmlns:a16="http://schemas.microsoft.com/office/drawing/2014/main" id="{2EB6191E-8DF1-8D40-BCAB-8239EC47B8C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462001" y="5834751"/>
                        <a:ext cx="1224639" cy="17053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12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Tubal</a:t>
                        </a:r>
                        <a:r>
                          <a:rPr lang="en-US" sz="1200" baseline="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 Ligation</a:t>
                        </a:r>
                        <a:endParaRPr lang="en-US" sz="1200">
                          <a:solidFill>
                            <a:schemeClr val="tx1"/>
                          </a:solidFill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140" name="Rectangle 139">
                        <a:extLst>
                          <a:ext uri="{FF2B5EF4-FFF2-40B4-BE49-F238E27FC236}">
                            <a16:creationId xmlns:a16="http://schemas.microsoft.com/office/drawing/2014/main" id="{F5EEEFFC-AFF7-4249-B44F-5AC971499DF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39216" y="5682463"/>
                        <a:ext cx="921467" cy="140496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Succeed</a:t>
                        </a:r>
                      </a:p>
                    </xdr:txBody>
                  </xdr:sp>
                  <xdr:sp macro="" textlink="">
                    <xdr:nvSpPr>
                      <xdr:cNvPr id="141" name="Rectangle 140">
                        <a:extLst>
                          <a:ext uri="{FF2B5EF4-FFF2-40B4-BE49-F238E27FC236}">
                            <a16:creationId xmlns:a16="http://schemas.microsoft.com/office/drawing/2014/main" id="{F2BC476B-FD91-9844-B384-AF1F6B762AA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888733" y="6091769"/>
                        <a:ext cx="1033496" cy="124664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Fail</a:t>
                        </a:r>
                      </a:p>
                    </xdr:txBody>
                  </xdr:sp>
                  <xdr:cxnSp macro="">
                    <xdr:nvCxnSpPr>
                      <xdr:cNvPr id="142" name="Straight Connector 141">
                        <a:extLst>
                          <a:ext uri="{FF2B5EF4-FFF2-40B4-BE49-F238E27FC236}">
                            <a16:creationId xmlns:a16="http://schemas.microsoft.com/office/drawing/2014/main" id="{AC6E70AF-A952-FC4D-B8E0-BC3E717DF6AF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673806" y="5824336"/>
                        <a:ext cx="266554" cy="214442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43" name="Straight Connector 142">
                        <a:extLst>
                          <a:ext uri="{FF2B5EF4-FFF2-40B4-BE49-F238E27FC236}">
                            <a16:creationId xmlns:a16="http://schemas.microsoft.com/office/drawing/2014/main" id="{43B945CD-C788-F54C-BDE0-AD976A815A3B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14673808" y="6038777"/>
                        <a:ext cx="266553" cy="184169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45" name="Straight Connector 144">
                        <a:extLst>
                          <a:ext uri="{FF2B5EF4-FFF2-40B4-BE49-F238E27FC236}">
                            <a16:creationId xmlns:a16="http://schemas.microsoft.com/office/drawing/2014/main" id="{162B374E-BA2C-5749-8FE8-B4D025AE9184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34960" y="6219937"/>
                        <a:ext cx="956993" cy="6020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46" name="Straight Connector 145">
                        <a:extLst>
                          <a:ext uri="{FF2B5EF4-FFF2-40B4-BE49-F238E27FC236}">
                            <a16:creationId xmlns:a16="http://schemas.microsoft.com/office/drawing/2014/main" id="{85A97872-6CF2-AE4D-A605-289C3D5962A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35509" y="5824336"/>
                        <a:ext cx="914126" cy="3010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47" name="Triangle 146">
                        <a:extLst>
                          <a:ext uri="{FF2B5EF4-FFF2-40B4-BE49-F238E27FC236}">
                            <a16:creationId xmlns:a16="http://schemas.microsoft.com/office/drawing/2014/main" id="{177DCAC3-E6D8-114A-8FD1-08EDCA3E00AF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13056" y="5778153"/>
                        <a:ext cx="110490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148" name="Triangle 147">
                        <a:extLst>
                          <a:ext uri="{FF2B5EF4-FFF2-40B4-BE49-F238E27FC236}">
                            <a16:creationId xmlns:a16="http://schemas.microsoft.com/office/drawing/2014/main" id="{4E4C8279-0925-2949-850A-53E0264B382B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08302" y="6173265"/>
                        <a:ext cx="110490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cxnSp macro="">
                    <xdr:nvCxnSpPr>
                      <xdr:cNvPr id="158" name="Straight Connector 157">
                        <a:extLst>
                          <a:ext uri="{FF2B5EF4-FFF2-40B4-BE49-F238E27FC236}">
                            <a16:creationId xmlns:a16="http://schemas.microsoft.com/office/drawing/2014/main" id="{300470EA-2E2D-D847-B3E3-1AC7E9AF9D09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3443857" y="6035408"/>
                        <a:ext cx="1234684" cy="6163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64" name="Rectangle 163">
                        <a:extLst>
                          <a:ext uri="{FF2B5EF4-FFF2-40B4-BE49-F238E27FC236}">
                            <a16:creationId xmlns:a16="http://schemas.microsoft.com/office/drawing/2014/main" id="{7B33C857-574A-F147-9A2C-64A8E1AF56B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72547" y="5840835"/>
                        <a:ext cx="921467" cy="140496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99.50%</a:t>
                        </a:r>
                      </a:p>
                    </xdr:txBody>
                  </xdr:sp>
                  <xdr:sp macro="" textlink="">
                    <xdr:nvSpPr>
                      <xdr:cNvPr id="165" name="Rectangle 164">
                        <a:extLst>
                          <a:ext uri="{FF2B5EF4-FFF2-40B4-BE49-F238E27FC236}">
                            <a16:creationId xmlns:a16="http://schemas.microsoft.com/office/drawing/2014/main" id="{1938CDE8-BEE2-D94A-9380-C57A0B51F57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22065" y="6240604"/>
                        <a:ext cx="1033496" cy="124664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0.50%</a:t>
                        </a:r>
                      </a:p>
                    </xdr:txBody>
                  </xdr:sp>
                </xdr:grpSp>
                <xdr:sp macro="" textlink="">
                  <xdr:nvSpPr>
                    <xdr:cNvPr id="173" name="Oval 172">
                      <a:extLst>
                        <a:ext uri="{FF2B5EF4-FFF2-40B4-BE49-F238E27FC236}">
                          <a16:creationId xmlns:a16="http://schemas.microsoft.com/office/drawing/2014/main" id="{B4743D93-45B8-C94C-859A-A0958ADD93C7}"/>
                        </a:ext>
                      </a:extLst>
                    </xdr:cNvPr>
                    <xdr:cNvSpPr/>
                  </xdr:nvSpPr>
                  <xdr:spPr>
                    <a:xfrm>
                      <a:off x="14638259" y="5985129"/>
                      <a:ext cx="97189" cy="90565"/>
                    </a:xfrm>
                    <a:prstGeom prst="ellipse">
                      <a:avLst/>
                    </a:prstGeom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800">
                        <a:latin typeface="Century" charset="0"/>
                        <a:ea typeface="Century" charset="0"/>
                        <a:cs typeface="Century" charset="0"/>
                      </a:endParaRPr>
                    </a:p>
                  </xdr:txBody>
                </xdr:sp>
              </xdr:grpSp>
              <xdr:sp macro="" textlink="">
                <xdr:nvSpPr>
                  <xdr:cNvPr id="358" name="Rectangle 357">
                    <a:extLst>
                      <a:ext uri="{FF2B5EF4-FFF2-40B4-BE49-F238E27FC236}">
                        <a16:creationId xmlns:a16="http://schemas.microsoft.com/office/drawing/2014/main" id="{7DE4BD09-62A2-DB40-9227-5E48917EA486}"/>
                      </a:ext>
                    </a:extLst>
                  </xdr:cNvPr>
                  <xdr:cNvSpPr/>
                </xdr:nvSpPr>
                <xdr:spPr>
                  <a:xfrm>
                    <a:off x="13443636" y="5103711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accent5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4.13%</a:t>
                    </a:r>
                  </a:p>
                </xdr:txBody>
              </xdr:sp>
              <xdr:sp macro="" textlink="">
                <xdr:nvSpPr>
                  <xdr:cNvPr id="359" name="Rectangle 358">
                    <a:extLst>
                      <a:ext uri="{FF2B5EF4-FFF2-40B4-BE49-F238E27FC236}">
                        <a16:creationId xmlns:a16="http://schemas.microsoft.com/office/drawing/2014/main" id="{E1C60AD9-CD6A-DB47-B5CD-4755BA52AB23}"/>
                      </a:ext>
                    </a:extLst>
                  </xdr:cNvPr>
                  <xdr:cNvSpPr/>
                </xdr:nvSpPr>
                <xdr:spPr>
                  <a:xfrm>
                    <a:off x="13967970" y="5101897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rgbClr val="FF0000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4.18%</a:t>
                    </a:r>
                  </a:p>
                </xdr:txBody>
              </xdr:sp>
            </xdr:grpSp>
            <xdr:grpSp>
              <xdr:nvGrpSpPr>
                <xdr:cNvPr id="369" name="Group 368">
                  <a:extLst>
                    <a:ext uri="{FF2B5EF4-FFF2-40B4-BE49-F238E27FC236}">
                      <a16:creationId xmlns:a16="http://schemas.microsoft.com/office/drawing/2014/main" id="{54E7D7EC-32C4-AA49-A9FD-606CF77FF51C}"/>
                    </a:ext>
                  </a:extLst>
                </xdr:cNvPr>
                <xdr:cNvGrpSpPr/>
              </xdr:nvGrpSpPr>
              <xdr:grpSpPr>
                <a:xfrm>
                  <a:off x="13443635" y="5542267"/>
                  <a:ext cx="2518655" cy="700570"/>
                  <a:chOff x="13441821" y="5520496"/>
                  <a:chExt cx="2518655" cy="686055"/>
                </a:xfrm>
              </xdr:grpSpPr>
              <xdr:grpSp>
                <xdr:nvGrpSpPr>
                  <xdr:cNvPr id="318" name="Group 317">
                    <a:extLst>
                      <a:ext uri="{FF2B5EF4-FFF2-40B4-BE49-F238E27FC236}">
                        <a16:creationId xmlns:a16="http://schemas.microsoft.com/office/drawing/2014/main" id="{1DB7946E-CC42-F842-8611-28D9F7871563}"/>
                      </a:ext>
                    </a:extLst>
                  </xdr:cNvPr>
                  <xdr:cNvGrpSpPr/>
                </xdr:nvGrpSpPr>
                <xdr:grpSpPr>
                  <a:xfrm>
                    <a:off x="13443857" y="5520496"/>
                    <a:ext cx="2516619" cy="686055"/>
                    <a:chOff x="13443857" y="6482064"/>
                    <a:chExt cx="2516619" cy="686055"/>
                  </a:xfrm>
                </xdr:grpSpPr>
                <xdr:grpSp>
                  <xdr:nvGrpSpPr>
                    <xdr:cNvPr id="317" name="Group 316">
                      <a:extLst>
                        <a:ext uri="{FF2B5EF4-FFF2-40B4-BE49-F238E27FC236}">
                          <a16:creationId xmlns:a16="http://schemas.microsoft.com/office/drawing/2014/main" id="{91BFAB53-3499-6043-A757-BFDF3A26E1AE}"/>
                        </a:ext>
                      </a:extLst>
                    </xdr:cNvPr>
                    <xdr:cNvGrpSpPr/>
                  </xdr:nvGrpSpPr>
                  <xdr:grpSpPr>
                    <a:xfrm>
                      <a:off x="13443857" y="6482064"/>
                      <a:ext cx="2516619" cy="686055"/>
                      <a:chOff x="13443857" y="6482064"/>
                      <a:chExt cx="2516619" cy="686055"/>
                    </a:xfrm>
                  </xdr:grpSpPr>
                  <xdr:sp macro="" textlink="">
                    <xdr:nvSpPr>
                      <xdr:cNvPr id="157" name="Rectangle 156">
                        <a:extLst>
                          <a:ext uri="{FF2B5EF4-FFF2-40B4-BE49-F238E27FC236}">
                            <a16:creationId xmlns:a16="http://schemas.microsoft.com/office/drawing/2014/main" id="{2CDE7646-7D89-414D-AE11-4325807F7DF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607145" y="6653278"/>
                        <a:ext cx="943417" cy="1593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12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Vasectomy</a:t>
                        </a:r>
                      </a:p>
                    </xdr:txBody>
                  </xdr:sp>
                  <xdr:sp macro="" textlink="">
                    <xdr:nvSpPr>
                      <xdr:cNvPr id="163" name="Rectangle 162">
                        <a:extLst>
                          <a:ext uri="{FF2B5EF4-FFF2-40B4-BE49-F238E27FC236}">
                            <a16:creationId xmlns:a16="http://schemas.microsoft.com/office/drawing/2014/main" id="{A52BB668-D85A-6142-8C33-3AE4D61795C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26980" y="7040017"/>
                        <a:ext cx="1033496" cy="128102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0.05%</a:t>
                        </a:r>
                      </a:p>
                    </xdr:txBody>
                  </xdr:sp>
                  <xdr:cxnSp macro="">
                    <xdr:nvCxnSpPr>
                      <xdr:cNvPr id="149" name="Straight Connector 148">
                        <a:extLst>
                          <a:ext uri="{FF2B5EF4-FFF2-40B4-BE49-F238E27FC236}">
                            <a16:creationId xmlns:a16="http://schemas.microsoft.com/office/drawing/2014/main" id="{91B67932-FE11-DA45-9B41-526A5E7C096A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678126" y="6623933"/>
                        <a:ext cx="266554" cy="217881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50" name="Straight Connector 149">
                        <a:extLst>
                          <a:ext uri="{FF2B5EF4-FFF2-40B4-BE49-F238E27FC236}">
                            <a16:creationId xmlns:a16="http://schemas.microsoft.com/office/drawing/2014/main" id="{CC1A8892-B6E2-5444-9791-391F2DC7EDE1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14678128" y="6841815"/>
                        <a:ext cx="266553" cy="187608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51" name="Straight Connector 150">
                        <a:extLst>
                          <a:ext uri="{FF2B5EF4-FFF2-40B4-BE49-F238E27FC236}">
                            <a16:creationId xmlns:a16="http://schemas.microsoft.com/office/drawing/2014/main" id="{F1B5BCC4-4130-F546-95E8-F387FC2C313B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4938908" y="7022969"/>
                        <a:ext cx="912479" cy="3080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52" name="Straight Connector 151">
                        <a:extLst>
                          <a:ext uri="{FF2B5EF4-FFF2-40B4-BE49-F238E27FC236}">
                            <a16:creationId xmlns:a16="http://schemas.microsoft.com/office/drawing/2014/main" id="{DFC3DAF6-19F8-3A48-8E4B-F8EB5B9A542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4939830" y="6623932"/>
                        <a:ext cx="914126" cy="3010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53" name="Triangle 152">
                        <a:extLst>
                          <a:ext uri="{FF2B5EF4-FFF2-40B4-BE49-F238E27FC236}">
                            <a16:creationId xmlns:a16="http://schemas.microsoft.com/office/drawing/2014/main" id="{545270F3-7E74-2641-B119-2D96963D1D33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06587" y="6579471"/>
                        <a:ext cx="113928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154" name="Triangle 153">
                        <a:extLst>
                          <a:ext uri="{FF2B5EF4-FFF2-40B4-BE49-F238E27FC236}">
                            <a16:creationId xmlns:a16="http://schemas.microsoft.com/office/drawing/2014/main" id="{5A33C2C0-1DE4-7B4F-A63C-B40CF17DF7B6}"/>
                          </a:ext>
                        </a:extLst>
                      </xdr:cNvPr>
                      <xdr:cNvSpPr/>
                    </xdr:nvSpPr>
                    <xdr:spPr>
                      <a:xfrm rot="16200000">
                        <a:off x="15810904" y="6974581"/>
                        <a:ext cx="113928" cy="100757"/>
                      </a:xfrm>
                      <a:prstGeom prst="triangle">
                        <a:avLst/>
                      </a:prstGeom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US" sz="800">
                          <a:latin typeface="Century" charset="0"/>
                          <a:ea typeface="Century" charset="0"/>
                          <a:cs typeface="Century" charset="0"/>
                        </a:endParaRPr>
                      </a:p>
                    </xdr:txBody>
                  </xdr:sp>
                  <xdr:sp macro="" textlink="">
                    <xdr:nvSpPr>
                      <xdr:cNvPr id="159" name="Rectangle 158">
                        <a:extLst>
                          <a:ext uri="{FF2B5EF4-FFF2-40B4-BE49-F238E27FC236}">
                            <a16:creationId xmlns:a16="http://schemas.microsoft.com/office/drawing/2014/main" id="{7375153D-AB91-D241-B088-9E66227E7309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43533" y="6482064"/>
                        <a:ext cx="921467" cy="140496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Succeed</a:t>
                        </a:r>
                      </a:p>
                    </xdr:txBody>
                  </xdr:sp>
                  <xdr:sp macro="" textlink="">
                    <xdr:nvSpPr>
                      <xdr:cNvPr id="160" name="Rectangle 159">
                        <a:extLst>
                          <a:ext uri="{FF2B5EF4-FFF2-40B4-BE49-F238E27FC236}">
                            <a16:creationId xmlns:a16="http://schemas.microsoft.com/office/drawing/2014/main" id="{FE4B342C-5490-EA41-8C98-499013D73FE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893051" y="6891372"/>
                        <a:ext cx="1033496" cy="124664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tx1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Fail</a:t>
                        </a:r>
                      </a:p>
                    </xdr:txBody>
                  </xdr:sp>
                  <xdr:sp macro="" textlink="">
                    <xdr:nvSpPr>
                      <xdr:cNvPr id="162" name="Rectangle 161">
                        <a:extLst>
                          <a:ext uri="{FF2B5EF4-FFF2-40B4-BE49-F238E27FC236}">
                            <a16:creationId xmlns:a16="http://schemas.microsoft.com/office/drawing/2014/main" id="{7DB6C2B5-EA6D-0C43-A153-DBA32534C43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77462" y="6630712"/>
                        <a:ext cx="921467" cy="143934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ctr"/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800">
                            <a:solidFill>
                              <a:schemeClr val="accent2"/>
                            </a:solidFill>
                            <a:latin typeface="Century" charset="0"/>
                            <a:ea typeface="Century" charset="0"/>
                            <a:cs typeface="Century" charset="0"/>
                          </a:rPr>
                          <a:t>99.95%</a:t>
                        </a:r>
                      </a:p>
                    </xdr:txBody>
                  </xdr:sp>
                  <xdr:cxnSp macro="">
                    <xdr:nvCxnSpPr>
                      <xdr:cNvPr id="171" name="Straight Connector 170">
                        <a:extLst>
                          <a:ext uri="{FF2B5EF4-FFF2-40B4-BE49-F238E27FC236}">
                            <a16:creationId xmlns:a16="http://schemas.microsoft.com/office/drawing/2014/main" id="{333A385D-C833-3144-8A80-E6F09410F5A7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3443857" y="6842295"/>
                        <a:ext cx="1236699" cy="6634"/>
                      </a:xfrm>
                      <a:prstGeom prst="line">
                        <a:avLst/>
                      </a:prstGeom>
                      <a:ln w="12700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172" name="Oval 171">
                      <a:extLst>
                        <a:ext uri="{FF2B5EF4-FFF2-40B4-BE49-F238E27FC236}">
                          <a16:creationId xmlns:a16="http://schemas.microsoft.com/office/drawing/2014/main" id="{3261D261-113F-5646-A6EA-EDF9FBC314A7}"/>
                        </a:ext>
                      </a:extLst>
                    </xdr:cNvPr>
                    <xdr:cNvSpPr/>
                  </xdr:nvSpPr>
                  <xdr:spPr>
                    <a:xfrm>
                      <a:off x="14638578" y="6792484"/>
                      <a:ext cx="97189" cy="90565"/>
                    </a:xfrm>
                    <a:prstGeom prst="ellipse">
                      <a:avLst/>
                    </a:prstGeom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800">
                        <a:latin typeface="Century" charset="0"/>
                        <a:ea typeface="Century" charset="0"/>
                        <a:cs typeface="Century" charset="0"/>
                      </a:endParaRPr>
                    </a:p>
                  </xdr:txBody>
                </xdr:sp>
              </xdr:grpSp>
              <xdr:sp macro="" textlink="">
                <xdr:nvSpPr>
                  <xdr:cNvPr id="360" name="Rectangle 359">
                    <a:extLst>
                      <a:ext uri="{FF2B5EF4-FFF2-40B4-BE49-F238E27FC236}">
                        <a16:creationId xmlns:a16="http://schemas.microsoft.com/office/drawing/2014/main" id="{42BB6268-2057-A74D-AD9D-C9F5820AFDC8}"/>
                      </a:ext>
                    </a:extLst>
                  </xdr:cNvPr>
                  <xdr:cNvSpPr/>
                </xdr:nvSpPr>
                <xdr:spPr>
                  <a:xfrm>
                    <a:off x="13441821" y="5891111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chemeClr val="accent5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0.29%</a:t>
                    </a:r>
                  </a:p>
                </xdr:txBody>
              </xdr:sp>
              <xdr:sp macro="" textlink="">
                <xdr:nvSpPr>
                  <xdr:cNvPr id="361" name="Rectangle 360">
                    <a:extLst>
                      <a:ext uri="{FF2B5EF4-FFF2-40B4-BE49-F238E27FC236}">
                        <a16:creationId xmlns:a16="http://schemas.microsoft.com/office/drawing/2014/main" id="{1FFD609A-07D9-664E-87D4-A02DE7E9F158}"/>
                      </a:ext>
                    </a:extLst>
                  </xdr:cNvPr>
                  <xdr:cNvSpPr/>
                </xdr:nvSpPr>
                <xdr:spPr>
                  <a:xfrm>
                    <a:off x="13966155" y="5889297"/>
                    <a:ext cx="691464" cy="186752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200">
                        <a:solidFill>
                          <a:srgbClr val="FF0000"/>
                        </a:solidFill>
                        <a:latin typeface="Century" charset="0"/>
                        <a:ea typeface="Century" charset="0"/>
                        <a:cs typeface="Century" charset="0"/>
                      </a:rPr>
                      <a:t>0.32%</a:t>
                    </a:r>
                  </a:p>
                </xdr:txBody>
              </xdr:sp>
            </xdr:grpSp>
          </xdr:grpSp>
          <xdr:sp macro="" textlink="">
            <xdr:nvSpPr>
              <xdr:cNvPr id="33" name="Rectangle 32">
                <a:extLst>
                  <a:ext uri="{FF2B5EF4-FFF2-40B4-BE49-F238E27FC236}">
                    <a16:creationId xmlns:a16="http://schemas.microsoft.com/office/drawing/2014/main" id="{D80D7BB0-8929-B541-836E-32DCA8D327E1}"/>
                  </a:ext>
                </a:extLst>
              </xdr:cNvPr>
              <xdr:cNvSpPr/>
            </xdr:nvSpPr>
            <xdr:spPr>
              <a:xfrm>
                <a:off x="10884756" y="3524840"/>
                <a:ext cx="126990" cy="107978"/>
              </a:xfrm>
              <a:prstGeom prst="rect">
                <a:avLst/>
              </a:prstGeom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>
                  <a:latin typeface="Century" charset="0"/>
                  <a:ea typeface="Century" charset="0"/>
                  <a:cs typeface="Century" charset="0"/>
                </a:endParaRPr>
              </a:p>
            </xdr:txBody>
          </xdr:sp>
          <xdr:sp macro="" textlink="">
            <xdr:nvSpPr>
              <xdr:cNvPr id="105" name="Oval 104">
                <a:extLst>
                  <a:ext uri="{FF2B5EF4-FFF2-40B4-BE49-F238E27FC236}">
                    <a16:creationId xmlns:a16="http://schemas.microsoft.com/office/drawing/2014/main" id="{EED96A86-AB0C-C447-BF6D-C155A69BCC5D}"/>
                  </a:ext>
                </a:extLst>
              </xdr:cNvPr>
              <xdr:cNvSpPr/>
            </xdr:nvSpPr>
            <xdr:spPr>
              <a:xfrm>
                <a:off x="12930585" y="3527520"/>
                <a:ext cx="97189" cy="87037"/>
              </a:xfrm>
              <a:prstGeom prst="ellipse">
                <a:avLst/>
              </a:prstGeom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>
                  <a:latin typeface="Century" charset="0"/>
                  <a:ea typeface="Century" charset="0"/>
                  <a:cs typeface="Century" charset="0"/>
                </a:endParaRPr>
              </a:p>
            </xdr:txBody>
          </xdr:sp>
        </xdr:grpSp>
        <xdr:grpSp>
          <xdr:nvGrpSpPr>
            <xdr:cNvPr id="376" name="Group 375">
              <a:extLst>
                <a:ext uri="{FF2B5EF4-FFF2-40B4-BE49-F238E27FC236}">
                  <a16:creationId xmlns:a16="http://schemas.microsoft.com/office/drawing/2014/main" id="{4E45235C-3D69-5C41-BACD-3710C34C9DFC}"/>
                </a:ext>
              </a:extLst>
            </xdr:cNvPr>
            <xdr:cNvGrpSpPr/>
          </xdr:nvGrpSpPr>
          <xdr:grpSpPr>
            <a:xfrm>
              <a:off x="9839039" y="5772727"/>
              <a:ext cx="1489362" cy="669643"/>
              <a:chOff x="9885220" y="5611088"/>
              <a:chExt cx="1489362" cy="669643"/>
            </a:xfrm>
          </xdr:grpSpPr>
          <xdr:sp macro="" textlink="">
            <xdr:nvSpPr>
              <xdr:cNvPr id="373" name="Rectangle 372">
                <a:extLst>
                  <a:ext uri="{FF2B5EF4-FFF2-40B4-BE49-F238E27FC236}">
                    <a16:creationId xmlns:a16="http://schemas.microsoft.com/office/drawing/2014/main" id="{C7F3AA84-AE50-C942-9D5A-473DF0F871AE}"/>
                  </a:ext>
                </a:extLst>
              </xdr:cNvPr>
              <xdr:cNvSpPr/>
            </xdr:nvSpPr>
            <xdr:spPr>
              <a:xfrm>
                <a:off x="9894455" y="5611088"/>
                <a:ext cx="1477817" cy="196274"/>
              </a:xfrm>
              <a:prstGeom prst="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800">
                    <a:solidFill>
                      <a:schemeClr val="tx1"/>
                    </a:solidFill>
                    <a:latin typeface="Century" panose="02040604050505020304" pitchFamily="18" charset="0"/>
                  </a:rPr>
                  <a:t>prevalence</a:t>
                </a:r>
                <a:r>
                  <a:rPr lang="en-US" sz="800" baseline="0">
                    <a:solidFill>
                      <a:schemeClr val="tx1"/>
                    </a:solidFill>
                    <a:latin typeface="Century" panose="02040604050505020304" pitchFamily="18" charset="0"/>
                  </a:rPr>
                  <a:t> rate (before)</a:t>
                </a:r>
                <a:endParaRPr lang="en-US" sz="800">
                  <a:solidFill>
                    <a:schemeClr val="tx1"/>
                  </a:solidFill>
                  <a:latin typeface="Century" panose="02040604050505020304" pitchFamily="18" charset="0"/>
                </a:endParaRPr>
              </a:p>
            </xdr:txBody>
          </xdr:sp>
          <xdr:sp macro="" textlink="">
            <xdr:nvSpPr>
              <xdr:cNvPr id="374" name="Rectangle 373">
                <a:extLst>
                  <a:ext uri="{FF2B5EF4-FFF2-40B4-BE49-F238E27FC236}">
                    <a16:creationId xmlns:a16="http://schemas.microsoft.com/office/drawing/2014/main" id="{8EBC98D0-9EF9-094F-8E1B-B2684EFEDA9A}"/>
                  </a:ext>
                </a:extLst>
              </xdr:cNvPr>
              <xdr:cNvSpPr/>
            </xdr:nvSpPr>
            <xdr:spPr>
              <a:xfrm>
                <a:off x="9894456" y="5844308"/>
                <a:ext cx="1480126" cy="193966"/>
              </a:xfrm>
              <a:prstGeom prst="rect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800">
                    <a:solidFill>
                      <a:schemeClr val="tx1"/>
                    </a:solidFill>
                    <a:latin typeface="Century" panose="02040604050505020304" pitchFamily="18" charset="0"/>
                  </a:rPr>
                  <a:t>prevalence</a:t>
                </a:r>
                <a:r>
                  <a:rPr lang="en-US" sz="800" baseline="0">
                    <a:solidFill>
                      <a:schemeClr val="tx1"/>
                    </a:solidFill>
                    <a:latin typeface="Century" panose="02040604050505020304" pitchFamily="18" charset="0"/>
                  </a:rPr>
                  <a:t> rate (pandemic)</a:t>
                </a:r>
                <a:endParaRPr lang="en-US" sz="800">
                  <a:solidFill>
                    <a:schemeClr val="tx1"/>
                  </a:solidFill>
                  <a:latin typeface="Century" panose="02040604050505020304" pitchFamily="18" charset="0"/>
                </a:endParaRPr>
              </a:p>
            </xdr:txBody>
          </xdr:sp>
          <xdr:sp macro="" textlink="">
            <xdr:nvSpPr>
              <xdr:cNvPr id="375" name="Rectangle 374">
                <a:extLst>
                  <a:ext uri="{FF2B5EF4-FFF2-40B4-BE49-F238E27FC236}">
                    <a16:creationId xmlns:a16="http://schemas.microsoft.com/office/drawing/2014/main" id="{8C5AEB10-F28B-2142-85ED-808B0A692965}"/>
                  </a:ext>
                </a:extLst>
              </xdr:cNvPr>
              <xdr:cNvSpPr/>
            </xdr:nvSpPr>
            <xdr:spPr>
              <a:xfrm>
                <a:off x="9885220" y="6077529"/>
                <a:ext cx="1480126" cy="203202"/>
              </a:xfrm>
              <a:prstGeom prst="rect">
                <a:avLst/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800">
                    <a:solidFill>
                      <a:schemeClr val="tx1"/>
                    </a:solidFill>
                    <a:latin typeface="Century" panose="02040604050505020304" pitchFamily="18" charset="0"/>
                  </a:rPr>
                  <a:t>success or failure rate</a:t>
                </a:r>
              </a:p>
            </xdr:txBody>
          </xdr:sp>
        </xdr:grpSp>
      </xdr:grpSp>
      <xdr:sp macro="" textlink="">
        <xdr:nvSpPr>
          <xdr:cNvPr id="381" name="Rectangle 380">
            <a:extLst>
              <a:ext uri="{FF2B5EF4-FFF2-40B4-BE49-F238E27FC236}">
                <a16:creationId xmlns:a16="http://schemas.microsoft.com/office/drawing/2014/main" id="{27E5ACAA-1C6A-584D-A2F3-F4F0BD7DB921}"/>
              </a:ext>
            </a:extLst>
          </xdr:cNvPr>
          <xdr:cNvSpPr/>
        </xdr:nvSpPr>
        <xdr:spPr>
          <a:xfrm>
            <a:off x="13411200" y="905933"/>
            <a:ext cx="2633134" cy="2277534"/>
          </a:xfrm>
          <a:prstGeom prst="rect">
            <a:avLst/>
          </a:prstGeom>
          <a:noFill/>
          <a:ln w="9525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2" name="Rectangle 381">
            <a:extLst>
              <a:ext uri="{FF2B5EF4-FFF2-40B4-BE49-F238E27FC236}">
                <a16:creationId xmlns:a16="http://schemas.microsoft.com/office/drawing/2014/main" id="{56FB87E2-A23C-E546-82E3-0C79A98746A4}"/>
              </a:ext>
            </a:extLst>
          </xdr:cNvPr>
          <xdr:cNvSpPr/>
        </xdr:nvSpPr>
        <xdr:spPr>
          <a:xfrm>
            <a:off x="13411200" y="3251199"/>
            <a:ext cx="2633134" cy="1498601"/>
          </a:xfrm>
          <a:prstGeom prst="rect">
            <a:avLst/>
          </a:prstGeom>
          <a:noFill/>
          <a:ln w="9525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3" name="Rectangle 382">
            <a:extLst>
              <a:ext uri="{FF2B5EF4-FFF2-40B4-BE49-F238E27FC236}">
                <a16:creationId xmlns:a16="http://schemas.microsoft.com/office/drawing/2014/main" id="{B37F0ED7-B361-F547-8721-AACF0F064556}"/>
              </a:ext>
            </a:extLst>
          </xdr:cNvPr>
          <xdr:cNvSpPr/>
        </xdr:nvSpPr>
        <xdr:spPr>
          <a:xfrm>
            <a:off x="13411200" y="4825999"/>
            <a:ext cx="2633134" cy="1498601"/>
          </a:xfrm>
          <a:prstGeom prst="rect">
            <a:avLst/>
          </a:prstGeom>
          <a:noFill/>
          <a:ln w="9525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4" name="Rectangle 383">
            <a:extLst>
              <a:ext uri="{FF2B5EF4-FFF2-40B4-BE49-F238E27FC236}">
                <a16:creationId xmlns:a16="http://schemas.microsoft.com/office/drawing/2014/main" id="{E12819EC-E516-BD46-AAB0-A785AAE759B2}"/>
              </a:ext>
            </a:extLst>
          </xdr:cNvPr>
          <xdr:cNvSpPr/>
        </xdr:nvSpPr>
        <xdr:spPr>
          <a:xfrm>
            <a:off x="11590866" y="1862665"/>
            <a:ext cx="1286935" cy="364069"/>
          </a:xfrm>
          <a:prstGeom prst="rect">
            <a:avLst/>
          </a:prstGeom>
          <a:noFill/>
          <a:ln w="9525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D" sz="800">
                <a:solidFill>
                  <a:schemeClr val="tx1"/>
                </a:solidFill>
                <a:effectLst/>
                <a:latin typeface="Century" panose="02040604050505020304" pitchFamily="18" charset="0"/>
                <a:ea typeface="+mn-ea"/>
                <a:cs typeface="+mn-cs"/>
              </a:rPr>
              <a:t>Short-acting reversible contraception (SARC) </a:t>
            </a:r>
            <a:endParaRPr lang="en-US" sz="800">
              <a:solidFill>
                <a:schemeClr val="tx1"/>
              </a:solidFill>
              <a:latin typeface="Century" panose="02040604050505020304" pitchFamily="18" charset="0"/>
            </a:endParaRPr>
          </a:p>
        </xdr:txBody>
      </xdr:sp>
      <xdr:cxnSp macro="">
        <xdr:nvCxnSpPr>
          <xdr:cNvPr id="386" name="Straight Connector 385">
            <a:extLst>
              <a:ext uri="{FF2B5EF4-FFF2-40B4-BE49-F238E27FC236}">
                <a16:creationId xmlns:a16="http://schemas.microsoft.com/office/drawing/2014/main" id="{A4C62EA7-CC03-C843-8E99-54A1AD936D1F}"/>
              </a:ext>
            </a:extLst>
          </xdr:cNvPr>
          <xdr:cNvCxnSpPr>
            <a:stCxn id="384" idx="3"/>
            <a:endCxn id="381" idx="1"/>
          </xdr:cNvCxnSpPr>
        </xdr:nvCxnSpPr>
        <xdr:spPr>
          <a:xfrm>
            <a:off x="12877801" y="2044700"/>
            <a:ext cx="533399" cy="0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7" name="Rectangle 386">
            <a:extLst>
              <a:ext uri="{FF2B5EF4-FFF2-40B4-BE49-F238E27FC236}">
                <a16:creationId xmlns:a16="http://schemas.microsoft.com/office/drawing/2014/main" id="{83925597-ABD8-F944-BDC5-25079CAD12D7}"/>
              </a:ext>
            </a:extLst>
          </xdr:cNvPr>
          <xdr:cNvSpPr/>
        </xdr:nvSpPr>
        <xdr:spPr>
          <a:xfrm>
            <a:off x="11540066" y="3826923"/>
            <a:ext cx="1295401" cy="355612"/>
          </a:xfrm>
          <a:prstGeom prst="rect">
            <a:avLst/>
          </a:prstGeom>
          <a:noFill/>
          <a:ln w="9525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D" sz="800">
                <a:solidFill>
                  <a:schemeClr val="tx1"/>
                </a:solidFill>
                <a:effectLst/>
                <a:latin typeface="Century" panose="02040604050505020304" pitchFamily="18" charset="0"/>
                <a:ea typeface="+mn-ea"/>
                <a:cs typeface="+mn-cs"/>
              </a:rPr>
              <a:t>Long-acting reversible contraception (LARC) </a:t>
            </a:r>
            <a:endParaRPr lang="en-US" sz="800">
              <a:solidFill>
                <a:schemeClr val="tx1"/>
              </a:solidFill>
              <a:latin typeface="Century" panose="02040604050505020304" pitchFamily="18" charset="0"/>
            </a:endParaRPr>
          </a:p>
        </xdr:txBody>
      </xdr:sp>
      <xdr:cxnSp macro="">
        <xdr:nvCxnSpPr>
          <xdr:cNvPr id="388" name="Straight Connector 387">
            <a:extLst>
              <a:ext uri="{FF2B5EF4-FFF2-40B4-BE49-F238E27FC236}">
                <a16:creationId xmlns:a16="http://schemas.microsoft.com/office/drawing/2014/main" id="{B5D87519-4989-124D-BA0B-64A6BCC956B7}"/>
              </a:ext>
            </a:extLst>
          </xdr:cNvPr>
          <xdr:cNvCxnSpPr>
            <a:stCxn id="387" idx="3"/>
            <a:endCxn id="382" idx="1"/>
          </xdr:cNvCxnSpPr>
        </xdr:nvCxnSpPr>
        <xdr:spPr>
          <a:xfrm flipV="1">
            <a:off x="12835467" y="4000500"/>
            <a:ext cx="575733" cy="4229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9" name="Rectangle 398">
            <a:extLst>
              <a:ext uri="{FF2B5EF4-FFF2-40B4-BE49-F238E27FC236}">
                <a16:creationId xmlns:a16="http://schemas.microsoft.com/office/drawing/2014/main" id="{75D052BF-9549-5F41-81B8-CDFC3238C86B}"/>
              </a:ext>
            </a:extLst>
          </xdr:cNvPr>
          <xdr:cNvSpPr/>
        </xdr:nvSpPr>
        <xdr:spPr>
          <a:xfrm>
            <a:off x="11540066" y="5393261"/>
            <a:ext cx="1295401" cy="355612"/>
          </a:xfrm>
          <a:prstGeom prst="rect">
            <a:avLst/>
          </a:prstGeom>
          <a:noFill/>
          <a:ln w="9525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D" sz="800">
                <a:solidFill>
                  <a:schemeClr val="tx1"/>
                </a:solidFill>
                <a:effectLst/>
                <a:latin typeface="Century" panose="02040604050505020304" pitchFamily="18" charset="0"/>
                <a:ea typeface="+mn-ea"/>
                <a:cs typeface="+mn-cs"/>
              </a:rPr>
              <a:t>Permanent contraception </a:t>
            </a:r>
            <a:endParaRPr lang="en-US" sz="800">
              <a:solidFill>
                <a:schemeClr val="tx1"/>
              </a:solidFill>
              <a:latin typeface="Century" panose="02040604050505020304" pitchFamily="18" charset="0"/>
            </a:endParaRPr>
          </a:p>
        </xdr:txBody>
      </xdr:sp>
      <xdr:cxnSp macro="">
        <xdr:nvCxnSpPr>
          <xdr:cNvPr id="400" name="Straight Connector 399">
            <a:extLst>
              <a:ext uri="{FF2B5EF4-FFF2-40B4-BE49-F238E27FC236}">
                <a16:creationId xmlns:a16="http://schemas.microsoft.com/office/drawing/2014/main" id="{2620F24F-7B72-E442-8A05-92B3E4F17ABD}"/>
              </a:ext>
            </a:extLst>
          </xdr:cNvPr>
          <xdr:cNvCxnSpPr>
            <a:stCxn id="399" idx="3"/>
            <a:endCxn id="383" idx="1"/>
          </xdr:cNvCxnSpPr>
        </xdr:nvCxnSpPr>
        <xdr:spPr>
          <a:xfrm>
            <a:off x="12835467" y="5571067"/>
            <a:ext cx="575733" cy="4233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55</xdr:row>
      <xdr:rowOff>12700</xdr:rowOff>
    </xdr:from>
    <xdr:to>
      <xdr:col>16</xdr:col>
      <xdr:colOff>12700</xdr:colOff>
      <xdr:row>77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AC331E-7E69-8945-8543-1D9084AD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78</xdr:row>
      <xdr:rowOff>0</xdr:rowOff>
    </xdr:from>
    <xdr:to>
      <xdr:col>16</xdr:col>
      <xdr:colOff>19050</xdr:colOff>
      <xdr:row>100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B26187-6B9C-214C-AEC0-B504D3DC0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nhs.uk/conditions/contraception/how-effective-contraception/" TargetMode="External"/><Relationship Id="rId1" Type="http://schemas.openxmlformats.org/officeDocument/2006/relationships/hyperlink" Target="https://www.rhknowledge.ui.ac.id/upload/dokumen-pelatihan/161470624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2:B34"/>
  <sheetViews>
    <sheetView zoomScale="110" zoomScaleNormal="110" workbookViewId="0">
      <selection activeCell="C23" sqref="C23"/>
    </sheetView>
  </sheetViews>
  <sheetFormatPr baseColWidth="10" defaultRowHeight="15"/>
  <cols>
    <col min="1" max="16384" width="10.83203125" style="4"/>
  </cols>
  <sheetData>
    <row r="32" spans="2:2">
      <c r="B32" s="92"/>
    </row>
    <row r="33" spans="2:2">
      <c r="B33" s="92"/>
    </row>
    <row r="34" spans="2:2">
      <c r="B34" s="92"/>
    </row>
  </sheetData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9"/>
  <sheetViews>
    <sheetView tabSelected="1" topLeftCell="K1" zoomScale="95" zoomScaleNormal="55" zoomScalePageLayoutView="55" workbookViewId="0">
      <selection activeCell="P29" sqref="P29"/>
    </sheetView>
  </sheetViews>
  <sheetFormatPr baseColWidth="10" defaultColWidth="15.6640625" defaultRowHeight="16"/>
  <cols>
    <col min="1" max="1" width="3.6640625" style="5" hidden="1" customWidth="1"/>
    <col min="2" max="2" width="0" style="5" hidden="1" customWidth="1"/>
    <col min="3" max="3" width="8.83203125" style="5" hidden="1" customWidth="1"/>
    <col min="4" max="7" width="0" style="5" hidden="1" customWidth="1"/>
    <col min="8" max="8" width="7.33203125" style="5" hidden="1" customWidth="1"/>
    <col min="9" max="9" width="8.33203125" style="5" hidden="1" customWidth="1"/>
    <col min="10" max="10" width="0" style="5" hidden="1" customWidth="1"/>
    <col min="11" max="11" width="10.33203125" style="5" bestFit="1" customWidth="1"/>
    <col min="12" max="16384" width="15.6640625" style="5"/>
  </cols>
  <sheetData>
    <row r="2" spans="1:15">
      <c r="A2" s="112" t="s">
        <v>11</v>
      </c>
      <c r="B2" s="112"/>
      <c r="C2" s="112"/>
      <c r="D2" s="2" t="s">
        <v>12</v>
      </c>
      <c r="E2" s="100" t="s">
        <v>0</v>
      </c>
      <c r="F2" s="101"/>
      <c r="G2" s="102"/>
      <c r="K2" s="1" t="s">
        <v>10</v>
      </c>
      <c r="L2" s="1" t="s">
        <v>27</v>
      </c>
      <c r="M2" s="1" t="s">
        <v>31</v>
      </c>
      <c r="N2" s="1" t="s">
        <v>29</v>
      </c>
    </row>
    <row r="3" spans="1:15">
      <c r="A3" s="103" t="s">
        <v>15</v>
      </c>
      <c r="B3" s="103"/>
      <c r="C3" s="103"/>
      <c r="D3" s="16">
        <v>32890770</v>
      </c>
      <c r="E3" s="18">
        <f>D3/(SUM(D5:D7)+SUM(D9:D11)+D3)</f>
        <v>0.20787101706272046</v>
      </c>
      <c r="F3" s="18"/>
      <c r="G3" s="18"/>
      <c r="K3" s="14" t="s">
        <v>24</v>
      </c>
      <c r="L3" s="35">
        <f>61000/144</f>
        <v>423.61111111111109</v>
      </c>
      <c r="M3" s="14">
        <v>89</v>
      </c>
      <c r="N3" s="35">
        <f>L3*M3</f>
        <v>37701.388888888883</v>
      </c>
      <c r="O3" s="38">
        <v>2.6706374505127779</v>
      </c>
    </row>
    <row r="4" spans="1:15">
      <c r="A4" s="113" t="s">
        <v>17</v>
      </c>
      <c r="B4" s="114"/>
      <c r="C4" s="115"/>
      <c r="D4" s="19">
        <f>SUM(D5:D7)</f>
        <v>98871676</v>
      </c>
      <c r="E4" s="106">
        <f>1-E3</f>
        <v>0.79212898293727951</v>
      </c>
      <c r="F4" s="99">
        <f>(D4/(D4+D8))*100%</f>
        <v>0.78885265651821646</v>
      </c>
      <c r="G4" s="20"/>
      <c r="K4" s="14" t="s">
        <v>25</v>
      </c>
      <c r="L4" s="35">
        <f t="shared" ref="L4:L5" si="0">61000/144</f>
        <v>423.61111111111109</v>
      </c>
      <c r="M4" s="14">
        <v>112</v>
      </c>
      <c r="N4" s="35">
        <f t="shared" ref="N4:N5" si="1">L4*M4</f>
        <v>47444.444444444438</v>
      </c>
      <c r="O4" s="38">
        <v>3.3608021849149563</v>
      </c>
    </row>
    <row r="5" spans="1:15">
      <c r="A5" s="8"/>
      <c r="B5" s="10" t="s">
        <v>10</v>
      </c>
      <c r="C5" s="21"/>
      <c r="D5" s="16">
        <v>3701611</v>
      </c>
      <c r="E5" s="107"/>
      <c r="F5" s="99"/>
      <c r="G5" s="20">
        <f>(D5/D4)*100%</f>
        <v>3.7438538009611569E-2</v>
      </c>
      <c r="K5" s="14" t="s">
        <v>26</v>
      </c>
      <c r="L5" s="35">
        <f t="shared" si="0"/>
        <v>423.61111111111109</v>
      </c>
      <c r="M5" s="14">
        <v>144</v>
      </c>
      <c r="N5" s="35">
        <f t="shared" si="1"/>
        <v>61000</v>
      </c>
      <c r="O5" s="38">
        <v>4.3210313806049445</v>
      </c>
    </row>
    <row r="6" spans="1:15">
      <c r="A6" s="8"/>
      <c r="B6" s="9" t="s">
        <v>8</v>
      </c>
      <c r="C6" s="21"/>
      <c r="D6" s="16">
        <v>29099001</v>
      </c>
      <c r="E6" s="107"/>
      <c r="F6" s="99"/>
      <c r="G6" s="20">
        <f>(D6/D4)*100%</f>
        <v>0.29431078926992194</v>
      </c>
      <c r="O6" s="38"/>
    </row>
    <row r="7" spans="1:15">
      <c r="A7" s="8"/>
      <c r="B7" s="9" t="s">
        <v>7</v>
      </c>
      <c r="C7" s="21"/>
      <c r="D7" s="16">
        <v>66071064</v>
      </c>
      <c r="E7" s="107"/>
      <c r="F7" s="99"/>
      <c r="G7" s="20">
        <f>(D7/D4)*100%</f>
        <v>0.66825067272046645</v>
      </c>
      <c r="K7" s="1" t="s">
        <v>8</v>
      </c>
      <c r="L7" s="1" t="s">
        <v>27</v>
      </c>
      <c r="M7" s="1" t="s">
        <v>28</v>
      </c>
      <c r="N7" s="1" t="s">
        <v>29</v>
      </c>
      <c r="O7" s="38"/>
    </row>
    <row r="8" spans="1:15">
      <c r="A8" s="113" t="s">
        <v>18</v>
      </c>
      <c r="B8" s="114"/>
      <c r="C8" s="115"/>
      <c r="D8" s="19">
        <f>SUM(D9:D10)</f>
        <v>26464374</v>
      </c>
      <c r="E8" s="107"/>
      <c r="F8" s="109">
        <f>(D8/(D4+D8))*100%</f>
        <v>0.21114734348178357</v>
      </c>
      <c r="G8" s="18"/>
      <c r="K8" s="14" t="s">
        <v>24</v>
      </c>
      <c r="L8" s="35">
        <v>2175</v>
      </c>
      <c r="M8" s="14">
        <v>21</v>
      </c>
      <c r="N8" s="35">
        <f>L8*365/M8</f>
        <v>37803.571428571428</v>
      </c>
      <c r="O8" s="38">
        <v>2.6778757121606169</v>
      </c>
    </row>
    <row r="9" spans="1:15">
      <c r="A9" s="8"/>
      <c r="B9" s="9" t="s">
        <v>6</v>
      </c>
      <c r="C9" s="21"/>
      <c r="D9" s="16">
        <v>13186891</v>
      </c>
      <c r="E9" s="107"/>
      <c r="F9" s="110"/>
      <c r="G9" s="20">
        <f>(D9/D8)*100%</f>
        <v>0.49828841596631002</v>
      </c>
      <c r="K9" s="14" t="s">
        <v>25</v>
      </c>
      <c r="L9" s="35">
        <v>3135</v>
      </c>
      <c r="M9" s="14">
        <v>28</v>
      </c>
      <c r="N9" s="35">
        <f t="shared" ref="N9:N10" si="2">L9*365/M9</f>
        <v>40866.964285714283</v>
      </c>
      <c r="O9" s="38">
        <v>2.8948759853874253</v>
      </c>
    </row>
    <row r="10" spans="1:15">
      <c r="A10" s="8"/>
      <c r="B10" s="104" t="s">
        <v>2</v>
      </c>
      <c r="C10" s="105"/>
      <c r="D10" s="16">
        <v>13277483</v>
      </c>
      <c r="E10" s="108"/>
      <c r="F10" s="111"/>
      <c r="G10" s="20">
        <f>(D10/D8)*100%</f>
        <v>0.50171158403368998</v>
      </c>
      <c r="K10" s="14" t="s">
        <v>26</v>
      </c>
      <c r="L10" s="35">
        <v>3575</v>
      </c>
      <c r="M10" s="14">
        <v>21</v>
      </c>
      <c r="N10" s="35">
        <f t="shared" si="2"/>
        <v>62136.904761904763</v>
      </c>
      <c r="O10" s="38">
        <v>4.4015658257352666</v>
      </c>
    </row>
    <row r="11" spans="1:15">
      <c r="A11" s="39"/>
      <c r="B11" s="7"/>
      <c r="D11" s="15"/>
      <c r="E11" s="40"/>
      <c r="F11" s="41"/>
      <c r="G11" s="42"/>
      <c r="H11" s="6"/>
      <c r="O11" s="38"/>
    </row>
    <row r="12" spans="1:15">
      <c r="A12" s="7"/>
      <c r="B12" s="7"/>
      <c r="D12" s="15"/>
      <c r="E12" s="40"/>
      <c r="F12" s="41"/>
      <c r="G12" s="42"/>
      <c r="K12" s="1" t="s">
        <v>7</v>
      </c>
      <c r="L12" s="1" t="s">
        <v>27</v>
      </c>
      <c r="M12" s="1" t="s">
        <v>30</v>
      </c>
      <c r="N12" s="1" t="s">
        <v>29</v>
      </c>
      <c r="O12" s="38"/>
    </row>
    <row r="13" spans="1:15">
      <c r="A13" s="7"/>
      <c r="K13" s="14" t="s">
        <v>24</v>
      </c>
      <c r="L13" s="35">
        <v>10000</v>
      </c>
      <c r="M13" s="14">
        <v>4</v>
      </c>
      <c r="N13" s="35">
        <f>L13*M13</f>
        <v>40000</v>
      </c>
      <c r="O13" s="38">
        <v>2.8334632003966846</v>
      </c>
    </row>
    <row r="14" spans="1:15">
      <c r="A14" s="112" t="s">
        <v>11</v>
      </c>
      <c r="B14" s="112"/>
      <c r="C14" s="112"/>
      <c r="D14" s="2" t="s">
        <v>13</v>
      </c>
      <c r="E14" s="2" t="s">
        <v>21</v>
      </c>
      <c r="F14" s="120" t="s">
        <v>23</v>
      </c>
      <c r="G14" s="121"/>
      <c r="H14" s="14" t="s">
        <v>4</v>
      </c>
      <c r="I14" s="14" t="s">
        <v>3</v>
      </c>
      <c r="K14" s="14" t="s">
        <v>25</v>
      </c>
      <c r="L14" s="35">
        <v>15000</v>
      </c>
      <c r="M14" s="14">
        <v>4</v>
      </c>
      <c r="N14" s="35">
        <f t="shared" ref="N14:N15" si="3">L14*M14</f>
        <v>60000</v>
      </c>
      <c r="O14" s="38">
        <v>4.2501948005950272</v>
      </c>
    </row>
    <row r="15" spans="1:15">
      <c r="A15" s="103" t="s">
        <v>15</v>
      </c>
      <c r="B15" s="103"/>
      <c r="C15" s="103"/>
      <c r="D15" s="22">
        <v>0</v>
      </c>
      <c r="E15" s="23">
        <f>D15/$C$50</f>
        <v>0</v>
      </c>
      <c r="F15" s="116">
        <f>E15*1000</f>
        <v>0</v>
      </c>
      <c r="G15" s="117"/>
      <c r="H15" s="17"/>
      <c r="I15" s="17"/>
      <c r="K15" s="14" t="s">
        <v>26</v>
      </c>
      <c r="L15" s="35">
        <v>20000</v>
      </c>
      <c r="M15" s="14">
        <v>4</v>
      </c>
      <c r="N15" s="35">
        <f t="shared" si="3"/>
        <v>80000</v>
      </c>
      <c r="O15" s="38">
        <v>5.6669264007933693</v>
      </c>
    </row>
    <row r="16" spans="1:15">
      <c r="A16" s="103" t="s">
        <v>17</v>
      </c>
      <c r="B16" s="103"/>
      <c r="C16" s="103"/>
      <c r="D16" s="24"/>
      <c r="E16" s="23"/>
      <c r="F16" s="116">
        <f>SUM(F17:F19)</f>
        <v>10505.87297089741</v>
      </c>
      <c r="G16" s="117"/>
      <c r="H16" s="17"/>
      <c r="I16" s="17"/>
      <c r="O16" s="38"/>
    </row>
    <row r="17" spans="1:15">
      <c r="A17" s="14"/>
      <c r="B17" s="11" t="s">
        <v>10</v>
      </c>
      <c r="C17" s="13">
        <v>1</v>
      </c>
      <c r="D17" s="24">
        <f>N4</f>
        <v>47444.444444444438</v>
      </c>
      <c r="E17" s="23">
        <f t="shared" ref="E17:E19" si="4">D17/$C$50</f>
        <v>3.3608021849149563</v>
      </c>
      <c r="F17" s="116">
        <f>E17*1000</f>
        <v>3360.8021849149563</v>
      </c>
      <c r="G17" s="117"/>
      <c r="H17" s="17">
        <f>N3/C50</f>
        <v>2.6706374505127779</v>
      </c>
      <c r="I17" s="17">
        <f>N5/C50</f>
        <v>4.3210313806049445</v>
      </c>
      <c r="K17" s="1" t="s">
        <v>6</v>
      </c>
      <c r="L17" s="1" t="s">
        <v>27</v>
      </c>
      <c r="M17" s="1" t="s">
        <v>32</v>
      </c>
      <c r="N17" s="1" t="s">
        <v>29</v>
      </c>
      <c r="O17" s="38"/>
    </row>
    <row r="18" spans="1:15">
      <c r="A18" s="14"/>
      <c r="B18" s="11" t="s">
        <v>8</v>
      </c>
      <c r="C18" s="36">
        <f>365/M9</f>
        <v>13.035714285714286</v>
      </c>
      <c r="D18" s="24">
        <f>N9</f>
        <v>40866.964285714283</v>
      </c>
      <c r="E18" s="23">
        <f t="shared" si="4"/>
        <v>2.8948759853874253</v>
      </c>
      <c r="F18" s="116">
        <f t="shared" ref="F18:F22" si="5">E18*1000</f>
        <v>2894.8759853874253</v>
      </c>
      <c r="G18" s="117"/>
      <c r="H18" s="17">
        <f>N8/C50</f>
        <v>2.6778757121606169</v>
      </c>
      <c r="I18" s="17">
        <f>N10/C50</f>
        <v>4.4015658257352666</v>
      </c>
      <c r="K18" s="14" t="s">
        <v>24</v>
      </c>
      <c r="L18" s="35">
        <v>100000</v>
      </c>
      <c r="M18" s="14">
        <v>6</v>
      </c>
      <c r="N18" s="35">
        <f>L18/M18</f>
        <v>16666.666666666668</v>
      </c>
      <c r="O18" s="38">
        <v>1.1806096668319521</v>
      </c>
    </row>
    <row r="19" spans="1:15">
      <c r="A19" s="14"/>
      <c r="B19" s="11" t="s">
        <v>7</v>
      </c>
      <c r="C19" s="13">
        <v>4</v>
      </c>
      <c r="D19" s="24">
        <f>N14</f>
        <v>60000</v>
      </c>
      <c r="E19" s="23">
        <f t="shared" si="4"/>
        <v>4.2501948005950272</v>
      </c>
      <c r="F19" s="116">
        <f t="shared" si="5"/>
        <v>4250.1948005950271</v>
      </c>
      <c r="G19" s="117"/>
      <c r="H19" s="17">
        <f>N13/C50</f>
        <v>2.8334632003966846</v>
      </c>
      <c r="I19" s="17">
        <f>N15/C50</f>
        <v>5.6669264007933693</v>
      </c>
      <c r="J19" s="5">
        <f>15000/C50</f>
        <v>1.0625487001487568</v>
      </c>
      <c r="K19" s="14" t="s">
        <v>25</v>
      </c>
      <c r="L19" s="35">
        <v>100000</v>
      </c>
      <c r="M19" s="14">
        <v>5</v>
      </c>
      <c r="N19" s="35">
        <f>L19/M19</f>
        <v>20000</v>
      </c>
      <c r="O19" s="38">
        <v>1.4167316001983423</v>
      </c>
    </row>
    <row r="20" spans="1:15">
      <c r="A20" s="128" t="s">
        <v>18</v>
      </c>
      <c r="B20" s="128"/>
      <c r="C20" s="128"/>
      <c r="D20" s="24"/>
      <c r="E20" s="23"/>
      <c r="F20" s="116">
        <f>SUM(F21:F24)</f>
        <v>2125.0974002975136</v>
      </c>
      <c r="G20" s="117"/>
      <c r="H20" s="17"/>
      <c r="I20" s="17"/>
      <c r="K20" s="14" t="s">
        <v>26</v>
      </c>
      <c r="L20" s="35">
        <v>100000</v>
      </c>
      <c r="M20" s="14">
        <v>3</v>
      </c>
      <c r="N20" s="35">
        <f>L20/M20</f>
        <v>33333.333333333336</v>
      </c>
      <c r="O20" s="38">
        <v>2.3612193336639042</v>
      </c>
    </row>
    <row r="21" spans="1:15">
      <c r="A21" s="14"/>
      <c r="B21" s="11" t="s">
        <v>6</v>
      </c>
      <c r="C21" s="13">
        <v>5</v>
      </c>
      <c r="D21" s="24">
        <v>100000</v>
      </c>
      <c r="E21" s="23">
        <f>D21/$C$50/C21</f>
        <v>1.4167316001983425</v>
      </c>
      <c r="F21" s="116">
        <f t="shared" si="5"/>
        <v>1416.7316001983424</v>
      </c>
      <c r="G21" s="117"/>
      <c r="H21" s="17">
        <f>N18/C50</f>
        <v>1.1806096668319521</v>
      </c>
      <c r="I21" s="17">
        <f>N20/C50</f>
        <v>2.3612193336639042</v>
      </c>
      <c r="O21" s="38"/>
    </row>
    <row r="22" spans="1:15">
      <c r="A22" s="14"/>
      <c r="B22" s="11" t="s">
        <v>2</v>
      </c>
      <c r="C22" s="13">
        <v>10</v>
      </c>
      <c r="D22" s="24">
        <v>100000</v>
      </c>
      <c r="E22" s="23">
        <f>D22/$C$50/C22</f>
        <v>0.70836580009917127</v>
      </c>
      <c r="F22" s="134">
        <f t="shared" si="5"/>
        <v>708.36580009917122</v>
      </c>
      <c r="G22" s="134"/>
      <c r="H22" s="17">
        <f>N23/C50</f>
        <v>0.59030483341597606</v>
      </c>
      <c r="I22" s="17">
        <f>N25/C50</f>
        <v>0.88545725012396403</v>
      </c>
      <c r="J22" s="5">
        <f>D22/C50</f>
        <v>7.0836580009917123</v>
      </c>
      <c r="K22" s="1" t="s">
        <v>2</v>
      </c>
      <c r="L22" s="1" t="s">
        <v>27</v>
      </c>
      <c r="M22" s="1" t="s">
        <v>32</v>
      </c>
      <c r="N22" s="1" t="s">
        <v>29</v>
      </c>
      <c r="O22" s="38"/>
    </row>
    <row r="23" spans="1:15">
      <c r="B23" s="43"/>
      <c r="C23" s="44"/>
      <c r="D23" s="45"/>
      <c r="E23" s="46"/>
      <c r="F23" s="135"/>
      <c r="G23" s="135"/>
      <c r="H23" s="47"/>
      <c r="I23" s="47"/>
      <c r="K23" s="14" t="s">
        <v>24</v>
      </c>
      <c r="L23" s="35">
        <v>100000</v>
      </c>
      <c r="M23" s="14">
        <v>12</v>
      </c>
      <c r="N23" s="35">
        <f>L23/M23</f>
        <v>8333.3333333333339</v>
      </c>
      <c r="O23" s="38">
        <v>0.59030483341597606</v>
      </c>
    </row>
    <row r="24" spans="1:15">
      <c r="B24" s="43"/>
      <c r="C24" s="44"/>
      <c r="D24" s="45"/>
      <c r="E24" s="46"/>
      <c r="F24" s="135"/>
      <c r="G24" s="135"/>
      <c r="H24" s="47"/>
      <c r="I24" s="47"/>
      <c r="K24" s="14" t="s">
        <v>25</v>
      </c>
      <c r="L24" s="35">
        <v>100000</v>
      </c>
      <c r="M24" s="14">
        <v>10</v>
      </c>
      <c r="N24" s="35">
        <f>L24/M24</f>
        <v>10000</v>
      </c>
      <c r="O24" s="38">
        <v>0.70836580009917116</v>
      </c>
    </row>
    <row r="25" spans="1:15">
      <c r="B25" s="25"/>
      <c r="C25" s="25"/>
      <c r="D25" s="26"/>
      <c r="E25" s="26"/>
      <c r="K25" s="14" t="s">
        <v>26</v>
      </c>
      <c r="L25" s="35">
        <v>100000</v>
      </c>
      <c r="M25" s="14">
        <v>8</v>
      </c>
      <c r="N25" s="35">
        <f>L25/M25</f>
        <v>12500</v>
      </c>
      <c r="O25" s="38">
        <v>0.88545725012396403</v>
      </c>
    </row>
    <row r="26" spans="1:15" ht="15.75" customHeight="1">
      <c r="A26" s="112" t="s">
        <v>11</v>
      </c>
      <c r="B26" s="112"/>
      <c r="C26" s="112"/>
      <c r="D26" s="3" t="s">
        <v>19</v>
      </c>
      <c r="E26" s="136" t="s">
        <v>22</v>
      </c>
      <c r="F26" s="136"/>
      <c r="G26" s="27"/>
      <c r="H26" s="14" t="s">
        <v>4</v>
      </c>
      <c r="I26" s="14" t="s">
        <v>3</v>
      </c>
      <c r="O26" s="38"/>
    </row>
    <row r="27" spans="1:15" ht="15.75" customHeight="1">
      <c r="A27" s="12" t="s">
        <v>15</v>
      </c>
      <c r="B27" s="12"/>
      <c r="C27" s="13">
        <v>85</v>
      </c>
      <c r="D27" s="28">
        <v>0.15</v>
      </c>
      <c r="E27" s="118">
        <f>D27*1000</f>
        <v>150</v>
      </c>
      <c r="F27" s="119"/>
      <c r="H27" s="18">
        <f>D27*95%</f>
        <v>0.14249999999999999</v>
      </c>
      <c r="I27" s="18">
        <f>D27*105%</f>
        <v>0.1575</v>
      </c>
      <c r="K27" s="49"/>
      <c r="L27" s="49"/>
      <c r="M27" s="49"/>
      <c r="N27" s="49"/>
      <c r="O27" s="38"/>
    </row>
    <row r="28" spans="1:15">
      <c r="A28" s="103" t="s">
        <v>17</v>
      </c>
      <c r="B28" s="103"/>
      <c r="C28" s="103"/>
      <c r="D28" s="29"/>
      <c r="E28" s="132">
        <f>SUM(E29:E31)</f>
        <v>2740</v>
      </c>
      <c r="F28" s="133"/>
      <c r="H28" s="18"/>
      <c r="I28" s="18"/>
      <c r="L28" s="50"/>
      <c r="N28" s="51"/>
      <c r="O28" s="38"/>
    </row>
    <row r="29" spans="1:15">
      <c r="A29" s="14"/>
      <c r="B29" s="11" t="s">
        <v>10</v>
      </c>
      <c r="C29" s="14">
        <v>15</v>
      </c>
      <c r="D29" s="29">
        <f>(1-(C29/100))</f>
        <v>0.85</v>
      </c>
      <c r="E29" s="132">
        <f>D29*1000</f>
        <v>850</v>
      </c>
      <c r="F29" s="133"/>
      <c r="G29" s="5">
        <v>18</v>
      </c>
      <c r="H29" s="18">
        <f t="shared" ref="H29:H34" si="6">D29*95%</f>
        <v>0.8075</v>
      </c>
      <c r="I29" s="18">
        <f t="shared" ref="I29:I30" si="7">D29*105%</f>
        <v>0.89249999999999996</v>
      </c>
      <c r="L29" s="50"/>
      <c r="N29" s="51"/>
      <c r="O29" s="38"/>
    </row>
    <row r="30" spans="1:15">
      <c r="A30" s="14"/>
      <c r="B30" s="11" t="s">
        <v>8</v>
      </c>
      <c r="C30" s="14">
        <v>8</v>
      </c>
      <c r="D30" s="29">
        <f t="shared" ref="D30:D31" si="8">(1-(C30/100))</f>
        <v>0.92</v>
      </c>
      <c r="E30" s="132">
        <f t="shared" ref="E30:E34" si="9">D30*1000</f>
        <v>920</v>
      </c>
      <c r="F30" s="133"/>
      <c r="G30" s="5">
        <v>9</v>
      </c>
      <c r="H30" s="18">
        <f t="shared" si="6"/>
        <v>0.874</v>
      </c>
      <c r="I30" s="18">
        <f t="shared" si="7"/>
        <v>0.96600000000000008</v>
      </c>
      <c r="L30" s="50"/>
      <c r="N30" s="51"/>
      <c r="O30" s="38"/>
    </row>
    <row r="31" spans="1:15">
      <c r="A31" s="14"/>
      <c r="B31" s="11" t="s">
        <v>7</v>
      </c>
      <c r="C31" s="14">
        <v>3</v>
      </c>
      <c r="D31" s="29">
        <f t="shared" si="8"/>
        <v>0.97</v>
      </c>
      <c r="E31" s="132">
        <f t="shared" si="9"/>
        <v>970</v>
      </c>
      <c r="F31" s="133"/>
      <c r="G31" s="5">
        <v>6</v>
      </c>
      <c r="H31" s="18">
        <f t="shared" si="6"/>
        <v>0.92149999999999999</v>
      </c>
      <c r="I31" s="18">
        <v>1</v>
      </c>
      <c r="O31" s="38"/>
    </row>
    <row r="32" spans="1:15">
      <c r="A32" s="103" t="s">
        <v>18</v>
      </c>
      <c r="B32" s="103"/>
      <c r="C32" s="103"/>
      <c r="D32" s="29"/>
      <c r="E32" s="132">
        <f>SUM(E33:E35)</f>
        <v>1991.5</v>
      </c>
      <c r="F32" s="133"/>
      <c r="H32" s="18"/>
      <c r="I32" s="18"/>
      <c r="K32" s="49"/>
      <c r="L32" s="49"/>
      <c r="M32" s="49"/>
      <c r="N32" s="49"/>
      <c r="O32" s="38"/>
    </row>
    <row r="33" spans="1:15">
      <c r="A33" s="14"/>
      <c r="B33" s="11" t="s">
        <v>6</v>
      </c>
      <c r="C33" s="14">
        <v>0.05</v>
      </c>
      <c r="D33" s="29">
        <f t="shared" ref="D33" si="10">(1-(C33/100))</f>
        <v>0.99950000000000006</v>
      </c>
      <c r="E33" s="132">
        <f t="shared" si="9"/>
        <v>999.5</v>
      </c>
      <c r="F33" s="133"/>
      <c r="G33" s="5">
        <v>0.05</v>
      </c>
      <c r="H33" s="18">
        <f t="shared" si="6"/>
        <v>0.94952500000000006</v>
      </c>
      <c r="I33" s="18">
        <v>1</v>
      </c>
      <c r="L33" s="50"/>
      <c r="N33" s="51"/>
      <c r="O33" s="38"/>
    </row>
    <row r="34" spans="1:15">
      <c r="A34" s="14"/>
      <c r="B34" s="11" t="s">
        <v>2</v>
      </c>
      <c r="C34" s="14">
        <v>0.8</v>
      </c>
      <c r="D34" s="29">
        <f>(1-(C34/100))</f>
        <v>0.99199999999999999</v>
      </c>
      <c r="E34" s="138">
        <f t="shared" si="9"/>
        <v>992</v>
      </c>
      <c r="F34" s="138"/>
      <c r="G34" s="5">
        <v>0.8</v>
      </c>
      <c r="H34" s="18">
        <f t="shared" si="6"/>
        <v>0.9423999999999999</v>
      </c>
      <c r="I34" s="18">
        <v>1</v>
      </c>
      <c r="L34" s="50"/>
      <c r="N34" s="51"/>
      <c r="O34" s="38"/>
    </row>
    <row r="35" spans="1:15">
      <c r="B35" s="43"/>
      <c r="D35" s="41"/>
      <c r="E35" s="98"/>
      <c r="F35" s="98"/>
      <c r="H35" s="48"/>
      <c r="I35" s="48"/>
      <c r="L35" s="50"/>
      <c r="N35" s="51"/>
      <c r="O35" s="38"/>
    </row>
    <row r="36" spans="1:15" hidden="1">
      <c r="B36" s="43"/>
      <c r="D36" s="41"/>
      <c r="E36" s="98"/>
      <c r="F36" s="98"/>
      <c r="H36" s="48"/>
      <c r="I36" s="48"/>
    </row>
    <row r="37" spans="1:15" hidden="1">
      <c r="B37" s="25"/>
      <c r="C37" s="25"/>
      <c r="K37" s="129" t="s">
        <v>46</v>
      </c>
      <c r="L37" s="130"/>
      <c r="M37" s="1" t="s">
        <v>1</v>
      </c>
    </row>
    <row r="38" spans="1:15" ht="15.75" hidden="1" customHeight="1">
      <c r="A38" s="131" t="s">
        <v>16</v>
      </c>
      <c r="B38" s="131"/>
      <c r="C38" s="131"/>
      <c r="D38" s="137" t="s">
        <v>14</v>
      </c>
      <c r="E38" s="137"/>
      <c r="F38" s="30"/>
      <c r="K38" s="104" t="s">
        <v>45</v>
      </c>
      <c r="L38" s="105"/>
      <c r="M38" s="37">
        <v>4.5812965237404448</v>
      </c>
    </row>
    <row r="39" spans="1:15" ht="15.75" hidden="1" customHeight="1">
      <c r="A39" s="131"/>
      <c r="B39" s="131"/>
      <c r="C39" s="131"/>
      <c r="D39" s="137"/>
      <c r="E39" s="137"/>
      <c r="F39" s="30"/>
      <c r="K39" s="104" t="s">
        <v>33</v>
      </c>
      <c r="L39" s="105"/>
      <c r="M39" s="37">
        <v>4.6847432685232695</v>
      </c>
    </row>
    <row r="40" spans="1:15" ht="15.75" hidden="1" customHeight="1">
      <c r="A40" s="103" t="s">
        <v>17</v>
      </c>
      <c r="B40" s="103"/>
      <c r="C40" s="103"/>
      <c r="D40" s="125">
        <f>AVERAGE(D41:D43)</f>
        <v>4.5812965237404448</v>
      </c>
      <c r="E40" s="126"/>
      <c r="F40" s="31"/>
      <c r="K40" s="104" t="s">
        <v>34</v>
      </c>
      <c r="L40" s="105"/>
      <c r="M40" s="37">
        <v>4.489692167249256</v>
      </c>
    </row>
    <row r="41" spans="1:15" hidden="1">
      <c r="A41" s="14"/>
      <c r="B41" s="123" t="s">
        <v>10</v>
      </c>
      <c r="C41" s="123"/>
      <c r="D41" s="124">
        <f>(F17-F15)/(E29-E27)</f>
        <v>4.801145978449938</v>
      </c>
      <c r="E41" s="124"/>
      <c r="K41" s="104" t="s">
        <v>35</v>
      </c>
      <c r="L41" s="105"/>
      <c r="M41" s="37">
        <v>4.6609192876828409</v>
      </c>
    </row>
    <row r="42" spans="1:15" hidden="1">
      <c r="A42" s="14"/>
      <c r="B42" s="123" t="s">
        <v>8</v>
      </c>
      <c r="C42" s="123"/>
      <c r="D42" s="124">
        <f>(F18-F15)/(E30-E27)</f>
        <v>3.7595792018018512</v>
      </c>
      <c r="E42" s="124"/>
      <c r="F42" s="32"/>
      <c r="K42" s="104" t="s">
        <v>36</v>
      </c>
      <c r="L42" s="105"/>
      <c r="M42" s="37">
        <v>4.5106508361248876</v>
      </c>
    </row>
    <row r="43" spans="1:15" hidden="1">
      <c r="A43" s="14"/>
      <c r="B43" s="123" t="s">
        <v>7</v>
      </c>
      <c r="C43" s="123"/>
      <c r="D43" s="124">
        <f>(F19-F15)/(E31-E27)</f>
        <v>5.1831643909695453</v>
      </c>
      <c r="E43" s="124"/>
      <c r="F43" s="32"/>
      <c r="K43" s="104" t="s">
        <v>37</v>
      </c>
      <c r="L43" s="105"/>
      <c r="M43" s="37">
        <v>4.689908955350738</v>
      </c>
    </row>
    <row r="44" spans="1:15" hidden="1">
      <c r="A44" s="103" t="s">
        <v>18</v>
      </c>
      <c r="B44" s="103"/>
      <c r="C44" s="103"/>
      <c r="D44" s="125">
        <f>AVERAGE(D45:D46)</f>
        <v>1.2545068110144786</v>
      </c>
      <c r="E44" s="126"/>
      <c r="F44" s="32"/>
      <c r="K44" s="104" t="s">
        <v>38</v>
      </c>
      <c r="L44" s="105"/>
      <c r="M44" s="37">
        <v>4.5203181191408035</v>
      </c>
    </row>
    <row r="45" spans="1:15" hidden="1">
      <c r="A45" s="14"/>
      <c r="B45" s="123" t="s">
        <v>6</v>
      </c>
      <c r="C45" s="123"/>
      <c r="D45" s="124">
        <f>(F21-F15)/(E33-E27)</f>
        <v>1.6677240732175898</v>
      </c>
      <c r="E45" s="124"/>
      <c r="F45" s="32"/>
      <c r="K45" s="104" t="s">
        <v>39</v>
      </c>
      <c r="L45" s="105"/>
      <c r="M45" s="37">
        <v>4.2526288166380839</v>
      </c>
    </row>
    <row r="46" spans="1:15" hidden="1">
      <c r="A46" s="14"/>
      <c r="B46" s="123" t="s">
        <v>2</v>
      </c>
      <c r="C46" s="123"/>
      <c r="D46" s="124">
        <f>(F22-F15)/(E34-E27)</f>
        <v>0.8412895488113673</v>
      </c>
      <c r="E46" s="124"/>
      <c r="F46" s="32"/>
      <c r="K46" s="104" t="s">
        <v>40</v>
      </c>
      <c r="L46" s="105"/>
      <c r="M46" s="37">
        <v>5.0385335785428467</v>
      </c>
    </row>
    <row r="47" spans="1:15" hidden="1">
      <c r="B47" s="122"/>
      <c r="C47" s="122"/>
      <c r="D47" s="127"/>
      <c r="E47" s="127"/>
      <c r="F47" s="32"/>
      <c r="K47" s="104" t="s">
        <v>41</v>
      </c>
      <c r="L47" s="105"/>
      <c r="M47" s="37">
        <v>4.4873675257372305</v>
      </c>
    </row>
    <row r="48" spans="1:15" hidden="1">
      <c r="B48" s="122"/>
      <c r="C48" s="122"/>
      <c r="D48" s="127"/>
      <c r="E48" s="127"/>
      <c r="F48" s="32"/>
      <c r="K48" s="104" t="s">
        <v>42</v>
      </c>
      <c r="L48" s="105"/>
      <c r="M48" s="37">
        <v>5.2335580019277073</v>
      </c>
    </row>
    <row r="49" spans="2:13" hidden="1">
      <c r="D49" s="127"/>
      <c r="E49" s="127"/>
      <c r="K49" s="104" t="s">
        <v>43</v>
      </c>
      <c r="L49" s="105"/>
      <c r="M49" s="37">
        <v>4.0054043283766125</v>
      </c>
    </row>
    <row r="50" spans="2:13" hidden="1">
      <c r="B50" s="33">
        <v>1</v>
      </c>
      <c r="C50" s="34">
        <v>14117</v>
      </c>
      <c r="K50" s="104" t="s">
        <v>44</v>
      </c>
      <c r="L50" s="105"/>
      <c r="M50" s="37">
        <v>5.1571929462627919</v>
      </c>
    </row>
    <row r="51" spans="2:13" hidden="1"/>
    <row r="52" spans="2:13" hidden="1">
      <c r="K52" s="129" t="s">
        <v>46</v>
      </c>
      <c r="L52" s="130"/>
      <c r="M52" s="1" t="s">
        <v>1</v>
      </c>
    </row>
    <row r="53" spans="2:13" hidden="1">
      <c r="K53" s="104" t="s">
        <v>45</v>
      </c>
      <c r="L53" s="105"/>
      <c r="M53" s="37">
        <v>1.3180003305976578</v>
      </c>
    </row>
    <row r="54" spans="2:13" hidden="1">
      <c r="K54" s="104" t="s">
        <v>47</v>
      </c>
      <c r="L54" s="105"/>
      <c r="M54" s="37">
        <v>1.3440748157949309</v>
      </c>
    </row>
    <row r="55" spans="2:13" hidden="1">
      <c r="K55" s="104" t="s">
        <v>48</v>
      </c>
      <c r="L55" s="105"/>
      <c r="M55" s="37">
        <v>1.3177550770574786</v>
      </c>
    </row>
    <row r="56" spans="2:13" hidden="1">
      <c r="K56" s="104" t="s">
        <v>49</v>
      </c>
      <c r="L56" s="105"/>
      <c r="M56" s="37">
        <v>1.331165386636604</v>
      </c>
    </row>
    <row r="57" spans="2:13" hidden="1">
      <c r="K57" s="104" t="s">
        <v>50</v>
      </c>
      <c r="L57" s="105"/>
      <c r="M57" s="37">
        <v>1.3160208257769253</v>
      </c>
    </row>
    <row r="58" spans="2:13" hidden="1">
      <c r="K58" s="104" t="s">
        <v>51</v>
      </c>
      <c r="L58" s="105"/>
      <c r="M58" s="37">
        <v>1.3307333627251037</v>
      </c>
    </row>
    <row r="59" spans="2:13" hidden="1">
      <c r="K59" s="104" t="s">
        <v>52</v>
      </c>
      <c r="L59" s="105"/>
      <c r="M59" s="37">
        <v>1.3168017768692928</v>
      </c>
    </row>
    <row r="60" spans="2:13" hidden="1">
      <c r="K60" s="104" t="s">
        <v>53</v>
      </c>
      <c r="L60" s="105"/>
      <c r="M60" s="37">
        <v>1.3484297574500119</v>
      </c>
    </row>
    <row r="61" spans="2:13" hidden="1">
      <c r="K61" s="104" t="s">
        <v>54</v>
      </c>
      <c r="L61" s="105"/>
      <c r="M61" s="37">
        <v>1.3171409315542433</v>
      </c>
    </row>
    <row r="62" spans="2:13" hidden="1">
      <c r="K62" s="104" t="s">
        <v>55</v>
      </c>
      <c r="L62" s="105"/>
      <c r="M62" s="37">
        <v>1.2485089826876101</v>
      </c>
    </row>
    <row r="63" spans="2:13" hidden="1">
      <c r="K63" s="104" t="s">
        <v>56</v>
      </c>
      <c r="L63" s="105"/>
      <c r="M63" s="37">
        <v>1.5959486530819595</v>
      </c>
    </row>
    <row r="64" spans="2:13" hidden="1">
      <c r="K64" s="104" t="s">
        <v>57</v>
      </c>
      <c r="L64" s="105"/>
      <c r="M64" s="37">
        <v>1.2829451642974288</v>
      </c>
    </row>
    <row r="65" spans="11:13" hidden="1">
      <c r="K65" s="140" t="s">
        <v>58</v>
      </c>
      <c r="L65" s="140"/>
      <c r="M65" s="37">
        <v>1.370593620354436</v>
      </c>
    </row>
    <row r="66" spans="11:13">
      <c r="K66" s="139"/>
      <c r="L66" s="139"/>
      <c r="M66" s="52"/>
    </row>
    <row r="67" spans="11:13">
      <c r="K67" s="139"/>
      <c r="L67" s="139"/>
      <c r="M67" s="52"/>
    </row>
    <row r="68" spans="11:13">
      <c r="K68" s="139"/>
      <c r="L68" s="139"/>
      <c r="M68" s="52"/>
    </row>
    <row r="69" spans="11:13">
      <c r="K69" s="139"/>
      <c r="L69" s="139"/>
      <c r="M69" s="52"/>
    </row>
  </sheetData>
  <mergeCells count="91">
    <mergeCell ref="E34:F34"/>
    <mergeCell ref="K40:L40"/>
    <mergeCell ref="K41:L41"/>
    <mergeCell ref="K42:L42"/>
    <mergeCell ref="K69:L69"/>
    <mergeCell ref="D49:E49"/>
    <mergeCell ref="K62:L62"/>
    <mergeCell ref="K63:L63"/>
    <mergeCell ref="K64:L64"/>
    <mergeCell ref="K65:L65"/>
    <mergeCell ref="K61:L61"/>
    <mergeCell ref="K66:L66"/>
    <mergeCell ref="K67:L67"/>
    <mergeCell ref="K68:L68"/>
    <mergeCell ref="K59:L59"/>
    <mergeCell ref="K60:L60"/>
    <mergeCell ref="K48:L48"/>
    <mergeCell ref="K43:L43"/>
    <mergeCell ref="K44:L44"/>
    <mergeCell ref="K45:L45"/>
    <mergeCell ref="K46:L46"/>
    <mergeCell ref="K47:L47"/>
    <mergeCell ref="K57:L57"/>
    <mergeCell ref="K58:L58"/>
    <mergeCell ref="K49:L49"/>
    <mergeCell ref="K50:L50"/>
    <mergeCell ref="K52:L52"/>
    <mergeCell ref="K53:L53"/>
    <mergeCell ref="K55:L55"/>
    <mergeCell ref="K56:L56"/>
    <mergeCell ref="K54:L54"/>
    <mergeCell ref="F21:G21"/>
    <mergeCell ref="F22:G22"/>
    <mergeCell ref="F23:G23"/>
    <mergeCell ref="F24:G24"/>
    <mergeCell ref="E26:F26"/>
    <mergeCell ref="A28:C28"/>
    <mergeCell ref="D40:E40"/>
    <mergeCell ref="K37:L37"/>
    <mergeCell ref="A26:C26"/>
    <mergeCell ref="A38:C39"/>
    <mergeCell ref="A32:C32"/>
    <mergeCell ref="E28:F28"/>
    <mergeCell ref="A40:C40"/>
    <mergeCell ref="E29:F29"/>
    <mergeCell ref="E30:F30"/>
    <mergeCell ref="E31:F31"/>
    <mergeCell ref="K38:L38"/>
    <mergeCell ref="K39:L39"/>
    <mergeCell ref="D38:E39"/>
    <mergeCell ref="E32:F32"/>
    <mergeCell ref="E33:F33"/>
    <mergeCell ref="B48:C48"/>
    <mergeCell ref="B45:C45"/>
    <mergeCell ref="B46:C46"/>
    <mergeCell ref="B47:C47"/>
    <mergeCell ref="D41:E41"/>
    <mergeCell ref="D42:E42"/>
    <mergeCell ref="D43:E43"/>
    <mergeCell ref="D44:E44"/>
    <mergeCell ref="D45:E45"/>
    <mergeCell ref="D46:E46"/>
    <mergeCell ref="D47:E47"/>
    <mergeCell ref="D48:E48"/>
    <mergeCell ref="A44:C44"/>
    <mergeCell ref="B41:C41"/>
    <mergeCell ref="B42:C42"/>
    <mergeCell ref="B43:C43"/>
    <mergeCell ref="F17:G17"/>
    <mergeCell ref="F18:G18"/>
    <mergeCell ref="A14:C14"/>
    <mergeCell ref="F19:G19"/>
    <mergeCell ref="F20:G20"/>
    <mergeCell ref="A16:C16"/>
    <mergeCell ref="A20:C20"/>
    <mergeCell ref="E35:F35"/>
    <mergeCell ref="E36:F36"/>
    <mergeCell ref="F4:F7"/>
    <mergeCell ref="E2:G2"/>
    <mergeCell ref="A3:C3"/>
    <mergeCell ref="B10:C10"/>
    <mergeCell ref="E4:E10"/>
    <mergeCell ref="F8:F10"/>
    <mergeCell ref="A2:C2"/>
    <mergeCell ref="A4:C4"/>
    <mergeCell ref="A8:C8"/>
    <mergeCell ref="A15:C15"/>
    <mergeCell ref="F15:G15"/>
    <mergeCell ref="E27:F27"/>
    <mergeCell ref="F14:G14"/>
    <mergeCell ref="F16:G16"/>
  </mergeCells>
  <pageMargins left="0.7" right="0.7" top="0.75" bottom="0.75" header="0.3" footer="0.3"/>
  <pageSetup paperSize="9" orientation="portrait" horizontalDpi="0" verticalDpi="0" r:id="rId1"/>
  <ignoredErrors>
    <ignoredError sqref="E3" formulaRange="1"/>
    <ignoredError sqref="F20 F16 E28 E32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175D-E4D5-6744-80B9-361FEEF5AEA2}">
  <dimension ref="A1:S66"/>
  <sheetViews>
    <sheetView topLeftCell="A61" workbookViewId="0">
      <selection activeCell="M5" sqref="M5"/>
    </sheetView>
  </sheetViews>
  <sheetFormatPr baseColWidth="10" defaultRowHeight="15"/>
  <cols>
    <col min="1" max="1" width="20.33203125" customWidth="1"/>
    <col min="2" max="6" width="10.83203125" customWidth="1"/>
    <col min="7" max="8" width="12.5" customWidth="1"/>
    <col min="9" max="15" width="12.6640625" customWidth="1"/>
    <col min="16" max="16" width="12.5" customWidth="1"/>
    <col min="17" max="17" width="12" customWidth="1"/>
  </cols>
  <sheetData>
    <row r="1" spans="1:17" ht="15" customHeight="1">
      <c r="A1" s="142" t="s">
        <v>114</v>
      </c>
      <c r="B1" s="141" t="s">
        <v>62</v>
      </c>
      <c r="C1" s="141"/>
      <c r="D1" s="148" t="s">
        <v>79</v>
      </c>
      <c r="E1" s="148"/>
      <c r="F1" s="143" t="s">
        <v>5</v>
      </c>
      <c r="G1" s="144"/>
      <c r="H1" s="145"/>
      <c r="I1" s="141" t="s">
        <v>77</v>
      </c>
      <c r="J1" s="141"/>
      <c r="K1" s="141"/>
      <c r="L1" s="153" t="s">
        <v>81</v>
      </c>
      <c r="M1" s="154"/>
      <c r="N1" s="153" t="s">
        <v>81</v>
      </c>
      <c r="O1" s="154"/>
      <c r="P1" s="153" t="s">
        <v>81</v>
      </c>
      <c r="Q1" s="154"/>
    </row>
    <row r="2" spans="1:17" ht="16">
      <c r="A2" s="142"/>
      <c r="B2" s="54" t="s">
        <v>60</v>
      </c>
      <c r="C2" s="54" t="s">
        <v>61</v>
      </c>
      <c r="D2" s="75" t="s">
        <v>0</v>
      </c>
      <c r="E2" s="76" t="s">
        <v>80</v>
      </c>
      <c r="F2" s="86" t="s">
        <v>84</v>
      </c>
      <c r="G2" s="86" t="s">
        <v>4</v>
      </c>
      <c r="H2" s="86" t="s">
        <v>3</v>
      </c>
      <c r="I2" s="91" t="s">
        <v>60</v>
      </c>
      <c r="J2" s="91" t="s">
        <v>61</v>
      </c>
      <c r="K2" s="86" t="s">
        <v>113</v>
      </c>
      <c r="L2" s="54" t="s">
        <v>60</v>
      </c>
      <c r="M2" s="54" t="s">
        <v>61</v>
      </c>
      <c r="N2" s="54" t="s">
        <v>60</v>
      </c>
      <c r="O2" s="54" t="s">
        <v>61</v>
      </c>
      <c r="P2" s="54" t="s">
        <v>60</v>
      </c>
      <c r="Q2" s="54" t="s">
        <v>61</v>
      </c>
    </row>
    <row r="3" spans="1:17">
      <c r="A3" s="55" t="s">
        <v>115</v>
      </c>
      <c r="B3" s="56">
        <v>0.318</v>
      </c>
      <c r="C3" s="56">
        <v>0.35199999999999998</v>
      </c>
      <c r="D3" s="56">
        <f>85/100</f>
        <v>0.85</v>
      </c>
      <c r="E3" s="77">
        <f>F3*1000000</f>
        <v>150000.00000000003</v>
      </c>
      <c r="F3" s="56">
        <v>0.15000000000000002</v>
      </c>
      <c r="G3" s="56">
        <f>F3*95%</f>
        <v>0.14250000000000002</v>
      </c>
      <c r="H3" s="56">
        <f>F3*105%</f>
        <v>0.15750000000000003</v>
      </c>
      <c r="I3" s="73">
        <v>0</v>
      </c>
      <c r="J3" s="73">
        <v>0</v>
      </c>
      <c r="K3" s="73">
        <f>I3-J3</f>
        <v>0</v>
      </c>
      <c r="L3" s="149" t="s">
        <v>59</v>
      </c>
      <c r="M3" s="150"/>
      <c r="N3" s="66"/>
      <c r="O3" s="66"/>
      <c r="P3" s="80"/>
      <c r="Q3" s="81"/>
    </row>
    <row r="4" spans="1:17">
      <c r="A4" s="55" t="s">
        <v>116</v>
      </c>
      <c r="B4" s="56">
        <v>4.4999999999999998E-2</v>
      </c>
      <c r="C4" s="56">
        <v>5.1999999999999998E-2</v>
      </c>
      <c r="D4" s="56">
        <f>24/100</f>
        <v>0.24</v>
      </c>
      <c r="E4" s="77">
        <f t="shared" ref="E4:E15" si="0">F4*1000000</f>
        <v>760000</v>
      </c>
      <c r="F4" s="56">
        <v>0.76</v>
      </c>
      <c r="G4" s="56">
        <f t="shared" ref="G4:G15" si="1">F4*95%</f>
        <v>0.72199999999999998</v>
      </c>
      <c r="H4" s="56">
        <f t="shared" ref="H4:H9" si="2">F4*105%</f>
        <v>0.79800000000000004</v>
      </c>
      <c r="I4" s="73">
        <v>0</v>
      </c>
      <c r="J4" s="73">
        <v>0</v>
      </c>
      <c r="K4" s="73">
        <f t="shared" ref="K4" si="3">I4-J4</f>
        <v>0</v>
      </c>
      <c r="L4" s="78" t="s">
        <v>121</v>
      </c>
      <c r="M4" s="78" t="s">
        <v>121</v>
      </c>
      <c r="N4" s="149" t="s">
        <v>63</v>
      </c>
      <c r="O4" s="150"/>
      <c r="P4" s="66"/>
      <c r="Q4" s="66"/>
    </row>
    <row r="5" spans="1:17">
      <c r="A5" s="55" t="s">
        <v>117</v>
      </c>
      <c r="B5" s="56">
        <v>0.63700000000000001</v>
      </c>
      <c r="C5" s="56">
        <v>0.59599999999999997</v>
      </c>
      <c r="D5" s="58"/>
      <c r="E5" s="77"/>
      <c r="F5" s="56"/>
      <c r="G5" s="56"/>
      <c r="H5" s="56"/>
      <c r="I5" s="73">
        <f>SUM(I7:I15)</f>
        <v>1551128.5009578546</v>
      </c>
      <c r="J5" s="73">
        <f>SUM(J7:J15)</f>
        <v>1417123.2252326217</v>
      </c>
      <c r="K5" s="73">
        <f>J5-I5</f>
        <v>-134005.2757252329</v>
      </c>
      <c r="L5" s="66"/>
      <c r="M5" s="66"/>
      <c r="N5" s="66"/>
      <c r="O5" s="66"/>
      <c r="P5" s="66"/>
      <c r="Q5" s="66"/>
    </row>
    <row r="6" spans="1:17">
      <c r="A6" s="57" t="s">
        <v>66</v>
      </c>
      <c r="B6" s="58"/>
      <c r="C6" s="58"/>
      <c r="D6" s="58"/>
      <c r="E6" s="77"/>
      <c r="F6" s="56"/>
      <c r="G6" s="56"/>
      <c r="H6" s="56"/>
      <c r="I6" s="73"/>
      <c r="J6" s="73"/>
      <c r="K6" s="73"/>
      <c r="L6" s="89">
        <f>AVERAGE(L7:L9)</f>
        <v>0.57470015049908074</v>
      </c>
      <c r="M6" s="89">
        <f>AVERAGE(M7:M9)</f>
        <v>0.5212193854877919</v>
      </c>
      <c r="N6" s="89">
        <f>AVERAGE(N7:N9)</f>
        <v>3.5044881971051502</v>
      </c>
      <c r="O6" s="89">
        <f>AVERAGE(O7:O9)</f>
        <v>3.2551593170346051</v>
      </c>
      <c r="P6" s="151" t="s">
        <v>17</v>
      </c>
      <c r="Q6" s="152"/>
    </row>
    <row r="7" spans="1:17">
      <c r="A7" s="59" t="s">
        <v>67</v>
      </c>
      <c r="B7" s="56">
        <f>B5-SUM(B8:B15)</f>
        <v>8.109999999999995E-2</v>
      </c>
      <c r="C7" s="56">
        <f>C5-SUM(C8:C15)</f>
        <v>8.0300000000000038E-2</v>
      </c>
      <c r="D7" s="56">
        <f>18/100</f>
        <v>0.18</v>
      </c>
      <c r="E7" s="77">
        <f t="shared" si="0"/>
        <v>820000</v>
      </c>
      <c r="F7" s="56">
        <v>0.82</v>
      </c>
      <c r="G7" s="56">
        <f t="shared" si="1"/>
        <v>0.77899999999999991</v>
      </c>
      <c r="H7" s="56">
        <f t="shared" si="2"/>
        <v>0.86099999999999999</v>
      </c>
      <c r="I7" s="73">
        <f>B7*E21*1000000</f>
        <v>265361.68582375458</v>
      </c>
      <c r="J7" s="73">
        <f>C7*E21*1000000</f>
        <v>262744.06130268209</v>
      </c>
      <c r="K7" s="73">
        <f t="shared" ref="K7:K15" si="4">J7-I7</f>
        <v>-2617.6245210724883</v>
      </c>
      <c r="L7" s="78">
        <f>(I7-I3)/(E7-E3)</f>
        <v>0.39606221764739491</v>
      </c>
      <c r="M7" s="78">
        <f>(J7-J3)/(E7-E3)</f>
        <v>0.39215531537713744</v>
      </c>
      <c r="N7" s="78">
        <f>(I7-I4)/(E7-E4)</f>
        <v>4.4226947637292433</v>
      </c>
      <c r="O7" s="78">
        <f>(J7-J4)/(E7-E4)</f>
        <v>4.3790676883780346</v>
      </c>
      <c r="P7" s="66"/>
      <c r="Q7" s="66"/>
    </row>
    <row r="8" spans="1:17">
      <c r="A8" s="59" t="s">
        <v>68</v>
      </c>
      <c r="B8" s="56">
        <v>0.1043</v>
      </c>
      <c r="C8" s="56">
        <v>9.74E-2</v>
      </c>
      <c r="D8" s="56">
        <f>9/100</f>
        <v>0.09</v>
      </c>
      <c r="E8" s="77">
        <f t="shared" si="0"/>
        <v>910000</v>
      </c>
      <c r="F8" s="56">
        <v>0.91</v>
      </c>
      <c r="G8" s="56">
        <f t="shared" si="1"/>
        <v>0.86449999999999994</v>
      </c>
      <c r="H8" s="56">
        <f t="shared" si="2"/>
        <v>0.95550000000000013</v>
      </c>
      <c r="I8" s="73">
        <f>B8*E26*1000000</f>
        <v>293960.30172413797</v>
      </c>
      <c r="J8" s="73">
        <f>C8*E26*1000000</f>
        <v>274513.26354679803</v>
      </c>
      <c r="K8" s="73">
        <f t="shared" si="4"/>
        <v>-19447.038177339942</v>
      </c>
      <c r="L8" s="78">
        <f>(I8-I3)/(E8-E3)</f>
        <v>0.3867898706896552</v>
      </c>
      <c r="M8" s="78">
        <f>(J8-J3)/(E8-E3)</f>
        <v>0.36120166256157638</v>
      </c>
      <c r="N8" s="78">
        <f>(I8-I4)/(E8-E4)</f>
        <v>1.9597353448275865</v>
      </c>
      <c r="O8" s="78">
        <f>(J8-J4)/(E8-E4)</f>
        <v>1.8300884236453201</v>
      </c>
      <c r="P8" s="66"/>
      <c r="Q8" s="66"/>
    </row>
    <row r="9" spans="1:17">
      <c r="A9" s="59" t="s">
        <v>69</v>
      </c>
      <c r="B9" s="56">
        <v>0.1797</v>
      </c>
      <c r="C9" s="56">
        <v>0.1547</v>
      </c>
      <c r="D9" s="56">
        <f>6/100</f>
        <v>0.06</v>
      </c>
      <c r="E9" s="77">
        <f t="shared" si="0"/>
        <v>940000</v>
      </c>
      <c r="F9" s="56">
        <v>0.94</v>
      </c>
      <c r="G9" s="56">
        <f t="shared" si="1"/>
        <v>0.8929999999999999</v>
      </c>
      <c r="H9" s="56">
        <f t="shared" si="2"/>
        <v>0.98699999999999999</v>
      </c>
      <c r="I9" s="73">
        <f>B9*E31*1000000</f>
        <v>743586.20689655177</v>
      </c>
      <c r="J9" s="73">
        <f>C9*E31*1000000</f>
        <v>640137.93103448278</v>
      </c>
      <c r="K9" s="73">
        <f t="shared" si="4"/>
        <v>-103448.27586206899</v>
      </c>
      <c r="L9" s="78">
        <f>(I9-I3)/(E9-E3)</f>
        <v>0.94124836316019211</v>
      </c>
      <c r="M9" s="78">
        <f>(J9-J3)/(E9-E3)</f>
        <v>0.81030117852466177</v>
      </c>
      <c r="N9" s="78">
        <f>(I9-I4)/(E9-E4)</f>
        <v>4.1310344827586212</v>
      </c>
      <c r="O9" s="78">
        <f>(J9-J4)/(E9-E4)</f>
        <v>3.5563218390804598</v>
      </c>
      <c r="P9" s="66"/>
      <c r="Q9" s="66"/>
    </row>
    <row r="10" spans="1:17">
      <c r="A10" s="57" t="s">
        <v>70</v>
      </c>
      <c r="B10" s="58"/>
      <c r="C10" s="58"/>
      <c r="D10" s="58"/>
      <c r="E10" s="77"/>
      <c r="F10" s="56"/>
      <c r="G10" s="56"/>
      <c r="H10" s="56"/>
      <c r="I10" s="73"/>
      <c r="J10" s="73"/>
      <c r="K10" s="73"/>
      <c r="L10" s="89">
        <f>AVERAGE(L11:L12)</f>
        <v>0.12848932676518884</v>
      </c>
      <c r="M10" s="89">
        <f t="shared" ref="M10:O10" si="5">AVERAGE(M11:M12)</f>
        <v>0.12294745484400657</v>
      </c>
      <c r="N10" s="89">
        <f t="shared" si="5"/>
        <v>0.46926536731634183</v>
      </c>
      <c r="O10" s="89">
        <f t="shared" si="5"/>
        <v>0.44902548725637181</v>
      </c>
      <c r="P10" s="79"/>
      <c r="Q10" s="79"/>
    </row>
    <row r="11" spans="1:17">
      <c r="A11" s="59" t="s">
        <v>71</v>
      </c>
      <c r="B11" s="56">
        <v>8.5300000000000001E-2</v>
      </c>
      <c r="C11" s="56">
        <v>8.09E-2</v>
      </c>
      <c r="D11" s="56">
        <f>1/100</f>
        <v>0.01</v>
      </c>
      <c r="E11" s="77">
        <f t="shared" si="0"/>
        <v>990000</v>
      </c>
      <c r="F11" s="56">
        <v>0.99</v>
      </c>
      <c r="G11" s="56">
        <f t="shared" si="1"/>
        <v>0.9405</v>
      </c>
      <c r="H11" s="56">
        <v>1</v>
      </c>
      <c r="I11" s="73">
        <f>B11*E36*1000000</f>
        <v>117655.17241379312</v>
      </c>
      <c r="J11" s="73">
        <f>C11*E36*1000000</f>
        <v>111586.20689655172</v>
      </c>
      <c r="K11" s="73">
        <f t="shared" si="4"/>
        <v>-6068.9655172413914</v>
      </c>
      <c r="L11" s="78">
        <f>(I11-I3)/(E11-E3)</f>
        <v>0.14006568144499182</v>
      </c>
      <c r="M11" s="78">
        <f>(J11-J3)/(E11-E3)</f>
        <v>0.1328407224958949</v>
      </c>
      <c r="N11" s="78">
        <f>(I11-I4)/(E11-E4)</f>
        <v>0.51154422788605702</v>
      </c>
      <c r="O11" s="78">
        <f>(J11-J4)/(E11-E4)</f>
        <v>0.48515742128935535</v>
      </c>
      <c r="P11" s="66" t="s">
        <v>82</v>
      </c>
      <c r="Q11" s="66" t="s">
        <v>82</v>
      </c>
    </row>
    <row r="12" spans="1:17">
      <c r="A12" s="59" t="s">
        <v>72</v>
      </c>
      <c r="B12" s="56">
        <v>0.1424</v>
      </c>
      <c r="C12" s="56">
        <v>0.13769999999999999</v>
      </c>
      <c r="D12" s="56">
        <f>1/100</f>
        <v>0.01</v>
      </c>
      <c r="E12" s="77">
        <f t="shared" si="0"/>
        <v>990000</v>
      </c>
      <c r="F12" s="56">
        <v>0.99</v>
      </c>
      <c r="G12" s="56">
        <f t="shared" si="1"/>
        <v>0.9405</v>
      </c>
      <c r="H12" s="56">
        <v>1</v>
      </c>
      <c r="I12" s="73">
        <f>B12*E41*1000000</f>
        <v>98206.896551724145</v>
      </c>
      <c r="J12" s="73">
        <f>C12*E41*1000000</f>
        <v>94965.517241379304</v>
      </c>
      <c r="K12" s="73">
        <f t="shared" si="4"/>
        <v>-3241.3793103448406</v>
      </c>
      <c r="L12" s="78">
        <f>(I12-I3)/(E12-E3)</f>
        <v>0.11691297208538588</v>
      </c>
      <c r="M12" s="78">
        <f>(J12-J3)/(E12-E3)</f>
        <v>0.11305418719211822</v>
      </c>
      <c r="N12" s="78">
        <f>(I12-I4)/(E12-E4)</f>
        <v>0.42698650674662669</v>
      </c>
      <c r="O12" s="78">
        <f>(J12-J4)/(E12-E4)</f>
        <v>0.41289355322338828</v>
      </c>
      <c r="P12" s="66" t="s">
        <v>82</v>
      </c>
      <c r="Q12" s="66" t="s">
        <v>82</v>
      </c>
    </row>
    <row r="13" spans="1:17">
      <c r="A13" s="57" t="s">
        <v>73</v>
      </c>
      <c r="B13" s="58"/>
      <c r="C13" s="58"/>
      <c r="D13" s="58"/>
      <c r="E13" s="77"/>
      <c r="F13" s="56"/>
      <c r="G13" s="56"/>
      <c r="H13" s="56"/>
      <c r="I13" s="73"/>
      <c r="J13" s="73"/>
      <c r="K13" s="73"/>
      <c r="L13" s="89">
        <f>AVERAGE(L14:L15)</f>
        <v>1.913225865332191E-2</v>
      </c>
      <c r="M13" s="89">
        <f t="shared" ref="M13" si="6">AVERAGE(M14:M15)</f>
        <v>1.9614773669663188E-2</v>
      </c>
      <c r="N13" s="89">
        <f t="shared" ref="N13" si="7">AVERAGE(N14:N15)</f>
        <v>6.8660755054593403E-2</v>
      </c>
      <c r="O13" s="89">
        <f t="shared" ref="O13" si="8">AVERAGE(O14:O15)</f>
        <v>7.0381897696231016E-2</v>
      </c>
      <c r="P13" s="79"/>
      <c r="Q13" s="79"/>
    </row>
    <row r="14" spans="1:17">
      <c r="A14" s="59" t="s">
        <v>78</v>
      </c>
      <c r="B14" s="56">
        <v>4.1300000000000003E-2</v>
      </c>
      <c r="C14" s="56">
        <v>4.1799999999999997E-2</v>
      </c>
      <c r="D14" s="56">
        <f>1/200</f>
        <v>5.0000000000000001E-3</v>
      </c>
      <c r="E14" s="77">
        <f t="shared" si="0"/>
        <v>995000</v>
      </c>
      <c r="F14" s="56">
        <v>0.995</v>
      </c>
      <c r="G14" s="56">
        <f t="shared" si="1"/>
        <v>0.94524999999999992</v>
      </c>
      <c r="H14" s="56">
        <v>1</v>
      </c>
      <c r="I14" s="73">
        <f>B14*E46*1000000</f>
        <v>27691.570881226056</v>
      </c>
      <c r="J14" s="73">
        <f>C14*E46*1000000</f>
        <v>28026.819923371644</v>
      </c>
      <c r="K14" s="73">
        <f t="shared" si="4"/>
        <v>335.24904214558774</v>
      </c>
      <c r="L14" s="78">
        <f>(I14-I3)/(E14-E3)</f>
        <v>3.2771089800267522E-2</v>
      </c>
      <c r="M14" s="78">
        <f>(J14-J3)/(E14-E3)</f>
        <v>3.3167834228842182E-2</v>
      </c>
      <c r="N14" s="78">
        <f>(I14-I4)/(E14-E4)</f>
        <v>0.11783647183500449</v>
      </c>
      <c r="O14" s="78">
        <f>(J14-J4)/(E14-E4)</f>
        <v>0.11926306350370912</v>
      </c>
      <c r="P14" s="66" t="s">
        <v>82</v>
      </c>
      <c r="Q14" s="66" t="s">
        <v>82</v>
      </c>
    </row>
    <row r="15" spans="1:17">
      <c r="A15" s="59" t="s">
        <v>74</v>
      </c>
      <c r="B15" s="56">
        <v>2.8999999999999998E-3</v>
      </c>
      <c r="C15" s="56">
        <v>3.2000000000000002E-3</v>
      </c>
      <c r="D15" s="56">
        <f>1/2000</f>
        <v>5.0000000000000001E-4</v>
      </c>
      <c r="E15" s="77">
        <f t="shared" si="0"/>
        <v>999500</v>
      </c>
      <c r="F15" s="56">
        <v>0.99950000000000006</v>
      </c>
      <c r="G15" s="56">
        <f t="shared" si="1"/>
        <v>0.94952500000000006</v>
      </c>
      <c r="H15" s="56">
        <v>1</v>
      </c>
      <c r="I15" s="73">
        <f>B15*E51*1000000</f>
        <v>4666.6666666666661</v>
      </c>
      <c r="J15" s="73">
        <f>C15*E51*1000000</f>
        <v>5149.4252873563219</v>
      </c>
      <c r="K15" s="73">
        <f t="shared" si="4"/>
        <v>482.7586206896558</v>
      </c>
      <c r="L15" s="78">
        <f>(I15-I3)/(E15-E3)</f>
        <v>5.4934275063762989E-3</v>
      </c>
      <c r="M15" s="78">
        <f>(J15-J3)/(E15-E3)</f>
        <v>6.0617131104841928E-3</v>
      </c>
      <c r="N15" s="78">
        <f>(I15-I4)/(E15-E4)</f>
        <v>1.9485038274182322E-2</v>
      </c>
      <c r="O15" s="78">
        <f>(J15-J4)/(E15-E4)</f>
        <v>2.150073188875291E-2</v>
      </c>
      <c r="P15" s="66" t="s">
        <v>82</v>
      </c>
      <c r="Q15" s="66" t="s">
        <v>82</v>
      </c>
    </row>
    <row r="16" spans="1:17">
      <c r="A16" s="53" t="s">
        <v>65</v>
      </c>
    </row>
    <row r="17" spans="1:19">
      <c r="A17" s="60" t="s">
        <v>75</v>
      </c>
    </row>
    <row r="18" spans="1:19">
      <c r="I18" s="85"/>
    </row>
    <row r="19" spans="1:19">
      <c r="A19" s="61" t="s">
        <v>10</v>
      </c>
      <c r="B19" s="61" t="s">
        <v>27</v>
      </c>
      <c r="C19" s="61" t="s">
        <v>31</v>
      </c>
      <c r="D19" s="146" t="s">
        <v>29</v>
      </c>
      <c r="E19" s="147"/>
      <c r="G19" s="55" t="s">
        <v>83</v>
      </c>
      <c r="H19" s="54" t="s">
        <v>60</v>
      </c>
      <c r="I19" s="58" t="s">
        <v>118</v>
      </c>
      <c r="J19" s="54" t="s">
        <v>61</v>
      </c>
      <c r="K19" s="58" t="s">
        <v>118</v>
      </c>
      <c r="M19" s="94"/>
      <c r="N19" s="94"/>
      <c r="O19" s="94"/>
      <c r="Q19" s="94"/>
      <c r="R19" s="94"/>
      <c r="S19" s="94"/>
    </row>
    <row r="20" spans="1:19">
      <c r="A20" s="62" t="s">
        <v>24</v>
      </c>
      <c r="B20" s="63">
        <f>61000/144</f>
        <v>423.61111111111109</v>
      </c>
      <c r="C20" s="62">
        <v>89</v>
      </c>
      <c r="D20" s="63">
        <f>B20*C20</f>
        <v>37701.388888888883</v>
      </c>
      <c r="E20" s="66">
        <f>D20/14500</f>
        <v>2.6000957854406126</v>
      </c>
      <c r="F20" s="68">
        <v>2.6000957854406126</v>
      </c>
      <c r="G20" s="55" t="s">
        <v>119</v>
      </c>
      <c r="H20" s="78">
        <v>0.57470015049908074</v>
      </c>
      <c r="I20" s="58"/>
      <c r="J20" s="78">
        <v>0.52121938548779179</v>
      </c>
      <c r="K20" s="58"/>
      <c r="M20" s="85"/>
      <c r="N20" s="74"/>
      <c r="O20" s="74"/>
      <c r="Q20" s="85"/>
      <c r="R20" s="74"/>
      <c r="S20" s="74"/>
    </row>
    <row r="21" spans="1:19">
      <c r="A21" s="69" t="s">
        <v>25</v>
      </c>
      <c r="B21" s="70">
        <f t="shared" ref="B21:B22" si="9">61000/144</f>
        <v>423.61111111111109</v>
      </c>
      <c r="C21" s="69">
        <v>112</v>
      </c>
      <c r="D21" s="70">
        <f>B21*C21</f>
        <v>47444.444444444438</v>
      </c>
      <c r="E21" s="71">
        <f>D21/14500</f>
        <v>3.2720306513409958</v>
      </c>
      <c r="F21" s="68">
        <v>3.2720306513409958</v>
      </c>
      <c r="G21" s="82" t="s">
        <v>85</v>
      </c>
      <c r="H21" s="88">
        <v>0.58330563588516615</v>
      </c>
      <c r="I21" s="155">
        <f>H22-H21</f>
        <v>-1.6218495664352295E-2</v>
      </c>
      <c r="J21" s="78">
        <v>0.5297399832251859</v>
      </c>
      <c r="K21" s="155">
        <f>J22-J21</f>
        <v>-1.6058510503668022E-2</v>
      </c>
      <c r="N21" s="96"/>
      <c r="O21" s="96"/>
      <c r="R21" s="96"/>
      <c r="S21" s="96"/>
    </row>
    <row r="22" spans="1:19">
      <c r="A22" s="62" t="s">
        <v>26</v>
      </c>
      <c r="B22" s="63">
        <f t="shared" si="9"/>
        <v>423.61111111111109</v>
      </c>
      <c r="C22" s="62">
        <v>144</v>
      </c>
      <c r="D22" s="63">
        <f>B22*C22</f>
        <v>61000</v>
      </c>
      <c r="E22" s="66">
        <f t="shared" ref="E22:E52" si="10">D22/14500</f>
        <v>4.2068965517241379</v>
      </c>
      <c r="F22" s="68">
        <v>4.2068965517241379</v>
      </c>
      <c r="G22" s="82" t="s">
        <v>86</v>
      </c>
      <c r="H22" s="88">
        <v>0.56708714022081386</v>
      </c>
      <c r="I22" s="156"/>
      <c r="J22" s="78">
        <v>0.51368147272151787</v>
      </c>
      <c r="K22" s="156"/>
      <c r="M22" s="83"/>
      <c r="N22" s="95"/>
      <c r="O22" s="96"/>
      <c r="Q22" s="83"/>
      <c r="R22" s="95"/>
      <c r="S22" s="96"/>
    </row>
    <row r="23" spans="1:19">
      <c r="A23" s="64"/>
      <c r="B23" s="64"/>
      <c r="C23" s="64"/>
      <c r="D23" s="64"/>
      <c r="E23" s="68"/>
      <c r="F23" s="68"/>
      <c r="G23" s="82" t="s">
        <v>87</v>
      </c>
      <c r="H23" s="88">
        <v>0.58291052564084855</v>
      </c>
      <c r="I23" s="155">
        <f>H24-H23</f>
        <v>-1.549319703971086E-2</v>
      </c>
      <c r="J23" s="78">
        <v>0.52888660062497483</v>
      </c>
      <c r="K23" s="155">
        <f>J24-J23</f>
        <v>-1.4468239613306233E-2</v>
      </c>
      <c r="M23" s="83"/>
      <c r="N23" s="95"/>
      <c r="O23" s="96"/>
      <c r="Q23" s="83"/>
      <c r="R23" s="95"/>
      <c r="S23" s="96"/>
    </row>
    <row r="24" spans="1:19">
      <c r="A24" s="61" t="s">
        <v>8</v>
      </c>
      <c r="B24" s="61" t="s">
        <v>27</v>
      </c>
      <c r="C24" s="61" t="s">
        <v>28</v>
      </c>
      <c r="D24" s="146" t="s">
        <v>29</v>
      </c>
      <c r="E24" s="147"/>
      <c r="F24" s="68"/>
      <c r="G24" s="82" t="s">
        <v>88</v>
      </c>
      <c r="H24" s="88">
        <v>0.56741732860113769</v>
      </c>
      <c r="I24" s="156"/>
      <c r="J24" s="78">
        <v>0.5144183610116686</v>
      </c>
      <c r="K24" s="156"/>
      <c r="M24" s="83"/>
      <c r="N24" s="95"/>
      <c r="O24" s="96"/>
      <c r="Q24" s="83"/>
      <c r="R24" s="95"/>
      <c r="S24" s="96"/>
    </row>
    <row r="25" spans="1:19">
      <c r="A25" s="62" t="s">
        <v>24</v>
      </c>
      <c r="B25" s="63">
        <v>2175</v>
      </c>
      <c r="C25" s="62">
        <v>21</v>
      </c>
      <c r="D25" s="63">
        <f>B25*365/C25</f>
        <v>37803.571428571428</v>
      </c>
      <c r="E25" s="66">
        <f t="shared" si="10"/>
        <v>2.6071428571428572</v>
      </c>
      <c r="F25" s="68">
        <v>2.6071428571428572</v>
      </c>
      <c r="G25" s="82" t="s">
        <v>89</v>
      </c>
      <c r="H25" s="88">
        <v>0.59454702042663976</v>
      </c>
      <c r="I25" s="155">
        <f>H26-H25</f>
        <v>-3.7464820173886748E-2</v>
      </c>
      <c r="J25" s="78">
        <v>0.53830514385058192</v>
      </c>
      <c r="K25" s="155">
        <f>J26-J25</f>
        <v>-3.2252686037285927E-2</v>
      </c>
      <c r="M25" s="83"/>
      <c r="N25" s="95"/>
      <c r="O25" s="96"/>
      <c r="Q25" s="83"/>
      <c r="R25" s="95"/>
      <c r="S25" s="96"/>
    </row>
    <row r="26" spans="1:19">
      <c r="A26" s="69" t="s">
        <v>25</v>
      </c>
      <c r="B26" s="70">
        <v>3135</v>
      </c>
      <c r="C26" s="69">
        <v>28</v>
      </c>
      <c r="D26" s="70">
        <f>B26*365/C26</f>
        <v>40866.964285714283</v>
      </c>
      <c r="E26" s="71">
        <f t="shared" si="10"/>
        <v>2.818411330049261</v>
      </c>
      <c r="F26" s="68">
        <v>2.818411330049261</v>
      </c>
      <c r="G26" s="82" t="s">
        <v>90</v>
      </c>
      <c r="H26" s="88">
        <v>0.55708220025275301</v>
      </c>
      <c r="I26" s="156"/>
      <c r="J26" s="78">
        <v>0.506052457813296</v>
      </c>
      <c r="K26" s="156"/>
      <c r="M26" s="83"/>
      <c r="N26" s="95"/>
      <c r="O26" s="96"/>
      <c r="Q26" s="83"/>
      <c r="R26" s="95"/>
      <c r="S26" s="96"/>
    </row>
    <row r="27" spans="1:19">
      <c r="A27" s="62" t="s">
        <v>26</v>
      </c>
      <c r="B27" s="63">
        <v>3575</v>
      </c>
      <c r="C27" s="62">
        <v>21</v>
      </c>
      <c r="D27" s="63">
        <f>B27*365/C27</f>
        <v>62136.904761904763</v>
      </c>
      <c r="E27" s="66">
        <f t="shared" si="10"/>
        <v>4.2853037766830875</v>
      </c>
      <c r="F27" s="68">
        <v>4.2853037766830875</v>
      </c>
      <c r="G27" s="82" t="s">
        <v>91</v>
      </c>
      <c r="H27" s="88">
        <v>0.5475848839200983</v>
      </c>
      <c r="I27" s="155">
        <f>H28-H27</f>
        <v>6.4960696517412875E-2</v>
      </c>
      <c r="J27" s="78">
        <v>0.4943715937949153</v>
      </c>
      <c r="K27" s="155">
        <f>J28-J27</f>
        <v>6.4319900497512517E-2</v>
      </c>
      <c r="M27" s="83"/>
      <c r="N27" s="95"/>
      <c r="O27" s="96"/>
      <c r="Q27" s="83"/>
      <c r="R27" s="95"/>
      <c r="S27" s="96"/>
    </row>
    <row r="28" spans="1:19">
      <c r="A28" s="64"/>
      <c r="B28" s="64"/>
      <c r="C28" s="64"/>
      <c r="D28" s="64"/>
      <c r="E28" s="68"/>
      <c r="F28" s="68"/>
      <c r="G28" s="82" t="s">
        <v>92</v>
      </c>
      <c r="H28" s="88">
        <v>0.61254558043751117</v>
      </c>
      <c r="I28" s="156"/>
      <c r="J28" s="78">
        <v>0.55869149429242781</v>
      </c>
      <c r="K28" s="156"/>
      <c r="M28" s="83"/>
      <c r="N28" s="95"/>
      <c r="O28" s="96"/>
      <c r="Q28" s="83"/>
      <c r="R28" s="95"/>
      <c r="S28" s="96"/>
    </row>
    <row r="29" spans="1:19">
      <c r="A29" s="61" t="s">
        <v>7</v>
      </c>
      <c r="B29" s="61" t="s">
        <v>27</v>
      </c>
      <c r="C29" s="67" t="s">
        <v>30</v>
      </c>
      <c r="D29" s="146" t="s">
        <v>29</v>
      </c>
      <c r="E29" s="147"/>
      <c r="F29" s="68"/>
      <c r="G29" s="82" t="s">
        <v>93</v>
      </c>
      <c r="H29" s="88">
        <v>0.56516624623410805</v>
      </c>
      <c r="I29" s="155">
        <f>H30-H29</f>
        <v>7.6852631578947284E-2</v>
      </c>
      <c r="J29" s="78">
        <v>0.51231619972165232</v>
      </c>
      <c r="K29" s="155">
        <f>J30-J29</f>
        <v>7.1768421052631592E-2</v>
      </c>
      <c r="M29" s="83"/>
      <c r="N29" s="95"/>
      <c r="O29" s="96"/>
      <c r="Q29" s="83"/>
      <c r="R29" s="95"/>
      <c r="S29" s="96"/>
    </row>
    <row r="30" spans="1:19">
      <c r="A30" s="62" t="s">
        <v>24</v>
      </c>
      <c r="B30" s="63">
        <v>10000</v>
      </c>
      <c r="C30" s="62">
        <v>4</v>
      </c>
      <c r="D30" s="63">
        <f>B30*C30</f>
        <v>40000</v>
      </c>
      <c r="E30" s="66">
        <f t="shared" si="10"/>
        <v>2.7586206896551726</v>
      </c>
      <c r="F30" s="68">
        <v>2.7586206896551726</v>
      </c>
      <c r="G30" s="82" t="s">
        <v>94</v>
      </c>
      <c r="H30" s="88">
        <v>0.64201887781305533</v>
      </c>
      <c r="I30" s="156"/>
      <c r="J30" s="78">
        <v>0.58408462077428391</v>
      </c>
      <c r="K30" s="156"/>
      <c r="L30" s="83"/>
      <c r="M30" s="83"/>
      <c r="P30" s="83"/>
      <c r="Q30" s="83"/>
    </row>
    <row r="31" spans="1:19">
      <c r="A31" s="69" t="s">
        <v>25</v>
      </c>
      <c r="B31" s="70">
        <v>15000</v>
      </c>
      <c r="C31" s="69">
        <v>4</v>
      </c>
      <c r="D31" s="70">
        <f t="shared" ref="D31:D32" si="11">B31*C31</f>
        <v>60000</v>
      </c>
      <c r="E31" s="71">
        <f t="shared" si="10"/>
        <v>4.1379310344827589</v>
      </c>
      <c r="F31" s="68">
        <v>4.1379310344827589</v>
      </c>
      <c r="G31" s="82" t="s">
        <v>95</v>
      </c>
      <c r="H31" s="88">
        <v>0.47022158218829935</v>
      </c>
      <c r="I31" s="155">
        <f>H32-H31</f>
        <v>0.20927088607594946</v>
      </c>
      <c r="J31" s="78">
        <v>0.43127595467155438</v>
      </c>
      <c r="K31" s="155">
        <f>J32-J31</f>
        <v>0.18015696202531634</v>
      </c>
      <c r="L31" s="83"/>
      <c r="M31" s="83"/>
      <c r="P31" s="83"/>
      <c r="Q31" s="83"/>
    </row>
    <row r="32" spans="1:19">
      <c r="A32" s="62" t="s">
        <v>26</v>
      </c>
      <c r="B32" s="63">
        <v>20000</v>
      </c>
      <c r="C32" s="62">
        <v>4</v>
      </c>
      <c r="D32" s="63">
        <f t="shared" si="11"/>
        <v>80000</v>
      </c>
      <c r="E32" s="66">
        <f t="shared" si="10"/>
        <v>5.5172413793103452</v>
      </c>
      <c r="F32" s="68">
        <v>5.5172413793103452</v>
      </c>
      <c r="G32" s="82" t="s">
        <v>96</v>
      </c>
      <c r="H32" s="88">
        <v>0.67949246826424881</v>
      </c>
      <c r="I32" s="156"/>
      <c r="J32" s="78">
        <v>0.61143291669687072</v>
      </c>
      <c r="K32" s="156"/>
      <c r="L32" s="83"/>
      <c r="M32" s="83"/>
      <c r="P32" s="83"/>
      <c r="Q32" s="83"/>
    </row>
    <row r="33" spans="1:17">
      <c r="A33" s="64"/>
      <c r="B33" s="64"/>
      <c r="C33" s="64"/>
      <c r="D33" s="64"/>
      <c r="E33" s="68"/>
      <c r="F33" s="68"/>
      <c r="G33" s="87" t="s">
        <v>120</v>
      </c>
      <c r="H33" s="78">
        <v>0.12848932676518884</v>
      </c>
      <c r="I33" s="58"/>
      <c r="J33" s="78">
        <v>0.12294745484400657</v>
      </c>
      <c r="K33" s="97"/>
      <c r="L33" s="83"/>
      <c r="M33" s="83"/>
      <c r="P33" s="83"/>
      <c r="Q33" s="83"/>
    </row>
    <row r="34" spans="1:17">
      <c r="A34" s="61" t="s">
        <v>6</v>
      </c>
      <c r="B34" s="61" t="s">
        <v>27</v>
      </c>
      <c r="C34" s="61" t="s">
        <v>32</v>
      </c>
      <c r="D34" s="146" t="s">
        <v>29</v>
      </c>
      <c r="E34" s="147"/>
      <c r="F34" s="68"/>
      <c r="G34" s="84" t="s">
        <v>97</v>
      </c>
      <c r="H34" s="90">
        <v>0.13287468491289731</v>
      </c>
      <c r="I34" s="155">
        <f>H35-H34</f>
        <v>-5.2092739209143035E-3</v>
      </c>
      <c r="J34" s="78">
        <v>0.12710660459957063</v>
      </c>
      <c r="K34" s="155">
        <f>J35-J34</f>
        <v>-4.9405657702457917E-3</v>
      </c>
    </row>
    <row r="35" spans="1:17">
      <c r="A35" s="62" t="s">
        <v>24</v>
      </c>
      <c r="B35" s="63">
        <v>100000</v>
      </c>
      <c r="C35" s="62">
        <v>6</v>
      </c>
      <c r="D35" s="63">
        <f>B35/C35</f>
        <v>16666.666666666668</v>
      </c>
      <c r="E35" s="66">
        <f t="shared" si="10"/>
        <v>1.149425287356322</v>
      </c>
      <c r="F35" s="68">
        <v>1.149425287356322</v>
      </c>
      <c r="G35" s="84" t="s">
        <v>98</v>
      </c>
      <c r="H35" s="90">
        <v>0.127665410991983</v>
      </c>
      <c r="I35" s="156"/>
      <c r="J35" s="78">
        <v>0.12216603882932484</v>
      </c>
      <c r="K35" s="156"/>
      <c r="L35" s="94"/>
      <c r="M35" s="94"/>
      <c r="O35" s="94"/>
      <c r="P35" s="94"/>
      <c r="Q35" s="94"/>
    </row>
    <row r="36" spans="1:17">
      <c r="A36" s="69" t="s">
        <v>25</v>
      </c>
      <c r="B36" s="70">
        <v>100000</v>
      </c>
      <c r="C36" s="69">
        <v>5</v>
      </c>
      <c r="D36" s="70">
        <f>B36/C36</f>
        <v>20000</v>
      </c>
      <c r="E36" s="71">
        <f t="shared" si="10"/>
        <v>1.3793103448275863</v>
      </c>
      <c r="F36" s="68">
        <v>1.3793103448275863</v>
      </c>
      <c r="G36" s="84" t="s">
        <v>99</v>
      </c>
      <c r="H36" s="90">
        <v>0.13214978983807096</v>
      </c>
      <c r="I36" s="155">
        <f>H37-H36</f>
        <v>-4.3481864380902624E-3</v>
      </c>
      <c r="J36" s="78">
        <v>0.12648710207108427</v>
      </c>
      <c r="K36" s="155">
        <f>J37-J36</f>
        <v>-4.2046718576195796E-3</v>
      </c>
      <c r="L36" s="74"/>
      <c r="M36" s="74"/>
      <c r="O36" s="85"/>
      <c r="P36" s="74"/>
      <c r="Q36" s="74"/>
    </row>
    <row r="37" spans="1:17">
      <c r="A37" s="62" t="s">
        <v>26</v>
      </c>
      <c r="B37" s="63">
        <v>100000</v>
      </c>
      <c r="C37" s="62">
        <v>3</v>
      </c>
      <c r="D37" s="63">
        <f>B37/C37</f>
        <v>33333.333333333336</v>
      </c>
      <c r="E37" s="66">
        <f t="shared" si="10"/>
        <v>2.298850574712644</v>
      </c>
      <c r="F37" s="68">
        <v>2.298850574712644</v>
      </c>
      <c r="G37" s="84" t="s">
        <v>100</v>
      </c>
      <c r="H37" s="90">
        <v>0.1278016033999807</v>
      </c>
      <c r="I37" s="156"/>
      <c r="J37" s="78">
        <v>0.12228243021346469</v>
      </c>
      <c r="K37" s="156"/>
      <c r="L37" s="95"/>
      <c r="M37" s="95"/>
      <c r="O37" s="83"/>
      <c r="P37" s="95"/>
      <c r="Q37" s="95"/>
    </row>
    <row r="38" spans="1:17">
      <c r="A38" s="64"/>
      <c r="B38" s="64"/>
      <c r="C38" s="64"/>
      <c r="D38" s="64"/>
      <c r="E38" s="68"/>
      <c r="F38" s="68"/>
      <c r="G38" s="84" t="s">
        <v>101</v>
      </c>
      <c r="H38" s="90">
        <v>0.11684636699507389</v>
      </c>
      <c r="I38" s="155">
        <f>H39-H38</f>
        <v>5.8389880952380929E-2</v>
      </c>
      <c r="J38" s="78">
        <v>0.11190506978653529</v>
      </c>
      <c r="K38" s="155">
        <f>J39-J38</f>
        <v>5.5377976190476172E-2</v>
      </c>
      <c r="L38" s="95"/>
      <c r="M38" s="95"/>
      <c r="O38" s="83"/>
      <c r="P38" s="95"/>
      <c r="Q38" s="95"/>
    </row>
    <row r="39" spans="1:17">
      <c r="A39" s="61" t="s">
        <v>2</v>
      </c>
      <c r="B39" s="61" t="s">
        <v>27</v>
      </c>
      <c r="C39" s="61" t="s">
        <v>32</v>
      </c>
      <c r="D39" s="146" t="s">
        <v>29</v>
      </c>
      <c r="E39" s="147"/>
      <c r="F39" s="68"/>
      <c r="G39" s="84" t="s">
        <v>102</v>
      </c>
      <c r="H39" s="90">
        <v>0.17523624794745482</v>
      </c>
      <c r="I39" s="156"/>
      <c r="J39" s="78">
        <v>0.16728304597701146</v>
      </c>
      <c r="K39" s="156"/>
      <c r="L39" s="95"/>
      <c r="M39" s="95"/>
      <c r="O39" s="83"/>
      <c r="P39" s="95"/>
      <c r="Q39" s="95"/>
    </row>
    <row r="40" spans="1:17">
      <c r="A40" s="62" t="s">
        <v>24</v>
      </c>
      <c r="B40" s="63">
        <v>100000</v>
      </c>
      <c r="C40" s="62">
        <v>12</v>
      </c>
      <c r="D40" s="63">
        <f>B40/C40</f>
        <v>8333.3333333333339</v>
      </c>
      <c r="E40" s="66">
        <f t="shared" si="10"/>
        <v>0.57471264367816099</v>
      </c>
      <c r="F40" s="68">
        <v>0.57471264367816099</v>
      </c>
      <c r="G40" s="84" t="s">
        <v>103</v>
      </c>
      <c r="H40" s="90">
        <v>0.11834712643678161</v>
      </c>
      <c r="I40" s="155">
        <f>H41-H40</f>
        <v>2.4580952380952398E-2</v>
      </c>
      <c r="J40" s="78">
        <v>0.1131400041050903</v>
      </c>
      <c r="K40" s="155">
        <f>J41-J40</f>
        <v>2.376964285714285E-2</v>
      </c>
      <c r="L40" s="95"/>
      <c r="M40" s="95"/>
      <c r="O40" s="83"/>
      <c r="P40" s="95"/>
      <c r="Q40" s="95"/>
    </row>
    <row r="41" spans="1:17">
      <c r="A41" s="69" t="s">
        <v>25</v>
      </c>
      <c r="B41" s="70">
        <v>100000</v>
      </c>
      <c r="C41" s="69">
        <v>10</v>
      </c>
      <c r="D41" s="70">
        <f>B41/C41</f>
        <v>10000</v>
      </c>
      <c r="E41" s="71">
        <f t="shared" si="10"/>
        <v>0.68965517241379315</v>
      </c>
      <c r="F41" s="68">
        <v>0.68965517241379315</v>
      </c>
      <c r="G41" s="84" t="s">
        <v>104</v>
      </c>
      <c r="H41" s="90">
        <v>0.14292807881773401</v>
      </c>
      <c r="I41" s="156"/>
      <c r="J41" s="78">
        <v>0.13690964696223315</v>
      </c>
      <c r="K41" s="156"/>
      <c r="L41" s="83"/>
      <c r="N41" s="83"/>
      <c r="O41" s="83"/>
    </row>
    <row r="42" spans="1:17">
      <c r="A42" s="62" t="s">
        <v>26</v>
      </c>
      <c r="B42" s="63">
        <v>100000</v>
      </c>
      <c r="C42" s="62">
        <v>8</v>
      </c>
      <c r="D42" s="63">
        <f>B42/C42</f>
        <v>12500</v>
      </c>
      <c r="E42" s="66">
        <f t="shared" si="10"/>
        <v>0.86206896551724133</v>
      </c>
      <c r="F42" s="68">
        <v>0.86206896551724133</v>
      </c>
      <c r="G42" s="87" t="s">
        <v>64</v>
      </c>
      <c r="H42" s="78">
        <v>1.913225865332191E-2</v>
      </c>
      <c r="I42" s="97"/>
      <c r="J42" s="78">
        <v>1.9614773669663188E-2</v>
      </c>
      <c r="K42" s="97"/>
      <c r="L42" s="83"/>
      <c r="N42" s="83"/>
      <c r="O42" s="83"/>
    </row>
    <row r="43" spans="1:17">
      <c r="A43" s="64"/>
      <c r="B43" s="64"/>
      <c r="C43" s="64"/>
      <c r="D43" s="64"/>
      <c r="E43" s="68"/>
      <c r="F43" s="68"/>
      <c r="G43" s="84" t="s">
        <v>105</v>
      </c>
      <c r="H43" s="90">
        <v>2.0156226440995302E-2</v>
      </c>
      <c r="I43" s="155">
        <f>H44-H43</f>
        <v>-1.1203533459094722E-3</v>
      </c>
      <c r="J43" s="78">
        <v>2.0651138161787833E-2</v>
      </c>
      <c r="K43" s="155">
        <f>J44-J43</f>
        <v>-1.1339169457388852E-3</v>
      </c>
      <c r="L43" s="83"/>
      <c r="N43" s="83"/>
      <c r="O43" s="83"/>
    </row>
    <row r="44" spans="1:17">
      <c r="A44" s="61" t="s">
        <v>76</v>
      </c>
      <c r="B44" s="61" t="s">
        <v>27</v>
      </c>
      <c r="C44" s="61" t="s">
        <v>32</v>
      </c>
      <c r="D44" s="146" t="s">
        <v>29</v>
      </c>
      <c r="E44" s="147"/>
      <c r="F44" s="68"/>
      <c r="G44" s="84" t="s">
        <v>106</v>
      </c>
      <c r="H44" s="90">
        <v>1.903587309508583E-2</v>
      </c>
      <c r="I44" s="156"/>
      <c r="J44" s="78">
        <v>1.9517221216048947E-2</v>
      </c>
      <c r="K44" s="156"/>
    </row>
    <row r="45" spans="1:17">
      <c r="A45" s="62" t="s">
        <v>24</v>
      </c>
      <c r="B45" s="65">
        <v>350000</v>
      </c>
      <c r="C45" s="62">
        <f>73-29</f>
        <v>44</v>
      </c>
      <c r="D45" s="63">
        <f>B45/C45</f>
        <v>7954.545454545455</v>
      </c>
      <c r="E45" s="66">
        <f t="shared" si="10"/>
        <v>0.54858934169278994</v>
      </c>
      <c r="F45" s="68">
        <v>0.54858934169278994</v>
      </c>
      <c r="G45" s="84" t="s">
        <v>107</v>
      </c>
      <c r="H45" s="90">
        <v>1.9304035623502531E-2</v>
      </c>
      <c r="I45" s="155">
        <f>H46-H45</f>
        <v>-1.7339268415308279E-4</v>
      </c>
      <c r="J45" s="78">
        <v>1.9804320671241805E-2</v>
      </c>
      <c r="K45" s="155">
        <f>J46-J45</f>
        <v>-1.9132985837581884E-4</v>
      </c>
    </row>
    <row r="46" spans="1:17">
      <c r="A46" s="69" t="s">
        <v>25</v>
      </c>
      <c r="B46" s="72">
        <v>350000</v>
      </c>
      <c r="C46" s="69">
        <f>73-37</f>
        <v>36</v>
      </c>
      <c r="D46" s="70">
        <f>B46/C46</f>
        <v>9722.2222222222226</v>
      </c>
      <c r="E46" s="71">
        <f t="shared" si="10"/>
        <v>0.67049808429118773</v>
      </c>
      <c r="F46" s="68">
        <v>0.67049808429118773</v>
      </c>
      <c r="G46" s="84" t="s">
        <v>108</v>
      </c>
      <c r="H46" s="90">
        <v>1.9130642939349449E-2</v>
      </c>
      <c r="I46" s="156"/>
      <c r="J46" s="78">
        <v>1.9612990812865987E-2</v>
      </c>
      <c r="K46" s="156"/>
    </row>
    <row r="47" spans="1:17">
      <c r="A47" s="62" t="s">
        <v>26</v>
      </c>
      <c r="B47" s="65">
        <v>350000</v>
      </c>
      <c r="C47" s="62">
        <f>73-49</f>
        <v>24</v>
      </c>
      <c r="D47" s="63">
        <f>B47/C47</f>
        <v>14583.333333333334</v>
      </c>
      <c r="E47" s="66">
        <f t="shared" si="10"/>
        <v>1.0057471264367817</v>
      </c>
      <c r="F47" s="68">
        <v>1.0057471264367817</v>
      </c>
      <c r="G47" s="84" t="s">
        <v>109</v>
      </c>
      <c r="H47" s="90">
        <v>1.6187542155555016E-2</v>
      </c>
      <c r="I47" s="155">
        <f>H48-H47</f>
        <v>1.1241420118343195E-2</v>
      </c>
      <c r="J47" s="78">
        <v>1.6634406851100084E-2</v>
      </c>
      <c r="K47" s="155">
        <f>J48-J47</f>
        <v>1.1377514792899411E-2</v>
      </c>
    </row>
    <row r="48" spans="1:17">
      <c r="A48" s="64"/>
      <c r="B48" s="64"/>
      <c r="C48" s="64"/>
      <c r="D48" s="64"/>
      <c r="E48" s="68"/>
      <c r="F48" s="68"/>
      <c r="G48" s="84" t="s">
        <v>110</v>
      </c>
      <c r="H48" s="90">
        <v>2.7428962273898211E-2</v>
      </c>
      <c r="I48" s="156"/>
      <c r="J48" s="78">
        <v>2.8011921643999495E-2</v>
      </c>
      <c r="K48" s="156"/>
    </row>
    <row r="49" spans="1:16">
      <c r="A49" s="61" t="s">
        <v>9</v>
      </c>
      <c r="B49" s="61" t="s">
        <v>27</v>
      </c>
      <c r="C49" s="61" t="s">
        <v>32</v>
      </c>
      <c r="D49" s="146" t="s">
        <v>29</v>
      </c>
      <c r="E49" s="147"/>
      <c r="F49" s="68"/>
      <c r="G49" s="84" t="s">
        <v>111</v>
      </c>
      <c r="H49" s="90">
        <v>1.7563296518732938E-2</v>
      </c>
      <c r="I49" s="155">
        <f>H50-H49</f>
        <v>3.3967039434961745E-3</v>
      </c>
      <c r="J49" s="78">
        <v>1.7883505107358113E-2</v>
      </c>
      <c r="K49" s="155">
        <f>J50-J49</f>
        <v>3.7480871100647427E-3</v>
      </c>
    </row>
    <row r="50" spans="1:16">
      <c r="A50" s="62" t="s">
        <v>24</v>
      </c>
      <c r="B50" s="65">
        <v>350000</v>
      </c>
      <c r="C50" s="62">
        <f>69-34</f>
        <v>35</v>
      </c>
      <c r="D50" s="63">
        <f>B50/C50</f>
        <v>10000</v>
      </c>
      <c r="E50" s="66">
        <f t="shared" si="10"/>
        <v>0.68965517241379315</v>
      </c>
      <c r="F50" s="68">
        <v>0.68965517241379315</v>
      </c>
      <c r="G50" s="84" t="s">
        <v>112</v>
      </c>
      <c r="H50" s="90">
        <v>2.0960000462229112E-2</v>
      </c>
      <c r="I50" s="156"/>
      <c r="J50" s="78">
        <v>2.1631592217422856E-2</v>
      </c>
      <c r="K50" s="156"/>
      <c r="L50" s="83"/>
      <c r="M50" s="83"/>
      <c r="O50" s="83"/>
      <c r="P50" s="83"/>
    </row>
    <row r="51" spans="1:16">
      <c r="A51" s="69" t="s">
        <v>25</v>
      </c>
      <c r="B51" s="72">
        <v>350000</v>
      </c>
      <c r="C51" s="69">
        <f>69-54</f>
        <v>15</v>
      </c>
      <c r="D51" s="70">
        <f>B51/C51</f>
        <v>23333.333333333332</v>
      </c>
      <c r="E51" s="71">
        <f t="shared" si="10"/>
        <v>1.6091954022988504</v>
      </c>
      <c r="F51" s="68">
        <v>1.6091954022988504</v>
      </c>
      <c r="G51" s="83"/>
      <c r="H51" s="95"/>
      <c r="J51" s="96"/>
    </row>
    <row r="52" spans="1:16">
      <c r="A52" s="62" t="s">
        <v>26</v>
      </c>
      <c r="B52" s="65">
        <v>350000</v>
      </c>
      <c r="C52" s="62">
        <f>69-60</f>
        <v>9</v>
      </c>
      <c r="D52" s="63">
        <f>B52/C52</f>
        <v>38888.888888888891</v>
      </c>
      <c r="E52" s="66">
        <f t="shared" si="10"/>
        <v>2.6819923371647509</v>
      </c>
      <c r="F52" s="68">
        <v>2.6819923371647509</v>
      </c>
    </row>
    <row r="56" spans="1:16">
      <c r="A56" s="87" t="s">
        <v>114</v>
      </c>
      <c r="B56" s="141" t="s">
        <v>62</v>
      </c>
      <c r="C56" s="141"/>
      <c r="D56" s="157" t="s">
        <v>77</v>
      </c>
      <c r="E56" s="157"/>
    </row>
    <row r="57" spans="1:16">
      <c r="A57" s="87"/>
      <c r="B57" s="54" t="s">
        <v>60</v>
      </c>
      <c r="C57" s="54" t="s">
        <v>61</v>
      </c>
      <c r="D57" s="54" t="s">
        <v>60</v>
      </c>
      <c r="E57" s="54" t="s">
        <v>61</v>
      </c>
    </row>
    <row r="58" spans="1:16">
      <c r="A58" s="59" t="s">
        <v>115</v>
      </c>
      <c r="B58" s="93">
        <f t="shared" ref="B58:C59" si="12">B3</f>
        <v>0.318</v>
      </c>
      <c r="C58" s="93">
        <f t="shared" si="12"/>
        <v>0.35199999999999998</v>
      </c>
      <c r="D58" s="73">
        <f t="shared" ref="D58:E59" si="13">I3</f>
        <v>0</v>
      </c>
      <c r="E58" s="73">
        <f t="shared" si="13"/>
        <v>0</v>
      </c>
    </row>
    <row r="59" spans="1:16">
      <c r="A59" s="59" t="s">
        <v>116</v>
      </c>
      <c r="B59" s="93">
        <f t="shared" si="12"/>
        <v>4.4999999999999998E-2</v>
      </c>
      <c r="C59" s="93">
        <f t="shared" si="12"/>
        <v>5.1999999999999998E-2</v>
      </c>
      <c r="D59" s="73">
        <f t="shared" si="13"/>
        <v>0</v>
      </c>
      <c r="E59" s="73">
        <f t="shared" si="13"/>
        <v>0</v>
      </c>
    </row>
    <row r="60" spans="1:16">
      <c r="A60" s="59" t="s">
        <v>10</v>
      </c>
      <c r="B60" s="93">
        <f t="shared" ref="B60:C62" si="14">B7</f>
        <v>8.109999999999995E-2</v>
      </c>
      <c r="C60" s="93">
        <f t="shared" si="14"/>
        <v>8.0300000000000038E-2</v>
      </c>
      <c r="D60" s="73">
        <f t="shared" ref="D60:D62" si="15">I7</f>
        <v>265361.68582375458</v>
      </c>
      <c r="E60" s="73">
        <f t="shared" ref="E60:E62" si="16">J7</f>
        <v>262744.06130268209</v>
      </c>
    </row>
    <row r="61" spans="1:16">
      <c r="A61" s="59" t="s">
        <v>8</v>
      </c>
      <c r="B61" s="93">
        <f t="shared" si="14"/>
        <v>0.1043</v>
      </c>
      <c r="C61" s="93">
        <f t="shared" si="14"/>
        <v>9.74E-2</v>
      </c>
      <c r="D61" s="73">
        <f t="shared" si="15"/>
        <v>293960.30172413797</v>
      </c>
      <c r="E61" s="73">
        <f t="shared" si="16"/>
        <v>274513.26354679803</v>
      </c>
    </row>
    <row r="62" spans="1:16">
      <c r="A62" s="59" t="s">
        <v>7</v>
      </c>
      <c r="B62" s="93">
        <f t="shared" si="14"/>
        <v>0.1797</v>
      </c>
      <c r="C62" s="93">
        <f t="shared" si="14"/>
        <v>0.1547</v>
      </c>
      <c r="D62" s="73">
        <f t="shared" si="15"/>
        <v>743586.20689655177</v>
      </c>
      <c r="E62" s="73">
        <f t="shared" si="16"/>
        <v>640137.93103448278</v>
      </c>
    </row>
    <row r="63" spans="1:16">
      <c r="A63" s="59" t="s">
        <v>6</v>
      </c>
      <c r="B63" s="93">
        <f>B11</f>
        <v>8.5300000000000001E-2</v>
      </c>
      <c r="C63" s="93">
        <f>C11</f>
        <v>8.09E-2</v>
      </c>
      <c r="D63" s="73">
        <f>I11</f>
        <v>117655.17241379312</v>
      </c>
      <c r="E63" s="73">
        <f>J11</f>
        <v>111586.20689655172</v>
      </c>
    </row>
    <row r="64" spans="1:16">
      <c r="A64" s="59" t="s">
        <v>2</v>
      </c>
      <c r="B64" s="93">
        <f>B12</f>
        <v>0.1424</v>
      </c>
      <c r="C64" s="93">
        <f>C12</f>
        <v>0.13769999999999999</v>
      </c>
      <c r="D64" s="73">
        <f>I12</f>
        <v>98206.896551724145</v>
      </c>
      <c r="E64" s="73">
        <f>J12</f>
        <v>94965.517241379304</v>
      </c>
    </row>
    <row r="65" spans="1:5">
      <c r="A65" s="59" t="s">
        <v>20</v>
      </c>
      <c r="B65" s="93">
        <f>B14</f>
        <v>4.1300000000000003E-2</v>
      </c>
      <c r="C65" s="93">
        <f>C14</f>
        <v>4.1799999999999997E-2</v>
      </c>
      <c r="D65" s="73">
        <f>I14</f>
        <v>27691.570881226056</v>
      </c>
      <c r="E65" s="73">
        <f>J14</f>
        <v>28026.819923371644</v>
      </c>
    </row>
    <row r="66" spans="1:5">
      <c r="A66" s="59" t="s">
        <v>9</v>
      </c>
      <c r="B66" s="93">
        <f>B15</f>
        <v>2.8999999999999998E-3</v>
      </c>
      <c r="C66" s="93">
        <f>C15</f>
        <v>3.2000000000000002E-3</v>
      </c>
      <c r="D66" s="73">
        <f>I15</f>
        <v>4666.6666666666661</v>
      </c>
      <c r="E66" s="73">
        <f>J15</f>
        <v>5149.4252873563219</v>
      </c>
    </row>
  </sheetData>
  <mergeCells count="48">
    <mergeCell ref="I36:I37"/>
    <mergeCell ref="I34:I35"/>
    <mergeCell ref="K47:K48"/>
    <mergeCell ref="K49:K50"/>
    <mergeCell ref="I49:I50"/>
    <mergeCell ref="I47:I48"/>
    <mergeCell ref="I45:I46"/>
    <mergeCell ref="I43:I44"/>
    <mergeCell ref="K34:K35"/>
    <mergeCell ref="K36:K37"/>
    <mergeCell ref="K38:K39"/>
    <mergeCell ref="K40:K41"/>
    <mergeCell ref="K43:K44"/>
    <mergeCell ref="K45:K46"/>
    <mergeCell ref="K31:K32"/>
    <mergeCell ref="B56:C56"/>
    <mergeCell ref="D56:E56"/>
    <mergeCell ref="I21:I22"/>
    <mergeCell ref="I23:I24"/>
    <mergeCell ref="I25:I26"/>
    <mergeCell ref="I27:I28"/>
    <mergeCell ref="I29:I30"/>
    <mergeCell ref="I31:I32"/>
    <mergeCell ref="I40:I41"/>
    <mergeCell ref="K21:K22"/>
    <mergeCell ref="K23:K24"/>
    <mergeCell ref="K25:K26"/>
    <mergeCell ref="K27:K28"/>
    <mergeCell ref="K29:K30"/>
    <mergeCell ref="I38:I39"/>
    <mergeCell ref="I1:K1"/>
    <mergeCell ref="L3:M3"/>
    <mergeCell ref="N4:O4"/>
    <mergeCell ref="P6:Q6"/>
    <mergeCell ref="L1:M1"/>
    <mergeCell ref="N1:O1"/>
    <mergeCell ref="P1:Q1"/>
    <mergeCell ref="B1:C1"/>
    <mergeCell ref="A1:A2"/>
    <mergeCell ref="F1:H1"/>
    <mergeCell ref="D44:E44"/>
    <mergeCell ref="D49:E49"/>
    <mergeCell ref="D1:E1"/>
    <mergeCell ref="D19:E19"/>
    <mergeCell ref="D24:E24"/>
    <mergeCell ref="D29:E29"/>
    <mergeCell ref="D34:E34"/>
    <mergeCell ref="D39:E39"/>
  </mergeCells>
  <hyperlinks>
    <hyperlink ref="A16" r:id="rId1" xr:uid="{25481154-CB61-B045-94E7-215DF8BBF8C6}"/>
    <hyperlink ref="A17" r:id="rId2" xr:uid="{0A641C9D-5104-4243-828C-5D7FD628F64A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Cost</vt:lpstr>
      <vt:lpstr>CEA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Auliya A Suwantika</cp:lastModifiedBy>
  <dcterms:created xsi:type="dcterms:W3CDTF">2019-03-31T11:01:35Z</dcterms:created>
  <dcterms:modified xsi:type="dcterms:W3CDTF">2022-12-16T05:17:28Z</dcterms:modified>
</cp:coreProperties>
</file>