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hernandez\Documents\Thesis\AdequacyTool_version9_BELGIUM\excels_simus\"/>
    </mc:Choice>
  </mc:AlternateContent>
  <xr:revisionPtr revIDLastSave="0" documentId="13_ncr:1_{6F15B9F9-B7A9-4D64-9F3F-B0CED5317B06}" xr6:coauthVersionLast="36" xr6:coauthVersionMax="47" xr10:uidLastSave="{00000000-0000-0000-0000-000000000000}"/>
  <bookViews>
    <workbookView xWindow="0" yWindow="0" windowWidth="23040" windowHeight="7908" tabRatio="855" firstSheet="1" activeTab="12" xr2:uid="{EE44474B-BDFD-4354-9C62-310E1B8C3558}"/>
  </bookViews>
  <sheets>
    <sheet name="General" sheetId="17" r:id="rId1"/>
    <sheet name="Buses" sheetId="2" r:id="rId2"/>
    <sheet name="Lines" sheetId="3" r:id="rId3"/>
    <sheet name="Gen" sheetId="1" r:id="rId4"/>
    <sheet name="DistGen" sheetId="27" r:id="rId5"/>
    <sheet name="Res" sheetId="5" r:id="rId6"/>
    <sheet name="DistRes" sheetId="20" r:id="rId7"/>
    <sheet name="Imp" sheetId="10" r:id="rId8"/>
    <sheet name="Phs" sheetId="11" r:id="rId9"/>
    <sheet name="Batt" sheetId="12" r:id="rId10"/>
    <sheet name="H2PipeLines" sheetId="4" r:id="rId11"/>
    <sheet name="H2Imports" sheetId="26" r:id="rId12"/>
    <sheet name="H2demand" sheetId="23" r:id="rId13"/>
    <sheet name="Electrolyzer" sheetId="6" r:id="rId14"/>
    <sheet name="H2toP" sheetId="9" r:id="rId15"/>
    <sheet name="H2Sto" sheetId="7" r:id="rId16"/>
    <sheet name="EVs" sheetId="18" r:id="rId17"/>
    <sheet name="HPs" sheetId="28" r:id="rId18"/>
    <sheet name="Shift" sheetId="24" r:id="rId19"/>
    <sheet name="Shed" sheetId="25" r:id="rId20"/>
  </sheets>
  <definedNames>
    <definedName name="_xlnm._FilterDatabase" localSheetId="9" hidden="1">Batt!$A$1:$F$1</definedName>
    <definedName name="_xlnm._FilterDatabase" localSheetId="1" hidden="1">Buses!$A$1:$P$1</definedName>
    <definedName name="_xlnm._FilterDatabase" localSheetId="4" hidden="1">DistGen!$A$1:$C$1</definedName>
    <definedName name="_xlnm._FilterDatabase" localSheetId="13" hidden="1">Electrolyzer!$A$1:$E$1</definedName>
    <definedName name="_xlnm._FilterDatabase" localSheetId="3" hidden="1">Gen!$A$1:$N$1</definedName>
    <definedName name="_xlnm._FilterDatabase" localSheetId="10" hidden="1">H2PipeLines!$A$1:$H$1</definedName>
    <definedName name="_xlnm._FilterDatabase" localSheetId="15" hidden="1">H2Sto!$B$1:$G$1</definedName>
    <definedName name="_xlnm._FilterDatabase" localSheetId="14" hidden="1">H2toP!$A$1:$F$1</definedName>
    <definedName name="_xlnm._FilterDatabase" localSheetId="7" hidden="1">Imp!$A$1:$V$1</definedName>
    <definedName name="_xlnm._FilterDatabase" localSheetId="2" hidden="1">Lines!$A$1:$S$1</definedName>
    <definedName name="_xlnm._FilterDatabase" localSheetId="8" hidden="1">Phs!$A$1:$F$1</definedName>
    <definedName name="_xlnm._FilterDatabase" localSheetId="5" hidden="1">Res!$A$1:$F$1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2" l="1"/>
  <c r="H6" i="2"/>
  <c r="H44" i="2"/>
  <c r="H30" i="2"/>
  <c r="H9" i="2"/>
  <c r="H35" i="2"/>
  <c r="H31" i="2"/>
  <c r="H16" i="2"/>
  <c r="H15" i="2"/>
  <c r="H12" i="2"/>
  <c r="H2" i="2"/>
  <c r="H37" i="2"/>
  <c r="H45" i="2"/>
  <c r="H27" i="2"/>
  <c r="H4" i="2"/>
  <c r="H22" i="2"/>
  <c r="H24" i="2"/>
  <c r="H25" i="2"/>
  <c r="H33" i="2"/>
  <c r="H34" i="2"/>
  <c r="H36" i="2"/>
  <c r="H38" i="2"/>
  <c r="H42" i="2"/>
  <c r="H19" i="2"/>
  <c r="H10" i="2"/>
  <c r="H7" i="2"/>
  <c r="H40" i="2"/>
  <c r="H18" i="2"/>
  <c r="H28" i="2"/>
  <c r="H29" i="2"/>
  <c r="H46" i="2"/>
  <c r="H23" i="2"/>
  <c r="I21" i="2" l="1"/>
  <c r="I6" i="2"/>
  <c r="I30" i="2"/>
  <c r="I44" i="2"/>
  <c r="I9" i="2"/>
  <c r="I4" i="2"/>
  <c r="I22" i="2"/>
  <c r="I24" i="2"/>
  <c r="I25" i="2"/>
  <c r="I33" i="2"/>
  <c r="I34" i="2"/>
  <c r="I36" i="2"/>
  <c r="I38" i="2"/>
  <c r="I42" i="2"/>
  <c r="I19" i="2"/>
  <c r="I10" i="2"/>
  <c r="I7" i="2"/>
  <c r="I23" i="2"/>
  <c r="I35" i="2"/>
  <c r="I31" i="2"/>
  <c r="I16" i="2"/>
  <c r="I15" i="2"/>
  <c r="I12" i="2"/>
  <c r="I2" i="2"/>
  <c r="I37" i="2"/>
  <c r="I45" i="2"/>
  <c r="I27" i="2"/>
  <c r="I40" i="2"/>
  <c r="I18" i="2"/>
  <c r="I28" i="2"/>
  <c r="I29" i="2"/>
  <c r="I46" i="2"/>
  <c r="P12" i="10" l="1"/>
  <c r="P13" i="10"/>
  <c r="P14" i="10"/>
  <c r="P15" i="10"/>
  <c r="P16" i="10"/>
  <c r="P11" i="10"/>
  <c r="P10" i="10"/>
  <c r="P9" i="10"/>
  <c r="P5" i="10"/>
  <c r="P6" i="10"/>
  <c r="P7" i="10"/>
  <c r="P4" i="10"/>
  <c r="P3" i="10"/>
  <c r="P2" i="10"/>
  <c r="J3" i="10" l="1"/>
  <c r="H3" i="10"/>
  <c r="D3" i="7" l="1"/>
  <c r="D4" i="7"/>
  <c r="D5" i="7"/>
  <c r="D6" i="7"/>
  <c r="D7" i="7"/>
  <c r="D2" i="7"/>
  <c r="G41" i="2" l="1"/>
  <c r="G39" i="2"/>
  <c r="G32" i="2"/>
  <c r="G26" i="2"/>
  <c r="G21" i="2"/>
  <c r="G17" i="2"/>
  <c r="G6" i="2"/>
  <c r="G44" i="2"/>
  <c r="G30" i="2"/>
  <c r="G9" i="2"/>
  <c r="G35" i="2"/>
  <c r="G31" i="2"/>
  <c r="G20" i="2"/>
  <c r="G16" i="2"/>
  <c r="G15" i="2"/>
  <c r="G12" i="2"/>
  <c r="G2" i="2"/>
  <c r="G45" i="2"/>
  <c r="G37" i="2"/>
  <c r="G27" i="2"/>
  <c r="G5" i="2"/>
  <c r="G4" i="2"/>
  <c r="G48" i="2"/>
  <c r="G43" i="2"/>
  <c r="G42" i="2"/>
  <c r="G38" i="2"/>
  <c r="G36" i="2"/>
  <c r="G34" i="2"/>
  <c r="G33" i="2"/>
  <c r="G25" i="2"/>
  <c r="G24" i="2"/>
  <c r="G22" i="2"/>
  <c r="G19" i="2"/>
  <c r="G13" i="2"/>
  <c r="G10" i="2"/>
  <c r="G8" i="2"/>
  <c r="G7" i="2"/>
  <c r="G40" i="2"/>
  <c r="G18" i="2"/>
  <c r="G46" i="2"/>
  <c r="G29" i="2"/>
  <c r="G28" i="2"/>
  <c r="G23" i="2"/>
  <c r="Q74" i="3" l="1"/>
  <c r="P74" i="3"/>
  <c r="O74" i="3"/>
  <c r="J74" i="3"/>
  <c r="K47" i="2" l="1"/>
  <c r="K3" i="2"/>
  <c r="O24" i="3" l="1"/>
  <c r="P24" i="3"/>
  <c r="Q24" i="3"/>
  <c r="O25" i="3"/>
  <c r="P25" i="3"/>
  <c r="Q25" i="3"/>
  <c r="O26" i="3"/>
  <c r="P26" i="3"/>
  <c r="Q26" i="3"/>
  <c r="O27" i="3"/>
  <c r="P27" i="3"/>
  <c r="Q27" i="3"/>
  <c r="O28" i="3"/>
  <c r="P28" i="3"/>
  <c r="Q28" i="3"/>
  <c r="O29" i="3"/>
  <c r="P29" i="3"/>
  <c r="Q29" i="3"/>
  <c r="O30" i="3"/>
  <c r="P30" i="3"/>
  <c r="Q30" i="3"/>
  <c r="O31" i="3"/>
  <c r="P31" i="3"/>
  <c r="Q31" i="3"/>
  <c r="O32" i="3"/>
  <c r="P32" i="3"/>
  <c r="Q32" i="3"/>
  <c r="O33" i="3"/>
  <c r="P33" i="3"/>
  <c r="Q33" i="3"/>
  <c r="O34" i="3"/>
  <c r="P34" i="3"/>
  <c r="Q34" i="3"/>
  <c r="O35" i="3"/>
  <c r="P35" i="3"/>
  <c r="Q35" i="3"/>
  <c r="O36" i="3"/>
  <c r="P36" i="3"/>
  <c r="Q36" i="3"/>
  <c r="O37" i="3"/>
  <c r="P37" i="3"/>
  <c r="Q37" i="3"/>
  <c r="O38" i="3"/>
  <c r="P38" i="3"/>
  <c r="Q38" i="3"/>
  <c r="O39" i="3"/>
  <c r="P39" i="3"/>
  <c r="Q39" i="3"/>
  <c r="O40" i="3"/>
  <c r="P40" i="3"/>
  <c r="Q40" i="3"/>
  <c r="O41" i="3"/>
  <c r="P41" i="3"/>
  <c r="Q41" i="3"/>
  <c r="O42" i="3"/>
  <c r="P42" i="3"/>
  <c r="Q42" i="3"/>
  <c r="O43" i="3"/>
  <c r="P43" i="3"/>
  <c r="Q43" i="3"/>
  <c r="O44" i="3"/>
  <c r="P44" i="3"/>
  <c r="Q44" i="3"/>
  <c r="O45" i="3"/>
  <c r="P45" i="3"/>
  <c r="Q45" i="3"/>
  <c r="O46" i="3"/>
  <c r="P46" i="3"/>
  <c r="Q46" i="3"/>
  <c r="O47" i="3"/>
  <c r="P47" i="3"/>
  <c r="Q47" i="3"/>
  <c r="O48" i="3"/>
  <c r="P48" i="3"/>
  <c r="Q48" i="3"/>
  <c r="O49" i="3"/>
  <c r="P49" i="3"/>
  <c r="Q49" i="3"/>
  <c r="O50" i="3"/>
  <c r="P50" i="3"/>
  <c r="Q50" i="3"/>
  <c r="O51" i="3"/>
  <c r="P51" i="3"/>
  <c r="Q51" i="3"/>
  <c r="O52" i="3"/>
  <c r="P52" i="3"/>
  <c r="Q52" i="3"/>
  <c r="O53" i="3"/>
  <c r="P53" i="3"/>
  <c r="Q53" i="3"/>
  <c r="O54" i="3"/>
  <c r="P54" i="3"/>
  <c r="Q54" i="3"/>
  <c r="O55" i="3"/>
  <c r="P55" i="3"/>
  <c r="Q55" i="3"/>
  <c r="O56" i="3"/>
  <c r="P56" i="3"/>
  <c r="Q56" i="3"/>
  <c r="O57" i="3"/>
  <c r="P57" i="3"/>
  <c r="Q57" i="3"/>
  <c r="O58" i="3"/>
  <c r="P58" i="3"/>
  <c r="Q58" i="3"/>
  <c r="O59" i="3"/>
  <c r="P59" i="3"/>
  <c r="Q59" i="3"/>
  <c r="O60" i="3"/>
  <c r="P60" i="3"/>
  <c r="Q60" i="3"/>
  <c r="O61" i="3"/>
  <c r="P61" i="3"/>
  <c r="Q61" i="3"/>
  <c r="O62" i="3"/>
  <c r="P62" i="3"/>
  <c r="Q62" i="3"/>
  <c r="O63" i="3"/>
  <c r="P63" i="3"/>
  <c r="Q63" i="3"/>
  <c r="O64" i="3"/>
  <c r="P64" i="3"/>
  <c r="Q64" i="3"/>
  <c r="O65" i="3"/>
  <c r="P65" i="3"/>
  <c r="Q65" i="3"/>
  <c r="O66" i="3"/>
  <c r="P66" i="3"/>
  <c r="Q66" i="3"/>
  <c r="O67" i="3"/>
  <c r="P67" i="3"/>
  <c r="Q67" i="3"/>
  <c r="O68" i="3"/>
  <c r="P68" i="3"/>
  <c r="Q68" i="3"/>
  <c r="O69" i="3"/>
  <c r="P69" i="3"/>
  <c r="Q69" i="3"/>
  <c r="O70" i="3"/>
  <c r="P70" i="3"/>
  <c r="Q70" i="3"/>
  <c r="O71" i="3"/>
  <c r="P71" i="3"/>
  <c r="Q71" i="3"/>
  <c r="O72" i="3"/>
  <c r="P72" i="3"/>
  <c r="Q72" i="3"/>
  <c r="O73" i="3"/>
  <c r="P73" i="3"/>
  <c r="Q73" i="3"/>
  <c r="O75" i="3"/>
  <c r="P75" i="3"/>
  <c r="Q75" i="3"/>
  <c r="O3" i="3"/>
  <c r="P3" i="3"/>
  <c r="Q3" i="3"/>
  <c r="O4" i="3"/>
  <c r="P4" i="3"/>
  <c r="Q4" i="3"/>
  <c r="O5" i="3"/>
  <c r="P5" i="3"/>
  <c r="Q5" i="3"/>
  <c r="O6" i="3"/>
  <c r="P6" i="3"/>
  <c r="Q6" i="3"/>
  <c r="O7" i="3"/>
  <c r="P7" i="3"/>
  <c r="Q7" i="3"/>
  <c r="O8" i="3"/>
  <c r="P8" i="3"/>
  <c r="Q8" i="3"/>
  <c r="O9" i="3"/>
  <c r="P9" i="3"/>
  <c r="Q9" i="3"/>
  <c r="O10" i="3"/>
  <c r="P10" i="3"/>
  <c r="Q10" i="3"/>
  <c r="O11" i="3"/>
  <c r="P11" i="3"/>
  <c r="Q11" i="3"/>
  <c r="O12" i="3"/>
  <c r="P12" i="3"/>
  <c r="Q12" i="3"/>
  <c r="O13" i="3"/>
  <c r="P13" i="3"/>
  <c r="Q13" i="3"/>
  <c r="O14" i="3"/>
  <c r="P14" i="3"/>
  <c r="Q14" i="3"/>
  <c r="O15" i="3"/>
  <c r="P15" i="3"/>
  <c r="Q15" i="3"/>
  <c r="O16" i="3"/>
  <c r="P16" i="3"/>
  <c r="Q16" i="3"/>
  <c r="O17" i="3"/>
  <c r="P17" i="3"/>
  <c r="Q17" i="3"/>
  <c r="O18" i="3"/>
  <c r="P18" i="3"/>
  <c r="Q18" i="3"/>
  <c r="O19" i="3"/>
  <c r="P19" i="3"/>
  <c r="Q19" i="3"/>
  <c r="O20" i="3"/>
  <c r="P20" i="3"/>
  <c r="Q20" i="3"/>
  <c r="O21" i="3"/>
  <c r="P21" i="3"/>
  <c r="Q21" i="3"/>
  <c r="O22" i="3"/>
  <c r="P22" i="3"/>
  <c r="Q22" i="3"/>
  <c r="O23" i="3"/>
  <c r="P23" i="3"/>
  <c r="Q23" i="3"/>
  <c r="P2" i="3"/>
  <c r="Q2" i="3"/>
  <c r="O2" i="3"/>
  <c r="J75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E7" i="7" l="1"/>
  <c r="E2" i="7"/>
  <c r="C3" i="6"/>
  <c r="C4" i="6"/>
  <c r="C5" i="6"/>
  <c r="C6" i="6"/>
  <c r="C7" i="6"/>
  <c r="C2" i="6"/>
  <c r="H2" i="18" l="1"/>
  <c r="D2" i="17" l="1"/>
  <c r="E3" i="7" l="1"/>
  <c r="E4" i="7"/>
  <c r="E5" i="7"/>
  <c r="E6" i="7"/>
  <c r="M14" i="2" l="1"/>
  <c r="M8" i="2"/>
  <c r="M13" i="2"/>
  <c r="M43" i="2"/>
  <c r="M48" i="2"/>
  <c r="M5" i="2"/>
  <c r="M11" i="2"/>
  <c r="M20" i="2"/>
  <c r="M17" i="2"/>
  <c r="M26" i="2"/>
  <c r="M32" i="2"/>
  <c r="L14" i="2"/>
  <c r="L8" i="2"/>
  <c r="L13" i="2"/>
  <c r="L43" i="2"/>
  <c r="L48" i="2"/>
  <c r="L5" i="2"/>
  <c r="L11" i="2"/>
  <c r="L20" i="2"/>
  <c r="L17" i="2"/>
  <c r="L26" i="2"/>
  <c r="L32" i="2"/>
  <c r="L40" i="2"/>
  <c r="M18" i="2"/>
  <c r="L30" i="2"/>
  <c r="L44" i="2"/>
  <c r="M9" i="2"/>
  <c r="M41" i="2"/>
  <c r="M21" i="2"/>
  <c r="L6" i="2"/>
  <c r="M35" i="2"/>
  <c r="M31" i="2"/>
  <c r="L16" i="2"/>
  <c r="L15" i="2"/>
  <c r="L12" i="2"/>
  <c r="M2" i="2"/>
  <c r="M45" i="2"/>
  <c r="M37" i="2"/>
  <c r="M27" i="2"/>
  <c r="L4" i="2"/>
  <c r="M38" i="2"/>
  <c r="M42" i="2"/>
  <c r="L22" i="2"/>
  <c r="L24" i="2"/>
  <c r="L25" i="2"/>
  <c r="L33" i="2"/>
  <c r="M34" i="2"/>
  <c r="M36" i="2"/>
  <c r="M19" i="2"/>
  <c r="M10" i="2"/>
  <c r="L7" i="2"/>
  <c r="M28" i="2"/>
  <c r="M29" i="2"/>
  <c r="M46" i="2"/>
  <c r="L23" i="2"/>
  <c r="K4" i="2"/>
  <c r="K5" i="2"/>
  <c r="K6" i="2"/>
  <c r="K7" i="2"/>
  <c r="K8" i="2"/>
  <c r="K9" i="2"/>
  <c r="K10" i="2"/>
  <c r="G11" i="2"/>
  <c r="K11" i="2" s="1"/>
  <c r="K12" i="2"/>
  <c r="K13" i="2"/>
  <c r="G14" i="2"/>
  <c r="K14" i="2" s="1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40" i="2"/>
  <c r="K41" i="2"/>
  <c r="K42" i="2"/>
  <c r="K43" i="2"/>
  <c r="K44" i="2"/>
  <c r="K45" i="2"/>
  <c r="K46" i="2"/>
  <c r="K48" i="2"/>
  <c r="K2" i="2"/>
  <c r="L10" i="2" l="1"/>
  <c r="M33" i="2"/>
  <c r="L42" i="2"/>
  <c r="L9" i="2"/>
  <c r="L31" i="2"/>
  <c r="L19" i="2"/>
  <c r="M44" i="2"/>
  <c r="M24" i="2"/>
  <c r="L41" i="2"/>
  <c r="L2" i="2"/>
  <c r="L37" i="2"/>
  <c r="M16" i="2"/>
  <c r="M7" i="2"/>
  <c r="L46" i="2"/>
  <c r="L35" i="2"/>
  <c r="L45" i="2"/>
  <c r="L38" i="2"/>
  <c r="L29" i="2"/>
  <c r="M6" i="2"/>
  <c r="M15" i="2"/>
  <c r="M4" i="2"/>
  <c r="M25" i="2"/>
  <c r="M40" i="2"/>
  <c r="L21" i="2"/>
  <c r="L27" i="2"/>
  <c r="L34" i="2"/>
  <c r="M23" i="2"/>
  <c r="M30" i="2"/>
  <c r="M12" i="2"/>
  <c r="M22" i="2"/>
  <c r="L36" i="2"/>
  <c r="L28" i="2"/>
  <c r="L18" i="2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F16" i="10"/>
  <c r="F15" i="10"/>
  <c r="F12" i="10"/>
  <c r="F11" i="10"/>
  <c r="F10" i="10"/>
  <c r="F9" i="10"/>
  <c r="F7" i="10"/>
  <c r="F6" i="10"/>
  <c r="F5" i="10"/>
  <c r="F4" i="10"/>
  <c r="E10" i="10" l="1"/>
  <c r="E4" i="10"/>
  <c r="E6" i="10"/>
  <c r="E5" i="10"/>
  <c r="E7" i="10"/>
  <c r="E9" i="10"/>
  <c r="E16" i="10"/>
  <c r="E13" i="10"/>
  <c r="E11" i="10"/>
  <c r="E14" i="10"/>
  <c r="E12" i="10"/>
  <c r="E15" i="10"/>
</calcChain>
</file>

<file path=xl/sharedStrings.xml><?xml version="1.0" encoding="utf-8"?>
<sst xmlns="http://schemas.openxmlformats.org/spreadsheetml/2006/main" count="1081" uniqueCount="314">
  <si>
    <t>Generator</t>
  </si>
  <si>
    <t>Node</t>
  </si>
  <si>
    <t>Pmax_MW</t>
  </si>
  <si>
    <t>Type</t>
  </si>
  <si>
    <t>Name</t>
  </si>
  <si>
    <t>MTTF</t>
  </si>
  <si>
    <t>MTTR</t>
  </si>
  <si>
    <t>FromNode</t>
  </si>
  <si>
    <t>ToNode</t>
  </si>
  <si>
    <t>Emax_MWh</t>
  </si>
  <si>
    <t>eff_batt_in</t>
  </si>
  <si>
    <t>eff_batt_out</t>
  </si>
  <si>
    <t>Pipeline</t>
  </si>
  <si>
    <t>Batt</t>
  </si>
  <si>
    <t>PHS</t>
  </si>
  <si>
    <t>eff_pump</t>
  </si>
  <si>
    <t>eff_turb</t>
  </si>
  <si>
    <t>Interconnection</t>
  </si>
  <si>
    <t>Emax_MWh_H2</t>
  </si>
  <si>
    <t>Psolar_MW</t>
  </si>
  <si>
    <t>Ponshore_MW</t>
  </si>
  <si>
    <t>ACHEN</t>
  </si>
  <si>
    <t>GRAMM</t>
  </si>
  <si>
    <t>BRUME</t>
  </si>
  <si>
    <t>AVLGM</t>
  </si>
  <si>
    <t>HORTA</t>
  </si>
  <si>
    <t>IZGEM</t>
  </si>
  <si>
    <t>BRUEG</t>
  </si>
  <si>
    <t>MEKI+</t>
  </si>
  <si>
    <t>COURC</t>
  </si>
  <si>
    <t>BUGG+</t>
  </si>
  <si>
    <t>MERCA</t>
  </si>
  <si>
    <t>VERBR</t>
  </si>
  <si>
    <t>ZANDV</t>
  </si>
  <si>
    <t>GEZEL</t>
  </si>
  <si>
    <t>STEVN</t>
  </si>
  <si>
    <t>MASSE</t>
  </si>
  <si>
    <t>VANYK</t>
  </si>
  <si>
    <t>MEERH</t>
  </si>
  <si>
    <t>IZEGEM</t>
  </si>
  <si>
    <t>Syral Aalst GT</t>
  </si>
  <si>
    <t>Syral Aalst ST</t>
  </si>
  <si>
    <t>AALTER TJ</t>
  </si>
  <si>
    <t>AMERCOEUR 1R GT</t>
  </si>
  <si>
    <t>AMERCOEUR 1R ST_cur</t>
  </si>
  <si>
    <t>EDF Luminus Angleur GT41</t>
  </si>
  <si>
    <t>EDF Luminus Angleur GT42</t>
  </si>
  <si>
    <t>EDF Luminus Angleur GT31</t>
  </si>
  <si>
    <t>EDF Luminus Angleur GT32</t>
  </si>
  <si>
    <t>BEERSE TJ</t>
  </si>
  <si>
    <t>Beveren 2 Indaver</t>
  </si>
  <si>
    <t>Beveren Ineos Phenol Chem</t>
  </si>
  <si>
    <t>Beveren Sleco</t>
  </si>
  <si>
    <t>Biostoom Oostende</t>
  </si>
  <si>
    <t>CIERREUX TJ</t>
  </si>
  <si>
    <t>DROGENBOS GT1</t>
  </si>
  <si>
    <t>DROGENBOS GT2</t>
  </si>
  <si>
    <t>DROGENBOS ST</t>
  </si>
  <si>
    <t>Euro-Silo</t>
  </si>
  <si>
    <t>Greenpower Oostende</t>
  </si>
  <si>
    <t>EDF Luminus Ham GT31</t>
  </si>
  <si>
    <t>EDF Luminus Ham GT32</t>
  </si>
  <si>
    <t>EDF Luminus Ham STEG</t>
  </si>
  <si>
    <t>HERDERSBRUG GT1</t>
  </si>
  <si>
    <t>HERDERSBRUG GT2</t>
  </si>
  <si>
    <t>HERDERSBRUG ST</t>
  </si>
  <si>
    <t>Ipalle Thumaide</t>
  </si>
  <si>
    <t>Beveren 3 Indaver</t>
  </si>
  <si>
    <t>INESCO GT1</t>
  </si>
  <si>
    <t>INESCO GT2</t>
  </si>
  <si>
    <t>INESCO ST</t>
  </si>
  <si>
    <t>Intradel Herstal IS</t>
  </si>
  <si>
    <t>IVBO</t>
  </si>
  <si>
    <t>Jemeppe-sur-Sambre GT1</t>
  </si>
  <si>
    <t>Jemeppe-sur-Sambre GT2</t>
  </si>
  <si>
    <t>Jemeppe-sur-Sambre ST</t>
  </si>
  <si>
    <t>Sappi Lanaken GT</t>
  </si>
  <si>
    <t>STORA LANGERBRUGGE WKK1</t>
  </si>
  <si>
    <t>STORA LANGERBRUGGE WKK2</t>
  </si>
  <si>
    <t>Lillo Degussa GT1</t>
  </si>
  <si>
    <t>Lillo Degussa GT2</t>
  </si>
  <si>
    <t>Lillo Degussa ST</t>
  </si>
  <si>
    <t>Marcinelle Energie TGV</t>
  </si>
  <si>
    <t>Oorderen Bayer</t>
  </si>
  <si>
    <t>Monsanto Lillo WKK EBL</t>
  </si>
  <si>
    <t>EDF Luminus Ringvaart STEG</t>
  </si>
  <si>
    <t>SAINT-GHISLAIN STEG</t>
  </si>
  <si>
    <t>Scheldelaan Exxonmobil</t>
  </si>
  <si>
    <t>EDF Luminus Seraing GT1</t>
  </si>
  <si>
    <t>EDF Luminus Seraing GT2</t>
  </si>
  <si>
    <t>TAMINCO Gent WKK</t>
  </si>
  <si>
    <t>T-Power</t>
  </si>
  <si>
    <t>Wilmarsdonk Total GT1</t>
  </si>
  <si>
    <t>Wilmarsdonk Total GT2</t>
  </si>
  <si>
    <t>Wilmarsdonk Total GT3</t>
  </si>
  <si>
    <t>Zandvliet Power</t>
  </si>
  <si>
    <t>Zedelgem TJ</t>
  </si>
  <si>
    <t>Fluxys LNG Zeebrugge WKK</t>
  </si>
  <si>
    <t>Zeebrugge TJ</t>
  </si>
  <si>
    <t>Zelzate 2 Knippegroen</t>
  </si>
  <si>
    <t>Zelzate TJ</t>
  </si>
  <si>
    <t>Zwijndrecht Lanxess GT</t>
  </si>
  <si>
    <t>Zwijndrecht Lanxess ST</t>
  </si>
  <si>
    <t>ISVAG</t>
  </si>
  <si>
    <t>NOORDSCHOTE TJ</t>
  </si>
  <si>
    <t>SCHAERBEEK SIOMAB ST1</t>
  </si>
  <si>
    <t>SCHAERBEEK SIOMAB ST2</t>
  </si>
  <si>
    <t>SCHAERBEEK SIOMAB ST3</t>
  </si>
  <si>
    <t>Biomassa Oostende</t>
  </si>
  <si>
    <t>Borealis Kallo Cogen GT_ST</t>
  </si>
  <si>
    <t>E-wood</t>
  </si>
  <si>
    <t>NEMO</t>
  </si>
  <si>
    <t>COO</t>
  </si>
  <si>
    <t>GOUY</t>
  </si>
  <si>
    <t>DOEL</t>
  </si>
  <si>
    <t>TJ</t>
  </si>
  <si>
    <t>CCGT</t>
  </si>
  <si>
    <t>CL</t>
  </si>
  <si>
    <t>IS</t>
  </si>
  <si>
    <t>Electrolyzer</t>
  </si>
  <si>
    <t>H2P</t>
  </si>
  <si>
    <t>H2Sto</t>
  </si>
  <si>
    <t>H2Imp</t>
  </si>
  <si>
    <t>UB_kV</t>
  </si>
  <si>
    <t>AUBAN220</t>
  </si>
  <si>
    <t>AUBAN380</t>
  </si>
  <si>
    <t>LIXHE220</t>
  </si>
  <si>
    <t>LIXHE380</t>
  </si>
  <si>
    <t>Nb_wt</t>
  </si>
  <si>
    <t>Belwind</t>
  </si>
  <si>
    <t>C-Power</t>
  </si>
  <si>
    <t>Mermaid</t>
  </si>
  <si>
    <t>Nobelwind</t>
  </si>
  <si>
    <t>Norther</t>
  </si>
  <si>
    <t>Northwester2</t>
  </si>
  <si>
    <t>Northwind</t>
  </si>
  <si>
    <t>Rentel</t>
  </si>
  <si>
    <t>Seastar</t>
  </si>
  <si>
    <t xml:space="preserve">NemoLink </t>
  </si>
  <si>
    <t>HVDC</t>
  </si>
  <si>
    <t>-</t>
  </si>
  <si>
    <t>Zandvliet - Borssele</t>
  </si>
  <si>
    <t>HVAC</t>
  </si>
  <si>
    <t>Zandvliet - Geertruidenberg</t>
  </si>
  <si>
    <t>Alegro</t>
  </si>
  <si>
    <t>Aubange - Belval</t>
  </si>
  <si>
    <t xml:space="preserve">Aubange - Sanem </t>
  </si>
  <si>
    <t>Aubange - Moulaine 1</t>
  </si>
  <si>
    <t>Aubange - Moulaine 2</t>
  </si>
  <si>
    <t>Monceau - Chooz</t>
  </si>
  <si>
    <t>Achene - Lonny</t>
  </si>
  <si>
    <t>Avelgem - Mastaing</t>
  </si>
  <si>
    <t>Avelgem - Avelin</t>
  </si>
  <si>
    <t>Country</t>
  </si>
  <si>
    <t>Netherlands</t>
  </si>
  <si>
    <t>France</t>
  </si>
  <si>
    <t>Germany</t>
  </si>
  <si>
    <t>Luxembourg</t>
  </si>
  <si>
    <t>Latitude</t>
  </si>
  <si>
    <t>Longitude</t>
  </si>
  <si>
    <t>Transfos</t>
  </si>
  <si>
    <t>ZUTE+</t>
  </si>
  <si>
    <t>CHAMP</t>
  </si>
  <si>
    <t>STAM+</t>
  </si>
  <si>
    <t>EEKLN</t>
  </si>
  <si>
    <t>MAERL</t>
  </si>
  <si>
    <t>TIHA1</t>
  </si>
  <si>
    <t>RODE+</t>
  </si>
  <si>
    <t>LINT</t>
  </si>
  <si>
    <t>VILLE</t>
  </si>
  <si>
    <t>AWIRS</t>
  </si>
  <si>
    <t>JUPIL</t>
  </si>
  <si>
    <t>SERAI</t>
  </si>
  <si>
    <t>MARC+</t>
  </si>
  <si>
    <t>SENO+</t>
  </si>
  <si>
    <t>ROMSE</t>
  </si>
  <si>
    <t>BERN</t>
  </si>
  <si>
    <t>RIMIE220</t>
  </si>
  <si>
    <t>RIMIE380</t>
  </si>
  <si>
    <t>Lat_from</t>
  </si>
  <si>
    <t>Long_from</t>
  </si>
  <si>
    <t>Lat_to</t>
  </si>
  <si>
    <t>Long_to</t>
  </si>
  <si>
    <t>Province</t>
  </si>
  <si>
    <t>Namur</t>
  </si>
  <si>
    <t>WV</t>
  </si>
  <si>
    <t>OV</t>
  </si>
  <si>
    <t>Liege</t>
  </si>
  <si>
    <t>Hainaut</t>
  </si>
  <si>
    <t>Antwerpen</t>
  </si>
  <si>
    <t>Limburg</t>
  </si>
  <si>
    <t>Load</t>
  </si>
  <si>
    <t>Transfer</t>
  </si>
  <si>
    <t>Line</t>
  </si>
  <si>
    <t>Emax_year_TWh</t>
  </si>
  <si>
    <t>UnitedKingdom</t>
  </si>
  <si>
    <t>BORSSELE</t>
  </si>
  <si>
    <t>GEERTRUIDENBERG</t>
  </si>
  <si>
    <t>MAASTRICHT</t>
  </si>
  <si>
    <t>ALEGRO</t>
  </si>
  <si>
    <t>BELVAL</t>
  </si>
  <si>
    <t>SANEM</t>
  </si>
  <si>
    <t>MOULAINE 1</t>
  </si>
  <si>
    <t>MOULAINE 2</t>
  </si>
  <si>
    <t>CHOOZ</t>
  </si>
  <si>
    <t>LONNY</t>
  </si>
  <si>
    <t>MASTAING</t>
  </si>
  <si>
    <t>AVELIN</t>
  </si>
  <si>
    <t>CANTERBURY</t>
  </si>
  <si>
    <t>Phydro_MW</t>
  </si>
  <si>
    <t>ALVERINGEM</t>
  </si>
  <si>
    <t>ZELZATE</t>
  </si>
  <si>
    <t>Fuel</t>
  </si>
  <si>
    <t>Oil</t>
  </si>
  <si>
    <t>Waste</t>
  </si>
  <si>
    <t>Biomasse</t>
  </si>
  <si>
    <t>CCGT-GT (CHP)</t>
  </si>
  <si>
    <t>CCGT-ST (CHP)</t>
  </si>
  <si>
    <t>Gas</t>
  </si>
  <si>
    <t>CCGT-GT</t>
  </si>
  <si>
    <t>CCGT-ST</t>
  </si>
  <si>
    <t>OCGT</t>
  </si>
  <si>
    <t>CCGT (CHP)</t>
  </si>
  <si>
    <t>OCGT (CHP)</t>
  </si>
  <si>
    <t>CL (CHP)</t>
  </si>
  <si>
    <t>IS (CHP)</t>
  </si>
  <si>
    <t>Gas CHP</t>
  </si>
  <si>
    <t>Biomass</t>
  </si>
  <si>
    <t>LF</t>
  </si>
  <si>
    <t>EDF Luminus Seraing NEW</t>
  </si>
  <si>
    <t>Flémalle NEW</t>
  </si>
  <si>
    <t>TIHANGE 3</t>
  </si>
  <si>
    <t>NU</t>
  </si>
  <si>
    <t>Uranium</t>
  </si>
  <si>
    <t>DOEL 4</t>
  </si>
  <si>
    <t>CO2Emissions_tCO2/MWh_fuel</t>
  </si>
  <si>
    <t>VOM_€/MWh</t>
  </si>
  <si>
    <t>CarbonCost_€/tonCO2</t>
  </si>
  <si>
    <t>Efficiency</t>
  </si>
  <si>
    <t>P1_3500_15</t>
  </si>
  <si>
    <t>P23_3500_15</t>
  </si>
  <si>
    <t>Van Eyck - Maastricht 1</t>
  </si>
  <si>
    <t>Van Eyck - Maastricht 2</t>
  </si>
  <si>
    <t>VOLL_€/MWh</t>
  </si>
  <si>
    <t>PowerWfThnCode_MW</t>
  </si>
  <si>
    <t>LfChp</t>
  </si>
  <si>
    <t>MaxPowerImports_MW</t>
  </si>
  <si>
    <t>SB_MVA</t>
  </si>
  <si>
    <t>RefBus</t>
  </si>
  <si>
    <t>Load_share_%</t>
  </si>
  <si>
    <t>Pv_share_%</t>
  </si>
  <si>
    <t>Onshore_share_%</t>
  </si>
  <si>
    <t>Hydro_share_%</t>
  </si>
  <si>
    <t>DistGen_share_%</t>
  </si>
  <si>
    <t>Hp_share_%</t>
  </si>
  <si>
    <t>Ev_share_%</t>
  </si>
  <si>
    <t>H2_share_%</t>
  </si>
  <si>
    <t>Length_km</t>
  </si>
  <si>
    <t>Inom_A</t>
  </si>
  <si>
    <t>R_ohm</t>
  </si>
  <si>
    <t>X_ohm</t>
  </si>
  <si>
    <t>wC_µS</t>
  </si>
  <si>
    <t>r_ohm/km</t>
  </si>
  <si>
    <t>x_ohm/km</t>
  </si>
  <si>
    <t>wc_µs/km</t>
  </si>
  <si>
    <t>FuelCost_€/MWh_fuel</t>
  </si>
  <si>
    <t>Price_€/MWh</t>
  </si>
  <si>
    <t>Mean_noise_€/MWh</t>
  </si>
  <si>
    <t>Std_noise_€/MWh</t>
  </si>
  <si>
    <t>Seed_noise</t>
  </si>
  <si>
    <t>Unom_kV</t>
  </si>
  <si>
    <t>CompressionEfficiency</t>
  </si>
  <si>
    <t>CostElectrolyzer_€/MWh</t>
  </si>
  <si>
    <t>PriceH2Imports_€/MWh</t>
  </si>
  <si>
    <t>Qmax_MWh_h2/h</t>
  </si>
  <si>
    <t>YearlyH2Demand_kt/year</t>
  </si>
  <si>
    <t>H2Flex_share_%</t>
  </si>
  <si>
    <t>H2Fixed_share_%</t>
  </si>
  <si>
    <t>eff_h2sto_in</t>
  </si>
  <si>
    <t>eff_h2sto_out</t>
  </si>
  <si>
    <t>V0_share_%</t>
  </si>
  <si>
    <t>V1H_share_%</t>
  </si>
  <si>
    <t>V1M_share_%</t>
  </si>
  <si>
    <t>V2H_share_%</t>
  </si>
  <si>
    <t>NumberEvs</t>
  </si>
  <si>
    <t>ChargerPower_kW</t>
  </si>
  <si>
    <t>YearlyDistance_km/year/car</t>
  </si>
  <si>
    <t>CarEfficiency_kWh/km</t>
  </si>
  <si>
    <t>HP0_share_%</t>
  </si>
  <si>
    <t>HP1H_share_%</t>
  </si>
  <si>
    <t>HP1M_share_%</t>
  </si>
  <si>
    <t>NumberHps</t>
  </si>
  <si>
    <t>YearlyDemand_TWh/year</t>
  </si>
  <si>
    <t>YearlyHpDemand_TWh/year</t>
  </si>
  <si>
    <t>COP</t>
  </si>
  <si>
    <t>Pmax_kWth</t>
  </si>
  <si>
    <t>Emax_daily_MWh/day</t>
  </si>
  <si>
    <t>SLIJKENS</t>
  </si>
  <si>
    <t>H2</t>
  </si>
  <si>
    <t>380/220</t>
  </si>
  <si>
    <t>TaxCO2Emissions</t>
  </si>
  <si>
    <t>true</t>
  </si>
  <si>
    <t>false</t>
  </si>
  <si>
    <t>Pmin_MW</t>
  </si>
  <si>
    <t>Smax_MVA</t>
  </si>
  <si>
    <t>Nautilus</t>
  </si>
  <si>
    <t>Alveringem</t>
  </si>
  <si>
    <t>Zeebrugge</t>
  </si>
  <si>
    <t>Zelzate</t>
  </si>
  <si>
    <t>Zandvliet</t>
  </si>
  <si>
    <t>S-Gravenvoeren</t>
  </si>
  <si>
    <t>Eynatten</t>
  </si>
  <si>
    <t>Blaregnies</t>
  </si>
  <si>
    <t>VB+BW+BXL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</si>
</sst>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8"/>
      <color rgb="FFD4D4D4"/>
      <name val="Consolas"/>
      <family val="3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9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0" borderId="0" xfId="0" applyFill="1"/>
    <xf numFmtId="0" fontId="0" fillId="0" borderId="0" xfId="0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7" fillId="42" borderId="0" xfId="0" applyFont="1" applyFill="1" applyAlignment="1">
      <alignment horizontal="center" vertical="center"/>
    </xf>
    <xf numFmtId="0" fontId="17" fillId="42" borderId="0" xfId="0" applyFont="1" applyFill="1"/>
    <xf numFmtId="0" fontId="17" fillId="42" borderId="0" xfId="0" applyFont="1" applyFill="1" applyBorder="1" applyAlignment="1">
      <alignment horizontal="left"/>
    </xf>
    <xf numFmtId="0" fontId="17" fillId="42" borderId="0" xfId="0" applyFont="1" applyFill="1" applyBorder="1" applyAlignment="1">
      <alignment horizontal="left" vertical="center"/>
    </xf>
    <xf numFmtId="0" fontId="20" fillId="42" borderId="0" xfId="0" applyFont="1" applyFill="1"/>
    <xf numFmtId="0" fontId="17" fillId="0" borderId="0" xfId="0" applyFont="1" applyFill="1"/>
    <xf numFmtId="0" fontId="0" fillId="0" borderId="0" xfId="0" quotePrefix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CAFFD-C6B7-4C02-91B6-C4ED7A697E64}">
  <dimension ref="A1:H2"/>
  <sheetViews>
    <sheetView workbookViewId="0">
      <selection activeCell="D12" sqref="D12"/>
    </sheetView>
  </sheetViews>
  <sheetFormatPr baseColWidth="10" defaultColWidth="11.5546875" defaultRowHeight="14.4" x14ac:dyDescent="0.3"/>
  <cols>
    <col min="1" max="1" width="13.77734375" style="1" bestFit="1" customWidth="1"/>
    <col min="2" max="2" width="23.44140625" style="1" bestFit="1" customWidth="1"/>
    <col min="3" max="3" width="20.109375" style="1" bestFit="1" customWidth="1"/>
    <col min="4" max="4" width="24.5546875" style="1" bestFit="1" customWidth="1"/>
    <col min="5" max="5" width="6.6640625" style="1" bestFit="1" customWidth="1"/>
    <col min="6" max="6" width="23.5546875" style="1" bestFit="1" customWidth="1"/>
    <col min="7" max="7" width="9.109375" style="1" bestFit="1" customWidth="1"/>
    <col min="8" max="8" width="7.33203125" style="1" bestFit="1" customWidth="1"/>
    <col min="9" max="16384" width="11.5546875" style="1"/>
  </cols>
  <sheetData>
    <row r="1" spans="1:8" x14ac:dyDescent="0.3">
      <c r="A1" s="16" t="s">
        <v>243</v>
      </c>
      <c r="B1" s="16" t="s">
        <v>292</v>
      </c>
      <c r="C1" s="16" t="s">
        <v>237</v>
      </c>
      <c r="D1" s="16" t="s">
        <v>244</v>
      </c>
      <c r="E1" s="16" t="s">
        <v>245</v>
      </c>
      <c r="F1" s="16" t="s">
        <v>246</v>
      </c>
      <c r="G1" s="16" t="s">
        <v>247</v>
      </c>
      <c r="H1" s="16" t="s">
        <v>248</v>
      </c>
    </row>
    <row r="2" spans="1:8" x14ac:dyDescent="0.3">
      <c r="A2" s="1">
        <v>12832.48</v>
      </c>
      <c r="B2">
        <v>104.17</v>
      </c>
      <c r="C2" s="1">
        <v>125</v>
      </c>
      <c r="D2" s="1">
        <f>SUM(Res!C2:C12)</f>
        <v>5710.0106187929723</v>
      </c>
      <c r="E2" s="1">
        <v>0.6</v>
      </c>
      <c r="F2" s="1">
        <v>8272</v>
      </c>
      <c r="G2" s="1">
        <v>100</v>
      </c>
      <c r="H2" s="1" t="s">
        <v>31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828D3-C120-4CB2-A983-B0701F3EEF87}">
  <dimension ref="A1:F7"/>
  <sheetViews>
    <sheetView workbookViewId="0">
      <selection activeCell="E14" sqref="E14"/>
    </sheetView>
  </sheetViews>
  <sheetFormatPr baseColWidth="10" defaultRowHeight="14.4" x14ac:dyDescent="0.3"/>
  <cols>
    <col min="4" max="4" width="13.5546875" bestFit="1" customWidth="1"/>
    <col min="5" max="5" width="12.77734375" bestFit="1" customWidth="1"/>
    <col min="6" max="6" width="14" bestFit="1" customWidth="1"/>
  </cols>
  <sheetData>
    <row r="1" spans="1:6" x14ac:dyDescent="0.3">
      <c r="A1" s="17" t="s">
        <v>13</v>
      </c>
      <c r="B1" s="17" t="s">
        <v>1</v>
      </c>
      <c r="C1" s="17" t="s">
        <v>2</v>
      </c>
      <c r="D1" s="17" t="s">
        <v>9</v>
      </c>
      <c r="E1" s="17" t="s">
        <v>10</v>
      </c>
      <c r="F1" s="17" t="s">
        <v>11</v>
      </c>
    </row>
    <row r="2" spans="1:6" x14ac:dyDescent="0.3">
      <c r="A2">
        <v>1</v>
      </c>
      <c r="B2" t="s">
        <v>35</v>
      </c>
      <c r="C2">
        <v>497</v>
      </c>
      <c r="D2">
        <v>1744</v>
      </c>
      <c r="E2">
        <v>0.92190000000000005</v>
      </c>
      <c r="F2">
        <v>0.92190000000000005</v>
      </c>
    </row>
    <row r="3" spans="1:6" x14ac:dyDescent="0.3">
      <c r="A3">
        <v>2</v>
      </c>
      <c r="B3" t="s">
        <v>167</v>
      </c>
      <c r="C3">
        <v>497</v>
      </c>
      <c r="D3">
        <v>1744</v>
      </c>
      <c r="E3">
        <v>0.92190000000000005</v>
      </c>
      <c r="F3">
        <v>0.92190000000000005</v>
      </c>
    </row>
    <row r="4" spans="1:6" x14ac:dyDescent="0.3">
      <c r="A4">
        <v>3</v>
      </c>
      <c r="B4" t="s">
        <v>31</v>
      </c>
      <c r="C4">
        <v>497</v>
      </c>
      <c r="D4">
        <v>1744</v>
      </c>
      <c r="E4">
        <v>0.92190000000000005</v>
      </c>
      <c r="F4">
        <v>0.92190000000000005</v>
      </c>
    </row>
    <row r="5" spans="1:6" x14ac:dyDescent="0.3">
      <c r="A5">
        <v>4</v>
      </c>
      <c r="B5" t="s">
        <v>27</v>
      </c>
      <c r="C5">
        <v>497</v>
      </c>
      <c r="D5">
        <v>1744</v>
      </c>
      <c r="E5">
        <v>0.92190000000000005</v>
      </c>
      <c r="F5">
        <v>0.92190000000000005</v>
      </c>
    </row>
    <row r="6" spans="1:6" x14ac:dyDescent="0.3">
      <c r="A6">
        <v>5</v>
      </c>
      <c r="B6" t="s">
        <v>113</v>
      </c>
      <c r="C6">
        <v>497</v>
      </c>
      <c r="D6">
        <v>1744</v>
      </c>
      <c r="E6">
        <v>0.92190000000000005</v>
      </c>
      <c r="F6">
        <v>0.92190000000000005</v>
      </c>
    </row>
    <row r="7" spans="1:6" x14ac:dyDescent="0.3">
      <c r="A7">
        <v>6</v>
      </c>
      <c r="B7" t="s">
        <v>177</v>
      </c>
      <c r="C7">
        <v>497</v>
      </c>
      <c r="D7">
        <v>1744</v>
      </c>
      <c r="E7">
        <v>0.92190000000000005</v>
      </c>
      <c r="F7">
        <v>0.92190000000000005</v>
      </c>
    </row>
  </sheetData>
  <autoFilter ref="A1:F1" xr:uid="{9B9F4A25-5B5F-4CC8-AD5A-B0017EF6881F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56549-10C7-4D8E-ACDC-976805C8B33E}">
  <dimension ref="A1:H7"/>
  <sheetViews>
    <sheetView workbookViewId="0">
      <selection activeCell="G17" sqref="G17"/>
    </sheetView>
  </sheetViews>
  <sheetFormatPr baseColWidth="10" defaultRowHeight="14.4" x14ac:dyDescent="0.3"/>
  <cols>
    <col min="4" max="4" width="18.88671875" bestFit="1" customWidth="1"/>
    <col min="5" max="5" width="19.88671875" bestFit="1" customWidth="1"/>
  </cols>
  <sheetData>
    <row r="1" spans="1:8" x14ac:dyDescent="0.3">
      <c r="A1" s="17" t="s">
        <v>12</v>
      </c>
      <c r="B1" s="17" t="s">
        <v>7</v>
      </c>
      <c r="C1" s="17" t="s">
        <v>8</v>
      </c>
      <c r="D1" s="17" t="s">
        <v>274</v>
      </c>
      <c r="E1" s="17" t="s">
        <v>179</v>
      </c>
      <c r="F1" s="17" t="s">
        <v>180</v>
      </c>
      <c r="G1" s="17" t="s">
        <v>181</v>
      </c>
      <c r="H1" s="17" t="s">
        <v>182</v>
      </c>
    </row>
    <row r="2" spans="1:8" x14ac:dyDescent="0.3">
      <c r="A2" s="13">
        <v>1</v>
      </c>
      <c r="B2" s="13" t="s">
        <v>210</v>
      </c>
      <c r="C2" s="13" t="s">
        <v>35</v>
      </c>
      <c r="D2" s="13">
        <v>3600</v>
      </c>
      <c r="E2" s="13">
        <v>51.011535239089</v>
      </c>
      <c r="F2" s="13">
        <v>2.7073048806442399</v>
      </c>
      <c r="G2" s="13">
        <v>51.296748273115703</v>
      </c>
      <c r="H2" s="13">
        <v>3.1866373519789399</v>
      </c>
    </row>
    <row r="3" spans="1:8" x14ac:dyDescent="0.3">
      <c r="A3" s="13">
        <v>2</v>
      </c>
      <c r="B3" s="13" t="s">
        <v>35</v>
      </c>
      <c r="C3" s="13" t="s">
        <v>167</v>
      </c>
      <c r="D3" s="13">
        <v>3600</v>
      </c>
      <c r="E3" s="13">
        <v>51.296748273115703</v>
      </c>
      <c r="F3" s="13">
        <v>3.1866373519789399</v>
      </c>
      <c r="G3" s="13">
        <v>51.148199811082598</v>
      </c>
      <c r="H3" s="13">
        <v>3.7978163952554098</v>
      </c>
    </row>
    <row r="4" spans="1:8" x14ac:dyDescent="0.3">
      <c r="A4" s="13">
        <v>3</v>
      </c>
      <c r="B4" s="13" t="s">
        <v>167</v>
      </c>
      <c r="C4" s="13" t="s">
        <v>31</v>
      </c>
      <c r="D4" s="13">
        <v>3600</v>
      </c>
      <c r="E4" s="13">
        <v>51.148199811082598</v>
      </c>
      <c r="F4" s="13">
        <v>3.7978163952554098</v>
      </c>
      <c r="G4" s="13">
        <v>51.188276594903101</v>
      </c>
      <c r="H4" s="13">
        <v>4.2600114584800899</v>
      </c>
    </row>
    <row r="5" spans="1:8" x14ac:dyDescent="0.3">
      <c r="A5" s="13">
        <v>4</v>
      </c>
      <c r="B5" s="13" t="s">
        <v>31</v>
      </c>
      <c r="C5" s="13" t="s">
        <v>27</v>
      </c>
      <c r="D5" s="13">
        <v>3600</v>
      </c>
      <c r="E5" s="13">
        <v>51.188276594903101</v>
      </c>
      <c r="F5" s="13">
        <v>4.2600114584800899</v>
      </c>
      <c r="G5" s="13">
        <v>50.838519262055897</v>
      </c>
      <c r="H5" s="13">
        <v>4.2624452683829599</v>
      </c>
    </row>
    <row r="6" spans="1:8" x14ac:dyDescent="0.3">
      <c r="A6" s="13">
        <v>5</v>
      </c>
      <c r="B6" s="13" t="s">
        <v>27</v>
      </c>
      <c r="C6" s="13" t="s">
        <v>177</v>
      </c>
      <c r="D6" s="13">
        <v>3600</v>
      </c>
      <c r="E6" s="13">
        <v>50.838519262055897</v>
      </c>
      <c r="F6" s="13">
        <v>4.2624452683829599</v>
      </c>
      <c r="G6" s="13">
        <v>50.542188689853901</v>
      </c>
      <c r="H6" s="13">
        <v>5.4701284167100601</v>
      </c>
    </row>
    <row r="7" spans="1:8" x14ac:dyDescent="0.3">
      <c r="A7" s="13">
        <v>6</v>
      </c>
      <c r="B7" s="13" t="s">
        <v>27</v>
      </c>
      <c r="C7" s="13" t="s">
        <v>113</v>
      </c>
      <c r="D7" s="13">
        <v>3600</v>
      </c>
      <c r="E7" s="13">
        <v>50.838519262055897</v>
      </c>
      <c r="F7" s="13">
        <v>4.2624452683829599</v>
      </c>
      <c r="G7" s="13">
        <v>50.395207281948899</v>
      </c>
      <c r="H7" s="13">
        <v>4.4275796097614899</v>
      </c>
    </row>
  </sheetData>
  <autoFilter ref="A1:H1" xr:uid="{4F099594-67A1-4186-B7A6-8404B88CC511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F9BEB-CC17-40EB-9666-EC0A2639623A}">
  <dimension ref="A1:E18"/>
  <sheetViews>
    <sheetView workbookViewId="0">
      <selection activeCell="G9" sqref="G9"/>
    </sheetView>
  </sheetViews>
  <sheetFormatPr baseColWidth="10" defaultRowHeight="14.4" x14ac:dyDescent="0.3"/>
  <cols>
    <col min="2" max="2" width="14" bestFit="1" customWidth="1"/>
    <col min="3" max="3" width="12" bestFit="1" customWidth="1"/>
    <col min="4" max="4" width="16.77734375" bestFit="1" customWidth="1"/>
    <col min="5" max="5" width="21.6640625" bestFit="1" customWidth="1"/>
  </cols>
  <sheetData>
    <row r="1" spans="1:5" x14ac:dyDescent="0.3">
      <c r="A1" s="17" t="s">
        <v>122</v>
      </c>
      <c r="B1" s="17" t="s">
        <v>4</v>
      </c>
      <c r="C1" s="17" t="s">
        <v>1</v>
      </c>
      <c r="D1" s="17" t="s">
        <v>274</v>
      </c>
      <c r="E1" s="17" t="s">
        <v>273</v>
      </c>
    </row>
    <row r="2" spans="1:5" x14ac:dyDescent="0.3">
      <c r="A2">
        <v>1</v>
      </c>
      <c r="B2" t="s">
        <v>306</v>
      </c>
      <c r="C2" s="13" t="s">
        <v>210</v>
      </c>
      <c r="D2">
        <v>3600</v>
      </c>
      <c r="E2">
        <v>150</v>
      </c>
    </row>
    <row r="3" spans="1:5" x14ac:dyDescent="0.3">
      <c r="A3">
        <v>2</v>
      </c>
      <c r="B3" t="s">
        <v>307</v>
      </c>
      <c r="C3" t="s">
        <v>35</v>
      </c>
      <c r="D3">
        <v>3600</v>
      </c>
      <c r="E3">
        <v>150</v>
      </c>
    </row>
    <row r="4" spans="1:5" x14ac:dyDescent="0.3">
      <c r="A4">
        <v>3</v>
      </c>
      <c r="B4" t="s">
        <v>308</v>
      </c>
      <c r="C4" s="13" t="s">
        <v>167</v>
      </c>
      <c r="D4">
        <v>3600</v>
      </c>
      <c r="E4">
        <v>150</v>
      </c>
    </row>
    <row r="5" spans="1:5" x14ac:dyDescent="0.3">
      <c r="A5">
        <v>4</v>
      </c>
      <c r="B5" t="s">
        <v>309</v>
      </c>
      <c r="C5" s="13" t="s">
        <v>31</v>
      </c>
      <c r="D5">
        <v>3600</v>
      </c>
      <c r="E5">
        <v>150</v>
      </c>
    </row>
    <row r="6" spans="1:5" x14ac:dyDescent="0.3">
      <c r="A6">
        <v>5</v>
      </c>
      <c r="B6" s="22" t="s">
        <v>310</v>
      </c>
      <c r="C6" s="13" t="s">
        <v>177</v>
      </c>
      <c r="D6">
        <v>3600</v>
      </c>
      <c r="E6">
        <v>150</v>
      </c>
    </row>
    <row r="7" spans="1:5" x14ac:dyDescent="0.3">
      <c r="A7">
        <v>6</v>
      </c>
      <c r="B7" t="s">
        <v>311</v>
      </c>
      <c r="C7" s="13" t="s">
        <v>177</v>
      </c>
      <c r="D7">
        <v>3600</v>
      </c>
      <c r="E7">
        <v>150</v>
      </c>
    </row>
    <row r="8" spans="1:5" x14ac:dyDescent="0.3">
      <c r="A8">
        <v>7</v>
      </c>
      <c r="B8" t="s">
        <v>312</v>
      </c>
      <c r="C8" s="13" t="s">
        <v>113</v>
      </c>
      <c r="D8">
        <v>3600</v>
      </c>
      <c r="E8">
        <v>150</v>
      </c>
    </row>
    <row r="16" spans="1:5" x14ac:dyDescent="0.3">
      <c r="E16" s="13"/>
    </row>
    <row r="18" spans="5:5" x14ac:dyDescent="0.3">
      <c r="E18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14A90-888D-4ACB-8C94-5BDE1245DA2D}">
  <dimension ref="A1:C2"/>
  <sheetViews>
    <sheetView tabSelected="1" workbookViewId="0">
      <selection activeCell="G18" sqref="G18"/>
    </sheetView>
  </sheetViews>
  <sheetFormatPr baseColWidth="10" defaultRowHeight="14.4" x14ac:dyDescent="0.3"/>
  <cols>
    <col min="1" max="1" width="25.6640625" bestFit="1" customWidth="1"/>
    <col min="2" max="2" width="15" bestFit="1" customWidth="1"/>
    <col min="3" max="3" width="16.21875" bestFit="1" customWidth="1"/>
  </cols>
  <sheetData>
    <row r="1" spans="1:3" x14ac:dyDescent="0.3">
      <c r="A1" s="17" t="s">
        <v>275</v>
      </c>
      <c r="B1" s="17" t="s">
        <v>276</v>
      </c>
      <c r="C1" s="17" t="s">
        <v>277</v>
      </c>
    </row>
    <row r="2" spans="1:3" x14ac:dyDescent="0.3">
      <c r="A2">
        <v>800</v>
      </c>
      <c r="B2">
        <v>50</v>
      </c>
      <c r="C2">
        <v>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12E3E-DAEB-45B1-BE4C-BF4EEBB5ACFB}">
  <dimension ref="A1:H7"/>
  <sheetViews>
    <sheetView workbookViewId="0">
      <selection activeCell="H14" sqref="H14"/>
    </sheetView>
  </sheetViews>
  <sheetFormatPr baseColWidth="10" defaultRowHeight="14.4" x14ac:dyDescent="0.3"/>
  <cols>
    <col min="4" max="4" width="12.88671875" bestFit="1" customWidth="1"/>
    <col min="6" max="6" width="9.5546875" bestFit="1" customWidth="1"/>
    <col min="7" max="7" width="20.109375" bestFit="1" customWidth="1"/>
    <col min="8" max="8" width="22.109375" bestFit="1" customWidth="1"/>
  </cols>
  <sheetData>
    <row r="1" spans="1:8" x14ac:dyDescent="0.3">
      <c r="A1" s="17" t="s">
        <v>119</v>
      </c>
      <c r="B1" s="17" t="s">
        <v>1</v>
      </c>
      <c r="C1" s="17" t="s">
        <v>2</v>
      </c>
      <c r="D1" s="17" t="s">
        <v>5</v>
      </c>
      <c r="E1" s="17" t="s">
        <v>6</v>
      </c>
      <c r="F1" s="17" t="s">
        <v>238</v>
      </c>
      <c r="G1" s="17" t="s">
        <v>271</v>
      </c>
      <c r="H1" s="17" t="s">
        <v>272</v>
      </c>
    </row>
    <row r="2" spans="1:8" x14ac:dyDescent="0.3">
      <c r="A2">
        <v>1</v>
      </c>
      <c r="B2" t="s">
        <v>35</v>
      </c>
      <c r="C2">
        <f>447/6</f>
        <v>74.5</v>
      </c>
      <c r="D2">
        <v>2000</v>
      </c>
      <c r="E2">
        <v>50</v>
      </c>
      <c r="F2">
        <v>0.7</v>
      </c>
      <c r="G2">
        <v>0.09</v>
      </c>
      <c r="H2">
        <v>0</v>
      </c>
    </row>
    <row r="3" spans="1:8" x14ac:dyDescent="0.3">
      <c r="A3">
        <v>2</v>
      </c>
      <c r="B3" t="s">
        <v>167</v>
      </c>
      <c r="C3">
        <f t="shared" ref="C3:C7" si="0">447/6</f>
        <v>74.5</v>
      </c>
      <c r="D3">
        <v>2000</v>
      </c>
      <c r="E3">
        <v>50</v>
      </c>
      <c r="F3">
        <v>0.7</v>
      </c>
      <c r="G3">
        <v>0.09</v>
      </c>
      <c r="H3">
        <v>0</v>
      </c>
    </row>
    <row r="4" spans="1:8" x14ac:dyDescent="0.3">
      <c r="A4">
        <v>3</v>
      </c>
      <c r="B4" t="s">
        <v>31</v>
      </c>
      <c r="C4">
        <f t="shared" si="0"/>
        <v>74.5</v>
      </c>
      <c r="D4">
        <v>2000</v>
      </c>
      <c r="E4">
        <v>50</v>
      </c>
      <c r="F4">
        <v>0.7</v>
      </c>
      <c r="G4">
        <v>0.09</v>
      </c>
      <c r="H4">
        <v>0</v>
      </c>
    </row>
    <row r="5" spans="1:8" x14ac:dyDescent="0.3">
      <c r="A5">
        <v>4</v>
      </c>
      <c r="B5" t="s">
        <v>27</v>
      </c>
      <c r="C5">
        <f t="shared" si="0"/>
        <v>74.5</v>
      </c>
      <c r="D5">
        <v>2000</v>
      </c>
      <c r="E5">
        <v>50</v>
      </c>
      <c r="F5">
        <v>0.7</v>
      </c>
      <c r="G5">
        <v>0.09</v>
      </c>
      <c r="H5">
        <v>0</v>
      </c>
    </row>
    <row r="6" spans="1:8" x14ac:dyDescent="0.3">
      <c r="A6">
        <v>5</v>
      </c>
      <c r="B6" t="s">
        <v>113</v>
      </c>
      <c r="C6">
        <f t="shared" si="0"/>
        <v>74.5</v>
      </c>
      <c r="D6">
        <v>2000</v>
      </c>
      <c r="E6">
        <v>50</v>
      </c>
      <c r="F6">
        <v>0.7</v>
      </c>
      <c r="G6">
        <v>0.09</v>
      </c>
      <c r="H6">
        <v>0</v>
      </c>
    </row>
    <row r="7" spans="1:8" x14ac:dyDescent="0.3">
      <c r="A7">
        <v>6</v>
      </c>
      <c r="B7" t="s">
        <v>177</v>
      </c>
      <c r="C7">
        <f t="shared" si="0"/>
        <v>74.5</v>
      </c>
      <c r="D7">
        <v>2000</v>
      </c>
      <c r="E7">
        <v>50</v>
      </c>
      <c r="F7">
        <v>0.7</v>
      </c>
      <c r="G7">
        <v>0.09</v>
      </c>
      <c r="H7">
        <v>0</v>
      </c>
    </row>
  </sheetData>
  <autoFilter ref="A1:E1" xr:uid="{DE898FE8-4A80-4702-9222-6D02A2B9CFCA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E4EE6-B461-4864-B13E-CF5A9B78C374}">
  <dimension ref="A1:F1"/>
  <sheetViews>
    <sheetView workbookViewId="0">
      <selection activeCell="F16" sqref="F16"/>
    </sheetView>
  </sheetViews>
  <sheetFormatPr baseColWidth="10" defaultRowHeight="14.4" x14ac:dyDescent="0.3"/>
  <sheetData>
    <row r="1" spans="1:6" x14ac:dyDescent="0.3">
      <c r="A1" s="17" t="s">
        <v>120</v>
      </c>
      <c r="B1" s="17" t="s">
        <v>1</v>
      </c>
      <c r="C1" s="17" t="s">
        <v>2</v>
      </c>
      <c r="D1" s="17" t="s">
        <v>238</v>
      </c>
      <c r="E1" s="17" t="s">
        <v>5</v>
      </c>
      <c r="F1" s="17" t="s">
        <v>6</v>
      </c>
    </row>
  </sheetData>
  <autoFilter ref="A1:F1" xr:uid="{C9726FF0-D8C1-430B-B5EB-96D807BC07A1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15BC4-3C9A-44AB-AA91-9904540867B5}">
  <dimension ref="A1:G7"/>
  <sheetViews>
    <sheetView topLeftCell="B1" workbookViewId="0">
      <selection activeCell="G21" sqref="G21"/>
    </sheetView>
  </sheetViews>
  <sheetFormatPr baseColWidth="10" defaultRowHeight="14.4" x14ac:dyDescent="0.3"/>
  <cols>
    <col min="2" max="2" width="8.21875" bestFit="1" customWidth="1"/>
    <col min="3" max="3" width="8.88671875" bestFit="1" customWidth="1"/>
    <col min="4" max="4" width="12.44140625" bestFit="1" customWidth="1"/>
    <col min="5" max="5" width="16.6640625" bestFit="1" customWidth="1"/>
    <col min="6" max="6" width="13.77734375" bestFit="1" customWidth="1"/>
    <col min="7" max="7" width="15.109375" bestFit="1" customWidth="1"/>
    <col min="8" max="8" width="14.44140625" bestFit="1" customWidth="1"/>
  </cols>
  <sheetData>
    <row r="1" spans="1:7" x14ac:dyDescent="0.3">
      <c r="A1" t="s">
        <v>121</v>
      </c>
      <c r="B1" s="17" t="s">
        <v>121</v>
      </c>
      <c r="C1" s="17" t="s">
        <v>1</v>
      </c>
      <c r="D1" s="17" t="s">
        <v>2</v>
      </c>
      <c r="E1" s="17" t="s">
        <v>18</v>
      </c>
      <c r="F1" s="17" t="s">
        <v>278</v>
      </c>
      <c r="G1" s="17" t="s">
        <v>279</v>
      </c>
    </row>
    <row r="2" spans="1:7" x14ac:dyDescent="0.3">
      <c r="A2">
        <v>1</v>
      </c>
      <c r="B2">
        <v>1</v>
      </c>
      <c r="C2" t="s">
        <v>35</v>
      </c>
      <c r="D2">
        <f>447/6*0.7</f>
        <v>52.15</v>
      </c>
      <c r="E2">
        <f>D2*10</f>
        <v>521.5</v>
      </c>
      <c r="F2">
        <v>1</v>
      </c>
      <c r="G2">
        <v>1</v>
      </c>
    </row>
    <row r="3" spans="1:7" x14ac:dyDescent="0.3">
      <c r="A3">
        <v>2</v>
      </c>
      <c r="B3">
        <v>2</v>
      </c>
      <c r="C3" t="s">
        <v>167</v>
      </c>
      <c r="D3">
        <f t="shared" ref="D3:D7" si="0">447/6*0.7</f>
        <v>52.15</v>
      </c>
      <c r="E3">
        <f t="shared" ref="E3:E7" si="1">D3*10</f>
        <v>521.5</v>
      </c>
      <c r="F3">
        <v>1</v>
      </c>
      <c r="G3">
        <v>1</v>
      </c>
    </row>
    <row r="4" spans="1:7" x14ac:dyDescent="0.3">
      <c r="A4">
        <v>3</v>
      </c>
      <c r="B4">
        <v>3</v>
      </c>
      <c r="C4" t="s">
        <v>31</v>
      </c>
      <c r="D4">
        <f t="shared" si="0"/>
        <v>52.15</v>
      </c>
      <c r="E4">
        <f t="shared" si="1"/>
        <v>521.5</v>
      </c>
      <c r="F4">
        <v>1</v>
      </c>
      <c r="G4">
        <v>1</v>
      </c>
    </row>
    <row r="5" spans="1:7" x14ac:dyDescent="0.3">
      <c r="A5">
        <v>4</v>
      </c>
      <c r="B5">
        <v>4</v>
      </c>
      <c r="C5" t="s">
        <v>27</v>
      </c>
      <c r="D5">
        <f t="shared" si="0"/>
        <v>52.15</v>
      </c>
      <c r="E5">
        <f t="shared" si="1"/>
        <v>521.5</v>
      </c>
      <c r="F5">
        <v>1</v>
      </c>
      <c r="G5">
        <v>1</v>
      </c>
    </row>
    <row r="6" spans="1:7" x14ac:dyDescent="0.3">
      <c r="A6">
        <v>5</v>
      </c>
      <c r="B6">
        <v>5</v>
      </c>
      <c r="C6" t="s">
        <v>113</v>
      </c>
      <c r="D6">
        <f t="shared" si="0"/>
        <v>52.15</v>
      </c>
      <c r="E6">
        <f t="shared" si="1"/>
        <v>521.5</v>
      </c>
      <c r="F6">
        <v>1</v>
      </c>
      <c r="G6">
        <v>1</v>
      </c>
    </row>
    <row r="7" spans="1:7" x14ac:dyDescent="0.3">
      <c r="B7">
        <v>6</v>
      </c>
      <c r="C7" t="s">
        <v>177</v>
      </c>
      <c r="D7">
        <f t="shared" si="0"/>
        <v>52.15</v>
      </c>
      <c r="E7">
        <f t="shared" si="1"/>
        <v>521.5</v>
      </c>
      <c r="F7">
        <v>1</v>
      </c>
      <c r="G7">
        <v>1</v>
      </c>
    </row>
  </sheetData>
  <autoFilter ref="B1:G1" xr:uid="{5E0B87ED-0DA7-46E8-A92E-91C4923E4E32}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107C6-35D3-4B83-84AE-6463EC6D8800}">
  <dimension ref="A1:H2"/>
  <sheetViews>
    <sheetView workbookViewId="0">
      <selection activeCell="E2" sqref="E2"/>
    </sheetView>
  </sheetViews>
  <sheetFormatPr baseColWidth="10" defaultRowHeight="14.4" x14ac:dyDescent="0.3"/>
  <cols>
    <col min="1" max="1" width="10.77734375" bestFit="1" customWidth="1"/>
    <col min="2" max="2" width="12.109375" bestFit="1" customWidth="1"/>
    <col min="3" max="3" width="12.6640625" bestFit="1" customWidth="1"/>
    <col min="4" max="4" width="12.109375" bestFit="1" customWidth="1"/>
    <col min="5" max="5" width="16.109375" bestFit="1" customWidth="1"/>
    <col min="6" max="6" width="18.44140625" bestFit="1" customWidth="1"/>
    <col min="7" max="7" width="26.88671875" bestFit="1" customWidth="1"/>
    <col min="8" max="8" width="22.109375" bestFit="1" customWidth="1"/>
  </cols>
  <sheetData>
    <row r="1" spans="1:8" x14ac:dyDescent="0.3">
      <c r="A1" s="17" t="s">
        <v>280</v>
      </c>
      <c r="B1" s="17" t="s">
        <v>281</v>
      </c>
      <c r="C1" s="17" t="s">
        <v>282</v>
      </c>
      <c r="D1" s="17" t="s">
        <v>283</v>
      </c>
      <c r="E1" s="17" t="s">
        <v>284</v>
      </c>
      <c r="F1" s="17" t="s">
        <v>285</v>
      </c>
      <c r="G1" s="17" t="s">
        <v>286</v>
      </c>
      <c r="H1" s="17" t="s">
        <v>287</v>
      </c>
    </row>
    <row r="2" spans="1:8" x14ac:dyDescent="0.3">
      <c r="A2">
        <v>30</v>
      </c>
      <c r="B2">
        <v>45</v>
      </c>
      <c r="C2">
        <v>20</v>
      </c>
      <c r="D2">
        <v>5</v>
      </c>
      <c r="E2">
        <v>1900000</v>
      </c>
      <c r="F2">
        <v>7</v>
      </c>
      <c r="G2">
        <v>15000</v>
      </c>
      <c r="H2">
        <f>18/100</f>
        <v>0.18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D096E-9B61-46DD-9FC4-D7EDF825229C}">
  <dimension ref="A1:G2"/>
  <sheetViews>
    <sheetView workbookViewId="0">
      <selection activeCell="G6" sqref="G6"/>
    </sheetView>
  </sheetViews>
  <sheetFormatPr baseColWidth="10" defaultRowHeight="14.4" x14ac:dyDescent="0.3"/>
  <cols>
    <col min="1" max="1" width="11.88671875" bestFit="1" customWidth="1"/>
    <col min="2" max="2" width="13.21875" bestFit="1" customWidth="1"/>
    <col min="3" max="3" width="13.77734375" bestFit="1" customWidth="1"/>
    <col min="4" max="4" width="16.5546875" bestFit="1" customWidth="1"/>
    <col min="5" max="5" width="26" bestFit="1" customWidth="1"/>
    <col min="6" max="6" width="7.109375" bestFit="1" customWidth="1"/>
    <col min="7" max="7" width="24.5546875" bestFit="1" customWidth="1"/>
  </cols>
  <sheetData>
    <row r="1" spans="1:7" x14ac:dyDescent="0.3">
      <c r="A1" s="17" t="s">
        <v>288</v>
      </c>
      <c r="B1" s="17" t="s">
        <v>289</v>
      </c>
      <c r="C1" s="17" t="s">
        <v>290</v>
      </c>
      <c r="D1" s="17" t="s">
        <v>291</v>
      </c>
      <c r="E1" s="17" t="s">
        <v>293</v>
      </c>
      <c r="F1" s="17" t="s">
        <v>294</v>
      </c>
      <c r="G1" s="17" t="s">
        <v>295</v>
      </c>
    </row>
    <row r="2" spans="1:7" x14ac:dyDescent="0.3">
      <c r="A2">
        <v>59</v>
      </c>
      <c r="B2">
        <v>31</v>
      </c>
      <c r="C2">
        <v>10</v>
      </c>
      <c r="D2">
        <v>1200000</v>
      </c>
      <c r="E2">
        <v>2.9</v>
      </c>
      <c r="F2">
        <v>3</v>
      </c>
      <c r="G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5E62A-CBDB-4469-99C5-2AEE31F965F7}">
  <dimension ref="A1:C7"/>
  <sheetViews>
    <sheetView workbookViewId="0">
      <selection activeCell="B6" sqref="B6"/>
    </sheetView>
  </sheetViews>
  <sheetFormatPr baseColWidth="10" defaultRowHeight="14.4" x14ac:dyDescent="0.3"/>
  <cols>
    <col min="1" max="1" width="24.5546875" bestFit="1" customWidth="1"/>
    <col min="2" max="2" width="34.44140625" bestFit="1" customWidth="1"/>
    <col min="3" max="3" width="17.44140625" bestFit="1" customWidth="1"/>
    <col min="4" max="4" width="19.88671875" bestFit="1" customWidth="1"/>
    <col min="5" max="5" width="28.5546875" bestFit="1" customWidth="1"/>
    <col min="6" max="6" width="16.5546875" bestFit="1" customWidth="1"/>
  </cols>
  <sheetData>
    <row r="1" spans="1:3" x14ac:dyDescent="0.3">
      <c r="A1" s="17" t="s">
        <v>2</v>
      </c>
      <c r="B1" s="17" t="s">
        <v>296</v>
      </c>
      <c r="C1" s="17" t="s">
        <v>266</v>
      </c>
    </row>
    <row r="2" spans="1:3" x14ac:dyDescent="0.3">
      <c r="A2">
        <v>1000</v>
      </c>
      <c r="B2">
        <v>18630</v>
      </c>
      <c r="C2">
        <v>10</v>
      </c>
    </row>
    <row r="5" spans="1:3" x14ac:dyDescent="0.3">
      <c r="A5" s="2"/>
    </row>
    <row r="6" spans="1:3" x14ac:dyDescent="0.3">
      <c r="A6" s="2"/>
    </row>
    <row r="7" spans="1:3" x14ac:dyDescent="0.3">
      <c r="A7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9EB0E-E656-403F-A00D-30B8AA915D4B}">
  <dimension ref="A1:Q48"/>
  <sheetViews>
    <sheetView zoomScale="75" zoomScaleNormal="55" workbookViewId="0">
      <selection activeCell="L11" sqref="L11"/>
    </sheetView>
  </sheetViews>
  <sheetFormatPr baseColWidth="10" defaultRowHeight="14.4" x14ac:dyDescent="0.3"/>
  <cols>
    <col min="2" max="2" width="14.44140625" customWidth="1"/>
    <col min="3" max="3" width="11.5546875" bestFit="1" customWidth="1"/>
    <col min="4" max="4" width="8.44140625" bestFit="1" customWidth="1"/>
    <col min="5" max="5" width="9.6640625" customWidth="1"/>
    <col min="6" max="6" width="11.109375" bestFit="1" customWidth="1"/>
    <col min="7" max="7" width="21.77734375" bestFit="1" customWidth="1"/>
    <col min="8" max="8" width="19.5546875" bestFit="1" customWidth="1"/>
    <col min="9" max="9" width="25" bestFit="1" customWidth="1"/>
    <col min="10" max="10" width="22.88671875" bestFit="1" customWidth="1"/>
    <col min="11" max="11" width="24.5546875" bestFit="1" customWidth="1"/>
    <col min="12" max="12" width="20" bestFit="1" customWidth="1"/>
    <col min="13" max="13" width="19.44140625" bestFit="1" customWidth="1"/>
    <col min="14" max="14" width="20" bestFit="1" customWidth="1"/>
    <col min="15" max="16" width="13.44140625" bestFit="1" customWidth="1"/>
    <col min="17" max="17" width="13.44140625" style="13" customWidth="1"/>
  </cols>
  <sheetData>
    <row r="1" spans="1:17" x14ac:dyDescent="0.3">
      <c r="A1" s="17" t="s">
        <v>1</v>
      </c>
      <c r="B1" s="17" t="s">
        <v>4</v>
      </c>
      <c r="C1" s="17" t="s">
        <v>183</v>
      </c>
      <c r="D1" s="17" t="s">
        <v>3</v>
      </c>
      <c r="E1" s="17" t="s">
        <v>123</v>
      </c>
      <c r="F1" s="17" t="s">
        <v>160</v>
      </c>
      <c r="G1" s="17" t="s">
        <v>249</v>
      </c>
      <c r="H1" s="17" t="s">
        <v>250</v>
      </c>
      <c r="I1" s="17" t="s">
        <v>251</v>
      </c>
      <c r="J1" s="17" t="s">
        <v>252</v>
      </c>
      <c r="K1" s="17" t="s">
        <v>253</v>
      </c>
      <c r="L1" s="17" t="s">
        <v>254</v>
      </c>
      <c r="M1" s="17" t="s">
        <v>255</v>
      </c>
      <c r="N1" s="17" t="s">
        <v>256</v>
      </c>
      <c r="O1" s="17" t="s">
        <v>158</v>
      </c>
      <c r="P1" s="17" t="s">
        <v>159</v>
      </c>
      <c r="Q1" s="21"/>
    </row>
    <row r="2" spans="1:17" ht="12.6" customHeight="1" x14ac:dyDescent="0.3">
      <c r="A2" s="9">
        <v>1</v>
      </c>
      <c r="B2" s="9" t="s">
        <v>21</v>
      </c>
      <c r="C2" s="9" t="s">
        <v>184</v>
      </c>
      <c r="D2" s="9" t="s">
        <v>191</v>
      </c>
      <c r="E2" s="9">
        <v>380</v>
      </c>
      <c r="F2" s="9">
        <v>270</v>
      </c>
      <c r="G2" s="9">
        <f>F2/SUM($F$2:$F$48)*100</f>
        <v>1.5413598218873095</v>
      </c>
      <c r="H2" s="9">
        <f>3.455/2</f>
        <v>1.7275</v>
      </c>
      <c r="I2" s="9">
        <f>11.599/2</f>
        <v>5.7995000000000001</v>
      </c>
      <c r="J2" s="9">
        <v>0</v>
      </c>
      <c r="K2" s="9">
        <f>G2</f>
        <v>1.5413598218873095</v>
      </c>
      <c r="L2" s="9">
        <f>H2</f>
        <v>1.7275</v>
      </c>
      <c r="M2" s="9">
        <f>H2</f>
        <v>1.7275</v>
      </c>
      <c r="N2" s="9">
        <v>0</v>
      </c>
      <c r="O2" s="9">
        <v>50.267829470724003</v>
      </c>
      <c r="P2" s="9">
        <v>5.0456341096881596</v>
      </c>
    </row>
    <row r="3" spans="1:17" x14ac:dyDescent="0.3">
      <c r="A3" s="11">
        <v>2</v>
      </c>
      <c r="B3" s="11" t="s">
        <v>210</v>
      </c>
      <c r="C3" s="11" t="s">
        <v>185</v>
      </c>
      <c r="D3" s="11" t="s">
        <v>298</v>
      </c>
      <c r="E3" s="11" t="s">
        <v>140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f t="shared" ref="K3:K38" si="0">G3</f>
        <v>0</v>
      </c>
      <c r="L3" s="11">
        <v>0</v>
      </c>
      <c r="M3" s="11">
        <v>0</v>
      </c>
      <c r="N3" s="11">
        <v>0</v>
      </c>
      <c r="O3" s="11">
        <v>51.011535239089</v>
      </c>
      <c r="P3" s="11">
        <v>2.7073048806442399</v>
      </c>
    </row>
    <row r="4" spans="1:17" x14ac:dyDescent="0.3">
      <c r="A4" s="8">
        <v>3</v>
      </c>
      <c r="B4" s="8" t="s">
        <v>124</v>
      </c>
      <c r="C4" s="8" t="s">
        <v>157</v>
      </c>
      <c r="D4" s="8" t="s">
        <v>191</v>
      </c>
      <c r="E4" s="8">
        <v>220</v>
      </c>
      <c r="F4" s="8">
        <v>240</v>
      </c>
      <c r="G4" s="8">
        <f t="shared" ref="G4:G10" si="1">F4/SUM($F$2:$F$48)*100</f>
        <v>1.3700976194553862</v>
      </c>
      <c r="H4" s="8">
        <f>2.192/4</f>
        <v>0.54800000000000004</v>
      </c>
      <c r="I4" s="8">
        <f>3.459/4</f>
        <v>0.86475000000000002</v>
      </c>
      <c r="J4" s="8">
        <v>2.2000000000000002</v>
      </c>
      <c r="K4" s="8">
        <f t="shared" si="0"/>
        <v>1.3700976194553862</v>
      </c>
      <c r="L4" s="8">
        <f t="shared" ref="L4:L38" si="2">H4</f>
        <v>0.54800000000000004</v>
      </c>
      <c r="M4" s="8">
        <f t="shared" ref="M4:M38" si="3">H4</f>
        <v>0.54800000000000004</v>
      </c>
      <c r="N4" s="8">
        <v>0</v>
      </c>
      <c r="O4" s="8">
        <v>49.563837674746701</v>
      </c>
      <c r="P4" s="8">
        <v>5.7992758711646104</v>
      </c>
    </row>
    <row r="5" spans="1:17" x14ac:dyDescent="0.3">
      <c r="A5" s="8">
        <v>4</v>
      </c>
      <c r="B5" s="8" t="s">
        <v>125</v>
      </c>
      <c r="C5" s="8" t="s">
        <v>157</v>
      </c>
      <c r="D5" s="8" t="s">
        <v>191</v>
      </c>
      <c r="E5" s="8">
        <v>380</v>
      </c>
      <c r="F5" s="8">
        <v>30</v>
      </c>
      <c r="G5" s="8">
        <f t="shared" si="1"/>
        <v>0.17126220243192328</v>
      </c>
      <c r="H5" s="8">
        <v>0</v>
      </c>
      <c r="I5" s="8">
        <v>0</v>
      </c>
      <c r="J5" s="8">
        <v>0</v>
      </c>
      <c r="K5" s="8">
        <f t="shared" si="0"/>
        <v>0.17126220243192328</v>
      </c>
      <c r="L5" s="8">
        <f t="shared" si="2"/>
        <v>0</v>
      </c>
      <c r="M5" s="8">
        <f t="shared" si="3"/>
        <v>0</v>
      </c>
      <c r="N5" s="8">
        <v>0</v>
      </c>
      <c r="O5" s="8">
        <v>49.563837674746701</v>
      </c>
      <c r="P5" s="8">
        <v>5.7992758711646104</v>
      </c>
    </row>
    <row r="6" spans="1:17" x14ac:dyDescent="0.3">
      <c r="A6" s="11">
        <v>5</v>
      </c>
      <c r="B6" s="11" t="s">
        <v>24</v>
      </c>
      <c r="C6" s="11" t="s">
        <v>185</v>
      </c>
      <c r="D6" s="11" t="s">
        <v>191</v>
      </c>
      <c r="E6" s="11">
        <v>380</v>
      </c>
      <c r="F6" s="11">
        <v>1035</v>
      </c>
      <c r="G6" s="11">
        <f t="shared" si="1"/>
        <v>5.9085459839013534</v>
      </c>
      <c r="H6" s="11">
        <f>16.02/2</f>
        <v>8.01</v>
      </c>
      <c r="I6" s="11">
        <f>8.741/2</f>
        <v>4.3704999999999998</v>
      </c>
      <c r="J6" s="11">
        <v>0</v>
      </c>
      <c r="K6" s="11">
        <f t="shared" si="0"/>
        <v>5.9085459839013534</v>
      </c>
      <c r="L6" s="11">
        <f t="shared" si="2"/>
        <v>8.01</v>
      </c>
      <c r="M6" s="11">
        <f t="shared" si="3"/>
        <v>8.01</v>
      </c>
      <c r="N6" s="11">
        <v>0</v>
      </c>
      <c r="O6" s="11">
        <v>50.774131414375503</v>
      </c>
      <c r="P6" s="11">
        <v>3.4453157895245101</v>
      </c>
    </row>
    <row r="7" spans="1:17" x14ac:dyDescent="0.3">
      <c r="A7" s="6">
        <v>6</v>
      </c>
      <c r="B7" s="6" t="s">
        <v>170</v>
      </c>
      <c r="C7" s="6" t="s">
        <v>187</v>
      </c>
      <c r="D7" s="6" t="s">
        <v>191</v>
      </c>
      <c r="E7" s="6">
        <v>220</v>
      </c>
      <c r="F7" s="6">
        <v>560</v>
      </c>
      <c r="G7" s="6">
        <f t="shared" si="1"/>
        <v>3.196894445395901</v>
      </c>
      <c r="H7" s="6">
        <f>7.093/11</f>
        <v>0.64481818181818185</v>
      </c>
      <c r="I7" s="6">
        <f>9.825/11</f>
        <v>0.89318181818181808</v>
      </c>
      <c r="J7" s="6">
        <v>11</v>
      </c>
      <c r="K7" s="6">
        <f t="shared" si="0"/>
        <v>3.196894445395901</v>
      </c>
      <c r="L7" s="6">
        <f t="shared" si="2"/>
        <v>0.64481818181818185</v>
      </c>
      <c r="M7" s="6">
        <f t="shared" si="3"/>
        <v>0.64481818181818185</v>
      </c>
      <c r="N7" s="6">
        <v>0</v>
      </c>
      <c r="O7" s="6">
        <v>50.600454629345201</v>
      </c>
      <c r="P7" s="6">
        <v>5.4089420126620302</v>
      </c>
    </row>
    <row r="8" spans="1:17" x14ac:dyDescent="0.3">
      <c r="A8" s="6">
        <v>7</v>
      </c>
      <c r="B8" s="6" t="s">
        <v>176</v>
      </c>
      <c r="C8" s="6" t="s">
        <v>187</v>
      </c>
      <c r="D8" s="6" t="s">
        <v>192</v>
      </c>
      <c r="E8" s="6">
        <v>220</v>
      </c>
      <c r="F8" s="6">
        <v>0</v>
      </c>
      <c r="G8" s="6">
        <f t="shared" si="1"/>
        <v>0</v>
      </c>
      <c r="H8" s="6">
        <v>0</v>
      </c>
      <c r="I8" s="6">
        <v>0</v>
      </c>
      <c r="J8" s="6">
        <v>0</v>
      </c>
      <c r="K8" s="6">
        <f t="shared" si="0"/>
        <v>0</v>
      </c>
      <c r="L8" s="6">
        <f t="shared" si="2"/>
        <v>0</v>
      </c>
      <c r="M8" s="6">
        <f t="shared" si="3"/>
        <v>0</v>
      </c>
      <c r="N8" s="6">
        <v>0</v>
      </c>
      <c r="O8" s="6">
        <v>50.743243009684299</v>
      </c>
      <c r="P8" s="6">
        <v>5.7313142080014297</v>
      </c>
    </row>
    <row r="9" spans="1:17" x14ac:dyDescent="0.3">
      <c r="A9" s="10">
        <v>8</v>
      </c>
      <c r="B9" s="10" t="s">
        <v>27</v>
      </c>
      <c r="C9" s="10" t="s">
        <v>313</v>
      </c>
      <c r="D9" s="10" t="s">
        <v>191</v>
      </c>
      <c r="E9" s="10">
        <v>380</v>
      </c>
      <c r="F9" s="10">
        <v>1260</v>
      </c>
      <c r="G9" s="10">
        <f t="shared" si="1"/>
        <v>7.1930125021407774</v>
      </c>
      <c r="H9" s="10">
        <f>15.46/3</f>
        <v>5.1533333333333333</v>
      </c>
      <c r="I9" s="10">
        <f>5.15/3</f>
        <v>1.7166666666666668</v>
      </c>
      <c r="J9" s="10">
        <v>0</v>
      </c>
      <c r="K9" s="10">
        <f t="shared" si="0"/>
        <v>7.1930125021407774</v>
      </c>
      <c r="L9" s="10">
        <f t="shared" si="2"/>
        <v>5.1533333333333333</v>
      </c>
      <c r="M9" s="10">
        <f t="shared" si="3"/>
        <v>5.1533333333333333</v>
      </c>
      <c r="N9" s="10">
        <v>20</v>
      </c>
      <c r="O9" s="10">
        <v>50.838519262055897</v>
      </c>
      <c r="P9" s="10">
        <v>4.2624452683829599</v>
      </c>
    </row>
    <row r="10" spans="1:17" x14ac:dyDescent="0.3">
      <c r="A10" s="6">
        <v>9</v>
      </c>
      <c r="B10" s="6" t="s">
        <v>23</v>
      </c>
      <c r="C10" s="6" t="s">
        <v>187</v>
      </c>
      <c r="D10" s="6" t="s">
        <v>191</v>
      </c>
      <c r="E10" s="6">
        <v>380</v>
      </c>
      <c r="F10" s="6">
        <v>297</v>
      </c>
      <c r="G10" s="6">
        <f t="shared" si="1"/>
        <v>1.6954958040760404</v>
      </c>
      <c r="H10" s="6">
        <f>7.093/11</f>
        <v>0.64481818181818185</v>
      </c>
      <c r="I10" s="6">
        <f>9.825/11</f>
        <v>0.89318181818181808</v>
      </c>
      <c r="J10" s="6">
        <v>21.1</v>
      </c>
      <c r="K10" s="6">
        <f t="shared" si="0"/>
        <v>1.6954958040760404</v>
      </c>
      <c r="L10" s="6">
        <f t="shared" si="2"/>
        <v>0.64481818181818185</v>
      </c>
      <c r="M10" s="6">
        <f t="shared" si="3"/>
        <v>0.64481818181818185</v>
      </c>
      <c r="N10" s="6">
        <v>0</v>
      </c>
      <c r="O10" s="6">
        <v>50.376044555960704</v>
      </c>
      <c r="P10" s="6">
        <v>5.8535438040111396</v>
      </c>
    </row>
    <row r="11" spans="1:17" x14ac:dyDescent="0.3">
      <c r="A11" s="12">
        <v>10</v>
      </c>
      <c r="B11" s="12" t="s">
        <v>30</v>
      </c>
      <c r="C11" s="12" t="s">
        <v>186</v>
      </c>
      <c r="D11" s="12" t="s">
        <v>192</v>
      </c>
      <c r="E11" s="12">
        <v>380</v>
      </c>
      <c r="F11" s="12">
        <v>0</v>
      </c>
      <c r="G11" s="12">
        <f>F11/SUM($F$2:$F$45)*100</f>
        <v>0</v>
      </c>
      <c r="H11" s="12">
        <v>0</v>
      </c>
      <c r="I11" s="12">
        <v>0</v>
      </c>
      <c r="J11" s="12">
        <v>0</v>
      </c>
      <c r="K11" s="12">
        <f t="shared" si="0"/>
        <v>0</v>
      </c>
      <c r="L11" s="12">
        <f t="shared" si="2"/>
        <v>0</v>
      </c>
      <c r="M11" s="12">
        <f t="shared" si="3"/>
        <v>0</v>
      </c>
      <c r="N11" s="12">
        <v>0</v>
      </c>
      <c r="O11" s="12">
        <v>51.014664633791597</v>
      </c>
      <c r="P11" s="12">
        <v>4.2001229862848399</v>
      </c>
    </row>
    <row r="12" spans="1:17" x14ac:dyDescent="0.3">
      <c r="A12" s="9">
        <v>11</v>
      </c>
      <c r="B12" s="9" t="s">
        <v>162</v>
      </c>
      <c r="C12" s="9" t="s">
        <v>184</v>
      </c>
      <c r="D12" s="9" t="s">
        <v>191</v>
      </c>
      <c r="E12" s="9">
        <v>380</v>
      </c>
      <c r="F12" s="9">
        <v>492</v>
      </c>
      <c r="G12" s="9">
        <f>F12/SUM($F$2:$F$48)*100</f>
        <v>2.8087001198835417</v>
      </c>
      <c r="H12" s="9">
        <f>3.455/2</f>
        <v>1.7275</v>
      </c>
      <c r="I12" s="9">
        <f>11.599/2</f>
        <v>5.7995000000000001</v>
      </c>
      <c r="J12" s="9">
        <v>6.3</v>
      </c>
      <c r="K12" s="9">
        <f t="shared" si="0"/>
        <v>2.8087001198835417</v>
      </c>
      <c r="L12" s="9">
        <f t="shared" si="2"/>
        <v>1.7275</v>
      </c>
      <c r="M12" s="9">
        <f t="shared" si="3"/>
        <v>1.7275</v>
      </c>
      <c r="N12" s="9">
        <v>0</v>
      </c>
      <c r="O12" s="9">
        <v>50.496349395689002</v>
      </c>
      <c r="P12" s="9">
        <v>4.9037652825078197</v>
      </c>
    </row>
    <row r="13" spans="1:17" x14ac:dyDescent="0.3">
      <c r="A13" s="6">
        <v>12</v>
      </c>
      <c r="B13" s="6" t="s">
        <v>112</v>
      </c>
      <c r="C13" s="6" t="s">
        <v>187</v>
      </c>
      <c r="D13" s="6" t="s">
        <v>192</v>
      </c>
      <c r="E13" s="6">
        <v>380</v>
      </c>
      <c r="F13" s="6">
        <v>0</v>
      </c>
      <c r="G13" s="6">
        <f>F13/SUM($F$2:$F$48)*100</f>
        <v>0</v>
      </c>
      <c r="H13" s="6">
        <v>0</v>
      </c>
      <c r="I13" s="6">
        <v>0</v>
      </c>
      <c r="J13" s="6">
        <v>0</v>
      </c>
      <c r="K13" s="6">
        <f t="shared" si="0"/>
        <v>0</v>
      </c>
      <c r="L13" s="6">
        <f t="shared" si="2"/>
        <v>0</v>
      </c>
      <c r="M13" s="6">
        <f t="shared" si="3"/>
        <v>0</v>
      </c>
      <c r="N13" s="6">
        <v>0</v>
      </c>
      <c r="O13" s="6">
        <v>50.394631919504498</v>
      </c>
      <c r="P13" s="6">
        <v>5.87261563504262</v>
      </c>
    </row>
    <row r="14" spans="1:17" x14ac:dyDescent="0.3">
      <c r="A14" s="5">
        <v>13</v>
      </c>
      <c r="B14" s="5" t="s">
        <v>29</v>
      </c>
      <c r="C14" s="5" t="s">
        <v>188</v>
      </c>
      <c r="D14" s="5" t="s">
        <v>192</v>
      </c>
      <c r="E14" s="5">
        <v>380</v>
      </c>
      <c r="F14" s="5">
        <v>0</v>
      </c>
      <c r="G14" s="5">
        <f>F14/SUM($F$2:$F$45)*100</f>
        <v>0</v>
      </c>
      <c r="H14" s="5">
        <v>0</v>
      </c>
      <c r="I14" s="5">
        <v>0</v>
      </c>
      <c r="J14" s="5">
        <v>0</v>
      </c>
      <c r="K14" s="5">
        <f t="shared" si="0"/>
        <v>0</v>
      </c>
      <c r="L14" s="5">
        <f t="shared" si="2"/>
        <v>0</v>
      </c>
      <c r="M14" s="5">
        <f t="shared" si="3"/>
        <v>0</v>
      </c>
      <c r="N14" s="5">
        <v>0</v>
      </c>
      <c r="O14" s="5">
        <v>50.463139149417799</v>
      </c>
      <c r="P14" s="5">
        <v>4.33050328782722</v>
      </c>
    </row>
    <row r="15" spans="1:17" x14ac:dyDescent="0.3">
      <c r="A15" s="12">
        <v>14</v>
      </c>
      <c r="B15" s="12" t="s">
        <v>114</v>
      </c>
      <c r="C15" s="12" t="s">
        <v>186</v>
      </c>
      <c r="D15" s="12" t="s">
        <v>191</v>
      </c>
      <c r="E15" s="12">
        <v>380</v>
      </c>
      <c r="F15" s="12">
        <v>155</v>
      </c>
      <c r="G15" s="12">
        <f t="shared" ref="G15:G46" si="4">F15/SUM($F$2:$F$48)*100</f>
        <v>0.88485471256493697</v>
      </c>
      <c r="H15" s="12">
        <f>17.37/4</f>
        <v>4.3425000000000002</v>
      </c>
      <c r="I15" s="12">
        <f>18.252/4</f>
        <v>4.5629999999999997</v>
      </c>
      <c r="J15" s="12">
        <v>0</v>
      </c>
      <c r="K15" s="12">
        <f t="shared" si="0"/>
        <v>0.88485471256493697</v>
      </c>
      <c r="L15" s="12">
        <f t="shared" si="2"/>
        <v>4.3425000000000002</v>
      </c>
      <c r="M15" s="12">
        <f t="shared" si="3"/>
        <v>4.3425000000000002</v>
      </c>
      <c r="N15" s="12">
        <v>0</v>
      </c>
      <c r="O15" s="12">
        <v>51.311454178600798</v>
      </c>
      <c r="P15" s="12">
        <v>4.2665197536320099</v>
      </c>
    </row>
    <row r="16" spans="1:17" x14ac:dyDescent="0.3">
      <c r="A16" s="12">
        <v>15</v>
      </c>
      <c r="B16" s="12" t="s">
        <v>164</v>
      </c>
      <c r="C16" s="12" t="s">
        <v>186</v>
      </c>
      <c r="D16" s="12" t="s">
        <v>191</v>
      </c>
      <c r="E16" s="12">
        <v>380</v>
      </c>
      <c r="F16" s="12">
        <v>465</v>
      </c>
      <c r="G16" s="12">
        <f t="shared" si="4"/>
        <v>2.6545641376948108</v>
      </c>
      <c r="H16" s="12">
        <f>17.37/4</f>
        <v>4.3425000000000002</v>
      </c>
      <c r="I16" s="12">
        <f>18.252/4</f>
        <v>4.5629999999999997</v>
      </c>
      <c r="J16" s="12">
        <v>0</v>
      </c>
      <c r="K16" s="12">
        <f t="shared" si="0"/>
        <v>2.6545641376948108</v>
      </c>
      <c r="L16" s="12">
        <f t="shared" si="2"/>
        <v>4.3425000000000002</v>
      </c>
      <c r="M16" s="12">
        <f t="shared" si="3"/>
        <v>4.3425000000000002</v>
      </c>
      <c r="N16" s="12">
        <v>0</v>
      </c>
      <c r="O16" s="12">
        <v>51.185988969198299</v>
      </c>
      <c r="P16" s="12">
        <v>3.5614453642411998</v>
      </c>
    </row>
    <row r="17" spans="1:16" x14ac:dyDescent="0.3">
      <c r="A17" s="11">
        <v>16</v>
      </c>
      <c r="B17" s="11" t="s">
        <v>34</v>
      </c>
      <c r="C17" s="11" t="s">
        <v>185</v>
      </c>
      <c r="D17" s="11" t="s">
        <v>192</v>
      </c>
      <c r="E17" s="11">
        <v>380</v>
      </c>
      <c r="F17" s="11">
        <v>0</v>
      </c>
      <c r="G17" s="11">
        <f t="shared" si="4"/>
        <v>0</v>
      </c>
      <c r="H17" s="11">
        <v>0</v>
      </c>
      <c r="I17" s="11">
        <v>0</v>
      </c>
      <c r="J17" s="11">
        <v>0</v>
      </c>
      <c r="K17" s="11">
        <f t="shared" si="0"/>
        <v>0</v>
      </c>
      <c r="L17" s="11">
        <f t="shared" si="2"/>
        <v>0</v>
      </c>
      <c r="M17" s="11">
        <f t="shared" si="3"/>
        <v>0</v>
      </c>
      <c r="N17" s="11">
        <v>0</v>
      </c>
      <c r="O17" s="11">
        <v>51.2876667708288</v>
      </c>
      <c r="P17" s="11">
        <v>3.1884903398949098</v>
      </c>
    </row>
    <row r="18" spans="1:16" x14ac:dyDescent="0.3">
      <c r="A18" s="5">
        <v>17</v>
      </c>
      <c r="B18" s="5" t="s">
        <v>113</v>
      </c>
      <c r="C18" s="5" t="s">
        <v>188</v>
      </c>
      <c r="D18" s="5" t="s">
        <v>191</v>
      </c>
      <c r="E18" s="5">
        <v>380</v>
      </c>
      <c r="F18" s="5">
        <v>930</v>
      </c>
      <c r="G18" s="5">
        <f t="shared" si="4"/>
        <v>5.3091282753896216</v>
      </c>
      <c r="H18" s="5">
        <f>7.625/2</f>
        <v>3.8125</v>
      </c>
      <c r="I18" s="5">
        <f>17.785/2</f>
        <v>8.8925000000000001</v>
      </c>
      <c r="J18" s="5">
        <v>0</v>
      </c>
      <c r="K18" s="5">
        <f t="shared" si="0"/>
        <v>5.3091282753896216</v>
      </c>
      <c r="L18" s="5">
        <f t="shared" si="2"/>
        <v>3.8125</v>
      </c>
      <c r="M18" s="5">
        <f t="shared" si="3"/>
        <v>3.8125</v>
      </c>
      <c r="N18" s="5">
        <v>20</v>
      </c>
      <c r="O18" s="5">
        <v>50.395207281948899</v>
      </c>
      <c r="P18" s="5">
        <v>4.4275796097614899</v>
      </c>
    </row>
    <row r="19" spans="1:16" x14ac:dyDescent="0.3">
      <c r="A19" s="6">
        <v>18</v>
      </c>
      <c r="B19" s="6" t="s">
        <v>22</v>
      </c>
      <c r="C19" s="6" t="s">
        <v>187</v>
      </c>
      <c r="D19" s="6" t="s">
        <v>191</v>
      </c>
      <c r="E19" s="6">
        <v>380</v>
      </c>
      <c r="F19" s="6">
        <v>600</v>
      </c>
      <c r="G19" s="6">
        <f t="shared" si="4"/>
        <v>3.4252440486384659</v>
      </c>
      <c r="H19" s="6">
        <f>7.093/11</f>
        <v>0.64481818181818185</v>
      </c>
      <c r="I19" s="6">
        <f>9.825/11</f>
        <v>0.89318181818181808</v>
      </c>
      <c r="J19" s="6">
        <v>7.7</v>
      </c>
      <c r="K19" s="6">
        <f t="shared" si="0"/>
        <v>3.4252440486384659</v>
      </c>
      <c r="L19" s="6">
        <f t="shared" si="2"/>
        <v>0.64481818181818185</v>
      </c>
      <c r="M19" s="6">
        <f t="shared" si="3"/>
        <v>0.64481818181818185</v>
      </c>
      <c r="N19" s="6">
        <v>0</v>
      </c>
      <c r="O19" s="6">
        <v>50.526859475468299</v>
      </c>
      <c r="P19" s="6">
        <v>5.2309635725993298</v>
      </c>
    </row>
    <row r="20" spans="1:16" x14ac:dyDescent="0.3">
      <c r="A20" s="12">
        <v>19</v>
      </c>
      <c r="B20" s="12" t="s">
        <v>25</v>
      </c>
      <c r="C20" s="12" t="s">
        <v>186</v>
      </c>
      <c r="D20" s="12" t="s">
        <v>192</v>
      </c>
      <c r="E20" s="12">
        <v>380</v>
      </c>
      <c r="F20" s="12">
        <v>0</v>
      </c>
      <c r="G20" s="12">
        <f t="shared" si="4"/>
        <v>0</v>
      </c>
      <c r="H20" s="12">
        <v>0</v>
      </c>
      <c r="I20" s="12">
        <v>0</v>
      </c>
      <c r="J20" s="12">
        <v>0</v>
      </c>
      <c r="K20" s="12">
        <f t="shared" si="0"/>
        <v>0</v>
      </c>
      <c r="L20" s="12">
        <f t="shared" si="2"/>
        <v>0</v>
      </c>
      <c r="M20" s="12">
        <f t="shared" si="3"/>
        <v>0</v>
      </c>
      <c r="N20" s="12">
        <v>0</v>
      </c>
      <c r="O20" s="12">
        <v>51.109667364798298</v>
      </c>
      <c r="P20" s="12">
        <v>3.5966489165750701</v>
      </c>
    </row>
    <row r="21" spans="1:16" x14ac:dyDescent="0.3">
      <c r="A21" s="11">
        <v>20</v>
      </c>
      <c r="B21" s="11" t="s">
        <v>26</v>
      </c>
      <c r="C21" s="11" t="s">
        <v>185</v>
      </c>
      <c r="D21" s="11" t="s">
        <v>191</v>
      </c>
      <c r="E21" s="11">
        <v>380</v>
      </c>
      <c r="F21" s="11">
        <v>980</v>
      </c>
      <c r="G21" s="11">
        <f t="shared" si="4"/>
        <v>5.5945652794428273</v>
      </c>
      <c r="H21" s="11">
        <f>16.02/2</f>
        <v>8.01</v>
      </c>
      <c r="I21" s="11">
        <f>8.741/2</f>
        <v>4.3704999999999998</v>
      </c>
      <c r="J21" s="11">
        <v>0</v>
      </c>
      <c r="K21" s="11">
        <f t="shared" si="0"/>
        <v>5.5945652794428273</v>
      </c>
      <c r="L21" s="11">
        <f t="shared" si="2"/>
        <v>8.01</v>
      </c>
      <c r="M21" s="11">
        <f t="shared" si="3"/>
        <v>8.01</v>
      </c>
      <c r="N21" s="11">
        <v>0</v>
      </c>
      <c r="O21" s="11">
        <v>50.918355891912199</v>
      </c>
      <c r="P21" s="11">
        <v>3.2106091208481602</v>
      </c>
    </row>
    <row r="22" spans="1:16" x14ac:dyDescent="0.3">
      <c r="A22" s="6">
        <v>21</v>
      </c>
      <c r="B22" s="6" t="s">
        <v>171</v>
      </c>
      <c r="C22" s="6" t="s">
        <v>187</v>
      </c>
      <c r="D22" s="6" t="s">
        <v>191</v>
      </c>
      <c r="E22" s="6">
        <v>220</v>
      </c>
      <c r="F22" s="6">
        <v>860</v>
      </c>
      <c r="G22" s="6">
        <f t="shared" si="4"/>
        <v>4.9095164697151343</v>
      </c>
      <c r="H22" s="6">
        <f>7.093/11</f>
        <v>0.64481818181818185</v>
      </c>
      <c r="I22" s="6">
        <f>9.825/11</f>
        <v>0.89318181818181808</v>
      </c>
      <c r="J22" s="6">
        <v>23.3</v>
      </c>
      <c r="K22" s="6">
        <f t="shared" si="0"/>
        <v>4.9095164697151343</v>
      </c>
      <c r="L22" s="6">
        <f t="shared" si="2"/>
        <v>0.64481818181818185</v>
      </c>
      <c r="M22" s="6">
        <f t="shared" si="3"/>
        <v>0.64481818181818185</v>
      </c>
      <c r="N22" s="6">
        <v>0</v>
      </c>
      <c r="O22" s="6">
        <v>50.6458640419497</v>
      </c>
      <c r="P22" s="6">
        <v>5.6370257671645296</v>
      </c>
    </row>
    <row r="23" spans="1:16" x14ac:dyDescent="0.3">
      <c r="A23" s="4">
        <v>22</v>
      </c>
      <c r="B23" s="4" t="s">
        <v>168</v>
      </c>
      <c r="C23" s="4" t="s">
        <v>189</v>
      </c>
      <c r="D23" s="4" t="s">
        <v>191</v>
      </c>
      <c r="E23" s="4">
        <v>380</v>
      </c>
      <c r="F23" s="4">
        <v>930</v>
      </c>
      <c r="G23" s="4">
        <f t="shared" si="4"/>
        <v>5.3091282753896216</v>
      </c>
      <c r="H23" s="4">
        <f>17.26/4</f>
        <v>4.3150000000000004</v>
      </c>
      <c r="I23" s="4">
        <f>14.835/4</f>
        <v>3.7087500000000002</v>
      </c>
      <c r="J23" s="4">
        <v>0</v>
      </c>
      <c r="K23" s="4">
        <f t="shared" si="0"/>
        <v>5.3091282753896216</v>
      </c>
      <c r="L23" s="4">
        <f t="shared" si="2"/>
        <v>4.3150000000000004</v>
      </c>
      <c r="M23" s="4">
        <f t="shared" si="3"/>
        <v>4.3150000000000004</v>
      </c>
      <c r="N23" s="4">
        <v>0</v>
      </c>
      <c r="O23" s="4">
        <v>51.127386602883497</v>
      </c>
      <c r="P23" s="4">
        <v>4.4959425052437201</v>
      </c>
    </row>
    <row r="24" spans="1:16" x14ac:dyDescent="0.3">
      <c r="A24" s="6">
        <v>23</v>
      </c>
      <c r="B24" s="6" t="s">
        <v>126</v>
      </c>
      <c r="C24" s="6" t="s">
        <v>187</v>
      </c>
      <c r="D24" s="6" t="s">
        <v>191</v>
      </c>
      <c r="E24" s="6">
        <v>220</v>
      </c>
      <c r="F24" s="6">
        <v>350</v>
      </c>
      <c r="G24" s="6">
        <f t="shared" si="4"/>
        <v>1.9980590283724384</v>
      </c>
      <c r="H24" s="6">
        <f>7.093/11</f>
        <v>0.64481818181818185</v>
      </c>
      <c r="I24" s="6">
        <f>9.825/11</f>
        <v>0.89318181818181808</v>
      </c>
      <c r="J24" s="6">
        <v>17.5</v>
      </c>
      <c r="K24" s="6">
        <f t="shared" si="0"/>
        <v>1.9980590283724384</v>
      </c>
      <c r="L24" s="6">
        <f t="shared" si="2"/>
        <v>0.64481818181818185</v>
      </c>
      <c r="M24" s="6">
        <f t="shared" si="3"/>
        <v>0.64481818181818185</v>
      </c>
      <c r="N24" s="6">
        <v>0</v>
      </c>
      <c r="O24" s="6">
        <v>50.757772036836997</v>
      </c>
      <c r="P24" s="6">
        <v>5.6814758674481398</v>
      </c>
    </row>
    <row r="25" spans="1:16" x14ac:dyDescent="0.3">
      <c r="A25" s="6">
        <v>24</v>
      </c>
      <c r="B25" s="6" t="s">
        <v>127</v>
      </c>
      <c r="C25" s="6" t="s">
        <v>187</v>
      </c>
      <c r="D25" s="6" t="s">
        <v>191</v>
      </c>
      <c r="E25" s="6">
        <v>380</v>
      </c>
      <c r="F25" s="6">
        <v>30</v>
      </c>
      <c r="G25" s="6">
        <f t="shared" si="4"/>
        <v>0.17126220243192328</v>
      </c>
      <c r="H25" s="6">
        <f>7.093/11</f>
        <v>0.64481818181818185</v>
      </c>
      <c r="I25" s="6">
        <f>9.825/11</f>
        <v>0.89318181818181808</v>
      </c>
      <c r="J25" s="6">
        <v>0</v>
      </c>
      <c r="K25" s="6">
        <f t="shared" si="0"/>
        <v>0.17126220243192328</v>
      </c>
      <c r="L25" s="6">
        <f t="shared" si="2"/>
        <v>0.64481818181818185</v>
      </c>
      <c r="M25" s="6">
        <f t="shared" si="3"/>
        <v>0.64481818181818185</v>
      </c>
      <c r="N25" s="6">
        <v>0</v>
      </c>
      <c r="O25" s="6">
        <v>50.757772036836997</v>
      </c>
      <c r="P25" s="6">
        <v>5.6814758674481398</v>
      </c>
    </row>
    <row r="26" spans="1:16" x14ac:dyDescent="0.3">
      <c r="A26" s="11">
        <v>25</v>
      </c>
      <c r="B26" s="11" t="s">
        <v>165</v>
      </c>
      <c r="C26" s="11" t="s">
        <v>185</v>
      </c>
      <c r="D26" s="11" t="s">
        <v>192</v>
      </c>
      <c r="E26" s="11">
        <v>380</v>
      </c>
      <c r="F26" s="11">
        <v>0</v>
      </c>
      <c r="G26" s="11">
        <f t="shared" si="4"/>
        <v>0</v>
      </c>
      <c r="H26" s="11">
        <v>0</v>
      </c>
      <c r="I26" s="11">
        <v>0</v>
      </c>
      <c r="J26" s="11">
        <v>0</v>
      </c>
      <c r="K26" s="11">
        <f t="shared" si="0"/>
        <v>0</v>
      </c>
      <c r="L26" s="11">
        <f t="shared" si="2"/>
        <v>0</v>
      </c>
      <c r="M26" s="11">
        <f t="shared" si="3"/>
        <v>0</v>
      </c>
      <c r="N26" s="11">
        <v>0</v>
      </c>
      <c r="O26" s="11">
        <v>51.234915514436501</v>
      </c>
      <c r="P26" s="11">
        <v>3.2709054417264598</v>
      </c>
    </row>
    <row r="27" spans="1:16" x14ac:dyDescent="0.3">
      <c r="A27" s="8">
        <v>26</v>
      </c>
      <c r="B27" s="8" t="s">
        <v>173</v>
      </c>
      <c r="C27" s="8" t="s">
        <v>157</v>
      </c>
      <c r="D27" s="8" t="s">
        <v>191</v>
      </c>
      <c r="E27" s="8">
        <v>220</v>
      </c>
      <c r="F27" s="8">
        <v>105</v>
      </c>
      <c r="G27" s="8">
        <f t="shared" si="4"/>
        <v>0.59941770851173148</v>
      </c>
      <c r="H27" s="8">
        <f>2.192/4</f>
        <v>0.54800000000000004</v>
      </c>
      <c r="I27" s="8">
        <f>3.459/4</f>
        <v>0.86475000000000002</v>
      </c>
      <c r="J27" s="8">
        <v>0</v>
      </c>
      <c r="K27" s="8">
        <f t="shared" si="0"/>
        <v>0.59941770851173148</v>
      </c>
      <c r="L27" s="8">
        <f t="shared" si="2"/>
        <v>0.54800000000000004</v>
      </c>
      <c r="M27" s="8">
        <f t="shared" si="3"/>
        <v>0.54800000000000004</v>
      </c>
      <c r="N27" s="8">
        <v>0</v>
      </c>
      <c r="O27" s="8">
        <v>50.241800694260697</v>
      </c>
      <c r="P27" s="8">
        <v>5.7318782397385899</v>
      </c>
    </row>
    <row r="28" spans="1:16" x14ac:dyDescent="0.3">
      <c r="A28" s="4">
        <v>27</v>
      </c>
      <c r="B28" s="4" t="s">
        <v>36</v>
      </c>
      <c r="C28" s="4" t="s">
        <v>189</v>
      </c>
      <c r="D28" s="4" t="s">
        <v>191</v>
      </c>
      <c r="E28" s="4">
        <v>380</v>
      </c>
      <c r="F28" s="4">
        <v>465</v>
      </c>
      <c r="G28" s="4">
        <f t="shared" si="4"/>
        <v>2.6545641376948108</v>
      </c>
      <c r="H28" s="4">
        <f>17.26/4</f>
        <v>4.3150000000000004</v>
      </c>
      <c r="I28" s="4">
        <f>14.835/4</f>
        <v>3.7087500000000002</v>
      </c>
      <c r="J28" s="4">
        <v>0</v>
      </c>
      <c r="K28" s="4">
        <f t="shared" si="0"/>
        <v>2.6545641376948108</v>
      </c>
      <c r="L28" s="4">
        <f t="shared" si="2"/>
        <v>4.3150000000000004</v>
      </c>
      <c r="M28" s="4">
        <f t="shared" si="3"/>
        <v>4.3150000000000004</v>
      </c>
      <c r="N28" s="4">
        <v>0</v>
      </c>
      <c r="O28" s="4">
        <v>51.199539753019501</v>
      </c>
      <c r="P28" s="4">
        <v>4.6401153205956502</v>
      </c>
    </row>
    <row r="29" spans="1:16" x14ac:dyDescent="0.3">
      <c r="A29" s="4">
        <v>28</v>
      </c>
      <c r="B29" s="4" t="s">
        <v>38</v>
      </c>
      <c r="C29" s="4" t="s">
        <v>189</v>
      </c>
      <c r="D29" s="4" t="s">
        <v>191</v>
      </c>
      <c r="E29" s="4">
        <v>380</v>
      </c>
      <c r="F29" s="4">
        <v>1138</v>
      </c>
      <c r="G29" s="4">
        <f t="shared" si="4"/>
        <v>6.4965462122509559</v>
      </c>
      <c r="H29" s="4">
        <f>17.26/4</f>
        <v>4.3150000000000004</v>
      </c>
      <c r="I29" s="4">
        <f>14.835/4</f>
        <v>3.7087500000000002</v>
      </c>
      <c r="J29" s="4">
        <v>0</v>
      </c>
      <c r="K29" s="4">
        <f t="shared" si="0"/>
        <v>6.4965462122509559</v>
      </c>
      <c r="L29" s="4">
        <f t="shared" si="2"/>
        <v>4.3150000000000004</v>
      </c>
      <c r="M29" s="4">
        <f t="shared" si="3"/>
        <v>4.3150000000000004</v>
      </c>
      <c r="N29" s="4">
        <v>0</v>
      </c>
      <c r="O29" s="4">
        <v>51.132446353747298</v>
      </c>
      <c r="P29" s="4">
        <v>5.07791580806974</v>
      </c>
    </row>
    <row r="30" spans="1:16" x14ac:dyDescent="0.3">
      <c r="A30" s="10">
        <v>29</v>
      </c>
      <c r="B30" s="10" t="s">
        <v>28</v>
      </c>
      <c r="C30" s="10" t="s">
        <v>313</v>
      </c>
      <c r="D30" s="10" t="s">
        <v>191</v>
      </c>
      <c r="E30" s="10">
        <v>380</v>
      </c>
      <c r="F30" s="10">
        <v>515</v>
      </c>
      <c r="G30" s="10">
        <f t="shared" si="4"/>
        <v>2.9400011417480161</v>
      </c>
      <c r="H30" s="10">
        <f>15.46/3</f>
        <v>5.1533333333333333</v>
      </c>
      <c r="I30" s="10">
        <f>5.15/3</f>
        <v>1.7166666666666668</v>
      </c>
      <c r="J30" s="10">
        <v>0</v>
      </c>
      <c r="K30" s="10">
        <f t="shared" si="0"/>
        <v>2.9400011417480161</v>
      </c>
      <c r="L30" s="10">
        <f t="shared" si="2"/>
        <v>5.1533333333333333</v>
      </c>
      <c r="M30" s="10">
        <f t="shared" si="3"/>
        <v>5.1533333333333333</v>
      </c>
      <c r="N30" s="10">
        <v>0</v>
      </c>
      <c r="O30" s="10">
        <v>50.786641350836497</v>
      </c>
      <c r="P30" s="10">
        <v>4.3151829886060602</v>
      </c>
    </row>
    <row r="31" spans="1:16" x14ac:dyDescent="0.3">
      <c r="A31" s="12">
        <v>30</v>
      </c>
      <c r="B31" s="12" t="s">
        <v>31</v>
      </c>
      <c r="C31" s="12" t="s">
        <v>186</v>
      </c>
      <c r="D31" s="12" t="s">
        <v>191</v>
      </c>
      <c r="E31" s="12">
        <v>380</v>
      </c>
      <c r="F31" s="12">
        <v>1170</v>
      </c>
      <c r="G31" s="12">
        <f t="shared" si="4"/>
        <v>6.6792258948450076</v>
      </c>
      <c r="H31" s="12">
        <f>17.37/4</f>
        <v>4.3425000000000002</v>
      </c>
      <c r="I31" s="12">
        <f>18.252/4</f>
        <v>4.5629999999999997</v>
      </c>
      <c r="J31" s="12">
        <v>0</v>
      </c>
      <c r="K31" s="12">
        <f t="shared" si="0"/>
        <v>6.6792258948450076</v>
      </c>
      <c r="L31" s="12">
        <f t="shared" si="2"/>
        <v>4.3425000000000002</v>
      </c>
      <c r="M31" s="12">
        <f t="shared" si="3"/>
        <v>4.3425000000000002</v>
      </c>
      <c r="N31" s="12">
        <v>20</v>
      </c>
      <c r="O31" s="12">
        <v>51.188276594903101</v>
      </c>
      <c r="P31" s="12">
        <v>4.2600114584800899</v>
      </c>
    </row>
    <row r="32" spans="1:16" x14ac:dyDescent="0.3">
      <c r="A32" s="11">
        <v>31</v>
      </c>
      <c r="B32" s="11" t="s">
        <v>111</v>
      </c>
      <c r="C32" s="11" t="s">
        <v>185</v>
      </c>
      <c r="D32" s="11" t="s">
        <v>192</v>
      </c>
      <c r="E32" s="11">
        <v>380</v>
      </c>
      <c r="F32" s="11">
        <v>0</v>
      </c>
      <c r="G32" s="11">
        <f t="shared" si="4"/>
        <v>0</v>
      </c>
      <c r="H32" s="11">
        <v>0</v>
      </c>
      <c r="I32" s="11">
        <v>0</v>
      </c>
      <c r="J32" s="11">
        <v>0</v>
      </c>
      <c r="K32" s="11">
        <f t="shared" si="0"/>
        <v>0</v>
      </c>
      <c r="L32" s="11">
        <f t="shared" si="2"/>
        <v>0</v>
      </c>
      <c r="M32" s="11">
        <f t="shared" si="3"/>
        <v>0</v>
      </c>
      <c r="N32" s="11">
        <v>0</v>
      </c>
      <c r="O32" s="11">
        <v>51.316761269176602</v>
      </c>
      <c r="P32" s="11">
        <v>3.1530132326074298</v>
      </c>
    </row>
    <row r="33" spans="1:16" x14ac:dyDescent="0.3">
      <c r="A33" s="6">
        <v>32</v>
      </c>
      <c r="B33" s="6" t="s">
        <v>177</v>
      </c>
      <c r="C33" s="6" t="s">
        <v>187</v>
      </c>
      <c r="D33" s="6" t="s">
        <v>191</v>
      </c>
      <c r="E33" s="6">
        <v>220</v>
      </c>
      <c r="F33" s="6">
        <v>160</v>
      </c>
      <c r="G33" s="6">
        <f t="shared" si="4"/>
        <v>0.91339841297025748</v>
      </c>
      <c r="H33" s="6">
        <f>7.093/11</f>
        <v>0.64481818181818185</v>
      </c>
      <c r="I33" s="6">
        <f>9.825/11</f>
        <v>0.89318181818181808</v>
      </c>
      <c r="J33" s="6">
        <v>0</v>
      </c>
      <c r="K33" s="6">
        <f t="shared" si="0"/>
        <v>0.91339841297025748</v>
      </c>
      <c r="L33" s="6">
        <f t="shared" si="2"/>
        <v>0.64481818181818185</v>
      </c>
      <c r="M33" s="6">
        <f t="shared" si="3"/>
        <v>0.64481818181818185</v>
      </c>
      <c r="N33" s="6">
        <v>20</v>
      </c>
      <c r="O33" s="6">
        <v>50.542188689853901</v>
      </c>
      <c r="P33" s="6">
        <v>5.4701284167100601</v>
      </c>
    </row>
    <row r="34" spans="1:16" x14ac:dyDescent="0.3">
      <c r="A34" s="6">
        <v>33</v>
      </c>
      <c r="B34" s="6" t="s">
        <v>178</v>
      </c>
      <c r="C34" s="6" t="s">
        <v>187</v>
      </c>
      <c r="D34" s="6" t="s">
        <v>191</v>
      </c>
      <c r="E34" s="6">
        <v>380</v>
      </c>
      <c r="F34" s="6">
        <v>80</v>
      </c>
      <c r="G34" s="6">
        <f t="shared" si="4"/>
        <v>0.45669920648512874</v>
      </c>
      <c r="H34" s="6">
        <f>7.093/11</f>
        <v>0.64481818181818185</v>
      </c>
      <c r="I34" s="6">
        <f>9.825/11</f>
        <v>0.89318181818181808</v>
      </c>
      <c r="J34" s="6">
        <v>0</v>
      </c>
      <c r="K34" s="6">
        <f t="shared" si="0"/>
        <v>0.45669920648512874</v>
      </c>
      <c r="L34" s="6">
        <f t="shared" si="2"/>
        <v>0.64481818181818185</v>
      </c>
      <c r="M34" s="6">
        <f t="shared" si="3"/>
        <v>0.64481818181818185</v>
      </c>
      <c r="N34" s="6">
        <v>0</v>
      </c>
      <c r="O34" s="6">
        <v>50.542188689853901</v>
      </c>
      <c r="P34" s="6">
        <v>5.4701284167100601</v>
      </c>
    </row>
    <row r="35" spans="1:16" x14ac:dyDescent="0.3">
      <c r="A35" s="12">
        <v>34</v>
      </c>
      <c r="B35" s="12" t="s">
        <v>167</v>
      </c>
      <c r="C35" s="12" t="s">
        <v>186</v>
      </c>
      <c r="D35" s="12" t="s">
        <v>191</v>
      </c>
      <c r="E35" s="12">
        <v>380</v>
      </c>
      <c r="F35" s="12">
        <v>465</v>
      </c>
      <c r="G35" s="12">
        <f t="shared" si="4"/>
        <v>2.6545641376948108</v>
      </c>
      <c r="H35" s="12">
        <f>17.37/4</f>
        <v>4.3425000000000002</v>
      </c>
      <c r="I35" s="12">
        <f>18.252/4</f>
        <v>4.5629999999999997</v>
      </c>
      <c r="J35" s="12">
        <v>0</v>
      </c>
      <c r="K35" s="12">
        <f t="shared" si="0"/>
        <v>2.6545641376948108</v>
      </c>
      <c r="L35" s="12">
        <f t="shared" si="2"/>
        <v>4.3425000000000002</v>
      </c>
      <c r="M35" s="12">
        <f t="shared" si="3"/>
        <v>4.3425000000000002</v>
      </c>
      <c r="N35" s="12">
        <v>20</v>
      </c>
      <c r="O35" s="12">
        <v>51.148199811082598</v>
      </c>
      <c r="P35" s="12">
        <v>3.7978163952554098</v>
      </c>
    </row>
    <row r="36" spans="1:16" x14ac:dyDescent="0.3">
      <c r="A36" s="6">
        <v>35</v>
      </c>
      <c r="B36" s="6" t="s">
        <v>175</v>
      </c>
      <c r="C36" s="6" t="s">
        <v>187</v>
      </c>
      <c r="D36" s="6" t="s">
        <v>191</v>
      </c>
      <c r="E36" s="6">
        <v>220</v>
      </c>
      <c r="F36" s="6">
        <v>120</v>
      </c>
      <c r="G36" s="6">
        <f t="shared" si="4"/>
        <v>0.68504880972769311</v>
      </c>
      <c r="H36" s="6">
        <f>7.093/11</f>
        <v>0.64481818181818185</v>
      </c>
      <c r="I36" s="6">
        <f>9.825/11</f>
        <v>0.89318181818181808</v>
      </c>
      <c r="J36" s="6">
        <v>0</v>
      </c>
      <c r="K36" s="6">
        <f t="shared" si="0"/>
        <v>0.68504880972769311</v>
      </c>
      <c r="L36" s="6">
        <f t="shared" si="2"/>
        <v>0.64481818181818185</v>
      </c>
      <c r="M36" s="6">
        <f t="shared" si="3"/>
        <v>0.64481818181818185</v>
      </c>
      <c r="N36" s="6">
        <v>0</v>
      </c>
      <c r="O36" s="6">
        <v>50.612838626661599</v>
      </c>
      <c r="P36" s="6">
        <v>5.6717828199492599</v>
      </c>
    </row>
    <row r="37" spans="1:16" x14ac:dyDescent="0.3">
      <c r="A37" s="8">
        <v>36</v>
      </c>
      <c r="B37" s="8" t="s">
        <v>174</v>
      </c>
      <c r="C37" s="8" t="s">
        <v>157</v>
      </c>
      <c r="D37" s="8" t="s">
        <v>191</v>
      </c>
      <c r="E37" s="8">
        <v>220</v>
      </c>
      <c r="F37" s="8">
        <v>0</v>
      </c>
      <c r="G37" s="8">
        <f t="shared" si="4"/>
        <v>0</v>
      </c>
      <c r="H37" s="8">
        <f>2.192/4</f>
        <v>0.54800000000000004</v>
      </c>
      <c r="I37" s="8">
        <f>3.459/4</f>
        <v>0.86475000000000002</v>
      </c>
      <c r="J37" s="8">
        <v>0</v>
      </c>
      <c r="K37" s="8">
        <f t="shared" si="0"/>
        <v>0</v>
      </c>
      <c r="L37" s="8">
        <f t="shared" si="2"/>
        <v>0.54800000000000004</v>
      </c>
      <c r="M37" s="8">
        <f t="shared" si="3"/>
        <v>0.54800000000000004</v>
      </c>
      <c r="N37" s="8">
        <v>0</v>
      </c>
      <c r="O37" s="8">
        <v>50.001530847179602</v>
      </c>
      <c r="P37" s="8">
        <v>5.6627864491565196</v>
      </c>
    </row>
    <row r="38" spans="1:16" x14ac:dyDescent="0.3">
      <c r="A38" s="6">
        <v>37</v>
      </c>
      <c r="B38" s="6" t="s">
        <v>172</v>
      </c>
      <c r="C38" s="6" t="s">
        <v>187</v>
      </c>
      <c r="D38" s="6" t="s">
        <v>191</v>
      </c>
      <c r="E38" s="6">
        <v>220</v>
      </c>
      <c r="F38" s="6">
        <v>280</v>
      </c>
      <c r="G38" s="6">
        <f t="shared" si="4"/>
        <v>1.5984472226979505</v>
      </c>
      <c r="H38" s="6">
        <f>7.093/11</f>
        <v>0.64481818181818185</v>
      </c>
      <c r="I38" s="6">
        <f>9.825/11</f>
        <v>0.89318181818181808</v>
      </c>
      <c r="J38" s="6">
        <v>0</v>
      </c>
      <c r="K38" s="6">
        <f t="shared" si="0"/>
        <v>1.5984472226979505</v>
      </c>
      <c r="L38" s="6">
        <f t="shared" si="2"/>
        <v>0.64481818181818185</v>
      </c>
      <c r="M38" s="6">
        <f t="shared" si="3"/>
        <v>0.64481818181818185</v>
      </c>
      <c r="N38" s="6">
        <v>0</v>
      </c>
      <c r="O38" s="6">
        <v>50.609304622309999</v>
      </c>
      <c r="P38" s="6">
        <v>5.5124601193014202</v>
      </c>
    </row>
    <row r="39" spans="1:16" x14ac:dyDescent="0.3">
      <c r="A39" s="11">
        <v>38</v>
      </c>
      <c r="B39" s="11" t="s">
        <v>297</v>
      </c>
      <c r="C39" s="11" t="s">
        <v>185</v>
      </c>
      <c r="D39" s="11" t="s">
        <v>192</v>
      </c>
      <c r="E39" s="11">
        <v>380</v>
      </c>
      <c r="F39" s="11">
        <v>0</v>
      </c>
      <c r="G39" s="11">
        <f t="shared" si="4"/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51.220756533185003</v>
      </c>
      <c r="P39" s="11">
        <v>2.9579922525799001</v>
      </c>
    </row>
    <row r="40" spans="1:16" x14ac:dyDescent="0.3">
      <c r="A40" s="5">
        <v>39</v>
      </c>
      <c r="B40" s="5" t="s">
        <v>163</v>
      </c>
      <c r="C40" s="5" t="s">
        <v>188</v>
      </c>
      <c r="D40" s="5" t="s">
        <v>191</v>
      </c>
      <c r="E40" s="5">
        <v>380</v>
      </c>
      <c r="F40" s="5">
        <v>645</v>
      </c>
      <c r="G40" s="5">
        <f t="shared" si="4"/>
        <v>3.6821373522863508</v>
      </c>
      <c r="H40" s="5">
        <f>7.625/2</f>
        <v>3.8125</v>
      </c>
      <c r="I40" s="5">
        <f>17.785/2</f>
        <v>8.8925000000000001</v>
      </c>
      <c r="J40" s="5">
        <v>0</v>
      </c>
      <c r="K40" s="5">
        <f t="shared" ref="K40:L46" si="5">G40</f>
        <v>3.6821373522863508</v>
      </c>
      <c r="L40" s="5">
        <f t="shared" si="5"/>
        <v>3.8125</v>
      </c>
      <c r="M40" s="5">
        <f t="shared" ref="M40:M46" si="6">H40</f>
        <v>3.8125</v>
      </c>
      <c r="N40" s="5">
        <v>0</v>
      </c>
      <c r="O40" s="5">
        <v>50.5068471396755</v>
      </c>
      <c r="P40" s="5">
        <v>4.5525207512840096</v>
      </c>
    </row>
    <row r="41" spans="1:16" x14ac:dyDescent="0.3">
      <c r="A41" s="11">
        <v>40</v>
      </c>
      <c r="B41" s="11" t="s">
        <v>35</v>
      </c>
      <c r="C41" s="11" t="s">
        <v>185</v>
      </c>
      <c r="D41" s="11" t="s">
        <v>192</v>
      </c>
      <c r="E41" s="11">
        <v>380</v>
      </c>
      <c r="F41" s="11">
        <v>0</v>
      </c>
      <c r="G41" s="11">
        <f t="shared" si="4"/>
        <v>0</v>
      </c>
      <c r="H41" s="11">
        <v>0</v>
      </c>
      <c r="I41" s="11">
        <v>0</v>
      </c>
      <c r="J41" s="11">
        <v>0</v>
      </c>
      <c r="K41" s="11">
        <f t="shared" si="5"/>
        <v>0</v>
      </c>
      <c r="L41" s="11">
        <f t="shared" si="5"/>
        <v>0</v>
      </c>
      <c r="M41" s="11">
        <f t="shared" si="6"/>
        <v>0</v>
      </c>
      <c r="N41" s="11">
        <v>0</v>
      </c>
      <c r="O41" s="11">
        <v>51.296748273115703</v>
      </c>
      <c r="P41" s="11">
        <v>3.1866373519789399</v>
      </c>
    </row>
    <row r="42" spans="1:16" x14ac:dyDescent="0.3">
      <c r="A42" s="6">
        <v>41</v>
      </c>
      <c r="B42" s="6" t="s">
        <v>166</v>
      </c>
      <c r="C42" s="6" t="s">
        <v>187</v>
      </c>
      <c r="D42" s="6" t="s">
        <v>191</v>
      </c>
      <c r="E42" s="6">
        <v>380</v>
      </c>
      <c r="F42" s="6">
        <v>570</v>
      </c>
      <c r="G42" s="6">
        <f t="shared" si="4"/>
        <v>3.2539818462065417</v>
      </c>
      <c r="H42" s="6">
        <f>7.093/11</f>
        <v>0.64481818181818185</v>
      </c>
      <c r="I42" s="6">
        <f>9.825/11</f>
        <v>0.89318181818181808</v>
      </c>
      <c r="J42" s="6">
        <v>10.9</v>
      </c>
      <c r="K42" s="6">
        <f t="shared" si="5"/>
        <v>3.2539818462065417</v>
      </c>
      <c r="L42" s="6">
        <f t="shared" si="5"/>
        <v>0.64481818181818185</v>
      </c>
      <c r="M42" s="6">
        <f t="shared" si="6"/>
        <v>0.64481818181818185</v>
      </c>
      <c r="N42" s="6">
        <v>0</v>
      </c>
      <c r="O42" s="6">
        <v>50.530285123766703</v>
      </c>
      <c r="P42" s="6">
        <v>5.2626138141901802</v>
      </c>
    </row>
    <row r="43" spans="1:16" x14ac:dyDescent="0.3">
      <c r="A43" s="7">
        <v>42</v>
      </c>
      <c r="B43" s="7" t="s">
        <v>37</v>
      </c>
      <c r="C43" s="7" t="s">
        <v>190</v>
      </c>
      <c r="D43" s="7" t="s">
        <v>192</v>
      </c>
      <c r="E43" s="7">
        <v>380</v>
      </c>
      <c r="F43" s="7">
        <v>0</v>
      </c>
      <c r="G43" s="7">
        <f t="shared" si="4"/>
        <v>0</v>
      </c>
      <c r="H43" s="7">
        <v>0</v>
      </c>
      <c r="I43" s="7">
        <v>0</v>
      </c>
      <c r="J43" s="7">
        <v>0</v>
      </c>
      <c r="K43" s="7">
        <f t="shared" si="5"/>
        <v>0</v>
      </c>
      <c r="L43" s="7">
        <f t="shared" si="5"/>
        <v>0</v>
      </c>
      <c r="M43" s="7">
        <f t="shared" si="6"/>
        <v>0</v>
      </c>
      <c r="N43" s="7">
        <v>0</v>
      </c>
      <c r="O43" s="7">
        <v>51.121523000000003</v>
      </c>
      <c r="P43" s="7">
        <v>5.7731950000000003</v>
      </c>
    </row>
    <row r="44" spans="1:16" x14ac:dyDescent="0.3">
      <c r="A44" s="10">
        <v>43</v>
      </c>
      <c r="B44" s="10" t="s">
        <v>32</v>
      </c>
      <c r="C44" s="10" t="s">
        <v>313</v>
      </c>
      <c r="D44" s="10" t="s">
        <v>191</v>
      </c>
      <c r="E44" s="10">
        <v>380</v>
      </c>
      <c r="F44" s="10">
        <v>1035</v>
      </c>
      <c r="G44" s="10">
        <f t="shared" si="4"/>
        <v>5.9085459839013534</v>
      </c>
      <c r="H44" s="10">
        <f>15.46/3</f>
        <v>5.1533333333333333</v>
      </c>
      <c r="I44" s="10">
        <f>5.15/3</f>
        <v>1.7166666666666668</v>
      </c>
      <c r="J44" s="10">
        <v>0</v>
      </c>
      <c r="K44" s="10">
        <f t="shared" si="5"/>
        <v>5.9085459839013534</v>
      </c>
      <c r="L44" s="10">
        <f t="shared" si="5"/>
        <v>5.1533333333333333</v>
      </c>
      <c r="M44" s="10">
        <f t="shared" si="6"/>
        <v>5.1533333333333333</v>
      </c>
      <c r="N44" s="10">
        <v>0</v>
      </c>
      <c r="O44" s="10">
        <v>50.9477700117395</v>
      </c>
      <c r="P44" s="10">
        <v>4.4162736428917198</v>
      </c>
    </row>
    <row r="45" spans="1:16" x14ac:dyDescent="0.3">
      <c r="A45" s="8">
        <v>44</v>
      </c>
      <c r="B45" s="8" t="s">
        <v>169</v>
      </c>
      <c r="C45" s="8" t="s">
        <v>157</v>
      </c>
      <c r="D45" s="8" t="s">
        <v>191</v>
      </c>
      <c r="E45" s="8">
        <v>220</v>
      </c>
      <c r="F45" s="8">
        <v>200</v>
      </c>
      <c r="G45" s="8">
        <f t="shared" si="4"/>
        <v>1.1417480162128217</v>
      </c>
      <c r="H45" s="8">
        <f>2.192/4</f>
        <v>0.54800000000000004</v>
      </c>
      <c r="I45" s="8">
        <f>3.459/4</f>
        <v>0.86475000000000002</v>
      </c>
      <c r="J45" s="8">
        <v>0</v>
      </c>
      <c r="K45" s="8">
        <f t="shared" si="5"/>
        <v>1.1417480162128217</v>
      </c>
      <c r="L45" s="8">
        <f t="shared" si="5"/>
        <v>0.54800000000000004</v>
      </c>
      <c r="M45" s="8">
        <f t="shared" si="6"/>
        <v>0.54800000000000004</v>
      </c>
      <c r="N45" s="8">
        <v>0</v>
      </c>
      <c r="O45" s="8">
        <v>49.9790576035859</v>
      </c>
      <c r="P45" s="8">
        <v>5.6580449523584599</v>
      </c>
    </row>
    <row r="46" spans="1:16" s="13" customFormat="1" x14ac:dyDescent="0.3">
      <c r="A46" s="4">
        <v>45</v>
      </c>
      <c r="B46" s="4" t="s">
        <v>33</v>
      </c>
      <c r="C46" s="4" t="s">
        <v>189</v>
      </c>
      <c r="D46" s="4" t="s">
        <v>191</v>
      </c>
      <c r="E46" s="4">
        <v>380</v>
      </c>
      <c r="F46" s="4">
        <v>1085</v>
      </c>
      <c r="G46" s="4">
        <f t="shared" si="4"/>
        <v>6.1939829879545583</v>
      </c>
      <c r="H46" s="4">
        <f>17.26/4</f>
        <v>4.3150000000000004</v>
      </c>
      <c r="I46" s="4">
        <f>14.835/4</f>
        <v>3.7087500000000002</v>
      </c>
      <c r="J46" s="4">
        <v>0</v>
      </c>
      <c r="K46" s="4">
        <f t="shared" si="5"/>
        <v>6.1939829879545583</v>
      </c>
      <c r="L46" s="4">
        <f t="shared" si="5"/>
        <v>4.3150000000000004</v>
      </c>
      <c r="M46" s="4">
        <f t="shared" si="6"/>
        <v>4.3150000000000004</v>
      </c>
      <c r="N46" s="4">
        <v>0</v>
      </c>
      <c r="O46" s="4">
        <v>51.360091658603402</v>
      </c>
      <c r="P46" s="4">
        <v>4.3089195290749096</v>
      </c>
    </row>
    <row r="47" spans="1:16" s="13" customFormat="1" x14ac:dyDescent="0.3">
      <c r="A47" s="12">
        <v>46</v>
      </c>
      <c r="B47" s="12" t="s">
        <v>211</v>
      </c>
      <c r="C47" s="12" t="s">
        <v>186</v>
      </c>
      <c r="D47" s="12" t="s">
        <v>298</v>
      </c>
      <c r="E47" s="12" t="s">
        <v>140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f>G47</f>
        <v>0</v>
      </c>
      <c r="L47" s="12">
        <v>0</v>
      </c>
      <c r="M47" s="12">
        <v>0</v>
      </c>
      <c r="N47" s="12">
        <v>0</v>
      </c>
      <c r="O47" s="12">
        <v>51.198282755187101</v>
      </c>
      <c r="P47" s="12">
        <v>3.8121804433765001</v>
      </c>
    </row>
    <row r="48" spans="1:16" x14ac:dyDescent="0.3">
      <c r="A48" s="7">
        <v>47</v>
      </c>
      <c r="B48" s="7" t="s">
        <v>161</v>
      </c>
      <c r="C48" s="7" t="s">
        <v>190</v>
      </c>
      <c r="D48" s="7" t="s">
        <v>191</v>
      </c>
      <c r="E48" s="7">
        <v>380</v>
      </c>
      <c r="F48" s="7">
        <v>0</v>
      </c>
      <c r="G48" s="7">
        <f>F48/SUM($F$2:$F$48)*100</f>
        <v>0</v>
      </c>
      <c r="H48" s="7">
        <v>13.52</v>
      </c>
      <c r="I48" s="7">
        <v>10.35</v>
      </c>
      <c r="J48" s="7">
        <v>0</v>
      </c>
      <c r="K48" s="7">
        <f>G48</f>
        <v>0</v>
      </c>
      <c r="L48" s="7">
        <f>H48</f>
        <v>13.52</v>
      </c>
      <c r="M48" s="7">
        <f>H48</f>
        <v>13.52</v>
      </c>
      <c r="N48" s="7">
        <v>0</v>
      </c>
      <c r="O48" s="7">
        <v>50.933370429119698</v>
      </c>
      <c r="P48" s="7">
        <v>5.57543042052452</v>
      </c>
    </row>
  </sheetData>
  <autoFilter ref="A1:P1" xr:uid="{69C2F89A-C6E7-49F0-9F06-07B9DB07681A}">
    <sortState ref="A2:P48">
      <sortCondition ref="A1"/>
    </sortState>
  </autoFilter>
  <conditionalFormatting sqref="O2:O3">
    <cfRule type="colorScale" priority="3">
      <colorScale>
        <cfvo type="formula" val="&quot;yes&quot;"/>
        <cfvo type="formula" val="&quot;no&quot;"/>
        <color theme="6" tint="0.39997558519241921"/>
        <color theme="9" tint="0.39997558519241921"/>
      </colorScale>
    </cfRule>
    <cfRule type="expression" dxfId="4" priority="4">
      <formula>IF(O2="yes",TRUE,FALSE)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23B43-CDE2-4D3C-A56E-736EA979D891}">
  <dimension ref="A1:C2"/>
  <sheetViews>
    <sheetView workbookViewId="0">
      <selection activeCell="C2" sqref="C2"/>
    </sheetView>
  </sheetViews>
  <sheetFormatPr baseColWidth="10" defaultRowHeight="14.4" x14ac:dyDescent="0.3"/>
  <cols>
    <col min="1" max="1" width="21.109375" bestFit="1" customWidth="1"/>
    <col min="2" max="2" width="31.33203125" bestFit="1" customWidth="1"/>
    <col min="3" max="3" width="17.77734375" bestFit="1" customWidth="1"/>
  </cols>
  <sheetData>
    <row r="1" spans="1:3" x14ac:dyDescent="0.3">
      <c r="A1" s="17" t="s">
        <v>2</v>
      </c>
      <c r="B1" s="17" t="s">
        <v>296</v>
      </c>
      <c r="C1" s="17" t="s">
        <v>266</v>
      </c>
    </row>
    <row r="2" spans="1:3" x14ac:dyDescent="0.3">
      <c r="A2">
        <v>0</v>
      </c>
      <c r="B2">
        <v>0</v>
      </c>
      <c r="C2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CF99F-85BC-48C6-AFC3-031406B654D8}">
  <dimension ref="A1:S94"/>
  <sheetViews>
    <sheetView workbookViewId="0">
      <selection activeCell="M14" sqref="M14"/>
    </sheetView>
  </sheetViews>
  <sheetFormatPr baseColWidth="10" defaultRowHeight="14.4" x14ac:dyDescent="0.3"/>
  <cols>
    <col min="4" max="4" width="8.88671875" bestFit="1" customWidth="1"/>
    <col min="5" max="5" width="12.6640625" bestFit="1" customWidth="1"/>
    <col min="8" max="8" width="9.5546875" bestFit="1" customWidth="1"/>
    <col min="9" max="9" width="13.44140625" bestFit="1" customWidth="1"/>
    <col min="10" max="10" width="14.88671875" bestFit="1" customWidth="1"/>
    <col min="11" max="11" width="12" bestFit="1" customWidth="1"/>
    <col min="12" max="12" width="15.109375" bestFit="1" customWidth="1"/>
    <col min="13" max="13" width="14.88671875" bestFit="1" customWidth="1"/>
    <col min="14" max="14" width="12" bestFit="1" customWidth="1"/>
    <col min="15" max="15" width="16.21875" bestFit="1" customWidth="1"/>
    <col min="16" max="16" width="14.33203125" bestFit="1" customWidth="1"/>
    <col min="17" max="17" width="13.77734375" bestFit="1" customWidth="1"/>
  </cols>
  <sheetData>
    <row r="1" spans="1:19" s="13" customFormat="1" x14ac:dyDescent="0.3">
      <c r="A1" s="17" t="s">
        <v>193</v>
      </c>
      <c r="B1" s="17" t="s">
        <v>7</v>
      </c>
      <c r="C1" s="17" t="s">
        <v>8</v>
      </c>
      <c r="D1" s="17" t="s">
        <v>123</v>
      </c>
      <c r="E1" s="17" t="s">
        <v>257</v>
      </c>
      <c r="F1" s="17" t="s">
        <v>258</v>
      </c>
      <c r="G1" s="17" t="s">
        <v>259</v>
      </c>
      <c r="H1" s="17" t="s">
        <v>260</v>
      </c>
      <c r="I1" s="17" t="s">
        <v>261</v>
      </c>
      <c r="J1" s="17" t="s">
        <v>2</v>
      </c>
      <c r="K1" s="17" t="s">
        <v>179</v>
      </c>
      <c r="L1" s="17" t="s">
        <v>180</v>
      </c>
      <c r="M1" s="17" t="s">
        <v>181</v>
      </c>
      <c r="N1" s="17" t="s">
        <v>182</v>
      </c>
      <c r="O1" s="17" t="s">
        <v>262</v>
      </c>
      <c r="P1" s="17" t="s">
        <v>263</v>
      </c>
      <c r="Q1" s="17" t="s">
        <v>264</v>
      </c>
      <c r="R1" s="17" t="s">
        <v>5</v>
      </c>
      <c r="S1" s="17" t="s">
        <v>6</v>
      </c>
    </row>
    <row r="2" spans="1:19" x14ac:dyDescent="0.3">
      <c r="A2">
        <v>1</v>
      </c>
      <c r="B2" t="s">
        <v>21</v>
      </c>
      <c r="C2" t="s">
        <v>22</v>
      </c>
      <c r="D2">
        <v>380</v>
      </c>
      <c r="E2">
        <v>36.9</v>
      </c>
      <c r="F2">
        <v>1999</v>
      </c>
      <c r="G2">
        <v>1.1399999999999999</v>
      </c>
      <c r="H2">
        <v>12.1</v>
      </c>
      <c r="I2">
        <v>141.47</v>
      </c>
      <c r="J2">
        <f t="shared" ref="J2:J33" si="0">SQRT(3)*D2*F2/1000</f>
        <v>1315.7004344454704</v>
      </c>
      <c r="K2">
        <v>50.267829470724003</v>
      </c>
      <c r="L2">
        <v>5.0456341096881596</v>
      </c>
      <c r="M2">
        <v>50.526859475468299</v>
      </c>
      <c r="N2">
        <v>5.2309635725993298</v>
      </c>
      <c r="O2">
        <f t="shared" ref="O2:O33" si="1">G2/$E2</f>
        <v>3.0894308943089428E-2</v>
      </c>
      <c r="P2">
        <f t="shared" ref="P2:P33" si="2">H2/$E2</f>
        <v>0.32791327913279134</v>
      </c>
      <c r="Q2">
        <f t="shared" ref="Q2:Q33" si="3">I2/$E2</f>
        <v>3.8338753387533875</v>
      </c>
      <c r="R2">
        <v>73397</v>
      </c>
      <c r="S2">
        <v>26</v>
      </c>
    </row>
    <row r="3" spans="1:19" x14ac:dyDescent="0.3">
      <c r="A3">
        <v>2</v>
      </c>
      <c r="B3" t="s">
        <v>125</v>
      </c>
      <c r="C3" t="s">
        <v>23</v>
      </c>
      <c r="D3">
        <v>380</v>
      </c>
      <c r="E3">
        <v>104.4</v>
      </c>
      <c r="F3">
        <v>2186</v>
      </c>
      <c r="G3">
        <v>3.55</v>
      </c>
      <c r="H3">
        <v>32.880000000000003</v>
      </c>
      <c r="I3">
        <v>379.36</v>
      </c>
      <c r="J3">
        <f t="shared" si="0"/>
        <v>1438.7799648313148</v>
      </c>
      <c r="K3">
        <v>49.563837674746701</v>
      </c>
      <c r="L3">
        <v>5.7992758711646104</v>
      </c>
      <c r="M3">
        <v>50.376044555960704</v>
      </c>
      <c r="N3">
        <v>5.8535438040111396</v>
      </c>
      <c r="O3">
        <f t="shared" si="1"/>
        <v>3.4003831417624517E-2</v>
      </c>
      <c r="P3">
        <f t="shared" si="2"/>
        <v>0.31494252873563217</v>
      </c>
      <c r="Q3">
        <f t="shared" si="3"/>
        <v>3.6337164750957855</v>
      </c>
      <c r="R3">
        <v>73397</v>
      </c>
      <c r="S3">
        <v>26</v>
      </c>
    </row>
    <row r="4" spans="1:19" x14ac:dyDescent="0.3">
      <c r="A4">
        <v>3</v>
      </c>
      <c r="B4" t="s">
        <v>24</v>
      </c>
      <c r="C4" t="s">
        <v>25</v>
      </c>
      <c r="D4">
        <v>380</v>
      </c>
      <c r="E4">
        <v>39.700000000000003</v>
      </c>
      <c r="F4">
        <v>1999</v>
      </c>
      <c r="G4">
        <v>1.23</v>
      </c>
      <c r="H4">
        <v>13.02</v>
      </c>
      <c r="I4">
        <v>146.88999999999999</v>
      </c>
      <c r="J4">
        <f t="shared" si="0"/>
        <v>1315.7004344454704</v>
      </c>
      <c r="K4">
        <v>50.774131414375503</v>
      </c>
      <c r="L4">
        <v>3.4453157895245101</v>
      </c>
      <c r="M4">
        <v>51.109667364798298</v>
      </c>
      <c r="N4">
        <v>3.5966489165750701</v>
      </c>
      <c r="O4">
        <f t="shared" si="1"/>
        <v>3.0982367758186396E-2</v>
      </c>
      <c r="P4">
        <f t="shared" si="2"/>
        <v>0.32795969773299743</v>
      </c>
      <c r="Q4">
        <f t="shared" si="3"/>
        <v>3.6999999999999993</v>
      </c>
      <c r="R4">
        <v>73397</v>
      </c>
      <c r="S4">
        <v>26</v>
      </c>
    </row>
    <row r="5" spans="1:19" x14ac:dyDescent="0.3">
      <c r="A5">
        <v>4</v>
      </c>
      <c r="B5" t="s">
        <v>24</v>
      </c>
      <c r="C5" t="s">
        <v>25</v>
      </c>
      <c r="D5">
        <v>380</v>
      </c>
      <c r="E5">
        <v>39.700000000000003</v>
      </c>
      <c r="F5">
        <v>2186</v>
      </c>
      <c r="G5">
        <v>1.25</v>
      </c>
      <c r="H5">
        <v>13</v>
      </c>
      <c r="I5">
        <v>152.96</v>
      </c>
      <c r="J5">
        <f t="shared" si="0"/>
        <v>1438.7799648313148</v>
      </c>
      <c r="K5">
        <v>50.774131414375503</v>
      </c>
      <c r="L5">
        <v>3.4453157895245101</v>
      </c>
      <c r="M5">
        <v>51.109667364798298</v>
      </c>
      <c r="N5">
        <v>3.5966489165750701</v>
      </c>
      <c r="O5">
        <f t="shared" si="1"/>
        <v>3.1486146095717885E-2</v>
      </c>
      <c r="P5">
        <f t="shared" si="2"/>
        <v>0.32745591939546598</v>
      </c>
      <c r="Q5">
        <f t="shared" si="3"/>
        <v>3.852896725440806</v>
      </c>
      <c r="R5">
        <v>73397</v>
      </c>
      <c r="S5">
        <v>26</v>
      </c>
    </row>
    <row r="6" spans="1:19" x14ac:dyDescent="0.3">
      <c r="A6">
        <v>5</v>
      </c>
      <c r="B6" t="s">
        <v>24</v>
      </c>
      <c r="C6" t="s">
        <v>26</v>
      </c>
      <c r="D6">
        <v>380</v>
      </c>
      <c r="E6">
        <v>22.8</v>
      </c>
      <c r="F6">
        <v>2186</v>
      </c>
      <c r="G6">
        <v>0.71</v>
      </c>
      <c r="H6">
        <v>7.48</v>
      </c>
      <c r="I6">
        <v>87.65</v>
      </c>
      <c r="J6">
        <f t="shared" si="0"/>
        <v>1438.7799648313148</v>
      </c>
      <c r="K6">
        <v>50.774131414375503</v>
      </c>
      <c r="L6">
        <v>3.4453157895245101</v>
      </c>
      <c r="M6">
        <v>50.918355891912199</v>
      </c>
      <c r="N6">
        <v>3.2106091208481602</v>
      </c>
      <c r="O6">
        <f t="shared" si="1"/>
        <v>3.1140350877192979E-2</v>
      </c>
      <c r="P6">
        <f t="shared" si="2"/>
        <v>0.32807017543859651</v>
      </c>
      <c r="Q6">
        <f t="shared" si="3"/>
        <v>3.8442982456140351</v>
      </c>
      <c r="R6">
        <v>73397</v>
      </c>
      <c r="S6">
        <v>26</v>
      </c>
    </row>
    <row r="7" spans="1:19" x14ac:dyDescent="0.3">
      <c r="A7">
        <v>6</v>
      </c>
      <c r="B7" t="s">
        <v>24</v>
      </c>
      <c r="C7" t="s">
        <v>26</v>
      </c>
      <c r="D7">
        <v>380</v>
      </c>
      <c r="E7">
        <v>22.8</v>
      </c>
      <c r="F7">
        <v>2186</v>
      </c>
      <c r="G7">
        <v>0.71</v>
      </c>
      <c r="H7">
        <v>7.48</v>
      </c>
      <c r="I7">
        <v>87.65</v>
      </c>
      <c r="J7">
        <f t="shared" si="0"/>
        <v>1438.7799648313148</v>
      </c>
      <c r="K7">
        <v>50.774131414375503</v>
      </c>
      <c r="L7">
        <v>3.4453157895245101</v>
      </c>
      <c r="M7">
        <v>50.918355891912199</v>
      </c>
      <c r="N7">
        <v>3.2106091208481602</v>
      </c>
      <c r="O7">
        <f t="shared" si="1"/>
        <v>3.1140350877192979E-2</v>
      </c>
      <c r="P7">
        <f t="shared" si="2"/>
        <v>0.32807017543859651</v>
      </c>
      <c r="Q7">
        <f t="shared" si="3"/>
        <v>3.8442982456140351</v>
      </c>
      <c r="R7">
        <v>73397</v>
      </c>
      <c r="S7">
        <v>26</v>
      </c>
    </row>
    <row r="8" spans="1:19" x14ac:dyDescent="0.3">
      <c r="A8">
        <v>7</v>
      </c>
      <c r="B8" t="s">
        <v>27</v>
      </c>
      <c r="C8" t="s">
        <v>28</v>
      </c>
      <c r="D8">
        <v>380</v>
      </c>
      <c r="E8">
        <v>14</v>
      </c>
      <c r="F8">
        <v>1999</v>
      </c>
      <c r="G8">
        <v>0.45</v>
      </c>
      <c r="H8">
        <v>4.63</v>
      </c>
      <c r="I8">
        <v>54.18</v>
      </c>
      <c r="J8">
        <f t="shared" si="0"/>
        <v>1315.7004344454704</v>
      </c>
      <c r="K8">
        <v>50.838519262055897</v>
      </c>
      <c r="L8">
        <v>4.2624452683829599</v>
      </c>
      <c r="M8">
        <v>50.786641350836497</v>
      </c>
      <c r="N8">
        <v>4.3151829886060602</v>
      </c>
      <c r="O8">
        <f t="shared" si="1"/>
        <v>3.2142857142857147E-2</v>
      </c>
      <c r="P8">
        <f t="shared" si="2"/>
        <v>0.33071428571428568</v>
      </c>
      <c r="Q8">
        <f t="shared" si="3"/>
        <v>3.87</v>
      </c>
      <c r="R8">
        <v>73397</v>
      </c>
      <c r="S8">
        <v>26</v>
      </c>
    </row>
    <row r="9" spans="1:19" x14ac:dyDescent="0.3">
      <c r="A9">
        <v>8</v>
      </c>
      <c r="B9" t="s">
        <v>27</v>
      </c>
      <c r="C9" t="s">
        <v>29</v>
      </c>
      <c r="D9">
        <v>380</v>
      </c>
      <c r="E9">
        <v>47.3</v>
      </c>
      <c r="F9">
        <v>2186</v>
      </c>
      <c r="G9">
        <v>1.47</v>
      </c>
      <c r="H9">
        <v>15.51</v>
      </c>
      <c r="I9">
        <v>182.6</v>
      </c>
      <c r="J9">
        <f t="shared" si="0"/>
        <v>1438.7799648313148</v>
      </c>
      <c r="K9">
        <v>50.838519262055897</v>
      </c>
      <c r="L9">
        <v>4.2624452683829599</v>
      </c>
      <c r="M9">
        <v>50.463139149417799</v>
      </c>
      <c r="N9">
        <v>4.33050328782722</v>
      </c>
      <c r="O9">
        <f t="shared" si="1"/>
        <v>3.1078224101479916E-2</v>
      </c>
      <c r="P9">
        <f t="shared" si="2"/>
        <v>0.32790697674418606</v>
      </c>
      <c r="Q9">
        <f t="shared" si="3"/>
        <v>3.86046511627907</v>
      </c>
      <c r="R9">
        <v>73397</v>
      </c>
      <c r="S9">
        <v>26</v>
      </c>
    </row>
    <row r="10" spans="1:19" x14ac:dyDescent="0.3">
      <c r="A10">
        <v>9</v>
      </c>
      <c r="B10" t="s">
        <v>27</v>
      </c>
      <c r="C10" t="s">
        <v>30</v>
      </c>
      <c r="D10">
        <v>380</v>
      </c>
      <c r="E10">
        <v>15.9</v>
      </c>
      <c r="F10">
        <v>1999</v>
      </c>
      <c r="G10">
        <v>0.61</v>
      </c>
      <c r="H10">
        <v>5.1100000000000003</v>
      </c>
      <c r="I10">
        <v>59.8</v>
      </c>
      <c r="J10">
        <f t="shared" si="0"/>
        <v>1315.7004344454704</v>
      </c>
      <c r="K10">
        <v>50.838519262055897</v>
      </c>
      <c r="L10">
        <v>4.2624452683829599</v>
      </c>
      <c r="M10">
        <v>51.014664633791597</v>
      </c>
      <c r="N10">
        <v>4.2001229862848399</v>
      </c>
      <c r="O10">
        <f t="shared" si="1"/>
        <v>3.8364779874213835E-2</v>
      </c>
      <c r="P10">
        <f t="shared" si="2"/>
        <v>0.32138364779874218</v>
      </c>
      <c r="Q10">
        <f t="shared" si="3"/>
        <v>3.7610062893081757</v>
      </c>
      <c r="R10">
        <v>73397</v>
      </c>
      <c r="S10">
        <v>26</v>
      </c>
    </row>
    <row r="11" spans="1:19" x14ac:dyDescent="0.3">
      <c r="A11">
        <v>10</v>
      </c>
      <c r="B11" t="s">
        <v>27</v>
      </c>
      <c r="C11" t="s">
        <v>30</v>
      </c>
      <c r="D11">
        <v>380</v>
      </c>
      <c r="E11">
        <v>15.9</v>
      </c>
      <c r="F11">
        <v>2186</v>
      </c>
      <c r="G11">
        <v>0.5</v>
      </c>
      <c r="H11">
        <v>5.25</v>
      </c>
      <c r="I11">
        <v>61.8</v>
      </c>
      <c r="J11">
        <f t="shared" si="0"/>
        <v>1438.7799648313148</v>
      </c>
      <c r="K11">
        <v>50.838519262055897</v>
      </c>
      <c r="L11">
        <v>4.2624452683829599</v>
      </c>
      <c r="M11">
        <v>51.014664633791597</v>
      </c>
      <c r="N11">
        <v>4.2001229862848399</v>
      </c>
      <c r="O11">
        <f t="shared" si="1"/>
        <v>3.1446540880503145E-2</v>
      </c>
      <c r="P11">
        <f t="shared" si="2"/>
        <v>0.330188679245283</v>
      </c>
      <c r="Q11">
        <f t="shared" si="3"/>
        <v>3.8867924528301883</v>
      </c>
      <c r="R11">
        <v>73397</v>
      </c>
      <c r="S11">
        <v>26</v>
      </c>
    </row>
    <row r="12" spans="1:19" x14ac:dyDescent="0.3">
      <c r="A12">
        <v>11</v>
      </c>
      <c r="B12" t="s">
        <v>23</v>
      </c>
      <c r="C12" t="s">
        <v>22</v>
      </c>
      <c r="D12">
        <v>380</v>
      </c>
      <c r="E12">
        <v>44.3</v>
      </c>
      <c r="F12">
        <v>1999</v>
      </c>
      <c r="G12">
        <v>1.37</v>
      </c>
      <c r="H12">
        <v>14.53</v>
      </c>
      <c r="I12">
        <v>164</v>
      </c>
      <c r="J12">
        <f t="shared" si="0"/>
        <v>1315.7004344454704</v>
      </c>
      <c r="K12">
        <v>50.376044555960704</v>
      </c>
      <c r="L12">
        <v>5.8535438040111396</v>
      </c>
      <c r="M12">
        <v>50.526859475468299</v>
      </c>
      <c r="N12">
        <v>5.2309635725993298</v>
      </c>
      <c r="O12">
        <f t="shared" si="1"/>
        <v>3.0925507900677204E-2</v>
      </c>
      <c r="P12">
        <f t="shared" si="2"/>
        <v>0.32799097065462757</v>
      </c>
      <c r="Q12">
        <f t="shared" si="3"/>
        <v>3.702031602708804</v>
      </c>
      <c r="R12">
        <v>73397</v>
      </c>
      <c r="S12">
        <v>26</v>
      </c>
    </row>
    <row r="13" spans="1:19" x14ac:dyDescent="0.3">
      <c r="A13">
        <v>12</v>
      </c>
      <c r="B13" t="s">
        <v>23</v>
      </c>
      <c r="C13" t="s">
        <v>22</v>
      </c>
      <c r="D13">
        <v>380</v>
      </c>
      <c r="E13">
        <v>44.3</v>
      </c>
      <c r="F13">
        <v>2322</v>
      </c>
      <c r="G13">
        <v>1.37</v>
      </c>
      <c r="H13">
        <v>14.53</v>
      </c>
      <c r="I13">
        <v>170.38</v>
      </c>
      <c r="J13">
        <f t="shared" si="0"/>
        <v>1528.2923505664744</v>
      </c>
      <c r="K13">
        <v>50.376044555960704</v>
      </c>
      <c r="L13">
        <v>5.8535438040111396</v>
      </c>
      <c r="M13">
        <v>50.526859475468299</v>
      </c>
      <c r="N13">
        <v>5.2309635725993298</v>
      </c>
      <c r="O13">
        <f t="shared" si="1"/>
        <v>3.0925507900677204E-2</v>
      </c>
      <c r="P13">
        <f t="shared" si="2"/>
        <v>0.32799097065462757</v>
      </c>
      <c r="Q13">
        <f t="shared" si="3"/>
        <v>3.8460496613995487</v>
      </c>
      <c r="R13">
        <v>73397</v>
      </c>
      <c r="S13">
        <v>26</v>
      </c>
    </row>
    <row r="14" spans="1:19" x14ac:dyDescent="0.3">
      <c r="A14">
        <v>13</v>
      </c>
      <c r="B14" t="s">
        <v>23</v>
      </c>
      <c r="C14" t="s">
        <v>112</v>
      </c>
      <c r="D14">
        <v>380</v>
      </c>
      <c r="E14">
        <v>2</v>
      </c>
      <c r="F14">
        <v>1999</v>
      </c>
      <c r="G14">
        <v>0.06</v>
      </c>
      <c r="H14">
        <v>0.66</v>
      </c>
      <c r="I14">
        <v>7.72</v>
      </c>
      <c r="J14">
        <f t="shared" si="0"/>
        <v>1315.7004344454704</v>
      </c>
      <c r="K14">
        <v>50.376044555960704</v>
      </c>
      <c r="L14">
        <v>5.8535438040111396</v>
      </c>
      <c r="M14">
        <v>50.394631919504498</v>
      </c>
      <c r="N14">
        <v>5.87261563504262</v>
      </c>
      <c r="O14">
        <f t="shared" si="1"/>
        <v>0.03</v>
      </c>
      <c r="P14">
        <f t="shared" si="2"/>
        <v>0.33</v>
      </c>
      <c r="Q14">
        <f t="shared" si="3"/>
        <v>3.86</v>
      </c>
      <c r="R14">
        <v>73397</v>
      </c>
      <c r="S14">
        <v>26</v>
      </c>
    </row>
    <row r="15" spans="1:19" x14ac:dyDescent="0.3">
      <c r="A15">
        <v>14</v>
      </c>
      <c r="B15" t="s">
        <v>23</v>
      </c>
      <c r="C15" t="s">
        <v>112</v>
      </c>
      <c r="D15">
        <v>380</v>
      </c>
      <c r="E15">
        <v>2</v>
      </c>
      <c r="F15">
        <v>1999</v>
      </c>
      <c r="G15">
        <v>0.06</v>
      </c>
      <c r="H15">
        <v>0.66</v>
      </c>
      <c r="I15">
        <v>7.72</v>
      </c>
      <c r="J15">
        <f t="shared" si="0"/>
        <v>1315.7004344454704</v>
      </c>
      <c r="K15">
        <v>50.376044555960704</v>
      </c>
      <c r="L15">
        <v>5.8535438040111396</v>
      </c>
      <c r="M15">
        <v>50.394631919504498</v>
      </c>
      <c r="N15">
        <v>5.87261563504262</v>
      </c>
      <c r="O15">
        <f t="shared" si="1"/>
        <v>0.03</v>
      </c>
      <c r="P15">
        <f t="shared" si="2"/>
        <v>0.33</v>
      </c>
      <c r="Q15">
        <f t="shared" si="3"/>
        <v>3.86</v>
      </c>
      <c r="R15">
        <v>73397</v>
      </c>
      <c r="S15">
        <v>26</v>
      </c>
    </row>
    <row r="16" spans="1:19" x14ac:dyDescent="0.3">
      <c r="A16">
        <v>15</v>
      </c>
      <c r="B16" t="s">
        <v>30</v>
      </c>
      <c r="C16" t="s">
        <v>31</v>
      </c>
      <c r="D16">
        <v>380</v>
      </c>
      <c r="E16">
        <v>15.5</v>
      </c>
      <c r="F16">
        <v>1999</v>
      </c>
      <c r="G16">
        <v>0.59</v>
      </c>
      <c r="H16">
        <v>5</v>
      </c>
      <c r="I16">
        <v>58.6</v>
      </c>
      <c r="J16">
        <f t="shared" si="0"/>
        <v>1315.7004344454704</v>
      </c>
      <c r="K16">
        <v>51.014664633791597</v>
      </c>
      <c r="L16">
        <v>4.2001229862848399</v>
      </c>
      <c r="M16">
        <v>51.188276594903101</v>
      </c>
      <c r="N16">
        <v>4.2600114584800899</v>
      </c>
      <c r="O16">
        <f t="shared" si="1"/>
        <v>3.8064516129032257E-2</v>
      </c>
      <c r="P16">
        <f t="shared" si="2"/>
        <v>0.32258064516129031</v>
      </c>
      <c r="Q16">
        <f t="shared" si="3"/>
        <v>3.7806451612903227</v>
      </c>
      <c r="R16">
        <v>73397</v>
      </c>
      <c r="S16">
        <v>26</v>
      </c>
    </row>
    <row r="17" spans="1:19" x14ac:dyDescent="0.3">
      <c r="A17">
        <v>16</v>
      </c>
      <c r="B17" t="s">
        <v>30</v>
      </c>
      <c r="C17" t="s">
        <v>32</v>
      </c>
      <c r="D17">
        <v>380</v>
      </c>
      <c r="E17">
        <v>21.7</v>
      </c>
      <c r="F17">
        <v>2319</v>
      </c>
      <c r="G17">
        <v>0.66</v>
      </c>
      <c r="H17">
        <v>6.91</v>
      </c>
      <c r="I17">
        <v>83.46</v>
      </c>
      <c r="J17">
        <f t="shared" si="0"/>
        <v>1526.3178126458458</v>
      </c>
      <c r="K17">
        <v>51.014664633791597</v>
      </c>
      <c r="L17">
        <v>4.2001229862848399</v>
      </c>
      <c r="M17">
        <v>50.9477700117395</v>
      </c>
      <c r="N17">
        <v>4.4162736428917198</v>
      </c>
      <c r="O17">
        <f t="shared" si="1"/>
        <v>3.0414746543778803E-2</v>
      </c>
      <c r="P17">
        <f t="shared" si="2"/>
        <v>0.31843317972350232</v>
      </c>
      <c r="Q17">
        <f t="shared" si="3"/>
        <v>3.8460829493087556</v>
      </c>
      <c r="R17">
        <v>73397</v>
      </c>
      <c r="S17">
        <v>26</v>
      </c>
    </row>
    <row r="18" spans="1:19" x14ac:dyDescent="0.3">
      <c r="A18">
        <v>17</v>
      </c>
      <c r="B18" t="s">
        <v>30</v>
      </c>
      <c r="C18" t="s">
        <v>31</v>
      </c>
      <c r="D18">
        <v>380</v>
      </c>
      <c r="E18">
        <v>15.5</v>
      </c>
      <c r="F18">
        <v>2186</v>
      </c>
      <c r="G18">
        <v>0.48</v>
      </c>
      <c r="H18">
        <v>5.08</v>
      </c>
      <c r="I18">
        <v>58.8</v>
      </c>
      <c r="J18">
        <f t="shared" si="0"/>
        <v>1438.7799648313148</v>
      </c>
      <c r="K18">
        <v>51.014664633791597</v>
      </c>
      <c r="L18">
        <v>4.2001229862848399</v>
      </c>
      <c r="M18">
        <v>51.188276594903101</v>
      </c>
      <c r="N18">
        <v>4.2600114584800899</v>
      </c>
      <c r="O18">
        <f t="shared" si="1"/>
        <v>3.0967741935483871E-2</v>
      </c>
      <c r="P18">
        <f t="shared" si="2"/>
        <v>0.32774193548387098</v>
      </c>
      <c r="Q18">
        <f t="shared" si="3"/>
        <v>3.7935483870967741</v>
      </c>
      <c r="R18">
        <v>73397</v>
      </c>
      <c r="S18">
        <v>26</v>
      </c>
    </row>
    <row r="19" spans="1:19" x14ac:dyDescent="0.3">
      <c r="A19">
        <v>18</v>
      </c>
      <c r="B19" t="s">
        <v>30</v>
      </c>
      <c r="C19" t="s">
        <v>32</v>
      </c>
      <c r="D19">
        <v>380</v>
      </c>
      <c r="E19">
        <v>21.7</v>
      </c>
      <c r="F19">
        <v>2186</v>
      </c>
      <c r="G19">
        <v>0.67</v>
      </c>
      <c r="H19">
        <v>7.12</v>
      </c>
      <c r="I19">
        <v>83.46</v>
      </c>
      <c r="J19">
        <f t="shared" si="0"/>
        <v>1438.7799648313148</v>
      </c>
      <c r="K19">
        <v>51.014664633791597</v>
      </c>
      <c r="L19">
        <v>4.2001229862848399</v>
      </c>
      <c r="M19">
        <v>50.9477700117395</v>
      </c>
      <c r="N19">
        <v>4.4162736428917198</v>
      </c>
      <c r="O19">
        <f t="shared" si="1"/>
        <v>3.0875576036866362E-2</v>
      </c>
      <c r="P19">
        <f t="shared" si="2"/>
        <v>0.328110599078341</v>
      </c>
      <c r="Q19">
        <f t="shared" si="3"/>
        <v>3.8460829493087556</v>
      </c>
      <c r="R19">
        <v>73397</v>
      </c>
      <c r="S19">
        <v>26</v>
      </c>
    </row>
    <row r="20" spans="1:19" x14ac:dyDescent="0.3">
      <c r="A20">
        <v>19</v>
      </c>
      <c r="B20" t="s">
        <v>162</v>
      </c>
      <c r="C20" t="s">
        <v>22</v>
      </c>
      <c r="D20">
        <v>380</v>
      </c>
      <c r="E20">
        <v>32.200000000000003</v>
      </c>
      <c r="F20">
        <v>2186</v>
      </c>
      <c r="G20">
        <v>1</v>
      </c>
      <c r="H20">
        <v>10.56</v>
      </c>
      <c r="I20">
        <v>124.25</v>
      </c>
      <c r="J20">
        <f t="shared" si="0"/>
        <v>1438.7799648313148</v>
      </c>
      <c r="K20">
        <v>50.496349395689002</v>
      </c>
      <c r="L20">
        <v>4.9037652825078197</v>
      </c>
      <c r="M20">
        <v>50.526859475468299</v>
      </c>
      <c r="N20">
        <v>5.2309635725993298</v>
      </c>
      <c r="O20">
        <f t="shared" si="1"/>
        <v>3.1055900621118009E-2</v>
      </c>
      <c r="P20">
        <f t="shared" si="2"/>
        <v>0.3279503105590062</v>
      </c>
      <c r="Q20">
        <f t="shared" si="3"/>
        <v>3.8586956521739126</v>
      </c>
      <c r="R20">
        <v>73397</v>
      </c>
      <c r="S20">
        <v>26</v>
      </c>
    </row>
    <row r="21" spans="1:19" x14ac:dyDescent="0.3">
      <c r="A21">
        <v>20</v>
      </c>
      <c r="B21" t="s">
        <v>162</v>
      </c>
      <c r="C21" t="s">
        <v>29</v>
      </c>
      <c r="D21">
        <v>380</v>
      </c>
      <c r="E21">
        <v>44.1</v>
      </c>
      <c r="F21">
        <v>2186</v>
      </c>
      <c r="G21">
        <v>1.37</v>
      </c>
      <c r="H21">
        <v>14.46</v>
      </c>
      <c r="I21">
        <v>170.24</v>
      </c>
      <c r="J21">
        <f t="shared" si="0"/>
        <v>1438.7799648313148</v>
      </c>
      <c r="K21">
        <v>50.496349395689002</v>
      </c>
      <c r="L21">
        <v>4.9037652825078197</v>
      </c>
      <c r="M21">
        <v>50.463139149417799</v>
      </c>
      <c r="N21">
        <v>4.33050328782722</v>
      </c>
      <c r="O21">
        <f t="shared" si="1"/>
        <v>3.106575963718821E-2</v>
      </c>
      <c r="P21">
        <f t="shared" si="2"/>
        <v>0.32789115646258504</v>
      </c>
      <c r="Q21">
        <f t="shared" si="3"/>
        <v>3.8603174603174604</v>
      </c>
      <c r="R21">
        <v>73397</v>
      </c>
      <c r="S21">
        <v>26</v>
      </c>
    </row>
    <row r="22" spans="1:19" x14ac:dyDescent="0.3">
      <c r="A22">
        <v>21</v>
      </c>
      <c r="B22" t="s">
        <v>29</v>
      </c>
      <c r="C22" t="s">
        <v>163</v>
      </c>
      <c r="D22">
        <v>380</v>
      </c>
      <c r="E22">
        <v>12.6</v>
      </c>
      <c r="F22">
        <v>1999</v>
      </c>
      <c r="G22">
        <v>0.39</v>
      </c>
      <c r="H22">
        <v>4.13</v>
      </c>
      <c r="I22">
        <v>48.64</v>
      </c>
      <c r="J22">
        <f t="shared" si="0"/>
        <v>1315.7004344454704</v>
      </c>
      <c r="K22">
        <v>50.463139149417799</v>
      </c>
      <c r="L22">
        <v>4.33050328782722</v>
      </c>
      <c r="M22">
        <v>50.5068471396755</v>
      </c>
      <c r="N22">
        <v>4.5525207512840096</v>
      </c>
      <c r="O22">
        <f t="shared" si="1"/>
        <v>3.0952380952380953E-2</v>
      </c>
      <c r="P22">
        <f t="shared" si="2"/>
        <v>0.32777777777777778</v>
      </c>
      <c r="Q22">
        <f t="shared" si="3"/>
        <v>3.8603174603174604</v>
      </c>
      <c r="R22">
        <v>73397</v>
      </c>
      <c r="S22">
        <v>26</v>
      </c>
    </row>
    <row r="23" spans="1:19" x14ac:dyDescent="0.3">
      <c r="A23">
        <v>22</v>
      </c>
      <c r="B23" t="s">
        <v>29</v>
      </c>
      <c r="C23" t="s">
        <v>28</v>
      </c>
      <c r="D23">
        <v>380</v>
      </c>
      <c r="E23">
        <v>33.4</v>
      </c>
      <c r="F23">
        <v>1999</v>
      </c>
      <c r="G23">
        <v>1.03</v>
      </c>
      <c r="H23">
        <v>10.95</v>
      </c>
      <c r="I23">
        <v>128.19999999999999</v>
      </c>
      <c r="J23">
        <f t="shared" si="0"/>
        <v>1315.7004344454704</v>
      </c>
      <c r="K23">
        <v>50.463139149417799</v>
      </c>
      <c r="L23">
        <v>4.33050328782722</v>
      </c>
      <c r="M23">
        <v>50.786641350836497</v>
      </c>
      <c r="N23">
        <v>4.3151829886060602</v>
      </c>
      <c r="O23">
        <f t="shared" si="1"/>
        <v>3.0838323353293416E-2</v>
      </c>
      <c r="P23">
        <f t="shared" si="2"/>
        <v>0.32784431137724551</v>
      </c>
      <c r="Q23">
        <f t="shared" si="3"/>
        <v>3.8383233532934131</v>
      </c>
      <c r="R23">
        <v>73397</v>
      </c>
      <c r="S23">
        <v>26</v>
      </c>
    </row>
    <row r="24" spans="1:19" x14ac:dyDescent="0.3">
      <c r="A24">
        <v>23</v>
      </c>
      <c r="B24" t="s">
        <v>29</v>
      </c>
      <c r="C24" t="s">
        <v>113</v>
      </c>
      <c r="D24">
        <v>380</v>
      </c>
      <c r="E24">
        <v>1.7</v>
      </c>
      <c r="F24">
        <v>1999</v>
      </c>
      <c r="G24">
        <v>0.05</v>
      </c>
      <c r="H24">
        <v>0.56000000000000005</v>
      </c>
      <c r="I24">
        <v>6.6</v>
      </c>
      <c r="J24">
        <f t="shared" si="0"/>
        <v>1315.7004344454704</v>
      </c>
      <c r="K24">
        <v>50.463139149417799</v>
      </c>
      <c r="L24">
        <v>4.33050328782722</v>
      </c>
      <c r="M24">
        <v>50.395207281948899</v>
      </c>
      <c r="N24">
        <v>4.4275796097614899</v>
      </c>
      <c r="O24">
        <f t="shared" si="1"/>
        <v>2.9411764705882356E-2</v>
      </c>
      <c r="P24">
        <f t="shared" si="2"/>
        <v>0.3294117647058824</v>
      </c>
      <c r="Q24">
        <f t="shared" si="3"/>
        <v>3.8823529411764706</v>
      </c>
      <c r="R24">
        <v>73397</v>
      </c>
      <c r="S24">
        <v>26</v>
      </c>
    </row>
    <row r="25" spans="1:19" x14ac:dyDescent="0.3">
      <c r="A25">
        <v>24</v>
      </c>
      <c r="B25" t="s">
        <v>29</v>
      </c>
      <c r="C25" t="s">
        <v>113</v>
      </c>
      <c r="D25">
        <v>380</v>
      </c>
      <c r="E25">
        <v>1.8</v>
      </c>
      <c r="F25">
        <v>2186</v>
      </c>
      <c r="G25">
        <v>0.06</v>
      </c>
      <c r="H25">
        <v>0.59</v>
      </c>
      <c r="I25">
        <v>7</v>
      </c>
      <c r="J25">
        <f t="shared" si="0"/>
        <v>1438.7799648313148</v>
      </c>
      <c r="K25">
        <v>50.463139149417799</v>
      </c>
      <c r="L25">
        <v>4.33050328782722</v>
      </c>
      <c r="M25">
        <v>50.395207281948899</v>
      </c>
      <c r="N25">
        <v>4.4275796097614899</v>
      </c>
      <c r="O25">
        <f t="shared" si="1"/>
        <v>3.3333333333333333E-2</v>
      </c>
      <c r="P25">
        <f t="shared" si="2"/>
        <v>0.32777777777777778</v>
      </c>
      <c r="Q25">
        <f t="shared" si="3"/>
        <v>3.8888888888888888</v>
      </c>
      <c r="R25">
        <v>73397</v>
      </c>
      <c r="S25">
        <v>26</v>
      </c>
    </row>
    <row r="26" spans="1:19" x14ac:dyDescent="0.3">
      <c r="A26">
        <v>25</v>
      </c>
      <c r="B26" t="s">
        <v>114</v>
      </c>
      <c r="C26" t="s">
        <v>33</v>
      </c>
      <c r="D26">
        <v>380</v>
      </c>
      <c r="E26">
        <v>6.8</v>
      </c>
      <c r="F26">
        <v>1999</v>
      </c>
      <c r="G26">
        <v>0.24</v>
      </c>
      <c r="H26">
        <v>2.4</v>
      </c>
      <c r="I26">
        <v>24</v>
      </c>
      <c r="J26">
        <f t="shared" si="0"/>
        <v>1315.7004344454704</v>
      </c>
      <c r="K26">
        <v>51.311454178600798</v>
      </c>
      <c r="L26">
        <v>4.2665197536320099</v>
      </c>
      <c r="M26">
        <v>51.360091658603402</v>
      </c>
      <c r="N26">
        <v>4.3089195290749096</v>
      </c>
      <c r="O26">
        <f t="shared" si="1"/>
        <v>3.5294117647058823E-2</v>
      </c>
      <c r="P26">
        <f t="shared" si="2"/>
        <v>0.35294117647058826</v>
      </c>
      <c r="Q26">
        <f t="shared" si="3"/>
        <v>3.5294117647058822</v>
      </c>
      <c r="R26">
        <v>73397</v>
      </c>
      <c r="S26">
        <v>26</v>
      </c>
    </row>
    <row r="27" spans="1:19" x14ac:dyDescent="0.3">
      <c r="A27">
        <v>26</v>
      </c>
      <c r="B27" t="s">
        <v>114</v>
      </c>
      <c r="C27" t="s">
        <v>33</v>
      </c>
      <c r="D27">
        <v>380</v>
      </c>
      <c r="E27">
        <v>7.1</v>
      </c>
      <c r="F27">
        <v>1999</v>
      </c>
      <c r="G27">
        <v>7.0000000000000007E-2</v>
      </c>
      <c r="H27">
        <v>2.57</v>
      </c>
      <c r="I27">
        <v>22.92</v>
      </c>
      <c r="J27">
        <f t="shared" si="0"/>
        <v>1315.7004344454704</v>
      </c>
      <c r="K27">
        <v>51.311454178600798</v>
      </c>
      <c r="L27">
        <v>4.2665197536320099</v>
      </c>
      <c r="M27">
        <v>51.360091658603402</v>
      </c>
      <c r="N27">
        <v>4.3089195290749096</v>
      </c>
      <c r="O27">
        <f t="shared" si="1"/>
        <v>9.8591549295774655E-3</v>
      </c>
      <c r="P27">
        <f t="shared" si="2"/>
        <v>0.36197183098591551</v>
      </c>
      <c r="Q27">
        <f t="shared" si="3"/>
        <v>3.2281690140845076</v>
      </c>
      <c r="R27">
        <v>73397</v>
      </c>
      <c r="S27">
        <v>26</v>
      </c>
    </row>
    <row r="28" spans="1:19" x14ac:dyDescent="0.3">
      <c r="A28">
        <v>27</v>
      </c>
      <c r="B28" t="s">
        <v>114</v>
      </c>
      <c r="C28" t="s">
        <v>31</v>
      </c>
      <c r="D28">
        <v>380</v>
      </c>
      <c r="E28">
        <v>22.8</v>
      </c>
      <c r="F28">
        <v>1999</v>
      </c>
      <c r="G28">
        <v>0.71</v>
      </c>
      <c r="H28">
        <v>7.48</v>
      </c>
      <c r="I28">
        <v>88</v>
      </c>
      <c r="J28">
        <f t="shared" si="0"/>
        <v>1315.7004344454704</v>
      </c>
      <c r="K28">
        <v>51.311454178600798</v>
      </c>
      <c r="L28">
        <v>4.2665197536320099</v>
      </c>
      <c r="M28">
        <v>51.188276594903101</v>
      </c>
      <c r="N28">
        <v>4.2600114584800899</v>
      </c>
      <c r="O28">
        <f t="shared" si="1"/>
        <v>3.1140350877192979E-2</v>
      </c>
      <c r="P28">
        <f t="shared" si="2"/>
        <v>0.32807017543859651</v>
      </c>
      <c r="Q28">
        <f t="shared" si="3"/>
        <v>3.8596491228070176</v>
      </c>
      <c r="R28">
        <v>73397</v>
      </c>
      <c r="S28">
        <v>26</v>
      </c>
    </row>
    <row r="29" spans="1:19" x14ac:dyDescent="0.3">
      <c r="A29">
        <v>28</v>
      </c>
      <c r="B29" t="s">
        <v>114</v>
      </c>
      <c r="C29" t="s">
        <v>31</v>
      </c>
      <c r="D29">
        <v>380</v>
      </c>
      <c r="E29">
        <v>22.8</v>
      </c>
      <c r="F29">
        <v>1999</v>
      </c>
      <c r="G29">
        <v>0.71</v>
      </c>
      <c r="H29">
        <v>7.48</v>
      </c>
      <c r="I29">
        <v>88</v>
      </c>
      <c r="J29">
        <f t="shared" si="0"/>
        <v>1315.7004344454704</v>
      </c>
      <c r="K29">
        <v>51.311454178600798</v>
      </c>
      <c r="L29">
        <v>4.2665197536320099</v>
      </c>
      <c r="M29">
        <v>51.188276594903101</v>
      </c>
      <c r="N29">
        <v>4.2600114584800899</v>
      </c>
      <c r="O29">
        <f t="shared" si="1"/>
        <v>3.1140350877192979E-2</v>
      </c>
      <c r="P29">
        <f t="shared" si="2"/>
        <v>0.32807017543859651</v>
      </c>
      <c r="Q29">
        <f t="shared" si="3"/>
        <v>3.8596491228070176</v>
      </c>
      <c r="R29">
        <v>73397</v>
      </c>
      <c r="S29">
        <v>26</v>
      </c>
    </row>
    <row r="30" spans="1:19" x14ac:dyDescent="0.3">
      <c r="A30">
        <v>29</v>
      </c>
      <c r="B30" t="s">
        <v>114</v>
      </c>
      <c r="C30" t="s">
        <v>31</v>
      </c>
      <c r="D30">
        <v>380</v>
      </c>
      <c r="E30">
        <v>22.2</v>
      </c>
      <c r="F30">
        <v>2186</v>
      </c>
      <c r="G30">
        <v>0.8</v>
      </c>
      <c r="H30">
        <v>6.84</v>
      </c>
      <c r="I30">
        <v>80</v>
      </c>
      <c r="J30">
        <f t="shared" si="0"/>
        <v>1438.7799648313148</v>
      </c>
      <c r="K30">
        <v>51.311454178600798</v>
      </c>
      <c r="L30">
        <v>4.2665197536320099</v>
      </c>
      <c r="M30">
        <v>51.188276594903101</v>
      </c>
      <c r="N30">
        <v>4.2600114584800899</v>
      </c>
      <c r="O30">
        <f t="shared" si="1"/>
        <v>3.6036036036036036E-2</v>
      </c>
      <c r="P30">
        <f t="shared" si="2"/>
        <v>0.30810810810810813</v>
      </c>
      <c r="Q30">
        <f t="shared" si="3"/>
        <v>3.6036036036036037</v>
      </c>
      <c r="R30">
        <v>73397</v>
      </c>
      <c r="S30">
        <v>26</v>
      </c>
    </row>
    <row r="31" spans="1:19" x14ac:dyDescent="0.3">
      <c r="A31">
        <v>30</v>
      </c>
      <c r="B31" t="s">
        <v>114</v>
      </c>
      <c r="C31" t="s">
        <v>31</v>
      </c>
      <c r="D31">
        <v>380</v>
      </c>
      <c r="E31">
        <v>22.2</v>
      </c>
      <c r="F31">
        <v>2186</v>
      </c>
      <c r="G31">
        <v>0.8</v>
      </c>
      <c r="H31">
        <v>6.84</v>
      </c>
      <c r="I31">
        <v>80</v>
      </c>
      <c r="J31">
        <f t="shared" si="0"/>
        <v>1438.7799648313148</v>
      </c>
      <c r="K31">
        <v>51.311454178600798</v>
      </c>
      <c r="L31">
        <v>4.2665197536320099</v>
      </c>
      <c r="M31">
        <v>51.188276594903101</v>
      </c>
      <c r="N31">
        <v>4.2600114584800899</v>
      </c>
      <c r="O31">
        <f t="shared" si="1"/>
        <v>3.6036036036036036E-2</v>
      </c>
      <c r="P31">
        <f t="shared" si="2"/>
        <v>0.30810810810810813</v>
      </c>
      <c r="Q31">
        <f t="shared" si="3"/>
        <v>3.6036036036036037</v>
      </c>
      <c r="R31">
        <v>73397</v>
      </c>
      <c r="S31">
        <v>26</v>
      </c>
    </row>
    <row r="32" spans="1:19" x14ac:dyDescent="0.3">
      <c r="A32">
        <v>31</v>
      </c>
      <c r="B32" t="s">
        <v>164</v>
      </c>
      <c r="C32" t="s">
        <v>25</v>
      </c>
      <c r="D32">
        <v>380</v>
      </c>
      <c r="E32">
        <v>13</v>
      </c>
      <c r="F32">
        <v>4560</v>
      </c>
      <c r="G32">
        <v>0.4</v>
      </c>
      <c r="H32">
        <v>4.26</v>
      </c>
      <c r="I32">
        <v>50.27</v>
      </c>
      <c r="J32">
        <f t="shared" si="0"/>
        <v>3001.2976393553504</v>
      </c>
      <c r="K32">
        <v>51.185988969198299</v>
      </c>
      <c r="L32">
        <v>3.5614453642411998</v>
      </c>
      <c r="M32">
        <v>51.109667364798298</v>
      </c>
      <c r="N32">
        <v>3.5966489165750701</v>
      </c>
      <c r="O32">
        <f t="shared" si="1"/>
        <v>3.0769230769230771E-2</v>
      </c>
      <c r="P32">
        <f t="shared" si="2"/>
        <v>0.32769230769230767</v>
      </c>
      <c r="Q32">
        <f t="shared" si="3"/>
        <v>3.8669230769230771</v>
      </c>
      <c r="R32">
        <v>73397</v>
      </c>
      <c r="S32">
        <v>26</v>
      </c>
    </row>
    <row r="33" spans="1:19" x14ac:dyDescent="0.3">
      <c r="A33">
        <v>32</v>
      </c>
      <c r="B33" t="s">
        <v>164</v>
      </c>
      <c r="C33" t="s">
        <v>165</v>
      </c>
      <c r="D33">
        <v>380</v>
      </c>
      <c r="E33">
        <v>17.3</v>
      </c>
      <c r="F33">
        <v>4689</v>
      </c>
      <c r="G33">
        <v>0.28000000000000003</v>
      </c>
      <c r="H33">
        <v>4.07</v>
      </c>
      <c r="I33">
        <v>79.599999999999994</v>
      </c>
      <c r="J33">
        <f t="shared" si="0"/>
        <v>3086.2027699423766</v>
      </c>
      <c r="K33">
        <v>51.185988969198299</v>
      </c>
      <c r="L33">
        <v>3.5614453642411998</v>
      </c>
      <c r="M33">
        <v>51.234915514436501</v>
      </c>
      <c r="N33">
        <v>3.2709054417264598</v>
      </c>
      <c r="O33">
        <f t="shared" si="1"/>
        <v>1.6184971098265898E-2</v>
      </c>
      <c r="P33">
        <f t="shared" si="2"/>
        <v>0.23526011560693641</v>
      </c>
      <c r="Q33">
        <f t="shared" si="3"/>
        <v>4.6011560693641611</v>
      </c>
      <c r="R33">
        <v>73397</v>
      </c>
      <c r="S33">
        <v>26</v>
      </c>
    </row>
    <row r="34" spans="1:19" x14ac:dyDescent="0.3">
      <c r="A34">
        <v>33</v>
      </c>
      <c r="B34" t="s">
        <v>34</v>
      </c>
      <c r="C34" t="s">
        <v>165</v>
      </c>
      <c r="D34">
        <v>380</v>
      </c>
      <c r="E34">
        <v>10.1</v>
      </c>
      <c r="F34">
        <v>1635</v>
      </c>
      <c r="G34">
        <v>0.09</v>
      </c>
      <c r="H34">
        <v>2.2400000000000002</v>
      </c>
      <c r="I34">
        <v>725.81</v>
      </c>
      <c r="J34">
        <f t="shared" ref="J34:J65" si="4">SQRT(3)*D34*F34/1000</f>
        <v>1076.1231667425434</v>
      </c>
      <c r="K34">
        <v>51.2876667708288</v>
      </c>
      <c r="L34">
        <v>3.1884903398949098</v>
      </c>
      <c r="M34">
        <v>51.234915514436501</v>
      </c>
      <c r="N34">
        <v>3.2709054417264598</v>
      </c>
      <c r="O34">
        <f t="shared" ref="O34:O65" si="5">G34/$E34</f>
        <v>8.9108910891089101E-3</v>
      </c>
      <c r="P34">
        <f t="shared" ref="P34:P65" si="6">H34/$E34</f>
        <v>0.22178217821782181</v>
      </c>
      <c r="Q34">
        <f t="shared" ref="Q34:Q65" si="7">I34/$E34</f>
        <v>71.862376237623764</v>
      </c>
      <c r="R34">
        <v>73397</v>
      </c>
      <c r="S34">
        <v>26</v>
      </c>
    </row>
    <row r="35" spans="1:19" x14ac:dyDescent="0.3">
      <c r="A35">
        <v>34</v>
      </c>
      <c r="B35" t="s">
        <v>34</v>
      </c>
      <c r="C35" t="s">
        <v>165</v>
      </c>
      <c r="D35">
        <v>380</v>
      </c>
      <c r="E35">
        <v>10.1</v>
      </c>
      <c r="F35">
        <v>1635</v>
      </c>
      <c r="G35">
        <v>0.09</v>
      </c>
      <c r="H35">
        <v>2.23</v>
      </c>
      <c r="I35">
        <v>725.81</v>
      </c>
      <c r="J35">
        <f t="shared" si="4"/>
        <v>1076.1231667425434</v>
      </c>
      <c r="K35">
        <v>51.2876667708288</v>
      </c>
      <c r="L35">
        <v>3.1884903398949098</v>
      </c>
      <c r="M35">
        <v>51.234915514436501</v>
      </c>
      <c r="N35">
        <v>3.2709054417264598</v>
      </c>
      <c r="O35">
        <f t="shared" si="5"/>
        <v>8.9108910891089101E-3</v>
      </c>
      <c r="P35">
        <f t="shared" si="6"/>
        <v>0.22079207920792079</v>
      </c>
      <c r="Q35">
        <f t="shared" si="7"/>
        <v>71.862376237623764</v>
      </c>
      <c r="R35">
        <v>73397</v>
      </c>
      <c r="S35">
        <v>26</v>
      </c>
    </row>
    <row r="36" spans="1:19" x14ac:dyDescent="0.3">
      <c r="A36">
        <v>35</v>
      </c>
      <c r="B36" t="s">
        <v>34</v>
      </c>
      <c r="C36" t="s">
        <v>165</v>
      </c>
      <c r="D36">
        <v>380</v>
      </c>
      <c r="E36">
        <v>10.1</v>
      </c>
      <c r="F36">
        <v>1635</v>
      </c>
      <c r="G36">
        <v>0.11</v>
      </c>
      <c r="H36">
        <v>2.21</v>
      </c>
      <c r="I36">
        <v>725.81</v>
      </c>
      <c r="J36">
        <f t="shared" si="4"/>
        <v>1076.1231667425434</v>
      </c>
      <c r="K36">
        <v>51.2876667708288</v>
      </c>
      <c r="L36">
        <v>3.1884903398949098</v>
      </c>
      <c r="M36">
        <v>51.234915514436501</v>
      </c>
      <c r="N36">
        <v>3.2709054417264598</v>
      </c>
      <c r="O36">
        <f t="shared" si="5"/>
        <v>1.0891089108910892E-2</v>
      </c>
      <c r="P36">
        <f t="shared" si="6"/>
        <v>0.21881188118811881</v>
      </c>
      <c r="Q36">
        <f t="shared" si="7"/>
        <v>71.862376237623764</v>
      </c>
      <c r="R36">
        <v>73397</v>
      </c>
      <c r="S36">
        <v>26</v>
      </c>
    </row>
    <row r="37" spans="1:19" x14ac:dyDescent="0.3">
      <c r="A37">
        <v>36</v>
      </c>
      <c r="B37" t="s">
        <v>34</v>
      </c>
      <c r="C37" t="s">
        <v>165</v>
      </c>
      <c r="D37">
        <v>380</v>
      </c>
      <c r="E37">
        <v>10.1</v>
      </c>
      <c r="F37">
        <v>1635</v>
      </c>
      <c r="G37">
        <v>0.11</v>
      </c>
      <c r="H37">
        <v>2.21</v>
      </c>
      <c r="I37">
        <v>725.81</v>
      </c>
      <c r="J37">
        <f t="shared" si="4"/>
        <v>1076.1231667425434</v>
      </c>
      <c r="K37">
        <v>51.2876667708288</v>
      </c>
      <c r="L37">
        <v>3.1884903398949098</v>
      </c>
      <c r="M37">
        <v>51.234915514436501</v>
      </c>
      <c r="N37">
        <v>3.2709054417264598</v>
      </c>
      <c r="O37">
        <f t="shared" si="5"/>
        <v>1.0891089108910892E-2</v>
      </c>
      <c r="P37">
        <f t="shared" si="6"/>
        <v>0.21881188118811881</v>
      </c>
      <c r="Q37">
        <f t="shared" si="7"/>
        <v>71.862376237623764</v>
      </c>
      <c r="R37">
        <v>73397</v>
      </c>
      <c r="S37">
        <v>26</v>
      </c>
    </row>
    <row r="38" spans="1:19" x14ac:dyDescent="0.3">
      <c r="A38">
        <v>37</v>
      </c>
      <c r="B38" t="s">
        <v>34</v>
      </c>
      <c r="C38" t="s">
        <v>35</v>
      </c>
      <c r="D38">
        <v>380</v>
      </c>
      <c r="E38">
        <v>8</v>
      </c>
      <c r="F38">
        <v>4644</v>
      </c>
      <c r="G38">
        <v>0.13</v>
      </c>
      <c r="H38">
        <v>1.9</v>
      </c>
      <c r="I38">
        <v>18.420000000000002</v>
      </c>
      <c r="J38">
        <f t="shared" si="4"/>
        <v>3056.5847011329488</v>
      </c>
      <c r="K38">
        <v>51.2876667708288</v>
      </c>
      <c r="L38">
        <v>3.1884903398949098</v>
      </c>
      <c r="M38">
        <v>51.296748273115703</v>
      </c>
      <c r="N38">
        <v>3.1866373519789399</v>
      </c>
      <c r="O38">
        <f t="shared" si="5"/>
        <v>1.6250000000000001E-2</v>
      </c>
      <c r="P38">
        <f t="shared" si="6"/>
        <v>0.23749999999999999</v>
      </c>
      <c r="Q38">
        <f t="shared" si="7"/>
        <v>2.3025000000000002</v>
      </c>
      <c r="R38">
        <v>73397</v>
      </c>
      <c r="S38">
        <v>26</v>
      </c>
    </row>
    <row r="39" spans="1:19" x14ac:dyDescent="0.3">
      <c r="A39">
        <v>38</v>
      </c>
      <c r="B39" t="s">
        <v>34</v>
      </c>
      <c r="C39" t="s">
        <v>35</v>
      </c>
      <c r="D39">
        <v>380</v>
      </c>
      <c r="E39">
        <v>8</v>
      </c>
      <c r="F39">
        <v>4644</v>
      </c>
      <c r="G39">
        <v>0.13</v>
      </c>
      <c r="H39">
        <v>1.9</v>
      </c>
      <c r="I39">
        <v>18.420000000000002</v>
      </c>
      <c r="J39">
        <f t="shared" si="4"/>
        <v>3056.5847011329488</v>
      </c>
      <c r="K39">
        <v>51.2876667708288</v>
      </c>
      <c r="L39">
        <v>3.1884903398949098</v>
      </c>
      <c r="M39">
        <v>51.296748273115703</v>
      </c>
      <c r="N39">
        <v>3.1866373519789399</v>
      </c>
      <c r="O39">
        <f t="shared" si="5"/>
        <v>1.6250000000000001E-2</v>
      </c>
      <c r="P39">
        <f t="shared" si="6"/>
        <v>0.23749999999999999</v>
      </c>
      <c r="Q39">
        <f t="shared" si="7"/>
        <v>2.3025000000000002</v>
      </c>
      <c r="R39">
        <v>73397</v>
      </c>
      <c r="S39">
        <v>26</v>
      </c>
    </row>
    <row r="40" spans="1:19" x14ac:dyDescent="0.3">
      <c r="A40">
        <v>39</v>
      </c>
      <c r="B40" t="s">
        <v>34</v>
      </c>
      <c r="C40" t="s">
        <v>111</v>
      </c>
      <c r="D40">
        <v>380</v>
      </c>
      <c r="E40">
        <v>0.8</v>
      </c>
      <c r="F40">
        <v>1635</v>
      </c>
      <c r="G40">
        <v>0.01</v>
      </c>
      <c r="H40">
        <v>7.0000000000000007E-2</v>
      </c>
      <c r="I40">
        <v>56.19</v>
      </c>
      <c r="J40">
        <f t="shared" si="4"/>
        <v>1076.1231667425434</v>
      </c>
      <c r="K40">
        <v>51.2876667708288</v>
      </c>
      <c r="L40">
        <v>3.1884903398949098</v>
      </c>
      <c r="M40">
        <v>51.316761269176602</v>
      </c>
      <c r="N40">
        <v>3.1530132326074298</v>
      </c>
      <c r="O40">
        <f t="shared" si="5"/>
        <v>1.2499999999999999E-2</v>
      </c>
      <c r="P40">
        <f t="shared" si="6"/>
        <v>8.7500000000000008E-2</v>
      </c>
      <c r="Q40">
        <f t="shared" si="7"/>
        <v>70.237499999999997</v>
      </c>
      <c r="R40">
        <v>73397</v>
      </c>
      <c r="S40">
        <v>26</v>
      </c>
    </row>
    <row r="41" spans="1:19" x14ac:dyDescent="0.3">
      <c r="A41">
        <v>40</v>
      </c>
      <c r="B41" t="s">
        <v>22</v>
      </c>
      <c r="C41" t="s">
        <v>127</v>
      </c>
      <c r="D41">
        <v>380</v>
      </c>
      <c r="E41">
        <v>53.4</v>
      </c>
      <c r="F41">
        <v>2051</v>
      </c>
      <c r="G41">
        <v>3.04</v>
      </c>
      <c r="H41">
        <v>20.03</v>
      </c>
      <c r="I41">
        <v>170.88</v>
      </c>
      <c r="J41">
        <f t="shared" si="4"/>
        <v>1349.9257584030313</v>
      </c>
      <c r="K41">
        <v>50.526859475468299</v>
      </c>
      <c r="L41">
        <v>5.2309635725993298</v>
      </c>
      <c r="M41">
        <v>50.757772036836997</v>
      </c>
      <c r="N41">
        <v>5.6814758674481398</v>
      </c>
      <c r="O41">
        <f t="shared" si="5"/>
        <v>5.6928838951310866E-2</v>
      </c>
      <c r="P41">
        <f t="shared" si="6"/>
        <v>0.37509363295880155</v>
      </c>
      <c r="Q41">
        <f t="shared" si="7"/>
        <v>3.2</v>
      </c>
      <c r="R41">
        <v>73397</v>
      </c>
      <c r="S41">
        <v>26</v>
      </c>
    </row>
    <row r="42" spans="1:19" x14ac:dyDescent="0.3">
      <c r="A42">
        <v>41</v>
      </c>
      <c r="B42" t="s">
        <v>22</v>
      </c>
      <c r="C42" t="s">
        <v>161</v>
      </c>
      <c r="D42">
        <v>380</v>
      </c>
      <c r="E42">
        <v>55.6</v>
      </c>
      <c r="F42">
        <v>2000</v>
      </c>
      <c r="G42">
        <v>1.85</v>
      </c>
      <c r="H42">
        <v>17.45</v>
      </c>
      <c r="I42">
        <v>202.7</v>
      </c>
      <c r="J42">
        <f t="shared" si="4"/>
        <v>1316.3586137523466</v>
      </c>
      <c r="K42">
        <v>50.526859475468299</v>
      </c>
      <c r="L42">
        <v>5.2309635725993298</v>
      </c>
      <c r="M42">
        <v>50.933370429119698</v>
      </c>
      <c r="N42">
        <v>5.57543042052452</v>
      </c>
      <c r="O42">
        <f t="shared" si="5"/>
        <v>3.327338129496403E-2</v>
      </c>
      <c r="P42">
        <f t="shared" si="6"/>
        <v>0.31384892086330934</v>
      </c>
      <c r="Q42">
        <f t="shared" si="7"/>
        <v>3.6456834532374098</v>
      </c>
      <c r="R42">
        <v>73397</v>
      </c>
      <c r="S42">
        <v>26</v>
      </c>
    </row>
    <row r="43" spans="1:19" x14ac:dyDescent="0.3">
      <c r="A43">
        <v>42</v>
      </c>
      <c r="B43" t="s">
        <v>22</v>
      </c>
      <c r="C43" t="s">
        <v>166</v>
      </c>
      <c r="D43">
        <v>380</v>
      </c>
      <c r="E43">
        <v>2.6</v>
      </c>
      <c r="F43">
        <v>2186</v>
      </c>
      <c r="G43">
        <v>0.08</v>
      </c>
      <c r="H43">
        <v>0.85</v>
      </c>
      <c r="I43">
        <v>10.039999999999999</v>
      </c>
      <c r="J43">
        <f t="shared" si="4"/>
        <v>1438.7799648313148</v>
      </c>
      <c r="K43">
        <v>50.526859475468299</v>
      </c>
      <c r="L43">
        <v>5.2309635725993298</v>
      </c>
      <c r="M43">
        <v>50.530285123766703</v>
      </c>
      <c r="N43">
        <v>5.2626138141901802</v>
      </c>
      <c r="O43">
        <f t="shared" si="5"/>
        <v>3.0769230769230767E-2</v>
      </c>
      <c r="P43">
        <f t="shared" si="6"/>
        <v>0.32692307692307693</v>
      </c>
      <c r="Q43">
        <f t="shared" si="7"/>
        <v>3.8615384615384611</v>
      </c>
      <c r="R43">
        <v>73397</v>
      </c>
      <c r="S43">
        <v>26</v>
      </c>
    </row>
    <row r="44" spans="1:19" x14ac:dyDescent="0.3">
      <c r="A44">
        <v>43</v>
      </c>
      <c r="B44" t="s">
        <v>22</v>
      </c>
      <c r="C44" t="s">
        <v>166</v>
      </c>
      <c r="D44">
        <v>380</v>
      </c>
      <c r="E44">
        <v>3.3</v>
      </c>
      <c r="F44">
        <v>2186</v>
      </c>
      <c r="G44">
        <v>0.1</v>
      </c>
      <c r="H44">
        <v>1.08</v>
      </c>
      <c r="I44">
        <v>12.74</v>
      </c>
      <c r="J44">
        <f t="shared" si="4"/>
        <v>1438.7799648313148</v>
      </c>
      <c r="K44">
        <v>50.526859475468299</v>
      </c>
      <c r="L44">
        <v>5.2309635725993298</v>
      </c>
      <c r="M44">
        <v>50.530285123766703</v>
      </c>
      <c r="N44">
        <v>5.2626138141901802</v>
      </c>
      <c r="O44">
        <f t="shared" si="5"/>
        <v>3.0303030303030307E-2</v>
      </c>
      <c r="P44">
        <f t="shared" si="6"/>
        <v>0.32727272727272733</v>
      </c>
      <c r="Q44">
        <f t="shared" si="7"/>
        <v>3.8606060606060608</v>
      </c>
      <c r="R44">
        <v>73397</v>
      </c>
      <c r="S44">
        <v>26</v>
      </c>
    </row>
    <row r="45" spans="1:19" x14ac:dyDescent="0.3">
      <c r="A45">
        <v>44</v>
      </c>
      <c r="B45" t="s">
        <v>22</v>
      </c>
      <c r="C45" t="s">
        <v>163</v>
      </c>
      <c r="D45">
        <v>380</v>
      </c>
      <c r="E45">
        <v>56.4</v>
      </c>
      <c r="F45">
        <v>1999</v>
      </c>
      <c r="G45">
        <v>1.75</v>
      </c>
      <c r="H45">
        <v>18.5</v>
      </c>
      <c r="I45">
        <v>217.8</v>
      </c>
      <c r="J45">
        <f t="shared" si="4"/>
        <v>1315.7004344454704</v>
      </c>
      <c r="K45">
        <v>50.526859475468299</v>
      </c>
      <c r="L45">
        <v>5.2309635725993298</v>
      </c>
      <c r="M45">
        <v>50.5068471396755</v>
      </c>
      <c r="N45">
        <v>4.5525207512840096</v>
      </c>
      <c r="O45">
        <f t="shared" si="5"/>
        <v>3.1028368794326241E-2</v>
      </c>
      <c r="P45">
        <f t="shared" si="6"/>
        <v>0.32801418439716312</v>
      </c>
      <c r="Q45">
        <f t="shared" si="7"/>
        <v>3.8617021276595747</v>
      </c>
      <c r="R45">
        <v>73397</v>
      </c>
      <c r="S45">
        <v>26</v>
      </c>
    </row>
    <row r="46" spans="1:19" x14ac:dyDescent="0.3">
      <c r="A46">
        <v>45</v>
      </c>
      <c r="B46" t="s">
        <v>22</v>
      </c>
      <c r="C46" t="s">
        <v>166</v>
      </c>
      <c r="D46">
        <v>380</v>
      </c>
      <c r="E46">
        <v>2.9</v>
      </c>
      <c r="F46">
        <v>1999</v>
      </c>
      <c r="G46">
        <v>0.09</v>
      </c>
      <c r="H46">
        <v>0.95</v>
      </c>
      <c r="I46">
        <v>11.19</v>
      </c>
      <c r="J46">
        <f t="shared" si="4"/>
        <v>1315.7004344454704</v>
      </c>
      <c r="K46">
        <v>50.526859475468299</v>
      </c>
      <c r="L46">
        <v>5.2309635725993298</v>
      </c>
      <c r="M46">
        <v>50.530285123766703</v>
      </c>
      <c r="N46">
        <v>5.2626138141901802</v>
      </c>
      <c r="O46">
        <f t="shared" si="5"/>
        <v>3.1034482758620689E-2</v>
      </c>
      <c r="P46">
        <f t="shared" si="6"/>
        <v>0.32758620689655171</v>
      </c>
      <c r="Q46">
        <f t="shared" si="7"/>
        <v>3.8586206896551722</v>
      </c>
      <c r="R46">
        <v>73397</v>
      </c>
      <c r="S46">
        <v>26</v>
      </c>
    </row>
    <row r="47" spans="1:19" x14ac:dyDescent="0.3">
      <c r="A47">
        <v>46</v>
      </c>
      <c r="B47" t="s">
        <v>22</v>
      </c>
      <c r="C47" t="s">
        <v>166</v>
      </c>
      <c r="D47">
        <v>380</v>
      </c>
      <c r="E47">
        <v>2.9</v>
      </c>
      <c r="F47">
        <v>1999</v>
      </c>
      <c r="G47">
        <v>0.09</v>
      </c>
      <c r="H47">
        <v>0.95</v>
      </c>
      <c r="I47">
        <v>11.19</v>
      </c>
      <c r="J47">
        <f t="shared" si="4"/>
        <v>1315.7004344454704</v>
      </c>
      <c r="K47">
        <v>50.526859475468299</v>
      </c>
      <c r="L47">
        <v>5.2309635725993298</v>
      </c>
      <c r="M47">
        <v>50.530285123766703</v>
      </c>
      <c r="N47">
        <v>5.2626138141901802</v>
      </c>
      <c r="O47">
        <f t="shared" si="5"/>
        <v>3.1034482758620689E-2</v>
      </c>
      <c r="P47">
        <f t="shared" si="6"/>
        <v>0.32758620689655171</v>
      </c>
      <c r="Q47">
        <f t="shared" si="7"/>
        <v>3.8586206896551722</v>
      </c>
      <c r="R47">
        <v>73397</v>
      </c>
      <c r="S47">
        <v>26</v>
      </c>
    </row>
    <row r="48" spans="1:19" x14ac:dyDescent="0.3">
      <c r="A48">
        <v>47</v>
      </c>
      <c r="B48" t="s">
        <v>22</v>
      </c>
      <c r="C48" t="s">
        <v>178</v>
      </c>
      <c r="D48">
        <v>380</v>
      </c>
      <c r="E48">
        <v>14.6</v>
      </c>
      <c r="F48">
        <v>1999</v>
      </c>
      <c r="G48">
        <v>0.45</v>
      </c>
      <c r="H48">
        <v>4.79</v>
      </c>
      <c r="I48">
        <v>54</v>
      </c>
      <c r="J48">
        <f t="shared" si="4"/>
        <v>1315.7004344454704</v>
      </c>
      <c r="K48">
        <v>50.526859475468299</v>
      </c>
      <c r="L48">
        <v>5.2309635725993298</v>
      </c>
      <c r="M48">
        <v>50.542188689853901</v>
      </c>
      <c r="N48">
        <v>5.4701284167100601</v>
      </c>
      <c r="O48">
        <f t="shared" si="5"/>
        <v>3.082191780821918E-2</v>
      </c>
      <c r="P48">
        <f t="shared" si="6"/>
        <v>0.32808219178082193</v>
      </c>
      <c r="Q48">
        <f t="shared" si="7"/>
        <v>3.6986301369863015</v>
      </c>
      <c r="R48">
        <v>73397</v>
      </c>
      <c r="S48">
        <v>26</v>
      </c>
    </row>
    <row r="49" spans="1:19" x14ac:dyDescent="0.3">
      <c r="A49">
        <v>48</v>
      </c>
      <c r="B49" t="s">
        <v>25</v>
      </c>
      <c r="C49" t="s">
        <v>165</v>
      </c>
      <c r="D49">
        <v>380</v>
      </c>
      <c r="E49">
        <v>29</v>
      </c>
      <c r="F49">
        <v>4689</v>
      </c>
      <c r="G49">
        <v>0.43</v>
      </c>
      <c r="H49">
        <v>7.94</v>
      </c>
      <c r="I49">
        <v>115.83</v>
      </c>
      <c r="J49">
        <f t="shared" si="4"/>
        <v>3086.2027699423766</v>
      </c>
      <c r="K49">
        <v>51.109667364798298</v>
      </c>
      <c r="L49">
        <v>3.5966489165750701</v>
      </c>
      <c r="M49">
        <v>51.234915514436501</v>
      </c>
      <c r="N49">
        <v>3.2709054417264598</v>
      </c>
      <c r="O49">
        <f t="shared" si="5"/>
        <v>1.4827586206896552E-2</v>
      </c>
      <c r="P49">
        <f t="shared" si="6"/>
        <v>0.2737931034482759</v>
      </c>
      <c r="Q49">
        <f t="shared" si="7"/>
        <v>3.9941379310344827</v>
      </c>
      <c r="R49">
        <v>73397</v>
      </c>
      <c r="S49">
        <v>26</v>
      </c>
    </row>
    <row r="50" spans="1:19" x14ac:dyDescent="0.3">
      <c r="A50">
        <v>49</v>
      </c>
      <c r="B50" t="s">
        <v>25</v>
      </c>
      <c r="C50" t="s">
        <v>31</v>
      </c>
      <c r="D50">
        <v>380</v>
      </c>
      <c r="E50">
        <v>48.4</v>
      </c>
      <c r="F50">
        <v>3400</v>
      </c>
      <c r="G50">
        <v>1.58</v>
      </c>
      <c r="H50">
        <v>15.19</v>
      </c>
      <c r="I50">
        <v>176.33</v>
      </c>
      <c r="J50">
        <f t="shared" si="4"/>
        <v>2237.8096433789892</v>
      </c>
      <c r="K50">
        <v>51.109667364798298</v>
      </c>
      <c r="L50">
        <v>3.5966489165750701</v>
      </c>
      <c r="M50">
        <v>51.188276594903101</v>
      </c>
      <c r="N50">
        <v>4.2600114584800899</v>
      </c>
      <c r="O50">
        <f t="shared" si="5"/>
        <v>3.2644628099173553E-2</v>
      </c>
      <c r="P50">
        <f t="shared" si="6"/>
        <v>0.31384297520661159</v>
      </c>
      <c r="Q50">
        <f t="shared" si="7"/>
        <v>3.6431818181818185</v>
      </c>
      <c r="R50">
        <v>73397</v>
      </c>
      <c r="S50">
        <v>26</v>
      </c>
    </row>
    <row r="51" spans="1:19" x14ac:dyDescent="0.3">
      <c r="A51">
        <v>50</v>
      </c>
      <c r="B51" t="s">
        <v>25</v>
      </c>
      <c r="C51" t="s">
        <v>167</v>
      </c>
      <c r="D51">
        <v>380</v>
      </c>
      <c r="E51">
        <v>14.2</v>
      </c>
      <c r="F51">
        <v>2186</v>
      </c>
      <c r="G51">
        <v>0.44</v>
      </c>
      <c r="H51">
        <v>4.6399999999999997</v>
      </c>
      <c r="I51">
        <v>54.71</v>
      </c>
      <c r="J51">
        <f t="shared" si="4"/>
        <v>1438.7799648313148</v>
      </c>
      <c r="K51">
        <v>51.109667364798298</v>
      </c>
      <c r="L51">
        <v>3.5966489165750701</v>
      </c>
      <c r="M51">
        <v>51.148199811082598</v>
      </c>
      <c r="N51">
        <v>3.7978163952554098</v>
      </c>
      <c r="O51">
        <f t="shared" si="5"/>
        <v>3.0985915492957747E-2</v>
      </c>
      <c r="P51">
        <f t="shared" si="6"/>
        <v>0.3267605633802817</v>
      </c>
      <c r="Q51">
        <f t="shared" si="7"/>
        <v>3.8528169014084508</v>
      </c>
      <c r="R51">
        <v>73397</v>
      </c>
      <c r="S51">
        <v>26</v>
      </c>
    </row>
    <row r="52" spans="1:19" x14ac:dyDescent="0.3">
      <c r="A52">
        <v>51</v>
      </c>
      <c r="B52" t="s">
        <v>168</v>
      </c>
      <c r="C52" t="s">
        <v>31</v>
      </c>
      <c r="D52">
        <v>380</v>
      </c>
      <c r="E52">
        <v>21.1</v>
      </c>
      <c r="F52">
        <v>2186</v>
      </c>
      <c r="G52">
        <v>0.65</v>
      </c>
      <c r="H52">
        <v>6.92</v>
      </c>
      <c r="I52">
        <v>73.8</v>
      </c>
      <c r="J52">
        <f t="shared" si="4"/>
        <v>1438.7799648313148</v>
      </c>
      <c r="K52">
        <v>51.127386602883497</v>
      </c>
      <c r="L52">
        <v>4.4959425052437201</v>
      </c>
      <c r="M52">
        <v>51.188276594903101</v>
      </c>
      <c r="N52">
        <v>4.2600114584800899</v>
      </c>
      <c r="O52">
        <f t="shared" si="5"/>
        <v>3.0805687203791468E-2</v>
      </c>
      <c r="P52">
        <f t="shared" si="6"/>
        <v>0.32796208530805687</v>
      </c>
      <c r="Q52">
        <f t="shared" si="7"/>
        <v>3.497630331753554</v>
      </c>
      <c r="R52">
        <v>73397</v>
      </c>
      <c r="S52">
        <v>26</v>
      </c>
    </row>
    <row r="53" spans="1:19" x14ac:dyDescent="0.3">
      <c r="A53">
        <v>52</v>
      </c>
      <c r="B53" t="s">
        <v>168</v>
      </c>
      <c r="C53" t="s">
        <v>36</v>
      </c>
      <c r="D53">
        <v>380</v>
      </c>
      <c r="E53">
        <v>14.1</v>
      </c>
      <c r="F53">
        <v>2188</v>
      </c>
      <c r="G53">
        <v>0.46</v>
      </c>
      <c r="H53">
        <v>4.5599999999999996</v>
      </c>
      <c r="I53">
        <v>50.17</v>
      </c>
      <c r="J53">
        <f t="shared" si="4"/>
        <v>1440.0963234450674</v>
      </c>
      <c r="K53">
        <v>51.127386602883497</v>
      </c>
      <c r="L53">
        <v>4.4959425052437201</v>
      </c>
      <c r="M53">
        <v>51.199539753019501</v>
      </c>
      <c r="N53">
        <v>4.6401153205956502</v>
      </c>
      <c r="O53">
        <f t="shared" si="5"/>
        <v>3.262411347517731E-2</v>
      </c>
      <c r="P53">
        <f t="shared" si="6"/>
        <v>0.3234042553191489</v>
      </c>
      <c r="Q53">
        <f t="shared" si="7"/>
        <v>3.5581560283687947</v>
      </c>
      <c r="R53">
        <v>73397</v>
      </c>
      <c r="S53">
        <v>26</v>
      </c>
    </row>
    <row r="54" spans="1:19" x14ac:dyDescent="0.3">
      <c r="A54">
        <v>53</v>
      </c>
      <c r="B54" t="s">
        <v>168</v>
      </c>
      <c r="C54" t="s">
        <v>31</v>
      </c>
      <c r="D54">
        <v>380</v>
      </c>
      <c r="E54">
        <v>21.1</v>
      </c>
      <c r="F54">
        <v>2186</v>
      </c>
      <c r="G54">
        <v>0.65</v>
      </c>
      <c r="H54">
        <v>6.92</v>
      </c>
      <c r="I54">
        <v>73.8</v>
      </c>
      <c r="J54">
        <f t="shared" si="4"/>
        <v>1438.7799648313148</v>
      </c>
      <c r="K54">
        <v>51.127386602883497</v>
      </c>
      <c r="L54">
        <v>4.4959425052437201</v>
      </c>
      <c r="M54">
        <v>51.188276594903101</v>
      </c>
      <c r="N54">
        <v>4.2600114584800899</v>
      </c>
      <c r="O54">
        <f t="shared" si="5"/>
        <v>3.0805687203791468E-2</v>
      </c>
      <c r="P54">
        <f t="shared" si="6"/>
        <v>0.32796208530805687</v>
      </c>
      <c r="Q54">
        <f t="shared" si="7"/>
        <v>3.497630331753554</v>
      </c>
      <c r="R54">
        <v>73397</v>
      </c>
      <c r="S54">
        <v>26</v>
      </c>
    </row>
    <row r="55" spans="1:19" x14ac:dyDescent="0.3">
      <c r="A55">
        <v>54</v>
      </c>
      <c r="B55" t="s">
        <v>127</v>
      </c>
      <c r="C55" t="s">
        <v>37</v>
      </c>
      <c r="D55">
        <v>380</v>
      </c>
      <c r="E55">
        <v>53</v>
      </c>
      <c r="F55">
        <v>1999</v>
      </c>
      <c r="G55">
        <v>2.0699999999999998</v>
      </c>
      <c r="H55">
        <v>16.53</v>
      </c>
      <c r="I55">
        <v>192.96</v>
      </c>
      <c r="J55">
        <f t="shared" si="4"/>
        <v>1315.7004344454704</v>
      </c>
      <c r="K55">
        <v>50.757772036836997</v>
      </c>
      <c r="L55">
        <v>5.6814758674481398</v>
      </c>
      <c r="M55">
        <v>51.121523000000003</v>
      </c>
      <c r="N55">
        <v>5.7731950000000003</v>
      </c>
      <c r="O55">
        <f t="shared" si="5"/>
        <v>3.90566037735849E-2</v>
      </c>
      <c r="P55">
        <f t="shared" si="6"/>
        <v>0.31188679245283019</v>
      </c>
      <c r="Q55">
        <f t="shared" si="7"/>
        <v>3.6407547169811321</v>
      </c>
      <c r="R55">
        <v>73397</v>
      </c>
      <c r="S55">
        <v>26</v>
      </c>
    </row>
    <row r="56" spans="1:19" x14ac:dyDescent="0.3">
      <c r="A56">
        <v>55</v>
      </c>
      <c r="B56" t="s">
        <v>36</v>
      </c>
      <c r="C56" t="s">
        <v>38</v>
      </c>
      <c r="D56">
        <v>380</v>
      </c>
      <c r="E56">
        <v>32.5</v>
      </c>
      <c r="F56">
        <v>2186</v>
      </c>
      <c r="G56">
        <v>1.01</v>
      </c>
      <c r="H56">
        <v>10.66</v>
      </c>
      <c r="I56">
        <v>125.4</v>
      </c>
      <c r="J56">
        <f t="shared" si="4"/>
        <v>1438.7799648313148</v>
      </c>
      <c r="K56">
        <v>51.199539753019501</v>
      </c>
      <c r="L56">
        <v>4.6401153205956502</v>
      </c>
      <c r="M56">
        <v>51.132446353747298</v>
      </c>
      <c r="N56">
        <v>5.07791580806974</v>
      </c>
      <c r="O56">
        <f t="shared" si="5"/>
        <v>3.1076923076923078E-2</v>
      </c>
      <c r="P56">
        <f t="shared" si="6"/>
        <v>0.32800000000000001</v>
      </c>
      <c r="Q56">
        <f t="shared" si="7"/>
        <v>3.8584615384615386</v>
      </c>
      <c r="R56">
        <v>73397</v>
      </c>
      <c r="S56">
        <v>26</v>
      </c>
    </row>
    <row r="57" spans="1:19" x14ac:dyDescent="0.3">
      <c r="A57">
        <v>56</v>
      </c>
      <c r="B57" t="s">
        <v>36</v>
      </c>
      <c r="C57" t="s">
        <v>31</v>
      </c>
      <c r="D57">
        <v>380</v>
      </c>
      <c r="E57">
        <v>35</v>
      </c>
      <c r="F57">
        <v>2186</v>
      </c>
      <c r="G57">
        <v>1.0900000000000001</v>
      </c>
      <c r="H57">
        <v>11.54</v>
      </c>
      <c r="I57">
        <v>123.2</v>
      </c>
      <c r="J57">
        <f t="shared" si="4"/>
        <v>1438.7799648313148</v>
      </c>
      <c r="K57">
        <v>51.199539753019501</v>
      </c>
      <c r="L57">
        <v>4.6401153205956502</v>
      </c>
      <c r="M57">
        <v>51.188276594903101</v>
      </c>
      <c r="N57">
        <v>4.2600114584800899</v>
      </c>
      <c r="O57">
        <f t="shared" si="5"/>
        <v>3.1142857142857146E-2</v>
      </c>
      <c r="P57">
        <f t="shared" si="6"/>
        <v>0.32971428571428568</v>
      </c>
      <c r="Q57">
        <f t="shared" si="7"/>
        <v>3.52</v>
      </c>
      <c r="R57">
        <v>73397</v>
      </c>
      <c r="S57">
        <v>26</v>
      </c>
    </row>
    <row r="58" spans="1:19" x14ac:dyDescent="0.3">
      <c r="A58">
        <v>57</v>
      </c>
      <c r="B58" t="s">
        <v>38</v>
      </c>
      <c r="C58" t="s">
        <v>37</v>
      </c>
      <c r="D58">
        <v>380</v>
      </c>
      <c r="E58">
        <v>57.5</v>
      </c>
      <c r="F58">
        <v>2186</v>
      </c>
      <c r="G58">
        <v>1.78</v>
      </c>
      <c r="H58">
        <v>18.86</v>
      </c>
      <c r="I58">
        <v>220.86</v>
      </c>
      <c r="J58">
        <f t="shared" si="4"/>
        <v>1438.7799648313148</v>
      </c>
      <c r="K58">
        <v>51.132446353747298</v>
      </c>
      <c r="L58">
        <v>5.07791580806974</v>
      </c>
      <c r="M58">
        <v>51.121523000000003</v>
      </c>
      <c r="N58">
        <v>5.7731950000000003</v>
      </c>
      <c r="O58">
        <f t="shared" si="5"/>
        <v>3.0956521739130435E-2</v>
      </c>
      <c r="P58">
        <f t="shared" si="6"/>
        <v>0.32800000000000001</v>
      </c>
      <c r="Q58">
        <f t="shared" si="7"/>
        <v>3.84104347826087</v>
      </c>
      <c r="R58">
        <v>73397</v>
      </c>
      <c r="S58">
        <v>26</v>
      </c>
    </row>
    <row r="59" spans="1:19" x14ac:dyDescent="0.3">
      <c r="A59">
        <v>58</v>
      </c>
      <c r="B59" t="s">
        <v>31</v>
      </c>
      <c r="C59" t="s">
        <v>167</v>
      </c>
      <c r="D59">
        <v>380</v>
      </c>
      <c r="E59">
        <v>34.200000000000003</v>
      </c>
      <c r="F59">
        <v>1999</v>
      </c>
      <c r="G59">
        <v>1.07</v>
      </c>
      <c r="H59">
        <v>11.21</v>
      </c>
      <c r="I59">
        <v>132.19999999999999</v>
      </c>
      <c r="J59">
        <f t="shared" si="4"/>
        <v>1315.7004344454704</v>
      </c>
      <c r="K59">
        <v>51.188276594903101</v>
      </c>
      <c r="L59">
        <v>4.2600114584800899</v>
      </c>
      <c r="M59">
        <v>51.148199811082598</v>
      </c>
      <c r="N59">
        <v>3.7978163952554098</v>
      </c>
      <c r="O59">
        <f t="shared" si="5"/>
        <v>3.1286549707602342E-2</v>
      </c>
      <c r="P59">
        <f t="shared" si="6"/>
        <v>0.32777777777777778</v>
      </c>
      <c r="Q59">
        <f t="shared" si="7"/>
        <v>3.8654970760233911</v>
      </c>
      <c r="R59">
        <v>73397</v>
      </c>
      <c r="S59">
        <v>26</v>
      </c>
    </row>
    <row r="60" spans="1:19" x14ac:dyDescent="0.3">
      <c r="A60">
        <v>59</v>
      </c>
      <c r="B60" t="s">
        <v>37</v>
      </c>
      <c r="C60" t="s">
        <v>161</v>
      </c>
      <c r="D60">
        <v>380</v>
      </c>
      <c r="E60">
        <v>31.1</v>
      </c>
      <c r="F60">
        <v>1999</v>
      </c>
      <c r="G60">
        <v>0.72</v>
      </c>
      <c r="H60">
        <v>9.5500000000000007</v>
      </c>
      <c r="I60">
        <v>114.35</v>
      </c>
      <c r="J60">
        <f t="shared" si="4"/>
        <v>1315.7004344454704</v>
      </c>
      <c r="K60">
        <v>51.121523000000003</v>
      </c>
      <c r="L60">
        <v>5.7731950000000003</v>
      </c>
      <c r="M60">
        <v>50.933370429119698</v>
      </c>
      <c r="N60">
        <v>5.57543042052452</v>
      </c>
      <c r="O60">
        <f t="shared" si="5"/>
        <v>2.3151125401929259E-2</v>
      </c>
      <c r="P60">
        <f t="shared" si="6"/>
        <v>0.30707395498392281</v>
      </c>
      <c r="Q60">
        <f t="shared" si="7"/>
        <v>3.6768488745980705</v>
      </c>
      <c r="R60">
        <v>73397</v>
      </c>
      <c r="S60">
        <v>26</v>
      </c>
    </row>
    <row r="61" spans="1:19" x14ac:dyDescent="0.3">
      <c r="A61">
        <v>60</v>
      </c>
      <c r="B61" t="s">
        <v>124</v>
      </c>
      <c r="C61" t="s">
        <v>169</v>
      </c>
      <c r="D61">
        <v>220</v>
      </c>
      <c r="E61">
        <v>47.2</v>
      </c>
      <c r="F61">
        <v>1063</v>
      </c>
      <c r="G61">
        <v>4.01</v>
      </c>
      <c r="H61">
        <v>14.16</v>
      </c>
      <c r="I61">
        <v>154.16</v>
      </c>
      <c r="J61">
        <f t="shared" si="4"/>
        <v>405.05740185805757</v>
      </c>
      <c r="K61">
        <v>49.563837674746701</v>
      </c>
      <c r="L61">
        <v>5.7992758711646104</v>
      </c>
      <c r="M61">
        <v>49.9790576035859</v>
      </c>
      <c r="N61">
        <v>5.6580449523584599</v>
      </c>
      <c r="O61">
        <f t="shared" si="5"/>
        <v>8.4957627118644061E-2</v>
      </c>
      <c r="P61">
        <f t="shared" si="6"/>
        <v>0.3</v>
      </c>
      <c r="Q61">
        <f t="shared" si="7"/>
        <v>3.2661016949152541</v>
      </c>
      <c r="R61">
        <v>73397</v>
      </c>
      <c r="S61">
        <v>26</v>
      </c>
    </row>
    <row r="62" spans="1:19" x14ac:dyDescent="0.3">
      <c r="A62">
        <v>61</v>
      </c>
      <c r="B62" t="s">
        <v>170</v>
      </c>
      <c r="C62" t="s">
        <v>172</v>
      </c>
      <c r="D62">
        <v>220</v>
      </c>
      <c r="E62">
        <v>6.6</v>
      </c>
      <c r="F62">
        <v>1092</v>
      </c>
      <c r="G62">
        <v>0.33</v>
      </c>
      <c r="H62">
        <v>2.64</v>
      </c>
      <c r="I62">
        <v>18.649999999999999</v>
      </c>
      <c r="J62">
        <f t="shared" si="4"/>
        <v>416.10788601034704</v>
      </c>
      <c r="K62">
        <v>50.600454629345201</v>
      </c>
      <c r="L62">
        <v>5.4089420126620302</v>
      </c>
      <c r="M62">
        <v>50.609304622309999</v>
      </c>
      <c r="N62">
        <v>5.5124601193014202</v>
      </c>
      <c r="O62">
        <f t="shared" si="5"/>
        <v>0.05</v>
      </c>
      <c r="P62">
        <f t="shared" si="6"/>
        <v>0.4</v>
      </c>
      <c r="Q62">
        <f t="shared" si="7"/>
        <v>2.8257575757575757</v>
      </c>
      <c r="R62">
        <v>73397</v>
      </c>
      <c r="S62">
        <v>26</v>
      </c>
    </row>
    <row r="63" spans="1:19" x14ac:dyDescent="0.3">
      <c r="A63">
        <v>62</v>
      </c>
      <c r="B63" t="s">
        <v>170</v>
      </c>
      <c r="C63" t="s">
        <v>177</v>
      </c>
      <c r="D63">
        <v>220</v>
      </c>
      <c r="E63">
        <v>7.4</v>
      </c>
      <c r="F63">
        <v>976</v>
      </c>
      <c r="G63">
        <v>0.47</v>
      </c>
      <c r="H63">
        <v>3.13</v>
      </c>
      <c r="I63">
        <v>20.059999999999999</v>
      </c>
      <c r="J63">
        <f t="shared" si="4"/>
        <v>371.90594940118928</v>
      </c>
      <c r="K63">
        <v>50.600454629345201</v>
      </c>
      <c r="L63">
        <v>5.4089420126620302</v>
      </c>
      <c r="M63">
        <v>50.542188689853901</v>
      </c>
      <c r="N63">
        <v>5.4701284167100601</v>
      </c>
      <c r="O63">
        <f t="shared" si="5"/>
        <v>6.3513513513513503E-2</v>
      </c>
      <c r="P63">
        <f t="shared" si="6"/>
        <v>0.42297297297297293</v>
      </c>
      <c r="Q63">
        <f t="shared" si="7"/>
        <v>2.7108108108108104</v>
      </c>
      <c r="R63">
        <v>73397</v>
      </c>
      <c r="S63">
        <v>26</v>
      </c>
    </row>
    <row r="64" spans="1:19" x14ac:dyDescent="0.3">
      <c r="A64">
        <v>63</v>
      </c>
      <c r="B64" t="s">
        <v>171</v>
      </c>
      <c r="C64" t="s">
        <v>177</v>
      </c>
      <c r="D64">
        <v>220</v>
      </c>
      <c r="E64">
        <v>20.2</v>
      </c>
      <c r="F64">
        <v>1092</v>
      </c>
      <c r="G64">
        <v>0.61</v>
      </c>
      <c r="H64">
        <v>4.5199999999999996</v>
      </c>
      <c r="I64">
        <v>57.64</v>
      </c>
      <c r="J64">
        <f t="shared" si="4"/>
        <v>416.10788601034704</v>
      </c>
      <c r="K64">
        <v>50.6458640419497</v>
      </c>
      <c r="L64">
        <v>5.6370257671645296</v>
      </c>
      <c r="M64">
        <v>50.542188689853901</v>
      </c>
      <c r="N64">
        <v>5.4701284167100601</v>
      </c>
      <c r="O64">
        <f t="shared" si="5"/>
        <v>3.0198019801980197E-2</v>
      </c>
      <c r="P64">
        <f t="shared" si="6"/>
        <v>0.22376237623762374</v>
      </c>
      <c r="Q64">
        <f t="shared" si="7"/>
        <v>2.8534653465346538</v>
      </c>
      <c r="R64">
        <v>73397</v>
      </c>
      <c r="S64">
        <v>26</v>
      </c>
    </row>
    <row r="65" spans="1:19" x14ac:dyDescent="0.3">
      <c r="A65">
        <v>64</v>
      </c>
      <c r="B65" t="s">
        <v>172</v>
      </c>
      <c r="C65" t="s">
        <v>177</v>
      </c>
      <c r="D65">
        <v>220</v>
      </c>
      <c r="E65">
        <v>13.4</v>
      </c>
      <c r="F65">
        <v>976</v>
      </c>
      <c r="G65">
        <v>0.77</v>
      </c>
      <c r="H65">
        <v>5.29</v>
      </c>
      <c r="I65">
        <v>37.4</v>
      </c>
      <c r="J65">
        <f t="shared" si="4"/>
        <v>371.90594940118928</v>
      </c>
      <c r="K65">
        <v>50.609304622309999</v>
      </c>
      <c r="L65">
        <v>5.5124601193014202</v>
      </c>
      <c r="M65">
        <v>50.542188689853901</v>
      </c>
      <c r="N65">
        <v>5.4701284167100601</v>
      </c>
      <c r="O65">
        <f t="shared" si="5"/>
        <v>5.7462686567164176E-2</v>
      </c>
      <c r="P65">
        <f t="shared" si="6"/>
        <v>0.39477611940298507</v>
      </c>
      <c r="Q65">
        <f t="shared" si="7"/>
        <v>2.7910447761194028</v>
      </c>
      <c r="R65">
        <v>73397</v>
      </c>
      <c r="S65">
        <v>26</v>
      </c>
    </row>
    <row r="66" spans="1:19" x14ac:dyDescent="0.3">
      <c r="A66">
        <v>65</v>
      </c>
      <c r="B66" t="s">
        <v>173</v>
      </c>
      <c r="C66" t="s">
        <v>177</v>
      </c>
      <c r="D66">
        <v>220</v>
      </c>
      <c r="E66">
        <v>38</v>
      </c>
      <c r="F66">
        <v>1063</v>
      </c>
      <c r="G66">
        <v>3.23</v>
      </c>
      <c r="H66">
        <v>11.3</v>
      </c>
      <c r="I66">
        <v>124.11</v>
      </c>
      <c r="J66">
        <f t="shared" ref="J66:J75" si="8">SQRT(3)*D66*F66/1000</f>
        <v>405.05740185805757</v>
      </c>
      <c r="K66">
        <v>50.241800694260697</v>
      </c>
      <c r="L66">
        <v>5.7318782397385899</v>
      </c>
      <c r="M66">
        <v>50.542188689853901</v>
      </c>
      <c r="N66">
        <v>5.4701284167100601</v>
      </c>
      <c r="O66">
        <f t="shared" ref="O66:O75" si="9">G66/$E66</f>
        <v>8.5000000000000006E-2</v>
      </c>
      <c r="P66">
        <f t="shared" ref="P66:P75" si="10">H66/$E66</f>
        <v>0.29736842105263162</v>
      </c>
      <c r="Q66">
        <f t="shared" ref="Q66:Q75" si="11">I66/$E66</f>
        <v>3.2660526315789475</v>
      </c>
      <c r="R66">
        <v>73397</v>
      </c>
      <c r="S66">
        <v>26</v>
      </c>
    </row>
    <row r="67" spans="1:19" x14ac:dyDescent="0.3">
      <c r="A67">
        <v>66</v>
      </c>
      <c r="B67" t="s">
        <v>173</v>
      </c>
      <c r="C67" t="s">
        <v>174</v>
      </c>
      <c r="D67">
        <v>220</v>
      </c>
      <c r="E67">
        <v>26.8</v>
      </c>
      <c r="F67">
        <v>1063</v>
      </c>
      <c r="G67">
        <v>2.2799999999999998</v>
      </c>
      <c r="H67">
        <v>8.0399999999999991</v>
      </c>
      <c r="I67">
        <v>87.52</v>
      </c>
      <c r="J67">
        <f t="shared" si="8"/>
        <v>405.05740185805757</v>
      </c>
      <c r="K67">
        <v>50.241800694260697</v>
      </c>
      <c r="L67">
        <v>5.7318782397385899</v>
      </c>
      <c r="M67">
        <v>50.001530847179602</v>
      </c>
      <c r="N67">
        <v>5.6627864491565196</v>
      </c>
      <c r="O67">
        <f t="shared" si="9"/>
        <v>8.5074626865671632E-2</v>
      </c>
      <c r="P67">
        <f t="shared" si="10"/>
        <v>0.29999999999999993</v>
      </c>
      <c r="Q67">
        <f t="shared" si="11"/>
        <v>3.2656716417910445</v>
      </c>
      <c r="R67">
        <v>73397</v>
      </c>
      <c r="S67">
        <v>26</v>
      </c>
    </row>
    <row r="68" spans="1:19" x14ac:dyDescent="0.3">
      <c r="A68">
        <v>67</v>
      </c>
      <c r="B68" t="s">
        <v>177</v>
      </c>
      <c r="C68" t="s">
        <v>172</v>
      </c>
      <c r="D68">
        <v>220</v>
      </c>
      <c r="E68">
        <v>11.4</v>
      </c>
      <c r="F68">
        <v>1037</v>
      </c>
      <c r="G68">
        <v>0.66</v>
      </c>
      <c r="H68">
        <v>4.63</v>
      </c>
      <c r="I68">
        <v>31.8</v>
      </c>
      <c r="J68">
        <f t="shared" si="8"/>
        <v>395.15007123876364</v>
      </c>
      <c r="K68">
        <v>50.542188689853901</v>
      </c>
      <c r="L68">
        <v>5.4701284167100601</v>
      </c>
      <c r="M68">
        <v>50.609304622309999</v>
      </c>
      <c r="N68">
        <v>5.5124601193014202</v>
      </c>
      <c r="O68">
        <f t="shared" si="9"/>
        <v>5.7894736842105263E-2</v>
      </c>
      <c r="P68">
        <f t="shared" si="10"/>
        <v>0.40614035087719297</v>
      </c>
      <c r="Q68">
        <f t="shared" si="11"/>
        <v>2.7894736842105261</v>
      </c>
      <c r="R68">
        <v>73397</v>
      </c>
      <c r="S68">
        <v>26</v>
      </c>
    </row>
    <row r="69" spans="1:19" x14ac:dyDescent="0.3">
      <c r="A69">
        <v>68</v>
      </c>
      <c r="B69" t="s">
        <v>175</v>
      </c>
      <c r="C69" t="s">
        <v>172</v>
      </c>
      <c r="D69">
        <v>220</v>
      </c>
      <c r="E69">
        <v>14.3</v>
      </c>
      <c r="F69">
        <v>1037</v>
      </c>
      <c r="G69">
        <v>0.83</v>
      </c>
      <c r="H69">
        <v>5.81</v>
      </c>
      <c r="I69">
        <v>40.200000000000003</v>
      </c>
      <c r="J69">
        <f t="shared" si="8"/>
        <v>395.15007123876364</v>
      </c>
      <c r="K69">
        <v>50.612838626661599</v>
      </c>
      <c r="L69">
        <v>5.6717828199492599</v>
      </c>
      <c r="M69">
        <v>50.609304622309999</v>
      </c>
      <c r="N69">
        <v>5.5124601193014202</v>
      </c>
      <c r="O69">
        <f t="shared" si="9"/>
        <v>5.8041958041958039E-2</v>
      </c>
      <c r="P69">
        <f t="shared" si="10"/>
        <v>0.40629370629370626</v>
      </c>
      <c r="Q69">
        <f t="shared" si="11"/>
        <v>2.8111888111888113</v>
      </c>
      <c r="R69">
        <v>73397</v>
      </c>
      <c r="S69">
        <v>26</v>
      </c>
    </row>
    <row r="70" spans="1:19" x14ac:dyDescent="0.3">
      <c r="A70">
        <v>69</v>
      </c>
      <c r="B70" t="s">
        <v>174</v>
      </c>
      <c r="C70" t="s">
        <v>169</v>
      </c>
      <c r="D70">
        <v>220</v>
      </c>
      <c r="E70">
        <v>2.6</v>
      </c>
      <c r="F70">
        <v>1063</v>
      </c>
      <c r="G70">
        <v>0.63</v>
      </c>
      <c r="H70">
        <v>2.15</v>
      </c>
      <c r="I70">
        <v>8.49</v>
      </c>
      <c r="J70">
        <f t="shared" si="8"/>
        <v>405.05740185805757</v>
      </c>
      <c r="K70">
        <v>50.001530847179602</v>
      </c>
      <c r="L70">
        <v>5.6627864491565196</v>
      </c>
      <c r="M70">
        <v>49.9790576035859</v>
      </c>
      <c r="N70">
        <v>5.6580449523584599</v>
      </c>
      <c r="O70">
        <f t="shared" si="9"/>
        <v>0.24230769230769231</v>
      </c>
      <c r="P70">
        <f t="shared" si="10"/>
        <v>0.82692307692307687</v>
      </c>
      <c r="Q70">
        <f t="shared" si="11"/>
        <v>3.2653846153846153</v>
      </c>
      <c r="R70">
        <v>73397</v>
      </c>
      <c r="S70">
        <v>26</v>
      </c>
    </row>
    <row r="71" spans="1:19" x14ac:dyDescent="0.3">
      <c r="A71">
        <v>70</v>
      </c>
      <c r="B71" t="s">
        <v>175</v>
      </c>
      <c r="C71" t="s">
        <v>171</v>
      </c>
      <c r="D71">
        <v>220</v>
      </c>
      <c r="E71">
        <v>10</v>
      </c>
      <c r="F71">
        <v>1000</v>
      </c>
      <c r="G71">
        <v>0.6</v>
      </c>
      <c r="H71">
        <v>4</v>
      </c>
      <c r="I71">
        <v>0</v>
      </c>
      <c r="J71">
        <f t="shared" si="8"/>
        <v>381.05117766515298</v>
      </c>
      <c r="K71">
        <v>50.612838626661599</v>
      </c>
      <c r="L71">
        <v>5.6717828199492599</v>
      </c>
      <c r="M71">
        <v>50.6458640419497</v>
      </c>
      <c r="N71">
        <v>5.6370257671645296</v>
      </c>
      <c r="O71">
        <f t="shared" si="9"/>
        <v>0.06</v>
      </c>
      <c r="P71">
        <f t="shared" si="10"/>
        <v>0.4</v>
      </c>
      <c r="Q71">
        <f t="shared" si="11"/>
        <v>0</v>
      </c>
      <c r="R71">
        <v>73397</v>
      </c>
      <c r="S71">
        <v>26</v>
      </c>
    </row>
    <row r="72" spans="1:19" x14ac:dyDescent="0.3">
      <c r="A72">
        <v>71</v>
      </c>
      <c r="B72" t="s">
        <v>171</v>
      </c>
      <c r="C72" t="s">
        <v>176</v>
      </c>
      <c r="D72">
        <v>220</v>
      </c>
      <c r="E72">
        <v>30</v>
      </c>
      <c r="F72">
        <v>1000</v>
      </c>
      <c r="G72">
        <v>1.7999999999999901</v>
      </c>
      <c r="H72">
        <v>12</v>
      </c>
      <c r="I72">
        <v>0</v>
      </c>
      <c r="J72">
        <f t="shared" si="8"/>
        <v>381.05117766515298</v>
      </c>
      <c r="K72">
        <v>50.6458640419497</v>
      </c>
      <c r="L72">
        <v>5.6370257671645296</v>
      </c>
      <c r="M72">
        <v>50.743243009684299</v>
      </c>
      <c r="N72">
        <v>5.7313142080014297</v>
      </c>
      <c r="O72">
        <f t="shared" si="9"/>
        <v>5.9999999999999672E-2</v>
      </c>
      <c r="P72">
        <f t="shared" si="10"/>
        <v>0.4</v>
      </c>
      <c r="Q72">
        <f t="shared" si="11"/>
        <v>0</v>
      </c>
      <c r="R72">
        <v>73397</v>
      </c>
      <c r="S72">
        <v>26</v>
      </c>
    </row>
    <row r="73" spans="1:19" x14ac:dyDescent="0.3">
      <c r="A73">
        <v>72</v>
      </c>
      <c r="B73" t="s">
        <v>171</v>
      </c>
      <c r="C73" t="s">
        <v>176</v>
      </c>
      <c r="D73">
        <v>220</v>
      </c>
      <c r="E73">
        <v>30</v>
      </c>
      <c r="F73">
        <v>1000</v>
      </c>
      <c r="G73">
        <v>1.7999999999999901</v>
      </c>
      <c r="H73">
        <v>12</v>
      </c>
      <c r="I73">
        <v>0</v>
      </c>
      <c r="J73">
        <f t="shared" si="8"/>
        <v>381.05117766515298</v>
      </c>
      <c r="K73">
        <v>50.6458640419497</v>
      </c>
      <c r="L73">
        <v>5.6370257671645296</v>
      </c>
      <c r="M73">
        <v>50.743243009684299</v>
      </c>
      <c r="N73">
        <v>5.7313142080014297</v>
      </c>
      <c r="O73">
        <f t="shared" si="9"/>
        <v>5.9999999999999672E-2</v>
      </c>
      <c r="P73">
        <f t="shared" si="10"/>
        <v>0.4</v>
      </c>
      <c r="Q73">
        <f t="shared" si="11"/>
        <v>0</v>
      </c>
      <c r="R73">
        <v>73397</v>
      </c>
      <c r="S73">
        <v>26</v>
      </c>
    </row>
    <row r="74" spans="1:19" x14ac:dyDescent="0.3">
      <c r="A74">
        <v>73</v>
      </c>
      <c r="B74" t="s">
        <v>176</v>
      </c>
      <c r="C74" t="s">
        <v>126</v>
      </c>
      <c r="D74">
        <v>220</v>
      </c>
      <c r="E74">
        <v>10</v>
      </c>
      <c r="F74">
        <v>1000</v>
      </c>
      <c r="G74">
        <v>0.6</v>
      </c>
      <c r="H74">
        <v>4</v>
      </c>
      <c r="I74">
        <v>0</v>
      </c>
      <c r="J74">
        <f t="shared" ref="J74" si="12">SQRT(3)*D74*F74/1000</f>
        <v>381.05117766515298</v>
      </c>
      <c r="K74">
        <v>50.743243009684299</v>
      </c>
      <c r="L74">
        <v>5.7313142080014297</v>
      </c>
      <c r="M74">
        <v>50.757772036836997</v>
      </c>
      <c r="N74">
        <v>5.6814758674481398</v>
      </c>
      <c r="O74">
        <f t="shared" ref="O74" si="13">G74/$E74</f>
        <v>0.06</v>
      </c>
      <c r="P74">
        <f t="shared" ref="P74" si="14">H74/$E74</f>
        <v>0.4</v>
      </c>
      <c r="Q74">
        <f t="shared" ref="Q74" si="15">I74/$E74</f>
        <v>0</v>
      </c>
      <c r="R74">
        <v>73397</v>
      </c>
      <c r="S74">
        <v>26</v>
      </c>
    </row>
    <row r="75" spans="1:19" x14ac:dyDescent="0.3">
      <c r="A75">
        <v>74</v>
      </c>
      <c r="B75" t="s">
        <v>176</v>
      </c>
      <c r="C75" t="s">
        <v>126</v>
      </c>
      <c r="D75">
        <v>220</v>
      </c>
      <c r="E75">
        <v>10</v>
      </c>
      <c r="F75">
        <v>1000</v>
      </c>
      <c r="G75">
        <v>0.6</v>
      </c>
      <c r="H75">
        <v>4</v>
      </c>
      <c r="I75">
        <v>0</v>
      </c>
      <c r="J75">
        <f t="shared" si="8"/>
        <v>381.05117766515298</v>
      </c>
      <c r="K75">
        <v>50.743243009684299</v>
      </c>
      <c r="L75">
        <v>5.7313142080014297</v>
      </c>
      <c r="M75">
        <v>50.757772036836997</v>
      </c>
      <c r="N75">
        <v>5.6814758674481398</v>
      </c>
      <c r="O75">
        <f t="shared" si="9"/>
        <v>0.06</v>
      </c>
      <c r="P75">
        <f t="shared" si="10"/>
        <v>0.4</v>
      </c>
      <c r="Q75">
        <f t="shared" si="11"/>
        <v>0</v>
      </c>
      <c r="R75">
        <v>73397</v>
      </c>
      <c r="S75">
        <v>26</v>
      </c>
    </row>
    <row r="76" spans="1:19" x14ac:dyDescent="0.3">
      <c r="A76">
        <v>75</v>
      </c>
      <c r="B76" t="s">
        <v>125</v>
      </c>
      <c r="C76" t="s">
        <v>124</v>
      </c>
      <c r="D76" t="s">
        <v>299</v>
      </c>
      <c r="E76" t="s">
        <v>140</v>
      </c>
      <c r="F76" t="s">
        <v>140</v>
      </c>
      <c r="G76">
        <v>0</v>
      </c>
      <c r="H76">
        <v>82.13333333333334</v>
      </c>
      <c r="I76">
        <v>0</v>
      </c>
      <c r="J76">
        <v>300</v>
      </c>
      <c r="K76">
        <v>49.563837674746701</v>
      </c>
      <c r="L76">
        <v>5.7992758711646104</v>
      </c>
      <c r="M76">
        <v>49.563837674746701</v>
      </c>
      <c r="N76">
        <v>5.7992758711646104</v>
      </c>
      <c r="O76" t="s">
        <v>140</v>
      </c>
      <c r="P76" t="s">
        <v>140</v>
      </c>
      <c r="Q76" t="s">
        <v>140</v>
      </c>
      <c r="R76">
        <v>73397</v>
      </c>
      <c r="S76">
        <v>26</v>
      </c>
    </row>
    <row r="77" spans="1:19" x14ac:dyDescent="0.3">
      <c r="A77">
        <v>76</v>
      </c>
      <c r="B77" t="s">
        <v>125</v>
      </c>
      <c r="C77" t="s">
        <v>124</v>
      </c>
      <c r="D77" t="s">
        <v>299</v>
      </c>
      <c r="E77" t="s">
        <v>140</v>
      </c>
      <c r="F77" t="s">
        <v>140</v>
      </c>
      <c r="G77">
        <v>0</v>
      </c>
      <c r="H77">
        <v>80.533333333333331</v>
      </c>
      <c r="I77">
        <v>0</v>
      </c>
      <c r="J77">
        <v>300</v>
      </c>
      <c r="K77">
        <v>49.563837674746701</v>
      </c>
      <c r="L77">
        <v>5.7992758711646104</v>
      </c>
      <c r="M77">
        <v>49.563837674746701</v>
      </c>
      <c r="N77">
        <v>5.7992758711646104</v>
      </c>
      <c r="O77" t="s">
        <v>140</v>
      </c>
      <c r="P77" t="s">
        <v>140</v>
      </c>
      <c r="Q77" t="s">
        <v>140</v>
      </c>
      <c r="R77">
        <v>73397</v>
      </c>
      <c r="S77">
        <v>26</v>
      </c>
    </row>
    <row r="78" spans="1:19" x14ac:dyDescent="0.3">
      <c r="A78">
        <v>77</v>
      </c>
      <c r="B78" t="s">
        <v>127</v>
      </c>
      <c r="C78" t="s">
        <v>126</v>
      </c>
      <c r="D78" t="s">
        <v>299</v>
      </c>
      <c r="E78" t="s">
        <v>140</v>
      </c>
      <c r="F78" t="s">
        <v>140</v>
      </c>
      <c r="G78">
        <v>0</v>
      </c>
      <c r="H78">
        <v>77.866666666666674</v>
      </c>
      <c r="I78">
        <v>0</v>
      </c>
      <c r="J78">
        <v>300</v>
      </c>
      <c r="K78">
        <v>50.757772036836997</v>
      </c>
      <c r="L78">
        <v>5.6814758674481398</v>
      </c>
      <c r="M78">
        <v>50.757772036836997</v>
      </c>
      <c r="N78">
        <v>5.6814758674481398</v>
      </c>
      <c r="O78" t="s">
        <v>140</v>
      </c>
      <c r="P78" t="s">
        <v>140</v>
      </c>
      <c r="Q78" t="s">
        <v>140</v>
      </c>
      <c r="R78">
        <v>73397</v>
      </c>
      <c r="S78">
        <v>26</v>
      </c>
    </row>
    <row r="79" spans="1:19" x14ac:dyDescent="0.3">
      <c r="A79">
        <v>78</v>
      </c>
      <c r="B79" t="s">
        <v>127</v>
      </c>
      <c r="C79" t="s">
        <v>126</v>
      </c>
      <c r="D79" t="s">
        <v>299</v>
      </c>
      <c r="E79" t="s">
        <v>140</v>
      </c>
      <c r="F79" t="s">
        <v>140</v>
      </c>
      <c r="G79">
        <v>0</v>
      </c>
      <c r="H79">
        <v>77.866666666666674</v>
      </c>
      <c r="I79">
        <v>0</v>
      </c>
      <c r="J79">
        <v>300</v>
      </c>
      <c r="K79">
        <v>50.757772036836997</v>
      </c>
      <c r="L79">
        <v>5.6814758674481398</v>
      </c>
      <c r="M79">
        <v>50.757772036836997</v>
      </c>
      <c r="N79">
        <v>5.6814758674481398</v>
      </c>
      <c r="O79" t="s">
        <v>140</v>
      </c>
      <c r="P79" t="s">
        <v>140</v>
      </c>
      <c r="Q79" t="s">
        <v>140</v>
      </c>
      <c r="R79">
        <v>73397</v>
      </c>
      <c r="S79">
        <v>26</v>
      </c>
    </row>
    <row r="80" spans="1:19" x14ac:dyDescent="0.3">
      <c r="A80">
        <v>79</v>
      </c>
      <c r="B80" t="s">
        <v>178</v>
      </c>
      <c r="C80" t="s">
        <v>177</v>
      </c>
      <c r="D80" t="s">
        <v>299</v>
      </c>
      <c r="E80" t="s">
        <v>140</v>
      </c>
      <c r="F80" t="s">
        <v>140</v>
      </c>
      <c r="G80">
        <v>0</v>
      </c>
      <c r="H80">
        <v>77.866666666666674</v>
      </c>
      <c r="I80">
        <v>0</v>
      </c>
      <c r="J80">
        <v>300</v>
      </c>
      <c r="K80">
        <v>50.542188689853901</v>
      </c>
      <c r="L80">
        <v>5.4701284167100601</v>
      </c>
      <c r="M80">
        <v>50.542188689853901</v>
      </c>
      <c r="N80">
        <v>5.4701284167100601</v>
      </c>
      <c r="O80" t="s">
        <v>140</v>
      </c>
      <c r="P80" t="s">
        <v>140</v>
      </c>
      <c r="Q80" t="s">
        <v>140</v>
      </c>
      <c r="R80">
        <v>73397</v>
      </c>
      <c r="S80">
        <v>26</v>
      </c>
    </row>
    <row r="81" spans="1:19" x14ac:dyDescent="0.3">
      <c r="A81">
        <v>80</v>
      </c>
      <c r="B81" t="s">
        <v>178</v>
      </c>
      <c r="C81" t="s">
        <v>177</v>
      </c>
      <c r="D81" t="s">
        <v>299</v>
      </c>
      <c r="E81" t="s">
        <v>140</v>
      </c>
      <c r="F81" t="s">
        <v>140</v>
      </c>
      <c r="G81">
        <v>0</v>
      </c>
      <c r="H81">
        <v>77.866666666666674</v>
      </c>
      <c r="I81">
        <v>0</v>
      </c>
      <c r="J81">
        <v>300</v>
      </c>
      <c r="K81">
        <v>50.542188689853901</v>
      </c>
      <c r="L81">
        <v>5.4701284167100601</v>
      </c>
      <c r="M81">
        <v>50.542188689853901</v>
      </c>
      <c r="N81">
        <v>5.4701284167100601</v>
      </c>
      <c r="O81" t="s">
        <v>140</v>
      </c>
      <c r="P81" t="s">
        <v>140</v>
      </c>
      <c r="Q81" t="s">
        <v>140</v>
      </c>
      <c r="R81">
        <v>73397</v>
      </c>
      <c r="S81">
        <v>26</v>
      </c>
    </row>
    <row r="82" spans="1:19" x14ac:dyDescent="0.3">
      <c r="A82">
        <v>81</v>
      </c>
      <c r="B82" t="s">
        <v>178</v>
      </c>
      <c r="C82" t="s">
        <v>177</v>
      </c>
      <c r="D82" t="s">
        <v>299</v>
      </c>
      <c r="E82" t="s">
        <v>140</v>
      </c>
      <c r="F82" t="s">
        <v>140</v>
      </c>
      <c r="G82">
        <v>0</v>
      </c>
      <c r="H82">
        <v>77.866666666666674</v>
      </c>
      <c r="I82">
        <v>0</v>
      </c>
      <c r="J82">
        <v>300</v>
      </c>
      <c r="K82">
        <v>50.542188689853901</v>
      </c>
      <c r="L82">
        <v>5.4701284167100601</v>
      </c>
      <c r="M82">
        <v>50.542188689853901</v>
      </c>
      <c r="N82">
        <v>5.4701284167100601</v>
      </c>
      <c r="O82" t="s">
        <v>140</v>
      </c>
      <c r="P82" t="s">
        <v>140</v>
      </c>
      <c r="Q82" t="s">
        <v>140</v>
      </c>
      <c r="R82">
        <v>73397</v>
      </c>
      <c r="S82">
        <v>26</v>
      </c>
    </row>
    <row r="83" spans="1:19" x14ac:dyDescent="0.3">
      <c r="A83">
        <v>82</v>
      </c>
      <c r="B83" t="s">
        <v>34</v>
      </c>
      <c r="C83" t="s">
        <v>297</v>
      </c>
      <c r="D83">
        <v>380</v>
      </c>
      <c r="E83">
        <v>18</v>
      </c>
      <c r="F83">
        <v>2186</v>
      </c>
      <c r="G83">
        <v>0.5545023696682464</v>
      </c>
      <c r="H83">
        <v>5.9033175355450238</v>
      </c>
      <c r="I83">
        <v>62.957345971563974</v>
      </c>
      <c r="J83">
        <v>1500</v>
      </c>
      <c r="K83" s="13">
        <v>51.2876667708288</v>
      </c>
      <c r="L83" s="13">
        <v>3.1884903398949098</v>
      </c>
      <c r="M83" s="13">
        <v>51.220756533185003</v>
      </c>
      <c r="N83" s="13">
        <v>2.9579922525799001</v>
      </c>
      <c r="O83">
        <v>3.0805687203791468E-2</v>
      </c>
      <c r="P83">
        <v>0.32796208530805687</v>
      </c>
      <c r="Q83">
        <v>3.497630331753554</v>
      </c>
      <c r="R83">
        <v>73397</v>
      </c>
      <c r="S83">
        <v>26</v>
      </c>
    </row>
    <row r="84" spans="1:19" x14ac:dyDescent="0.3">
      <c r="A84">
        <v>83</v>
      </c>
      <c r="B84" t="s">
        <v>34</v>
      </c>
      <c r="C84" t="s">
        <v>297</v>
      </c>
      <c r="D84">
        <v>380</v>
      </c>
      <c r="E84">
        <v>18</v>
      </c>
      <c r="F84">
        <v>2186</v>
      </c>
      <c r="G84">
        <v>0.5545023696682464</v>
      </c>
      <c r="H84">
        <v>5.9033175355450238</v>
      </c>
      <c r="I84">
        <v>62.957345971563974</v>
      </c>
      <c r="J84">
        <v>1500</v>
      </c>
      <c r="K84" s="13">
        <v>51.2876667708288</v>
      </c>
      <c r="L84" s="13">
        <v>3.1884903398949098</v>
      </c>
      <c r="M84" s="13">
        <v>51.296748273115703</v>
      </c>
      <c r="N84" s="13">
        <v>3.1866373519789399</v>
      </c>
      <c r="O84">
        <v>3.0805687203791468E-2</v>
      </c>
      <c r="P84">
        <v>0.32796208530805687</v>
      </c>
      <c r="Q84">
        <v>3.497630331753554</v>
      </c>
      <c r="R84">
        <v>73397</v>
      </c>
      <c r="S84">
        <v>26</v>
      </c>
    </row>
    <row r="85" spans="1:19" x14ac:dyDescent="0.3">
      <c r="A85">
        <v>84</v>
      </c>
      <c r="B85" t="s">
        <v>34</v>
      </c>
      <c r="C85" t="s">
        <v>297</v>
      </c>
      <c r="D85">
        <v>380</v>
      </c>
      <c r="E85">
        <v>18</v>
      </c>
      <c r="F85">
        <v>2186</v>
      </c>
      <c r="G85">
        <v>0.5545023696682464</v>
      </c>
      <c r="H85">
        <v>5.9033175355450238</v>
      </c>
      <c r="I85">
        <v>62.957345971563974</v>
      </c>
      <c r="J85">
        <v>1500</v>
      </c>
      <c r="K85" s="13">
        <v>51.2876667708288</v>
      </c>
      <c r="L85" s="13">
        <v>3.1884903398949098</v>
      </c>
      <c r="M85" s="13">
        <v>51.296748273115703</v>
      </c>
      <c r="N85" s="13">
        <v>3.1866373519789399</v>
      </c>
      <c r="O85">
        <v>3.0805687203791468E-2</v>
      </c>
      <c r="P85">
        <v>0.32796208530805687</v>
      </c>
      <c r="Q85">
        <v>3.497630331753554</v>
      </c>
      <c r="R85">
        <v>73397</v>
      </c>
      <c r="S85">
        <v>26</v>
      </c>
    </row>
    <row r="86" spans="1:19" x14ac:dyDescent="0.3">
      <c r="A86">
        <v>85</v>
      </c>
      <c r="B86" t="s">
        <v>34</v>
      </c>
      <c r="C86" t="s">
        <v>297</v>
      </c>
      <c r="D86">
        <v>380</v>
      </c>
      <c r="E86">
        <v>18</v>
      </c>
      <c r="F86">
        <v>2186</v>
      </c>
      <c r="G86">
        <v>0.5545023696682464</v>
      </c>
      <c r="H86">
        <v>5.9033175355450238</v>
      </c>
      <c r="I86">
        <v>62.957345971563974</v>
      </c>
      <c r="J86">
        <v>1500</v>
      </c>
      <c r="K86" s="13">
        <v>51.2876667708288</v>
      </c>
      <c r="L86" s="13">
        <v>3.1884903398949098</v>
      </c>
      <c r="M86" s="13">
        <v>51.296748273115703</v>
      </c>
      <c r="N86" s="13">
        <v>3.1866373519789399</v>
      </c>
      <c r="O86">
        <v>3.0805687203791468E-2</v>
      </c>
      <c r="P86">
        <v>0.32796208530805687</v>
      </c>
      <c r="Q86">
        <v>3.497630331753554</v>
      </c>
      <c r="R86">
        <v>73397</v>
      </c>
      <c r="S86">
        <v>26</v>
      </c>
    </row>
    <row r="87" spans="1:19" x14ac:dyDescent="0.3">
      <c r="A87">
        <v>86</v>
      </c>
      <c r="B87" t="s">
        <v>297</v>
      </c>
      <c r="C87" t="s">
        <v>26</v>
      </c>
      <c r="D87">
        <v>380</v>
      </c>
      <c r="E87">
        <v>20</v>
      </c>
      <c r="F87">
        <v>2186</v>
      </c>
      <c r="G87">
        <v>0.61611374407582931</v>
      </c>
      <c r="H87">
        <v>6.5592417061611377</v>
      </c>
      <c r="I87">
        <v>69.952606635071078</v>
      </c>
      <c r="J87">
        <v>1500</v>
      </c>
      <c r="K87" s="13">
        <v>51.220756533185003</v>
      </c>
      <c r="L87" s="13">
        <v>2.9579922525799001</v>
      </c>
      <c r="M87">
        <v>50.918355891912199</v>
      </c>
      <c r="N87">
        <v>3.2106091208481602</v>
      </c>
      <c r="O87">
        <v>3.0805687203791468E-2</v>
      </c>
      <c r="P87">
        <v>0.32796208530805687</v>
      </c>
      <c r="Q87">
        <v>3.497630331753554</v>
      </c>
      <c r="R87">
        <v>73397</v>
      </c>
      <c r="S87">
        <v>26</v>
      </c>
    </row>
    <row r="88" spans="1:19" x14ac:dyDescent="0.3">
      <c r="A88">
        <v>87</v>
      </c>
      <c r="B88" t="s">
        <v>297</v>
      </c>
      <c r="C88" t="s">
        <v>26</v>
      </c>
      <c r="D88">
        <v>380</v>
      </c>
      <c r="E88">
        <v>20</v>
      </c>
      <c r="F88">
        <v>2186</v>
      </c>
      <c r="G88">
        <v>0.61611374407582931</v>
      </c>
      <c r="H88">
        <v>6.5592417061611377</v>
      </c>
      <c r="I88">
        <v>69.952606635071078</v>
      </c>
      <c r="J88">
        <v>1500</v>
      </c>
      <c r="K88" s="13">
        <v>51.220756533185003</v>
      </c>
      <c r="L88" s="13">
        <v>2.9579922525799001</v>
      </c>
      <c r="M88">
        <v>50.918355891912199</v>
      </c>
      <c r="N88">
        <v>3.2106091208481602</v>
      </c>
      <c r="O88">
        <v>3.0805687203791468E-2</v>
      </c>
      <c r="P88">
        <v>0.32796208530805687</v>
      </c>
      <c r="Q88">
        <v>3.497630331753554</v>
      </c>
      <c r="R88">
        <v>73397</v>
      </c>
      <c r="S88">
        <v>26</v>
      </c>
    </row>
    <row r="89" spans="1:19" x14ac:dyDescent="0.3">
      <c r="A89">
        <v>88</v>
      </c>
      <c r="B89" t="s">
        <v>297</v>
      </c>
      <c r="C89" t="s">
        <v>26</v>
      </c>
      <c r="D89">
        <v>380</v>
      </c>
      <c r="E89">
        <v>20</v>
      </c>
      <c r="F89">
        <v>2186</v>
      </c>
      <c r="G89">
        <v>0.61611374407582931</v>
      </c>
      <c r="H89">
        <v>6.5592417061611377</v>
      </c>
      <c r="I89">
        <v>69.952606635071078</v>
      </c>
      <c r="J89">
        <v>1500</v>
      </c>
      <c r="K89" s="13">
        <v>51.220756533185003</v>
      </c>
      <c r="L89" s="13">
        <v>2.9579922525799001</v>
      </c>
      <c r="M89">
        <v>50.918355891912199</v>
      </c>
      <c r="N89">
        <v>3.2106091208481602</v>
      </c>
      <c r="O89">
        <v>3.0805687203791468E-2</v>
      </c>
      <c r="P89">
        <v>0.32796208530805687</v>
      </c>
      <c r="Q89">
        <v>3.497630331753554</v>
      </c>
      <c r="R89">
        <v>73397</v>
      </c>
      <c r="S89">
        <v>26</v>
      </c>
    </row>
    <row r="90" spans="1:19" x14ac:dyDescent="0.3">
      <c r="A90">
        <v>89</v>
      </c>
      <c r="B90" t="s">
        <v>297</v>
      </c>
      <c r="C90" t="s">
        <v>26</v>
      </c>
      <c r="D90">
        <v>380</v>
      </c>
      <c r="E90">
        <v>20</v>
      </c>
      <c r="F90">
        <v>2186</v>
      </c>
      <c r="G90">
        <v>0.61611374407582931</v>
      </c>
      <c r="H90">
        <v>6.5592417061611377</v>
      </c>
      <c r="I90">
        <v>69.952606635071078</v>
      </c>
      <c r="J90">
        <v>1500</v>
      </c>
      <c r="K90" s="13">
        <v>51.220756533185003</v>
      </c>
      <c r="L90" s="13">
        <v>2.9579922525799001</v>
      </c>
      <c r="M90">
        <v>50.918355891912199</v>
      </c>
      <c r="N90">
        <v>3.2106091208481602</v>
      </c>
      <c r="O90">
        <v>3.0805687203791468E-2</v>
      </c>
      <c r="P90">
        <v>0.32796208530805687</v>
      </c>
      <c r="Q90">
        <v>3.497630331753554</v>
      </c>
      <c r="R90">
        <v>73397</v>
      </c>
      <c r="S90">
        <v>26</v>
      </c>
    </row>
    <row r="91" spans="1:19" x14ac:dyDescent="0.3">
      <c r="A91">
        <v>90</v>
      </c>
      <c r="B91" t="s">
        <v>24</v>
      </c>
      <c r="C91" t="s">
        <v>29</v>
      </c>
      <c r="D91">
        <v>380</v>
      </c>
      <c r="E91">
        <v>84.8</v>
      </c>
      <c r="F91">
        <v>2186</v>
      </c>
      <c r="G91">
        <v>2.6123222748815165</v>
      </c>
      <c r="H91">
        <v>27.811184834123221</v>
      </c>
      <c r="I91">
        <v>296.59905213270139</v>
      </c>
      <c r="J91">
        <v>1500</v>
      </c>
      <c r="K91">
        <v>50.774131414375503</v>
      </c>
      <c r="L91">
        <v>3.4453157895245101</v>
      </c>
      <c r="M91">
        <v>50.463139149417799</v>
      </c>
      <c r="N91">
        <v>4.33050328782722</v>
      </c>
      <c r="O91">
        <v>3.0805687203791468E-2</v>
      </c>
      <c r="P91">
        <v>0.32796208530805687</v>
      </c>
      <c r="Q91">
        <v>3.497630331753554</v>
      </c>
      <c r="R91">
        <v>73397</v>
      </c>
      <c r="S91">
        <v>26</v>
      </c>
    </row>
    <row r="92" spans="1:19" x14ac:dyDescent="0.3">
      <c r="A92">
        <v>91</v>
      </c>
      <c r="B92" t="s">
        <v>24</v>
      </c>
      <c r="C92" t="s">
        <v>29</v>
      </c>
      <c r="D92">
        <v>380</v>
      </c>
      <c r="E92">
        <v>84.8</v>
      </c>
      <c r="F92">
        <v>2186</v>
      </c>
      <c r="G92">
        <v>2.6123222748815165</v>
      </c>
      <c r="H92">
        <v>27.811184834123221</v>
      </c>
      <c r="I92">
        <v>296.59905213270139</v>
      </c>
      <c r="J92">
        <v>1500</v>
      </c>
      <c r="K92">
        <v>50.774131414375503</v>
      </c>
      <c r="L92">
        <v>3.4453157895245101</v>
      </c>
      <c r="M92">
        <v>50.463139149417799</v>
      </c>
      <c r="N92">
        <v>4.33050328782722</v>
      </c>
      <c r="O92">
        <v>3.0805687203791468E-2</v>
      </c>
      <c r="P92">
        <v>0.32796208530805687</v>
      </c>
      <c r="Q92">
        <v>3.497630331753554</v>
      </c>
      <c r="R92">
        <v>73397</v>
      </c>
      <c r="S92">
        <v>26</v>
      </c>
    </row>
    <row r="93" spans="1:19" x14ac:dyDescent="0.3">
      <c r="A93">
        <v>92</v>
      </c>
      <c r="B93" t="s">
        <v>24</v>
      </c>
      <c r="C93" t="s">
        <v>29</v>
      </c>
      <c r="D93">
        <v>380</v>
      </c>
      <c r="E93">
        <v>84.8</v>
      </c>
      <c r="F93">
        <v>2186</v>
      </c>
      <c r="G93">
        <v>2.6123222748815165</v>
      </c>
      <c r="H93">
        <v>27.811184834123221</v>
      </c>
      <c r="I93">
        <v>296.59905213270139</v>
      </c>
      <c r="J93">
        <v>1500</v>
      </c>
      <c r="K93">
        <v>50.774131414375503</v>
      </c>
      <c r="L93">
        <v>3.4453157895245101</v>
      </c>
      <c r="M93">
        <v>50.463139149417799</v>
      </c>
      <c r="N93">
        <v>4.33050328782722</v>
      </c>
      <c r="O93">
        <v>3.0805687203791468E-2</v>
      </c>
      <c r="P93">
        <v>0.32796208530805687</v>
      </c>
      <c r="Q93">
        <v>3.497630331753554</v>
      </c>
      <c r="R93">
        <v>73397</v>
      </c>
      <c r="S93">
        <v>26</v>
      </c>
    </row>
    <row r="94" spans="1:19" x14ac:dyDescent="0.3">
      <c r="A94">
        <v>93</v>
      </c>
      <c r="B94" t="s">
        <v>24</v>
      </c>
      <c r="C94" t="s">
        <v>29</v>
      </c>
      <c r="D94">
        <v>380</v>
      </c>
      <c r="E94">
        <v>84.8</v>
      </c>
      <c r="F94">
        <v>2186</v>
      </c>
      <c r="G94">
        <v>2.6123222748815165</v>
      </c>
      <c r="H94">
        <v>27.811184834123221</v>
      </c>
      <c r="I94">
        <v>296.59905213270139</v>
      </c>
      <c r="J94">
        <v>1500</v>
      </c>
      <c r="K94">
        <v>50.774131414375503</v>
      </c>
      <c r="L94">
        <v>3.4453157895245101</v>
      </c>
      <c r="M94">
        <v>50.463139149417799</v>
      </c>
      <c r="N94">
        <v>4.33050328782722</v>
      </c>
      <c r="O94">
        <v>3.0805687203791468E-2</v>
      </c>
      <c r="P94">
        <v>0.32796208530805687</v>
      </c>
      <c r="Q94">
        <v>3.497630331753554</v>
      </c>
      <c r="R94">
        <v>73397</v>
      </c>
      <c r="S94">
        <v>26</v>
      </c>
    </row>
  </sheetData>
  <autoFilter ref="A1:S1" xr:uid="{4925C56F-DDE7-4E1F-A4B2-2C761475F82C}">
    <sortState ref="A2:S94">
      <sortCondition ref="A1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2E3F9-A401-42FF-808A-5768FC129B06}">
  <dimension ref="A1:N77"/>
  <sheetViews>
    <sheetView zoomScale="85" zoomScaleNormal="85" workbookViewId="0">
      <selection activeCell="N1" sqref="N1:N1048576"/>
    </sheetView>
  </sheetViews>
  <sheetFormatPr baseColWidth="10" defaultRowHeight="14.4" x14ac:dyDescent="0.3"/>
  <cols>
    <col min="1" max="1" width="12.77734375" style="14" bestFit="1" customWidth="1"/>
    <col min="2" max="2" width="26.77734375" style="14" bestFit="1" customWidth="1"/>
    <col min="3" max="3" width="8.44140625" style="14" bestFit="1" customWidth="1"/>
    <col min="4" max="4" width="12.21875" style="14" bestFit="1" customWidth="1"/>
    <col min="5" max="5" width="12.77734375" style="14" bestFit="1" customWidth="1"/>
    <col min="6" max="6" width="13.33203125" style="14" bestFit="1" customWidth="1"/>
    <col min="7" max="7" width="10" style="14" bestFit="1" customWidth="1"/>
    <col min="8" max="8" width="11.5546875" style="14"/>
    <col min="9" max="9" width="15.109375" style="14" bestFit="1" customWidth="1"/>
    <col min="10" max="10" width="23.21875" style="14" bestFit="1" customWidth="1"/>
    <col min="11" max="11" width="31.6640625" style="14" bestFit="1" customWidth="1"/>
    <col min="12" max="12" width="17.88671875" style="14" bestFit="1" customWidth="1"/>
    <col min="13" max="13" width="8.33203125" style="14" bestFit="1" customWidth="1"/>
    <col min="14" max="14" width="8.44140625" style="14" bestFit="1" customWidth="1"/>
    <col min="15" max="16384" width="11.5546875" style="14"/>
  </cols>
  <sheetData>
    <row r="1" spans="1:14" x14ac:dyDescent="0.3">
      <c r="A1" s="18" t="s">
        <v>0</v>
      </c>
      <c r="B1" s="18" t="s">
        <v>4</v>
      </c>
      <c r="C1" s="19" t="s">
        <v>1</v>
      </c>
      <c r="D1" s="19" t="s">
        <v>303</v>
      </c>
      <c r="E1" s="18" t="s">
        <v>2</v>
      </c>
      <c r="F1" s="18" t="s">
        <v>3</v>
      </c>
      <c r="G1" s="18" t="s">
        <v>212</v>
      </c>
      <c r="H1" s="18" t="s">
        <v>238</v>
      </c>
      <c r="I1" s="18" t="s">
        <v>236</v>
      </c>
      <c r="J1" s="18" t="s">
        <v>265</v>
      </c>
      <c r="K1" s="18" t="s">
        <v>235</v>
      </c>
      <c r="L1" s="18" t="s">
        <v>300</v>
      </c>
      <c r="M1" s="18" t="s">
        <v>5</v>
      </c>
      <c r="N1" s="18" t="s">
        <v>6</v>
      </c>
    </row>
    <row r="2" spans="1:14" s="15" customFormat="1" x14ac:dyDescent="0.3">
      <c r="A2" s="15">
        <v>1</v>
      </c>
      <c r="B2" s="15" t="s">
        <v>42</v>
      </c>
      <c r="C2" s="15" t="s">
        <v>164</v>
      </c>
      <c r="D2" s="15">
        <v>0</v>
      </c>
      <c r="E2" s="15">
        <v>18</v>
      </c>
      <c r="F2" s="15" t="s">
        <v>115</v>
      </c>
      <c r="G2" s="15" t="s">
        <v>213</v>
      </c>
      <c r="H2" s="15">
        <v>0.26</v>
      </c>
      <c r="I2" s="15">
        <v>4</v>
      </c>
      <c r="J2" s="15">
        <v>70.668800000000005</v>
      </c>
      <c r="K2" s="15">
        <v>0.26650000000000001</v>
      </c>
      <c r="L2" s="15" t="s">
        <v>301</v>
      </c>
      <c r="M2" s="15">
        <v>1197</v>
      </c>
      <c r="N2" s="15">
        <v>130</v>
      </c>
    </row>
    <row r="3" spans="1:14" s="15" customFormat="1" x14ac:dyDescent="0.3">
      <c r="A3" s="15">
        <v>2</v>
      </c>
      <c r="B3" s="15" t="s">
        <v>43</v>
      </c>
      <c r="C3" s="15" t="s">
        <v>113</v>
      </c>
      <c r="D3" s="15">
        <v>0</v>
      </c>
      <c r="E3" s="15">
        <v>289</v>
      </c>
      <c r="F3" s="15" t="s">
        <v>219</v>
      </c>
      <c r="G3" s="15" t="s">
        <v>218</v>
      </c>
      <c r="H3" s="15">
        <v>0.57999999999999996</v>
      </c>
      <c r="I3" s="15">
        <v>2.4</v>
      </c>
      <c r="J3" s="15">
        <v>26.95</v>
      </c>
      <c r="K3" s="15">
        <v>0.20080000000000001</v>
      </c>
      <c r="L3" s="15" t="s">
        <v>301</v>
      </c>
      <c r="M3" s="15">
        <v>1890</v>
      </c>
      <c r="N3" s="15">
        <v>110</v>
      </c>
    </row>
    <row r="4" spans="1:14" s="15" customFormat="1" x14ac:dyDescent="0.3">
      <c r="A4" s="15">
        <v>3</v>
      </c>
      <c r="B4" s="15" t="s">
        <v>44</v>
      </c>
      <c r="C4" s="15" t="s">
        <v>113</v>
      </c>
      <c r="D4" s="15">
        <v>0</v>
      </c>
      <c r="E4" s="15">
        <v>162</v>
      </c>
      <c r="F4" s="15" t="s">
        <v>220</v>
      </c>
      <c r="G4" s="15" t="s">
        <v>218</v>
      </c>
      <c r="H4" s="15">
        <v>0.57999999999999996</v>
      </c>
      <c r="I4" s="15">
        <v>2.4</v>
      </c>
      <c r="J4" s="15">
        <v>26.95</v>
      </c>
      <c r="K4" s="15">
        <v>0.20080000000000001</v>
      </c>
      <c r="L4" s="15" t="s">
        <v>301</v>
      </c>
      <c r="M4" s="15">
        <v>1890</v>
      </c>
      <c r="N4" s="15">
        <v>110</v>
      </c>
    </row>
    <row r="5" spans="1:14" s="15" customFormat="1" x14ac:dyDescent="0.3">
      <c r="A5" s="15">
        <v>4</v>
      </c>
      <c r="B5" s="15" t="s">
        <v>49</v>
      </c>
      <c r="C5" s="15" t="s">
        <v>36</v>
      </c>
      <c r="D5" s="15">
        <v>0</v>
      </c>
      <c r="E5" s="15">
        <v>32</v>
      </c>
      <c r="F5" s="15" t="s">
        <v>115</v>
      </c>
      <c r="G5" s="15" t="s">
        <v>213</v>
      </c>
      <c r="H5" s="15">
        <v>0.26</v>
      </c>
      <c r="I5" s="15">
        <v>4</v>
      </c>
      <c r="J5" s="15">
        <v>70.668800000000005</v>
      </c>
      <c r="K5" s="15">
        <v>0.26650000000000001</v>
      </c>
      <c r="L5" s="15" t="s">
        <v>301</v>
      </c>
      <c r="M5" s="15">
        <v>1197</v>
      </c>
      <c r="N5" s="15">
        <v>130</v>
      </c>
    </row>
    <row r="6" spans="1:14" s="15" customFormat="1" x14ac:dyDescent="0.3">
      <c r="A6" s="15">
        <v>5</v>
      </c>
      <c r="B6" s="15" t="s">
        <v>50</v>
      </c>
      <c r="C6" s="15" t="s">
        <v>31</v>
      </c>
      <c r="D6" s="15">
        <v>0</v>
      </c>
      <c r="E6" s="15">
        <v>21</v>
      </c>
      <c r="F6" s="15" t="s">
        <v>118</v>
      </c>
      <c r="G6" s="15" t="s">
        <v>214</v>
      </c>
      <c r="H6" s="15">
        <v>0.36</v>
      </c>
      <c r="I6" s="15">
        <v>3.6</v>
      </c>
      <c r="J6" s="15">
        <v>26.64</v>
      </c>
      <c r="K6" s="15">
        <v>2.664E-2</v>
      </c>
      <c r="L6" s="15" t="s">
        <v>302</v>
      </c>
      <c r="M6" s="15">
        <v>1623</v>
      </c>
      <c r="N6" s="15">
        <v>111</v>
      </c>
    </row>
    <row r="7" spans="1:14" s="15" customFormat="1" x14ac:dyDescent="0.3">
      <c r="A7" s="15">
        <v>6</v>
      </c>
      <c r="B7" s="15" t="s">
        <v>67</v>
      </c>
      <c r="C7" s="15" t="s">
        <v>114</v>
      </c>
      <c r="D7" s="15">
        <v>0</v>
      </c>
      <c r="E7" s="15">
        <v>24</v>
      </c>
      <c r="F7" s="15" t="s">
        <v>118</v>
      </c>
      <c r="G7" s="15" t="s">
        <v>214</v>
      </c>
      <c r="H7" s="15">
        <v>0.36</v>
      </c>
      <c r="I7" s="15">
        <v>3.6</v>
      </c>
      <c r="J7" s="15">
        <v>26.64</v>
      </c>
      <c r="K7" s="15">
        <v>2.664E-2</v>
      </c>
      <c r="L7" s="15" t="s">
        <v>302</v>
      </c>
      <c r="M7" s="15">
        <v>1623</v>
      </c>
      <c r="N7" s="15">
        <v>111</v>
      </c>
    </row>
    <row r="8" spans="1:14" s="15" customFormat="1" x14ac:dyDescent="0.3">
      <c r="A8" s="15">
        <v>7</v>
      </c>
      <c r="B8" s="15" t="s">
        <v>51</v>
      </c>
      <c r="C8" s="15" t="s">
        <v>31</v>
      </c>
      <c r="D8" s="15">
        <v>0</v>
      </c>
      <c r="E8" s="15">
        <v>25.1</v>
      </c>
      <c r="F8" s="15" t="s">
        <v>223</v>
      </c>
      <c r="G8" s="15" t="s">
        <v>218</v>
      </c>
      <c r="H8" s="15">
        <v>0.41</v>
      </c>
      <c r="I8" s="15">
        <v>13.2</v>
      </c>
      <c r="J8" s="15">
        <v>26.95</v>
      </c>
      <c r="K8" s="15">
        <v>0.20080000000000001</v>
      </c>
      <c r="L8" s="15" t="s">
        <v>301</v>
      </c>
      <c r="M8" s="15">
        <v>1623</v>
      </c>
      <c r="N8" s="15">
        <v>111</v>
      </c>
    </row>
    <row r="9" spans="1:14" s="15" customFormat="1" x14ac:dyDescent="0.3">
      <c r="A9" s="15">
        <v>8</v>
      </c>
      <c r="B9" s="15" t="s">
        <v>52</v>
      </c>
      <c r="C9" s="15" t="s">
        <v>31</v>
      </c>
      <c r="D9" s="15">
        <v>0</v>
      </c>
      <c r="E9" s="15">
        <v>41</v>
      </c>
      <c r="F9" s="15" t="s">
        <v>118</v>
      </c>
      <c r="G9" s="15" t="s">
        <v>214</v>
      </c>
      <c r="H9" s="15">
        <v>0.36</v>
      </c>
      <c r="I9" s="15">
        <v>3.6</v>
      </c>
      <c r="J9" s="15">
        <v>26.64</v>
      </c>
      <c r="K9" s="15">
        <v>2.664E-2</v>
      </c>
      <c r="L9" s="15" t="s">
        <v>302</v>
      </c>
      <c r="M9" s="15">
        <v>1623</v>
      </c>
      <c r="N9" s="15">
        <v>111</v>
      </c>
    </row>
    <row r="10" spans="1:14" s="15" customFormat="1" x14ac:dyDescent="0.3">
      <c r="A10" s="15">
        <v>9</v>
      </c>
      <c r="B10" s="15" t="s">
        <v>108</v>
      </c>
      <c r="C10" s="15" t="s">
        <v>34</v>
      </c>
      <c r="D10" s="15">
        <v>0</v>
      </c>
      <c r="E10" s="15">
        <v>18</v>
      </c>
      <c r="F10" s="15" t="s">
        <v>118</v>
      </c>
      <c r="G10" s="15" t="s">
        <v>215</v>
      </c>
      <c r="H10" s="15">
        <v>0.36</v>
      </c>
      <c r="I10" s="15">
        <v>3.6</v>
      </c>
      <c r="J10" s="15">
        <v>26.64</v>
      </c>
      <c r="K10" s="15">
        <v>1.18E-2</v>
      </c>
      <c r="L10" s="15" t="s">
        <v>302</v>
      </c>
      <c r="M10" s="15">
        <v>1623</v>
      </c>
      <c r="N10" s="15">
        <v>111</v>
      </c>
    </row>
    <row r="11" spans="1:14" s="15" customFormat="1" x14ac:dyDescent="0.3">
      <c r="A11" s="15">
        <v>10</v>
      </c>
      <c r="B11" s="15" t="s">
        <v>53</v>
      </c>
      <c r="C11" s="15" t="s">
        <v>34</v>
      </c>
      <c r="D11" s="15">
        <v>0</v>
      </c>
      <c r="E11" s="15">
        <v>19.399999999999999</v>
      </c>
      <c r="F11" s="15" t="s">
        <v>118</v>
      </c>
      <c r="G11" s="15" t="s">
        <v>214</v>
      </c>
      <c r="H11" s="15">
        <v>0.36</v>
      </c>
      <c r="I11" s="15">
        <v>3.6</v>
      </c>
      <c r="J11" s="15">
        <v>26.64</v>
      </c>
      <c r="K11" s="15">
        <v>2.664E-2</v>
      </c>
      <c r="L11" s="15" t="s">
        <v>302</v>
      </c>
      <c r="M11" s="15">
        <v>1623</v>
      </c>
      <c r="N11" s="15">
        <v>111</v>
      </c>
    </row>
    <row r="12" spans="1:14" s="15" customFormat="1" x14ac:dyDescent="0.3">
      <c r="A12" s="15">
        <v>11</v>
      </c>
      <c r="B12" s="15" t="s">
        <v>109</v>
      </c>
      <c r="C12" s="15" t="s">
        <v>31</v>
      </c>
      <c r="D12" s="15">
        <v>0</v>
      </c>
      <c r="E12" s="15">
        <v>32</v>
      </c>
      <c r="F12" s="15" t="s">
        <v>222</v>
      </c>
      <c r="G12" s="15" t="s">
        <v>218</v>
      </c>
      <c r="H12" s="15">
        <v>0.45</v>
      </c>
      <c r="I12" s="15">
        <v>2.4</v>
      </c>
      <c r="J12" s="15">
        <v>26.95</v>
      </c>
      <c r="K12" s="15">
        <v>0.20080000000000001</v>
      </c>
      <c r="L12" s="15" t="s">
        <v>301</v>
      </c>
      <c r="M12" s="15">
        <v>1623</v>
      </c>
      <c r="N12" s="15">
        <v>111</v>
      </c>
    </row>
    <row r="13" spans="1:14" s="15" customFormat="1" x14ac:dyDescent="0.3">
      <c r="A13" s="15">
        <v>12</v>
      </c>
      <c r="B13" s="15" t="s">
        <v>54</v>
      </c>
      <c r="C13" s="15" t="s">
        <v>23</v>
      </c>
      <c r="D13" s="15">
        <v>0</v>
      </c>
      <c r="E13" s="15">
        <v>18</v>
      </c>
      <c r="F13" s="15" t="s">
        <v>115</v>
      </c>
      <c r="G13" s="15" t="s">
        <v>213</v>
      </c>
      <c r="H13" s="15">
        <v>0.26</v>
      </c>
      <c r="I13" s="15">
        <v>4</v>
      </c>
      <c r="J13" s="15">
        <v>70.668800000000005</v>
      </c>
      <c r="K13" s="15">
        <v>0.26650000000000001</v>
      </c>
      <c r="L13" s="15" t="s">
        <v>301</v>
      </c>
      <c r="M13" s="15">
        <v>1197</v>
      </c>
      <c r="N13" s="15">
        <v>130</v>
      </c>
    </row>
    <row r="14" spans="1:14" s="15" customFormat="1" x14ac:dyDescent="0.3">
      <c r="A14" s="15">
        <v>13</v>
      </c>
      <c r="B14" s="15" t="s">
        <v>234</v>
      </c>
      <c r="C14" s="15" t="s">
        <v>114</v>
      </c>
      <c r="D14" s="15">
        <v>0</v>
      </c>
      <c r="E14" s="15">
        <v>1039</v>
      </c>
      <c r="F14" s="15" t="s">
        <v>232</v>
      </c>
      <c r="G14" s="15" t="s">
        <v>233</v>
      </c>
      <c r="H14" s="15">
        <v>0.33</v>
      </c>
      <c r="I14" s="15">
        <v>10.8</v>
      </c>
      <c r="J14" s="15">
        <v>1.87</v>
      </c>
      <c r="K14" s="15">
        <v>3.8999999999999998E-3</v>
      </c>
      <c r="L14" s="15" t="s">
        <v>301</v>
      </c>
      <c r="M14" s="15">
        <v>4776</v>
      </c>
      <c r="N14" s="15">
        <v>199</v>
      </c>
    </row>
    <row r="15" spans="1:14" s="15" customFormat="1" x14ac:dyDescent="0.3">
      <c r="A15" s="15">
        <v>14</v>
      </c>
      <c r="B15" s="15" t="s">
        <v>55</v>
      </c>
      <c r="C15" s="15" t="s">
        <v>28</v>
      </c>
      <c r="D15" s="15">
        <v>0</v>
      </c>
      <c r="E15" s="15">
        <v>150</v>
      </c>
      <c r="F15" s="15" t="s">
        <v>219</v>
      </c>
      <c r="G15" s="15" t="s">
        <v>218</v>
      </c>
      <c r="H15" s="15">
        <v>0.52</v>
      </c>
      <c r="I15" s="15">
        <v>2.4</v>
      </c>
      <c r="J15" s="15">
        <v>26.95</v>
      </c>
      <c r="K15" s="15">
        <v>0.20080000000000001</v>
      </c>
      <c r="L15" s="15" t="s">
        <v>301</v>
      </c>
      <c r="M15" s="15">
        <v>1890</v>
      </c>
      <c r="N15" s="15">
        <v>110</v>
      </c>
    </row>
    <row r="16" spans="1:14" s="15" customFormat="1" x14ac:dyDescent="0.3">
      <c r="A16" s="15">
        <v>15</v>
      </c>
      <c r="B16" s="15" t="s">
        <v>56</v>
      </c>
      <c r="C16" s="15" t="s">
        <v>28</v>
      </c>
      <c r="D16" s="15">
        <v>0</v>
      </c>
      <c r="E16" s="15">
        <v>150</v>
      </c>
      <c r="F16" s="15" t="s">
        <v>219</v>
      </c>
      <c r="G16" s="15" t="s">
        <v>218</v>
      </c>
      <c r="H16" s="15">
        <v>0.52</v>
      </c>
      <c r="I16" s="15">
        <v>2.4</v>
      </c>
      <c r="J16" s="15">
        <v>26.95</v>
      </c>
      <c r="K16" s="15">
        <v>0.20080000000000001</v>
      </c>
      <c r="L16" s="15" t="s">
        <v>301</v>
      </c>
      <c r="M16" s="15">
        <v>1890</v>
      </c>
      <c r="N16" s="15">
        <v>110</v>
      </c>
    </row>
    <row r="17" spans="1:14" s="15" customFormat="1" x14ac:dyDescent="0.3">
      <c r="A17" s="15">
        <v>16</v>
      </c>
      <c r="B17" s="15" t="s">
        <v>57</v>
      </c>
      <c r="C17" s="15" t="s">
        <v>28</v>
      </c>
      <c r="D17" s="15">
        <v>0</v>
      </c>
      <c r="E17" s="15">
        <v>160</v>
      </c>
      <c r="F17" s="15" t="s">
        <v>220</v>
      </c>
      <c r="G17" s="15" t="s">
        <v>218</v>
      </c>
      <c r="H17" s="15">
        <v>0.52</v>
      </c>
      <c r="I17" s="15">
        <v>2.4</v>
      </c>
      <c r="J17" s="15">
        <v>26.95</v>
      </c>
      <c r="K17" s="15">
        <v>0.20080000000000001</v>
      </c>
      <c r="L17" s="15" t="s">
        <v>301</v>
      </c>
      <c r="M17" s="15">
        <v>1890</v>
      </c>
      <c r="N17" s="15">
        <v>110</v>
      </c>
    </row>
    <row r="18" spans="1:14" s="15" customFormat="1" x14ac:dyDescent="0.3">
      <c r="A18" s="15">
        <v>17</v>
      </c>
      <c r="B18" s="15" t="s">
        <v>47</v>
      </c>
      <c r="C18" s="15" t="s">
        <v>172</v>
      </c>
      <c r="D18" s="15">
        <v>0</v>
      </c>
      <c r="E18" s="15">
        <v>25</v>
      </c>
      <c r="F18" s="15" t="s">
        <v>221</v>
      </c>
      <c r="G18" s="15" t="s">
        <v>218</v>
      </c>
      <c r="H18" s="15">
        <v>0.3</v>
      </c>
      <c r="I18" s="15">
        <v>13.2</v>
      </c>
      <c r="J18" s="15">
        <v>26.95</v>
      </c>
      <c r="K18" s="15">
        <v>0.20080000000000001</v>
      </c>
      <c r="L18" s="15" t="s">
        <v>301</v>
      </c>
      <c r="M18" s="15">
        <v>2474</v>
      </c>
      <c r="N18" s="15">
        <v>221</v>
      </c>
    </row>
    <row r="19" spans="1:14" s="15" customFormat="1" x14ac:dyDescent="0.3">
      <c r="A19" s="15">
        <v>18</v>
      </c>
      <c r="B19" s="15" t="s">
        <v>48</v>
      </c>
      <c r="C19" s="15" t="s">
        <v>172</v>
      </c>
      <c r="D19" s="15">
        <v>0</v>
      </c>
      <c r="E19" s="15">
        <v>25</v>
      </c>
      <c r="F19" s="15" t="s">
        <v>221</v>
      </c>
      <c r="G19" s="15" t="s">
        <v>218</v>
      </c>
      <c r="H19" s="15">
        <v>0.3</v>
      </c>
      <c r="I19" s="15">
        <v>13.2</v>
      </c>
      <c r="J19" s="15">
        <v>26.95</v>
      </c>
      <c r="K19" s="15">
        <v>0.20080000000000001</v>
      </c>
      <c r="L19" s="15" t="s">
        <v>301</v>
      </c>
      <c r="M19" s="15">
        <v>2474</v>
      </c>
      <c r="N19" s="15">
        <v>221</v>
      </c>
    </row>
    <row r="20" spans="1:14" s="15" customFormat="1" x14ac:dyDescent="0.3">
      <c r="A20" s="15">
        <v>19</v>
      </c>
      <c r="B20" s="15" t="s">
        <v>45</v>
      </c>
      <c r="C20" s="15" t="s">
        <v>172</v>
      </c>
      <c r="D20" s="15">
        <v>0</v>
      </c>
      <c r="E20" s="15">
        <v>64</v>
      </c>
      <c r="F20" s="15" t="s">
        <v>221</v>
      </c>
      <c r="G20" s="15" t="s">
        <v>218</v>
      </c>
      <c r="H20" s="15">
        <v>0.42</v>
      </c>
      <c r="I20" s="15">
        <v>13.2</v>
      </c>
      <c r="J20" s="15">
        <v>26.95</v>
      </c>
      <c r="K20" s="15">
        <v>0.20080000000000001</v>
      </c>
      <c r="L20" s="15" t="s">
        <v>301</v>
      </c>
      <c r="M20" s="15">
        <v>2474</v>
      </c>
      <c r="N20" s="15">
        <v>221</v>
      </c>
    </row>
    <row r="21" spans="1:14" s="15" customFormat="1" x14ac:dyDescent="0.3">
      <c r="A21" s="15">
        <v>20</v>
      </c>
      <c r="B21" s="15" t="s">
        <v>46</v>
      </c>
      <c r="C21" s="15" t="s">
        <v>172</v>
      </c>
      <c r="D21" s="15">
        <v>0</v>
      </c>
      <c r="E21" s="15">
        <v>64</v>
      </c>
      <c r="F21" s="15" t="s">
        <v>221</v>
      </c>
      <c r="G21" s="15" t="s">
        <v>218</v>
      </c>
      <c r="H21" s="15">
        <v>0.42</v>
      </c>
      <c r="I21" s="15">
        <v>13.2</v>
      </c>
      <c r="J21" s="15">
        <v>26.95</v>
      </c>
      <c r="K21" s="15">
        <v>0.20080000000000001</v>
      </c>
      <c r="L21" s="15" t="s">
        <v>301</v>
      </c>
      <c r="M21" s="15">
        <v>2474</v>
      </c>
      <c r="N21" s="15">
        <v>221</v>
      </c>
    </row>
    <row r="22" spans="1:14" s="15" customFormat="1" x14ac:dyDescent="0.3">
      <c r="A22" s="15">
        <v>21</v>
      </c>
      <c r="B22" s="15" t="s">
        <v>60</v>
      </c>
      <c r="C22" s="15" t="s">
        <v>167</v>
      </c>
      <c r="D22" s="15">
        <v>0</v>
      </c>
      <c r="E22" s="15">
        <v>58</v>
      </c>
      <c r="F22" s="15" t="s">
        <v>221</v>
      </c>
      <c r="G22" s="15" t="s">
        <v>218</v>
      </c>
      <c r="H22" s="15">
        <v>0.42</v>
      </c>
      <c r="I22" s="15">
        <v>13.2</v>
      </c>
      <c r="J22" s="15">
        <v>26.95</v>
      </c>
      <c r="K22" s="15">
        <v>0.20080000000000001</v>
      </c>
      <c r="L22" s="15" t="s">
        <v>301</v>
      </c>
      <c r="M22" s="15">
        <v>2474</v>
      </c>
      <c r="N22" s="15">
        <v>221</v>
      </c>
    </row>
    <row r="23" spans="1:14" s="15" customFormat="1" x14ac:dyDescent="0.3">
      <c r="A23" s="15">
        <v>22</v>
      </c>
      <c r="B23" s="15" t="s">
        <v>61</v>
      </c>
      <c r="C23" s="15" t="s">
        <v>167</v>
      </c>
      <c r="D23" s="15">
        <v>0</v>
      </c>
      <c r="E23" s="15">
        <v>58</v>
      </c>
      <c r="F23" s="15" t="s">
        <v>221</v>
      </c>
      <c r="G23" s="15" t="s">
        <v>218</v>
      </c>
      <c r="H23" s="15">
        <v>0.42</v>
      </c>
      <c r="I23" s="15">
        <v>13.2</v>
      </c>
      <c r="J23" s="15">
        <v>26.95</v>
      </c>
      <c r="K23" s="15">
        <v>0.20080000000000001</v>
      </c>
      <c r="L23" s="15" t="s">
        <v>301</v>
      </c>
      <c r="M23" s="15">
        <v>2474</v>
      </c>
      <c r="N23" s="15">
        <v>221</v>
      </c>
    </row>
    <row r="24" spans="1:14" s="15" customFormat="1" x14ac:dyDescent="0.3">
      <c r="A24" s="15">
        <v>23</v>
      </c>
      <c r="B24" s="15" t="s">
        <v>62</v>
      </c>
      <c r="C24" s="15" t="s">
        <v>167</v>
      </c>
      <c r="D24" s="15">
        <v>0</v>
      </c>
      <c r="E24" s="15">
        <v>39</v>
      </c>
      <c r="F24" s="15" t="s">
        <v>116</v>
      </c>
      <c r="G24" s="15" t="s">
        <v>218</v>
      </c>
      <c r="H24" s="15">
        <v>0.45</v>
      </c>
      <c r="I24" s="15">
        <v>2.4</v>
      </c>
      <c r="J24" s="15">
        <v>26.95</v>
      </c>
      <c r="K24" s="15">
        <v>0.20080000000000001</v>
      </c>
      <c r="L24" s="15" t="s">
        <v>301</v>
      </c>
      <c r="M24" s="15">
        <v>1890</v>
      </c>
      <c r="N24" s="15">
        <v>110</v>
      </c>
    </row>
    <row r="25" spans="1:14" s="15" customFormat="1" x14ac:dyDescent="0.3">
      <c r="A25" s="15">
        <v>24</v>
      </c>
      <c r="B25" s="15" t="s">
        <v>85</v>
      </c>
      <c r="C25" s="15" t="s">
        <v>167</v>
      </c>
      <c r="D25" s="15">
        <v>0</v>
      </c>
      <c r="E25" s="15">
        <v>385</v>
      </c>
      <c r="F25" s="15" t="s">
        <v>116</v>
      </c>
      <c r="G25" s="15" t="s">
        <v>218</v>
      </c>
      <c r="H25" s="15">
        <v>0.55000000000000004</v>
      </c>
      <c r="I25" s="15">
        <v>2.4</v>
      </c>
      <c r="J25" s="15">
        <v>26.95</v>
      </c>
      <c r="K25" s="15">
        <v>0.20080000000000001</v>
      </c>
      <c r="L25" s="15" t="s">
        <v>301</v>
      </c>
      <c r="M25" s="15">
        <v>1890</v>
      </c>
      <c r="N25" s="15">
        <v>110</v>
      </c>
    </row>
    <row r="26" spans="1:14" s="15" customFormat="1" x14ac:dyDescent="0.3">
      <c r="A26" s="15">
        <v>25</v>
      </c>
      <c r="B26" s="15" t="s">
        <v>88</v>
      </c>
      <c r="C26" s="15" t="s">
        <v>172</v>
      </c>
      <c r="D26" s="15">
        <v>0</v>
      </c>
      <c r="E26" s="15">
        <v>150</v>
      </c>
      <c r="F26" s="15" t="s">
        <v>219</v>
      </c>
      <c r="G26" s="15" t="s">
        <v>218</v>
      </c>
      <c r="H26" s="15">
        <v>0.52</v>
      </c>
      <c r="I26" s="15">
        <v>2.4</v>
      </c>
      <c r="J26" s="15">
        <v>26.95</v>
      </c>
      <c r="K26" s="15">
        <v>0.20080000000000001</v>
      </c>
      <c r="L26" s="15" t="s">
        <v>301</v>
      </c>
      <c r="M26" s="15">
        <v>1890</v>
      </c>
      <c r="N26" s="15">
        <v>110</v>
      </c>
    </row>
    <row r="27" spans="1:14" s="15" customFormat="1" x14ac:dyDescent="0.3">
      <c r="A27" s="15">
        <v>26</v>
      </c>
      <c r="B27" s="15" t="s">
        <v>89</v>
      </c>
      <c r="C27" s="15" t="s">
        <v>172</v>
      </c>
      <c r="D27" s="15">
        <v>0</v>
      </c>
      <c r="E27" s="15">
        <v>150</v>
      </c>
      <c r="F27" s="15" t="s">
        <v>219</v>
      </c>
      <c r="G27" s="15" t="s">
        <v>218</v>
      </c>
      <c r="H27" s="15">
        <v>0.52</v>
      </c>
      <c r="I27" s="15">
        <v>2.4</v>
      </c>
      <c r="J27" s="15">
        <v>26.95</v>
      </c>
      <c r="K27" s="15">
        <v>0.20080000000000001</v>
      </c>
      <c r="L27" s="15" t="s">
        <v>301</v>
      </c>
      <c r="M27" s="15">
        <v>1890</v>
      </c>
      <c r="N27" s="15">
        <v>110</v>
      </c>
    </row>
    <row r="28" spans="1:14" s="15" customFormat="1" x14ac:dyDescent="0.3">
      <c r="A28" s="15">
        <v>27</v>
      </c>
      <c r="B28" s="15" t="s">
        <v>229</v>
      </c>
      <c r="C28" s="15" t="s">
        <v>172</v>
      </c>
      <c r="D28" s="15">
        <v>0</v>
      </c>
      <c r="E28" s="15">
        <v>885</v>
      </c>
      <c r="F28" s="15" t="s">
        <v>116</v>
      </c>
      <c r="G28" s="15" t="s">
        <v>218</v>
      </c>
      <c r="H28" s="15">
        <v>0.61</v>
      </c>
      <c r="I28" s="15">
        <v>2.4</v>
      </c>
      <c r="J28" s="15">
        <v>26.95</v>
      </c>
      <c r="K28" s="15">
        <v>0.20080000000000001</v>
      </c>
      <c r="L28" s="15" t="s">
        <v>301</v>
      </c>
      <c r="M28" s="15">
        <v>1890</v>
      </c>
      <c r="N28" s="15">
        <v>110</v>
      </c>
    </row>
    <row r="29" spans="1:14" s="15" customFormat="1" x14ac:dyDescent="0.3">
      <c r="A29" s="15">
        <v>28</v>
      </c>
      <c r="B29" s="15" t="s">
        <v>58</v>
      </c>
      <c r="C29" s="15" t="s">
        <v>167</v>
      </c>
      <c r="D29" s="15">
        <v>0</v>
      </c>
      <c r="E29" s="15">
        <v>12.9</v>
      </c>
      <c r="F29" s="15" t="s">
        <v>222</v>
      </c>
      <c r="G29" s="15" t="s">
        <v>218</v>
      </c>
      <c r="H29" s="15">
        <v>0.45</v>
      </c>
      <c r="I29" s="15">
        <v>2.4</v>
      </c>
      <c r="J29" s="15">
        <v>26.95</v>
      </c>
      <c r="K29" s="15">
        <v>0.20080000000000001</v>
      </c>
      <c r="L29" s="15" t="s">
        <v>301</v>
      </c>
      <c r="M29" s="15">
        <v>1623</v>
      </c>
      <c r="N29" s="15">
        <v>111</v>
      </c>
    </row>
    <row r="30" spans="1:14" s="15" customFormat="1" x14ac:dyDescent="0.3">
      <c r="A30" s="15">
        <v>29</v>
      </c>
      <c r="B30" s="15" t="s">
        <v>110</v>
      </c>
      <c r="C30" s="15" t="s">
        <v>31</v>
      </c>
      <c r="D30" s="15">
        <v>0</v>
      </c>
      <c r="E30" s="15">
        <v>22</v>
      </c>
      <c r="F30" s="15" t="s">
        <v>118</v>
      </c>
      <c r="G30" s="15" t="s">
        <v>214</v>
      </c>
      <c r="H30" s="15">
        <v>0.36</v>
      </c>
      <c r="I30" s="15">
        <v>3.6</v>
      </c>
      <c r="J30" s="15">
        <v>26.64</v>
      </c>
      <c r="K30" s="15">
        <v>2.664E-2</v>
      </c>
      <c r="L30" s="15" t="s">
        <v>302</v>
      </c>
      <c r="M30" s="15">
        <v>1623</v>
      </c>
      <c r="N30" s="15">
        <v>111</v>
      </c>
    </row>
    <row r="31" spans="1:14" s="15" customFormat="1" x14ac:dyDescent="0.3">
      <c r="A31" s="15">
        <v>30</v>
      </c>
      <c r="B31" s="15" t="s">
        <v>230</v>
      </c>
      <c r="C31" s="15" t="s">
        <v>170</v>
      </c>
      <c r="D31" s="15">
        <v>0</v>
      </c>
      <c r="E31" s="15">
        <v>890</v>
      </c>
      <c r="F31" s="15" t="s">
        <v>116</v>
      </c>
      <c r="G31" s="15" t="s">
        <v>218</v>
      </c>
      <c r="H31" s="15">
        <v>0.61</v>
      </c>
      <c r="I31" s="15">
        <v>2.4</v>
      </c>
      <c r="J31" s="15">
        <v>26.95</v>
      </c>
      <c r="K31" s="15">
        <v>0.20080000000000001</v>
      </c>
      <c r="L31" s="15" t="s">
        <v>301</v>
      </c>
      <c r="M31" s="15">
        <v>1890</v>
      </c>
      <c r="N31" s="15">
        <v>110</v>
      </c>
    </row>
    <row r="32" spans="1:14" s="15" customFormat="1" x14ac:dyDescent="0.3">
      <c r="A32" s="15">
        <v>31</v>
      </c>
      <c r="B32" s="15" t="s">
        <v>97</v>
      </c>
      <c r="C32" s="15" t="s">
        <v>34</v>
      </c>
      <c r="D32" s="15">
        <v>0</v>
      </c>
      <c r="E32" s="15">
        <v>40</v>
      </c>
      <c r="F32" s="15" t="s">
        <v>223</v>
      </c>
      <c r="G32" s="15" t="s">
        <v>218</v>
      </c>
      <c r="H32" s="15">
        <v>0.41</v>
      </c>
      <c r="I32" s="15">
        <v>13.2</v>
      </c>
      <c r="J32" s="15">
        <v>26.95</v>
      </c>
      <c r="K32" s="15">
        <v>0.20080000000000001</v>
      </c>
      <c r="L32" s="15" t="s">
        <v>301</v>
      </c>
      <c r="M32" s="15">
        <v>1623</v>
      </c>
      <c r="N32" s="15">
        <v>111</v>
      </c>
    </row>
    <row r="33" spans="1:14" s="15" customFormat="1" x14ac:dyDescent="0.3">
      <c r="A33" s="15">
        <v>32</v>
      </c>
      <c r="B33" s="15" t="s">
        <v>59</v>
      </c>
      <c r="C33" s="15" t="s">
        <v>34</v>
      </c>
      <c r="D33" s="15">
        <v>0</v>
      </c>
      <c r="E33" s="15">
        <v>20</v>
      </c>
      <c r="F33" s="15" t="s">
        <v>225</v>
      </c>
      <c r="G33" s="15" t="s">
        <v>214</v>
      </c>
      <c r="H33" s="15">
        <v>0.36</v>
      </c>
      <c r="I33" s="15">
        <v>3.6</v>
      </c>
      <c r="J33" s="15">
        <v>26.64</v>
      </c>
      <c r="K33" s="15">
        <v>2.664E-2</v>
      </c>
      <c r="L33" s="15" t="s">
        <v>302</v>
      </c>
      <c r="M33" s="15">
        <v>1623</v>
      </c>
      <c r="N33" s="15">
        <v>111</v>
      </c>
    </row>
    <row r="34" spans="1:14" s="15" customFormat="1" x14ac:dyDescent="0.3">
      <c r="A34" s="15">
        <v>33</v>
      </c>
      <c r="B34" s="15" t="s">
        <v>63</v>
      </c>
      <c r="C34" s="15" t="s">
        <v>34</v>
      </c>
      <c r="D34" s="15">
        <v>0</v>
      </c>
      <c r="E34" s="15">
        <v>157</v>
      </c>
      <c r="F34" s="15" t="s">
        <v>219</v>
      </c>
      <c r="G34" s="15" t="s">
        <v>218</v>
      </c>
      <c r="H34" s="15">
        <v>0.51</v>
      </c>
      <c r="I34" s="15">
        <v>2.4</v>
      </c>
      <c r="J34" s="15">
        <v>26.95</v>
      </c>
      <c r="K34" s="15">
        <v>0.20080000000000001</v>
      </c>
      <c r="L34" s="15" t="s">
        <v>301</v>
      </c>
      <c r="M34" s="15">
        <v>1890</v>
      </c>
      <c r="N34" s="15">
        <v>110</v>
      </c>
    </row>
    <row r="35" spans="1:14" s="15" customFormat="1" x14ac:dyDescent="0.3">
      <c r="A35" s="15">
        <v>34</v>
      </c>
      <c r="B35" s="15" t="s">
        <v>64</v>
      </c>
      <c r="C35" s="15" t="s">
        <v>34</v>
      </c>
      <c r="D35" s="15">
        <v>0</v>
      </c>
      <c r="E35" s="15">
        <v>156.30000000000001</v>
      </c>
      <c r="F35" s="15" t="s">
        <v>219</v>
      </c>
      <c r="G35" s="15" t="s">
        <v>218</v>
      </c>
      <c r="H35" s="15">
        <v>0.51</v>
      </c>
      <c r="I35" s="15">
        <v>2.4</v>
      </c>
      <c r="J35" s="15">
        <v>26.95</v>
      </c>
      <c r="K35" s="15">
        <v>0.20080000000000001</v>
      </c>
      <c r="L35" s="15" t="s">
        <v>301</v>
      </c>
      <c r="M35" s="15">
        <v>1890</v>
      </c>
      <c r="N35" s="15">
        <v>110</v>
      </c>
    </row>
    <row r="36" spans="1:14" s="15" customFormat="1" x14ac:dyDescent="0.3">
      <c r="A36" s="15">
        <v>35</v>
      </c>
      <c r="B36" s="15" t="s">
        <v>65</v>
      </c>
      <c r="C36" s="15" t="s">
        <v>34</v>
      </c>
      <c r="D36" s="15">
        <v>0</v>
      </c>
      <c r="E36" s="15">
        <v>167</v>
      </c>
      <c r="F36" s="15" t="s">
        <v>220</v>
      </c>
      <c r="G36" s="15" t="s">
        <v>218</v>
      </c>
      <c r="H36" s="15">
        <v>0.51</v>
      </c>
      <c r="I36" s="15">
        <v>2.4</v>
      </c>
      <c r="J36" s="15">
        <v>26.95</v>
      </c>
      <c r="K36" s="15">
        <v>0.20080000000000001</v>
      </c>
      <c r="L36" s="15" t="s">
        <v>301</v>
      </c>
      <c r="M36" s="15">
        <v>1890</v>
      </c>
      <c r="N36" s="15">
        <v>110</v>
      </c>
    </row>
    <row r="37" spans="1:14" s="15" customFormat="1" x14ac:dyDescent="0.3">
      <c r="A37" s="15">
        <v>36</v>
      </c>
      <c r="B37" s="15" t="s">
        <v>68</v>
      </c>
      <c r="C37" s="15" t="s">
        <v>31</v>
      </c>
      <c r="D37" s="15">
        <v>0</v>
      </c>
      <c r="E37" s="15">
        <v>44.8</v>
      </c>
      <c r="F37" s="15" t="s">
        <v>216</v>
      </c>
      <c r="G37" s="15" t="s">
        <v>218</v>
      </c>
      <c r="H37" s="15">
        <v>0.57999999999999996</v>
      </c>
      <c r="I37" s="15">
        <v>2.4</v>
      </c>
      <c r="J37" s="15">
        <v>26.95</v>
      </c>
      <c r="K37" s="15">
        <v>0.20080000000000001</v>
      </c>
      <c r="L37" s="15" t="s">
        <v>301</v>
      </c>
      <c r="M37" s="15">
        <v>1623</v>
      </c>
      <c r="N37" s="15">
        <v>111</v>
      </c>
    </row>
    <row r="38" spans="1:14" s="15" customFormat="1" x14ac:dyDescent="0.3">
      <c r="A38" s="15">
        <v>37</v>
      </c>
      <c r="B38" s="15" t="s">
        <v>69</v>
      </c>
      <c r="C38" s="15" t="s">
        <v>31</v>
      </c>
      <c r="D38" s="15">
        <v>0</v>
      </c>
      <c r="E38" s="15">
        <v>44.8</v>
      </c>
      <c r="F38" s="15" t="s">
        <v>216</v>
      </c>
      <c r="G38" s="15" t="s">
        <v>218</v>
      </c>
      <c r="H38" s="15">
        <v>0.57999999999999996</v>
      </c>
      <c r="I38" s="15">
        <v>2.4</v>
      </c>
      <c r="J38" s="15">
        <v>26.95</v>
      </c>
      <c r="K38" s="15">
        <v>0.20080000000000001</v>
      </c>
      <c r="L38" s="15" t="s">
        <v>301</v>
      </c>
      <c r="M38" s="15">
        <v>1623</v>
      </c>
      <c r="N38" s="15">
        <v>111</v>
      </c>
    </row>
    <row r="39" spans="1:14" s="15" customFormat="1" x14ac:dyDescent="0.3">
      <c r="A39" s="15">
        <v>38</v>
      </c>
      <c r="B39" s="15" t="s">
        <v>70</v>
      </c>
      <c r="C39" s="15" t="s">
        <v>31</v>
      </c>
      <c r="D39" s="15">
        <v>0</v>
      </c>
      <c r="E39" s="15">
        <v>48.5</v>
      </c>
      <c r="F39" s="15" t="s">
        <v>217</v>
      </c>
      <c r="G39" s="15" t="s">
        <v>218</v>
      </c>
      <c r="H39" s="15">
        <v>0.57999999999999996</v>
      </c>
      <c r="I39" s="15">
        <v>2.4</v>
      </c>
      <c r="J39" s="15">
        <v>26.95</v>
      </c>
      <c r="K39" s="15">
        <v>0.20080000000000001</v>
      </c>
      <c r="L39" s="15" t="s">
        <v>301</v>
      </c>
      <c r="M39" s="15">
        <v>1623</v>
      </c>
      <c r="N39" s="15">
        <v>111</v>
      </c>
    </row>
    <row r="40" spans="1:14" s="15" customFormat="1" x14ac:dyDescent="0.3">
      <c r="A40" s="15">
        <v>39</v>
      </c>
      <c r="B40" s="15" t="s">
        <v>71</v>
      </c>
      <c r="C40" s="15" t="s">
        <v>171</v>
      </c>
      <c r="D40" s="15">
        <v>0</v>
      </c>
      <c r="E40" s="15">
        <v>32</v>
      </c>
      <c r="F40" s="15" t="s">
        <v>118</v>
      </c>
      <c r="G40" s="15" t="s">
        <v>214</v>
      </c>
      <c r="H40" s="15">
        <v>0.36</v>
      </c>
      <c r="I40" s="15">
        <v>3.6</v>
      </c>
      <c r="J40" s="15">
        <v>26.64</v>
      </c>
      <c r="K40" s="15">
        <v>2.664E-2</v>
      </c>
      <c r="L40" s="15" t="s">
        <v>302</v>
      </c>
      <c r="M40" s="15">
        <v>1623</v>
      </c>
      <c r="N40" s="15">
        <v>111</v>
      </c>
    </row>
    <row r="41" spans="1:14" s="15" customFormat="1" x14ac:dyDescent="0.3">
      <c r="A41" s="15">
        <v>40</v>
      </c>
      <c r="B41" s="15" t="s">
        <v>66</v>
      </c>
      <c r="C41" s="15" t="s">
        <v>113</v>
      </c>
      <c r="D41" s="15">
        <v>0</v>
      </c>
      <c r="E41" s="15">
        <v>34</v>
      </c>
      <c r="F41" s="15" t="s">
        <v>118</v>
      </c>
      <c r="G41" s="15" t="s">
        <v>214</v>
      </c>
      <c r="H41" s="15">
        <v>0.36</v>
      </c>
      <c r="I41" s="15">
        <v>3.6</v>
      </c>
      <c r="J41" s="15">
        <v>26.64</v>
      </c>
      <c r="K41" s="15">
        <v>2.664E-2</v>
      </c>
      <c r="L41" s="15" t="s">
        <v>302</v>
      </c>
      <c r="M41" s="15">
        <v>1623</v>
      </c>
      <c r="N41" s="15">
        <v>111</v>
      </c>
    </row>
    <row r="42" spans="1:14" s="15" customFormat="1" x14ac:dyDescent="0.3">
      <c r="A42" s="15">
        <v>41</v>
      </c>
      <c r="B42" s="15" t="s">
        <v>103</v>
      </c>
      <c r="C42" s="15" t="s">
        <v>31</v>
      </c>
      <c r="D42" s="15">
        <v>0</v>
      </c>
      <c r="E42" s="15">
        <v>12</v>
      </c>
      <c r="F42" s="15" t="s">
        <v>118</v>
      </c>
      <c r="G42" s="15" t="s">
        <v>214</v>
      </c>
      <c r="H42" s="15">
        <v>0.36</v>
      </c>
      <c r="I42" s="15">
        <v>3.6</v>
      </c>
      <c r="J42" s="15">
        <v>26.64</v>
      </c>
      <c r="K42" s="15">
        <v>2.664E-2</v>
      </c>
      <c r="L42" s="15" t="s">
        <v>302</v>
      </c>
      <c r="M42" s="15">
        <v>1623</v>
      </c>
      <c r="N42" s="15">
        <v>111</v>
      </c>
    </row>
    <row r="43" spans="1:14" s="15" customFormat="1" x14ac:dyDescent="0.3">
      <c r="A43" s="15">
        <v>42</v>
      </c>
      <c r="B43" s="15" t="s">
        <v>72</v>
      </c>
      <c r="C43" s="15" t="s">
        <v>34</v>
      </c>
      <c r="D43" s="15">
        <v>0</v>
      </c>
      <c r="E43" s="15">
        <v>16</v>
      </c>
      <c r="F43" s="15" t="s">
        <v>118</v>
      </c>
      <c r="G43" s="15" t="s">
        <v>214</v>
      </c>
      <c r="H43" s="15">
        <v>0.36</v>
      </c>
      <c r="I43" s="15">
        <v>3.6</v>
      </c>
      <c r="J43" s="15">
        <v>26.64</v>
      </c>
      <c r="K43" s="15">
        <v>2.664E-2</v>
      </c>
      <c r="L43" s="15" t="s">
        <v>302</v>
      </c>
      <c r="M43" s="15">
        <v>1623</v>
      </c>
      <c r="N43" s="15">
        <v>111</v>
      </c>
    </row>
    <row r="44" spans="1:14" s="15" customFormat="1" x14ac:dyDescent="0.3">
      <c r="A44" s="15">
        <v>43</v>
      </c>
      <c r="B44" s="15" t="s">
        <v>39</v>
      </c>
      <c r="C44" s="15" t="s">
        <v>26</v>
      </c>
      <c r="D44" s="15">
        <v>0</v>
      </c>
      <c r="E44" s="15">
        <v>20</v>
      </c>
      <c r="F44" s="15" t="s">
        <v>222</v>
      </c>
      <c r="G44" s="15" t="s">
        <v>218</v>
      </c>
      <c r="H44" s="15">
        <v>0.45</v>
      </c>
      <c r="I44" s="15">
        <v>2.4</v>
      </c>
      <c r="J44" s="15">
        <v>26.95</v>
      </c>
      <c r="K44" s="15">
        <v>0.20080000000000001</v>
      </c>
      <c r="L44" s="15" t="s">
        <v>301</v>
      </c>
      <c r="M44" s="15">
        <v>1623</v>
      </c>
      <c r="N44" s="15">
        <v>111</v>
      </c>
    </row>
    <row r="45" spans="1:14" s="15" customFormat="1" x14ac:dyDescent="0.3">
      <c r="A45" s="15">
        <v>44</v>
      </c>
      <c r="B45" s="15" t="s">
        <v>73</v>
      </c>
      <c r="C45" s="15" t="s">
        <v>163</v>
      </c>
      <c r="D45" s="15">
        <v>0</v>
      </c>
      <c r="E45" s="15">
        <v>48</v>
      </c>
      <c r="F45" s="15" t="s">
        <v>216</v>
      </c>
      <c r="G45" s="15" t="s">
        <v>218</v>
      </c>
      <c r="H45" s="15">
        <v>0.45</v>
      </c>
      <c r="I45" s="15">
        <v>2.4</v>
      </c>
      <c r="J45" s="15">
        <v>26.95</v>
      </c>
      <c r="K45" s="15">
        <v>0.20080000000000001</v>
      </c>
      <c r="L45" s="15" t="s">
        <v>301</v>
      </c>
      <c r="M45" s="15">
        <v>1623</v>
      </c>
      <c r="N45" s="15">
        <v>111</v>
      </c>
    </row>
    <row r="46" spans="1:14" s="15" customFormat="1" x14ac:dyDescent="0.3">
      <c r="A46" s="15">
        <v>45</v>
      </c>
      <c r="B46" s="15" t="s">
        <v>74</v>
      </c>
      <c r="C46" s="15" t="s">
        <v>163</v>
      </c>
      <c r="D46" s="15">
        <v>0</v>
      </c>
      <c r="E46" s="15">
        <v>48</v>
      </c>
      <c r="F46" s="15" t="s">
        <v>216</v>
      </c>
      <c r="G46" s="15" t="s">
        <v>218</v>
      </c>
      <c r="H46" s="15">
        <v>0.45</v>
      </c>
      <c r="I46" s="15">
        <v>2.4</v>
      </c>
      <c r="J46" s="15">
        <v>26.95</v>
      </c>
      <c r="K46" s="15">
        <v>0.20080000000000001</v>
      </c>
      <c r="L46" s="15" t="s">
        <v>301</v>
      </c>
      <c r="M46" s="15">
        <v>1623</v>
      </c>
      <c r="N46" s="15">
        <v>111</v>
      </c>
    </row>
    <row r="47" spans="1:14" s="15" customFormat="1" x14ac:dyDescent="0.3">
      <c r="A47" s="15">
        <v>46</v>
      </c>
      <c r="B47" s="15" t="s">
        <v>75</v>
      </c>
      <c r="C47" s="15" t="s">
        <v>163</v>
      </c>
      <c r="D47" s="15">
        <v>0</v>
      </c>
      <c r="E47" s="15">
        <v>10</v>
      </c>
      <c r="F47" s="15" t="s">
        <v>217</v>
      </c>
      <c r="G47" s="15" t="s">
        <v>218</v>
      </c>
      <c r="H47" s="15">
        <v>0.45</v>
      </c>
      <c r="I47" s="15">
        <v>2.4</v>
      </c>
      <c r="J47" s="15">
        <v>26.95</v>
      </c>
      <c r="K47" s="15">
        <v>0.20080000000000001</v>
      </c>
      <c r="L47" s="15" t="s">
        <v>301</v>
      </c>
      <c r="M47" s="15">
        <v>1623</v>
      </c>
      <c r="N47" s="15">
        <v>111</v>
      </c>
    </row>
    <row r="48" spans="1:14" s="15" customFormat="1" x14ac:dyDescent="0.3">
      <c r="A48" s="15">
        <v>47</v>
      </c>
      <c r="B48" s="15" t="s">
        <v>79</v>
      </c>
      <c r="C48" s="15" t="s">
        <v>31</v>
      </c>
      <c r="D48" s="15">
        <v>0</v>
      </c>
      <c r="E48" s="15">
        <v>43</v>
      </c>
      <c r="F48" s="15" t="s">
        <v>216</v>
      </c>
      <c r="G48" s="15" t="s">
        <v>218</v>
      </c>
      <c r="H48" s="15">
        <v>0.45</v>
      </c>
      <c r="I48" s="15">
        <v>2.4</v>
      </c>
      <c r="J48" s="15">
        <v>26.95</v>
      </c>
      <c r="K48" s="15">
        <v>0.20080000000000001</v>
      </c>
      <c r="L48" s="15" t="s">
        <v>301</v>
      </c>
      <c r="M48" s="15">
        <v>1623</v>
      </c>
      <c r="N48" s="15">
        <v>111</v>
      </c>
    </row>
    <row r="49" spans="1:14" s="15" customFormat="1" x14ac:dyDescent="0.3">
      <c r="A49" s="15">
        <v>48</v>
      </c>
      <c r="B49" s="15" t="s">
        <v>80</v>
      </c>
      <c r="C49" s="15" t="s">
        <v>31</v>
      </c>
      <c r="D49" s="15">
        <v>0</v>
      </c>
      <c r="E49" s="15">
        <v>32</v>
      </c>
      <c r="F49" s="15" t="s">
        <v>216</v>
      </c>
      <c r="G49" s="15" t="s">
        <v>218</v>
      </c>
      <c r="H49" s="15">
        <v>0.45</v>
      </c>
      <c r="I49" s="15">
        <v>2.4</v>
      </c>
      <c r="J49" s="15">
        <v>26.95</v>
      </c>
      <c r="K49" s="15">
        <v>0.20080000000000001</v>
      </c>
      <c r="L49" s="15" t="s">
        <v>301</v>
      </c>
      <c r="M49" s="15">
        <v>1623</v>
      </c>
      <c r="N49" s="15">
        <v>111</v>
      </c>
    </row>
    <row r="50" spans="1:14" s="15" customFormat="1" x14ac:dyDescent="0.3">
      <c r="A50" s="15">
        <v>49</v>
      </c>
      <c r="B50" s="15" t="s">
        <v>81</v>
      </c>
      <c r="C50" s="15" t="s">
        <v>31</v>
      </c>
      <c r="D50" s="15">
        <v>0</v>
      </c>
      <c r="E50" s="15">
        <v>10</v>
      </c>
      <c r="F50" s="15" t="s">
        <v>217</v>
      </c>
      <c r="G50" s="15" t="s">
        <v>218</v>
      </c>
      <c r="H50" s="15">
        <v>0.45</v>
      </c>
      <c r="I50" s="15">
        <v>2.4</v>
      </c>
      <c r="J50" s="15">
        <v>26.95</v>
      </c>
      <c r="K50" s="15">
        <v>0.20080000000000001</v>
      </c>
      <c r="L50" s="15" t="s">
        <v>301</v>
      </c>
      <c r="M50" s="15">
        <v>1623</v>
      </c>
      <c r="N50" s="15">
        <v>111</v>
      </c>
    </row>
    <row r="51" spans="1:14" s="15" customFormat="1" x14ac:dyDescent="0.3">
      <c r="A51" s="15">
        <v>50</v>
      </c>
      <c r="B51" s="15" t="s">
        <v>82</v>
      </c>
      <c r="C51" s="15" t="s">
        <v>113</v>
      </c>
      <c r="D51" s="15">
        <v>0</v>
      </c>
      <c r="E51" s="15">
        <v>413</v>
      </c>
      <c r="F51" s="15" t="s">
        <v>116</v>
      </c>
      <c r="G51" s="15" t="s">
        <v>218</v>
      </c>
      <c r="H51" s="15">
        <v>0.52</v>
      </c>
      <c r="I51" s="15">
        <v>2.4</v>
      </c>
      <c r="J51" s="15">
        <v>26.95</v>
      </c>
      <c r="K51" s="15">
        <v>0.20080000000000001</v>
      </c>
      <c r="L51" s="15" t="s">
        <v>301</v>
      </c>
      <c r="M51" s="15">
        <v>1890</v>
      </c>
      <c r="N51" s="15">
        <v>110</v>
      </c>
    </row>
    <row r="52" spans="1:14" s="15" customFormat="1" x14ac:dyDescent="0.3">
      <c r="A52" s="15">
        <v>51</v>
      </c>
      <c r="B52" s="15" t="s">
        <v>84</v>
      </c>
      <c r="C52" s="15" t="s">
        <v>31</v>
      </c>
      <c r="D52" s="15">
        <v>0</v>
      </c>
      <c r="E52" s="15">
        <v>43</v>
      </c>
      <c r="F52" s="15" t="s">
        <v>223</v>
      </c>
      <c r="G52" s="15" t="s">
        <v>218</v>
      </c>
      <c r="H52" s="15">
        <v>0.41</v>
      </c>
      <c r="I52" s="15">
        <v>13.2</v>
      </c>
      <c r="J52" s="15">
        <v>26.95</v>
      </c>
      <c r="K52" s="15">
        <v>0.20080000000000001</v>
      </c>
      <c r="L52" s="15" t="s">
        <v>301</v>
      </c>
      <c r="M52" s="15">
        <v>1623</v>
      </c>
      <c r="N52" s="15">
        <v>111</v>
      </c>
    </row>
    <row r="53" spans="1:14" s="15" customFormat="1" x14ac:dyDescent="0.3">
      <c r="A53" s="15">
        <v>52</v>
      </c>
      <c r="B53" s="15" t="s">
        <v>104</v>
      </c>
      <c r="C53" s="15" t="s">
        <v>26</v>
      </c>
      <c r="D53" s="15">
        <v>0</v>
      </c>
      <c r="E53" s="15">
        <v>18</v>
      </c>
      <c r="F53" s="15" t="s">
        <v>115</v>
      </c>
      <c r="G53" s="15" t="s">
        <v>213</v>
      </c>
      <c r="H53" s="15">
        <v>0.26</v>
      </c>
      <c r="I53" s="15">
        <v>4</v>
      </c>
      <c r="J53" s="15">
        <v>70.668800000000005</v>
      </c>
      <c r="K53" s="15">
        <v>0.26650000000000001</v>
      </c>
      <c r="L53" s="15" t="s">
        <v>301</v>
      </c>
      <c r="M53" s="15">
        <v>1197</v>
      </c>
      <c r="N53" s="15">
        <v>130</v>
      </c>
    </row>
    <row r="54" spans="1:14" s="15" customFormat="1" x14ac:dyDescent="0.3">
      <c r="A54" s="15">
        <v>53</v>
      </c>
      <c r="B54" s="15" t="s">
        <v>83</v>
      </c>
      <c r="C54" s="15" t="s">
        <v>31</v>
      </c>
      <c r="D54" s="15">
        <v>0</v>
      </c>
      <c r="E54" s="15">
        <v>43</v>
      </c>
      <c r="F54" s="15" t="s">
        <v>223</v>
      </c>
      <c r="G54" s="15" t="s">
        <v>218</v>
      </c>
      <c r="H54" s="15">
        <v>0.41</v>
      </c>
      <c r="I54" s="15">
        <v>13.2</v>
      </c>
      <c r="J54" s="15">
        <v>26.95</v>
      </c>
      <c r="K54" s="15">
        <v>0.20080000000000001</v>
      </c>
      <c r="L54" s="15" t="s">
        <v>301</v>
      </c>
      <c r="M54" s="15">
        <v>1623</v>
      </c>
      <c r="N54" s="15">
        <v>111</v>
      </c>
    </row>
    <row r="55" spans="1:14" s="15" customFormat="1" x14ac:dyDescent="0.3">
      <c r="A55" s="15">
        <v>54</v>
      </c>
      <c r="B55" s="15" t="s">
        <v>86</v>
      </c>
      <c r="C55" s="15" t="s">
        <v>113</v>
      </c>
      <c r="D55" s="15">
        <v>0</v>
      </c>
      <c r="E55" s="15">
        <v>378</v>
      </c>
      <c r="F55" s="15" t="s">
        <v>116</v>
      </c>
      <c r="G55" s="15" t="s">
        <v>218</v>
      </c>
      <c r="H55" s="15">
        <v>0.51</v>
      </c>
      <c r="I55" s="15">
        <v>2.4</v>
      </c>
      <c r="J55" s="15">
        <v>26.95</v>
      </c>
      <c r="K55" s="15">
        <v>0.20080000000000001</v>
      </c>
      <c r="L55" s="15" t="s">
        <v>301</v>
      </c>
      <c r="M55" s="15">
        <v>1890</v>
      </c>
      <c r="N55" s="15">
        <v>110</v>
      </c>
    </row>
    <row r="56" spans="1:14" s="15" customFormat="1" x14ac:dyDescent="0.3">
      <c r="A56" s="15">
        <v>55</v>
      </c>
      <c r="B56" s="15" t="s">
        <v>76</v>
      </c>
      <c r="C56" s="15" t="s">
        <v>161</v>
      </c>
      <c r="D56" s="15">
        <v>0</v>
      </c>
      <c r="E56" s="15">
        <v>43</v>
      </c>
      <c r="F56" s="15" t="s">
        <v>223</v>
      </c>
      <c r="G56" s="15" t="s">
        <v>218</v>
      </c>
      <c r="H56" s="15">
        <v>0.41</v>
      </c>
      <c r="I56" s="15">
        <v>13.2</v>
      </c>
      <c r="J56" s="15">
        <v>26.95</v>
      </c>
      <c r="K56" s="15">
        <v>0.20080000000000001</v>
      </c>
      <c r="L56" s="15" t="s">
        <v>301</v>
      </c>
      <c r="M56" s="15">
        <v>1623</v>
      </c>
      <c r="N56" s="15">
        <v>111</v>
      </c>
    </row>
    <row r="57" spans="1:14" s="15" customFormat="1" x14ac:dyDescent="0.3">
      <c r="A57" s="15">
        <v>56</v>
      </c>
      <c r="B57" s="15" t="s">
        <v>105</v>
      </c>
      <c r="C57" s="15" t="s">
        <v>32</v>
      </c>
      <c r="D57" s="15">
        <v>0</v>
      </c>
      <c r="E57" s="15">
        <v>15</v>
      </c>
      <c r="F57" s="15" t="s">
        <v>118</v>
      </c>
      <c r="G57" s="15" t="s">
        <v>214</v>
      </c>
      <c r="H57" s="15">
        <v>0.36</v>
      </c>
      <c r="I57" s="15">
        <v>3.6</v>
      </c>
      <c r="J57" s="15">
        <v>26.64</v>
      </c>
      <c r="K57" s="15">
        <v>2.664E-2</v>
      </c>
      <c r="L57" s="15" t="s">
        <v>302</v>
      </c>
      <c r="M57" s="15">
        <v>1623</v>
      </c>
      <c r="N57" s="15">
        <v>111</v>
      </c>
    </row>
    <row r="58" spans="1:14" s="15" customFormat="1" x14ac:dyDescent="0.3">
      <c r="A58" s="15">
        <v>57</v>
      </c>
      <c r="B58" s="15" t="s">
        <v>106</v>
      </c>
      <c r="C58" s="15" t="s">
        <v>32</v>
      </c>
      <c r="D58" s="15">
        <v>0</v>
      </c>
      <c r="E58" s="15">
        <v>15</v>
      </c>
      <c r="F58" s="15" t="s">
        <v>118</v>
      </c>
      <c r="G58" s="15" t="s">
        <v>214</v>
      </c>
      <c r="H58" s="15">
        <v>0.36</v>
      </c>
      <c r="I58" s="15">
        <v>3.6</v>
      </c>
      <c r="J58" s="15">
        <v>26.64</v>
      </c>
      <c r="K58" s="15">
        <v>2.664E-2</v>
      </c>
      <c r="L58" s="15" t="s">
        <v>302</v>
      </c>
      <c r="M58" s="15">
        <v>1623</v>
      </c>
      <c r="N58" s="15">
        <v>111</v>
      </c>
    </row>
    <row r="59" spans="1:14" s="15" customFormat="1" x14ac:dyDescent="0.3">
      <c r="A59" s="15">
        <v>58</v>
      </c>
      <c r="B59" s="15" t="s">
        <v>107</v>
      </c>
      <c r="C59" s="15" t="s">
        <v>32</v>
      </c>
      <c r="D59" s="15">
        <v>0</v>
      </c>
      <c r="E59" s="15">
        <v>15</v>
      </c>
      <c r="F59" s="15" t="s">
        <v>118</v>
      </c>
      <c r="G59" s="15" t="s">
        <v>214</v>
      </c>
      <c r="H59" s="15">
        <v>0.36</v>
      </c>
      <c r="I59" s="15">
        <v>3.6</v>
      </c>
      <c r="J59" s="15">
        <v>26.64</v>
      </c>
      <c r="K59" s="15">
        <v>2.664E-2</v>
      </c>
      <c r="L59" s="15" t="s">
        <v>302</v>
      </c>
      <c r="M59" s="15">
        <v>1623</v>
      </c>
      <c r="N59" s="15">
        <v>111</v>
      </c>
    </row>
    <row r="60" spans="1:14" s="15" customFormat="1" x14ac:dyDescent="0.3">
      <c r="A60" s="15">
        <v>59</v>
      </c>
      <c r="B60" s="15" t="s">
        <v>87</v>
      </c>
      <c r="C60" s="15" t="s">
        <v>31</v>
      </c>
      <c r="D60" s="15">
        <v>0</v>
      </c>
      <c r="E60" s="15">
        <v>140</v>
      </c>
      <c r="F60" s="15" t="s">
        <v>222</v>
      </c>
      <c r="G60" s="15" t="s">
        <v>218</v>
      </c>
      <c r="H60" s="15">
        <v>0.45</v>
      </c>
      <c r="I60" s="15">
        <v>2.4</v>
      </c>
      <c r="J60" s="15">
        <v>26.95</v>
      </c>
      <c r="K60" s="15">
        <v>0.20080000000000001</v>
      </c>
      <c r="L60" s="15" t="s">
        <v>301</v>
      </c>
      <c r="M60" s="15">
        <v>1623</v>
      </c>
      <c r="N60" s="15">
        <v>111</v>
      </c>
    </row>
    <row r="61" spans="1:14" s="15" customFormat="1" x14ac:dyDescent="0.3">
      <c r="A61" s="15">
        <v>60</v>
      </c>
      <c r="B61" s="15" t="s">
        <v>77</v>
      </c>
      <c r="C61" s="15" t="s">
        <v>167</v>
      </c>
      <c r="D61" s="15">
        <v>0</v>
      </c>
      <c r="E61" s="15">
        <v>10</v>
      </c>
      <c r="F61" s="15" t="s">
        <v>224</v>
      </c>
      <c r="G61" s="15" t="s">
        <v>215</v>
      </c>
      <c r="H61" s="15">
        <v>0.38</v>
      </c>
      <c r="I61" s="15">
        <v>3.6</v>
      </c>
      <c r="J61" s="15">
        <v>26.64</v>
      </c>
      <c r="K61" s="15">
        <v>1.18E-2</v>
      </c>
      <c r="L61" s="15" t="s">
        <v>302</v>
      </c>
      <c r="M61" s="15">
        <v>1623</v>
      </c>
      <c r="N61" s="15">
        <v>111</v>
      </c>
    </row>
    <row r="62" spans="1:14" s="15" customFormat="1" x14ac:dyDescent="0.3">
      <c r="A62" s="15">
        <v>61</v>
      </c>
      <c r="B62" s="15" t="s">
        <v>78</v>
      </c>
      <c r="C62" s="15" t="s">
        <v>167</v>
      </c>
      <c r="D62" s="15">
        <v>0</v>
      </c>
      <c r="E62" s="15">
        <v>40</v>
      </c>
      <c r="F62" s="15" t="s">
        <v>224</v>
      </c>
      <c r="G62" s="15" t="s">
        <v>215</v>
      </c>
      <c r="H62" s="15">
        <v>0.38</v>
      </c>
      <c r="I62" s="15">
        <v>3.6</v>
      </c>
      <c r="J62" s="15">
        <v>26.64</v>
      </c>
      <c r="K62" s="15">
        <v>1.18E-2</v>
      </c>
      <c r="L62" s="15" t="s">
        <v>302</v>
      </c>
      <c r="M62" s="15">
        <v>1623</v>
      </c>
      <c r="N62" s="15">
        <v>111</v>
      </c>
    </row>
    <row r="63" spans="1:14" s="15" customFormat="1" x14ac:dyDescent="0.3">
      <c r="A63" s="15">
        <v>62</v>
      </c>
      <c r="B63" s="15" t="s">
        <v>40</v>
      </c>
      <c r="C63" s="15" t="s">
        <v>27</v>
      </c>
      <c r="D63" s="15">
        <v>0</v>
      </c>
      <c r="E63" s="15">
        <v>43</v>
      </c>
      <c r="F63" s="15" t="s">
        <v>216</v>
      </c>
      <c r="G63" s="15" t="s">
        <v>218</v>
      </c>
      <c r="H63" s="15">
        <v>0.45</v>
      </c>
      <c r="I63" s="15">
        <v>2.4</v>
      </c>
      <c r="J63" s="15">
        <v>26.95</v>
      </c>
      <c r="K63" s="15">
        <v>0.20080000000000001</v>
      </c>
      <c r="L63" s="15" t="s">
        <v>301</v>
      </c>
      <c r="M63" s="15">
        <v>1623</v>
      </c>
      <c r="N63" s="15">
        <v>111</v>
      </c>
    </row>
    <row r="64" spans="1:14" s="15" customFormat="1" x14ac:dyDescent="0.3">
      <c r="A64" s="15">
        <v>63</v>
      </c>
      <c r="B64" s="15" t="s">
        <v>41</v>
      </c>
      <c r="C64" s="15" t="s">
        <v>27</v>
      </c>
      <c r="D64" s="15">
        <v>0</v>
      </c>
      <c r="E64" s="15">
        <v>5</v>
      </c>
      <c r="F64" s="15" t="s">
        <v>217</v>
      </c>
      <c r="G64" s="15" t="s">
        <v>218</v>
      </c>
      <c r="H64" s="15">
        <v>0.45</v>
      </c>
      <c r="I64" s="15">
        <v>2.4</v>
      </c>
      <c r="J64" s="15">
        <v>26.95</v>
      </c>
      <c r="K64" s="15">
        <v>0.20080000000000001</v>
      </c>
      <c r="L64" s="15" t="s">
        <v>301</v>
      </c>
      <c r="M64" s="15">
        <v>1623</v>
      </c>
      <c r="N64" s="15">
        <v>111</v>
      </c>
    </row>
    <row r="65" spans="1:14" s="15" customFormat="1" x14ac:dyDescent="0.3">
      <c r="A65" s="15">
        <v>64</v>
      </c>
      <c r="B65" s="15" t="s">
        <v>90</v>
      </c>
      <c r="C65" s="15" t="s">
        <v>167</v>
      </c>
      <c r="D65" s="15">
        <v>0</v>
      </c>
      <c r="E65" s="15">
        <v>6.3</v>
      </c>
      <c r="F65" s="15" t="s">
        <v>223</v>
      </c>
      <c r="G65" s="15" t="s">
        <v>218</v>
      </c>
      <c r="H65" s="15">
        <v>0.41</v>
      </c>
      <c r="I65" s="15">
        <v>13.2</v>
      </c>
      <c r="J65" s="15">
        <v>26.95</v>
      </c>
      <c r="K65" s="15">
        <v>0.20080000000000001</v>
      </c>
      <c r="L65" s="15" t="s">
        <v>301</v>
      </c>
      <c r="M65" s="15">
        <v>1623</v>
      </c>
      <c r="N65" s="15">
        <v>111</v>
      </c>
    </row>
    <row r="66" spans="1:14" s="15" customFormat="1" x14ac:dyDescent="0.3">
      <c r="A66" s="15">
        <v>65</v>
      </c>
      <c r="B66" s="15" t="s">
        <v>231</v>
      </c>
      <c r="C66" s="15" t="s">
        <v>166</v>
      </c>
      <c r="D66" s="15">
        <v>0</v>
      </c>
      <c r="E66" s="15">
        <v>1038</v>
      </c>
      <c r="F66" s="15" t="s">
        <v>232</v>
      </c>
      <c r="G66" s="15" t="s">
        <v>233</v>
      </c>
      <c r="H66" s="15">
        <v>0.33</v>
      </c>
      <c r="I66" s="15">
        <v>10.8</v>
      </c>
      <c r="J66" s="15">
        <v>1.87</v>
      </c>
      <c r="K66" s="15">
        <v>3.8999999999999998E-3</v>
      </c>
      <c r="L66" s="15" t="s">
        <v>301</v>
      </c>
      <c r="M66" s="15">
        <v>4776</v>
      </c>
      <c r="N66" s="15">
        <v>199</v>
      </c>
    </row>
    <row r="67" spans="1:14" s="15" customFormat="1" x14ac:dyDescent="0.3">
      <c r="A67" s="15">
        <v>66</v>
      </c>
      <c r="B67" s="15" t="s">
        <v>91</v>
      </c>
      <c r="C67" s="15" t="s">
        <v>38</v>
      </c>
      <c r="D67" s="15">
        <v>0</v>
      </c>
      <c r="E67" s="15">
        <v>425</v>
      </c>
      <c r="F67" s="15" t="s">
        <v>116</v>
      </c>
      <c r="G67" s="15" t="s">
        <v>218</v>
      </c>
      <c r="H67" s="15">
        <v>0.57999999999999996</v>
      </c>
      <c r="I67" s="15">
        <v>2.4</v>
      </c>
      <c r="J67" s="15">
        <v>26.95</v>
      </c>
      <c r="K67" s="15">
        <v>0.20080000000000001</v>
      </c>
      <c r="L67" s="15" t="s">
        <v>301</v>
      </c>
      <c r="M67" s="15">
        <v>1890</v>
      </c>
      <c r="N67" s="15">
        <v>110</v>
      </c>
    </row>
    <row r="68" spans="1:14" s="15" customFormat="1" x14ac:dyDescent="0.3">
      <c r="A68" s="15">
        <v>67</v>
      </c>
      <c r="B68" s="15" t="s">
        <v>92</v>
      </c>
      <c r="C68" s="15" t="s">
        <v>31</v>
      </c>
      <c r="D68" s="15">
        <v>0</v>
      </c>
      <c r="E68" s="15">
        <v>43</v>
      </c>
      <c r="F68" s="15" t="s">
        <v>223</v>
      </c>
      <c r="G68" s="15" t="s">
        <v>218</v>
      </c>
      <c r="H68" s="15">
        <v>0.41</v>
      </c>
      <c r="I68" s="15">
        <v>13.2</v>
      </c>
      <c r="J68" s="15">
        <v>26.95</v>
      </c>
      <c r="K68" s="15">
        <v>0.20080000000000001</v>
      </c>
      <c r="L68" s="15" t="s">
        <v>301</v>
      </c>
      <c r="M68" s="15">
        <v>1623</v>
      </c>
      <c r="N68" s="15">
        <v>111</v>
      </c>
    </row>
    <row r="69" spans="1:14" s="15" customFormat="1" x14ac:dyDescent="0.3">
      <c r="A69" s="15">
        <v>68</v>
      </c>
      <c r="B69" s="15" t="s">
        <v>93</v>
      </c>
      <c r="C69" s="15" t="s">
        <v>31</v>
      </c>
      <c r="D69" s="15">
        <v>0</v>
      </c>
      <c r="E69" s="15">
        <v>43</v>
      </c>
      <c r="F69" s="15" t="s">
        <v>223</v>
      </c>
      <c r="G69" s="15" t="s">
        <v>218</v>
      </c>
      <c r="H69" s="15">
        <v>0.41</v>
      </c>
      <c r="I69" s="15">
        <v>13.2</v>
      </c>
      <c r="J69" s="15">
        <v>26.95</v>
      </c>
      <c r="K69" s="15">
        <v>0.20080000000000001</v>
      </c>
      <c r="L69" s="15" t="s">
        <v>301</v>
      </c>
      <c r="M69" s="15">
        <v>1623</v>
      </c>
      <c r="N69" s="15">
        <v>111</v>
      </c>
    </row>
    <row r="70" spans="1:14" s="15" customFormat="1" x14ac:dyDescent="0.3">
      <c r="A70" s="15">
        <v>69</v>
      </c>
      <c r="B70" s="15" t="s">
        <v>94</v>
      </c>
      <c r="C70" s="15" t="s">
        <v>31</v>
      </c>
      <c r="D70" s="15">
        <v>0</v>
      </c>
      <c r="E70" s="15">
        <v>43</v>
      </c>
      <c r="F70" s="15" t="s">
        <v>223</v>
      </c>
      <c r="G70" s="15" t="s">
        <v>218</v>
      </c>
      <c r="H70" s="15">
        <v>0.41</v>
      </c>
      <c r="I70" s="15">
        <v>13.2</v>
      </c>
      <c r="J70" s="15">
        <v>26.95</v>
      </c>
      <c r="K70" s="15">
        <v>0.20080000000000001</v>
      </c>
      <c r="L70" s="15" t="s">
        <v>301</v>
      </c>
      <c r="M70" s="15">
        <v>1623</v>
      </c>
      <c r="N70" s="15">
        <v>111</v>
      </c>
    </row>
    <row r="71" spans="1:14" s="15" customFormat="1" x14ac:dyDescent="0.3">
      <c r="A71" s="15">
        <v>70</v>
      </c>
      <c r="B71" s="15" t="s">
        <v>95</v>
      </c>
      <c r="C71" s="15" t="s">
        <v>33</v>
      </c>
      <c r="D71" s="15">
        <v>0</v>
      </c>
      <c r="E71" s="15">
        <v>419</v>
      </c>
      <c r="F71" s="15" t="s">
        <v>222</v>
      </c>
      <c r="G71" s="15" t="s">
        <v>218</v>
      </c>
      <c r="H71" s="15">
        <v>0.56999999999999995</v>
      </c>
      <c r="I71" s="15">
        <v>2.4</v>
      </c>
      <c r="J71" s="15">
        <v>26.95</v>
      </c>
      <c r="K71" s="15">
        <v>0.20080000000000001</v>
      </c>
      <c r="L71" s="15" t="s">
        <v>301</v>
      </c>
      <c r="M71" s="15">
        <v>1890</v>
      </c>
      <c r="N71" s="15">
        <v>110</v>
      </c>
    </row>
    <row r="72" spans="1:14" s="15" customFormat="1" x14ac:dyDescent="0.3">
      <c r="A72" s="15">
        <v>71</v>
      </c>
      <c r="B72" s="15" t="s">
        <v>96</v>
      </c>
      <c r="C72" s="15" t="s">
        <v>34</v>
      </c>
      <c r="D72" s="15">
        <v>0</v>
      </c>
      <c r="E72" s="15">
        <v>18</v>
      </c>
      <c r="F72" s="15" t="s">
        <v>115</v>
      </c>
      <c r="G72" s="15" t="s">
        <v>213</v>
      </c>
      <c r="H72" s="15">
        <v>0.26</v>
      </c>
      <c r="I72" s="15">
        <v>4</v>
      </c>
      <c r="J72" s="15">
        <v>70.668800000000005</v>
      </c>
      <c r="K72" s="15">
        <v>0.26650000000000001</v>
      </c>
      <c r="L72" s="15" t="s">
        <v>301</v>
      </c>
      <c r="M72" s="15">
        <v>1197</v>
      </c>
      <c r="N72" s="15">
        <v>130</v>
      </c>
    </row>
    <row r="73" spans="1:14" s="15" customFormat="1" x14ac:dyDescent="0.3">
      <c r="A73" s="15">
        <v>72</v>
      </c>
      <c r="B73" s="15" t="s">
        <v>98</v>
      </c>
      <c r="C73" s="15" t="s">
        <v>34</v>
      </c>
      <c r="D73" s="15">
        <v>0</v>
      </c>
      <c r="E73" s="15">
        <v>18</v>
      </c>
      <c r="F73" s="15" t="s">
        <v>115</v>
      </c>
      <c r="G73" s="15" t="s">
        <v>213</v>
      </c>
      <c r="H73" s="15">
        <v>0.26</v>
      </c>
      <c r="I73" s="15">
        <v>4</v>
      </c>
      <c r="J73" s="15">
        <v>70.668800000000005</v>
      </c>
      <c r="K73" s="15">
        <v>0.26650000000000001</v>
      </c>
      <c r="L73" s="15" t="s">
        <v>301</v>
      </c>
      <c r="M73" s="15">
        <v>1197</v>
      </c>
      <c r="N73" s="15">
        <v>130</v>
      </c>
    </row>
    <row r="74" spans="1:14" s="15" customFormat="1" x14ac:dyDescent="0.3">
      <c r="A74" s="15">
        <v>73</v>
      </c>
      <c r="B74" s="15" t="s">
        <v>99</v>
      </c>
      <c r="C74" s="15" t="s">
        <v>167</v>
      </c>
      <c r="D74" s="15">
        <v>305</v>
      </c>
      <c r="E74" s="15">
        <v>305</v>
      </c>
      <c r="F74" s="15" t="s">
        <v>117</v>
      </c>
      <c r="G74" s="15" t="s">
        <v>218</v>
      </c>
      <c r="H74" s="15">
        <v>0.42</v>
      </c>
      <c r="I74" s="15">
        <v>3.6</v>
      </c>
      <c r="J74" s="15">
        <v>26.95</v>
      </c>
      <c r="K74" s="15">
        <v>0.20080000000000001</v>
      </c>
      <c r="L74" s="15" t="s">
        <v>301</v>
      </c>
      <c r="M74" s="15">
        <v>1623</v>
      </c>
      <c r="N74" s="15">
        <v>111</v>
      </c>
    </row>
    <row r="75" spans="1:14" s="15" customFormat="1" x14ac:dyDescent="0.3">
      <c r="A75" s="15">
        <v>74</v>
      </c>
      <c r="B75" s="15" t="s">
        <v>100</v>
      </c>
      <c r="C75" s="15" t="s">
        <v>167</v>
      </c>
      <c r="D75" s="15">
        <v>0</v>
      </c>
      <c r="E75" s="15">
        <v>18</v>
      </c>
      <c r="F75" s="15" t="s">
        <v>115</v>
      </c>
      <c r="G75" s="15" t="s">
        <v>213</v>
      </c>
      <c r="H75" s="15">
        <v>0.26</v>
      </c>
      <c r="I75" s="15">
        <v>4</v>
      </c>
      <c r="J75" s="15">
        <v>70.668800000000005</v>
      </c>
      <c r="K75" s="15">
        <v>0.26650000000000001</v>
      </c>
      <c r="L75" s="15" t="s">
        <v>301</v>
      </c>
      <c r="M75" s="15">
        <v>1197</v>
      </c>
      <c r="N75" s="15">
        <v>130</v>
      </c>
    </row>
    <row r="76" spans="1:14" s="15" customFormat="1" x14ac:dyDescent="0.3">
      <c r="A76" s="15">
        <v>75</v>
      </c>
      <c r="B76" s="15" t="s">
        <v>101</v>
      </c>
      <c r="C76" s="15" t="s">
        <v>31</v>
      </c>
      <c r="D76" s="15">
        <v>0</v>
      </c>
      <c r="E76" s="15">
        <v>43</v>
      </c>
      <c r="F76" s="15" t="s">
        <v>216</v>
      </c>
      <c r="G76" s="15" t="s">
        <v>218</v>
      </c>
      <c r="H76" s="15">
        <v>0.45</v>
      </c>
      <c r="I76" s="15">
        <v>2.4</v>
      </c>
      <c r="J76" s="15">
        <v>26.95</v>
      </c>
      <c r="K76" s="15">
        <v>0.20080000000000001</v>
      </c>
      <c r="L76" s="15" t="s">
        <v>301</v>
      </c>
      <c r="M76" s="15">
        <v>1623</v>
      </c>
      <c r="N76" s="15">
        <v>111</v>
      </c>
    </row>
    <row r="77" spans="1:14" s="15" customFormat="1" x14ac:dyDescent="0.3">
      <c r="A77" s="15">
        <v>76</v>
      </c>
      <c r="B77" s="15" t="s">
        <v>102</v>
      </c>
      <c r="C77" s="15" t="s">
        <v>31</v>
      </c>
      <c r="D77" s="15">
        <v>0</v>
      </c>
      <c r="E77" s="15">
        <v>15</v>
      </c>
      <c r="F77" s="15" t="s">
        <v>217</v>
      </c>
      <c r="G77" s="15" t="s">
        <v>218</v>
      </c>
      <c r="H77" s="15">
        <v>0.45</v>
      </c>
      <c r="I77" s="15">
        <v>2.4</v>
      </c>
      <c r="J77" s="15">
        <v>26.95</v>
      </c>
      <c r="K77" s="15">
        <v>0.20080000000000001</v>
      </c>
      <c r="L77" s="15" t="s">
        <v>301</v>
      </c>
      <c r="M77" s="15">
        <v>1623</v>
      </c>
      <c r="N77" s="15">
        <v>111</v>
      </c>
    </row>
  </sheetData>
  <autoFilter ref="A1:N1" xr:uid="{F5BB7B97-D618-40FC-B6D8-52523CCF64A6}">
    <sortState ref="A2:N77">
      <sortCondition ref="A1"/>
    </sortState>
  </autoFilter>
  <conditionalFormatting sqref="C67:C75 C5 C11:C13 C15:C65">
    <cfRule type="colorScale" priority="5">
      <colorScale>
        <cfvo type="formula" val="&quot;yes&quot;"/>
        <cfvo type="formula" val="&quot;no&quot;"/>
        <color theme="6" tint="0.39997558519241921"/>
        <color theme="9" tint="0.39997558519241921"/>
      </colorScale>
    </cfRule>
    <cfRule type="expression" dxfId="3" priority="6">
      <formula>IF(C5="yes",TRUE,FALSE)</formula>
    </cfRule>
  </conditionalFormatting>
  <conditionalFormatting sqref="C66">
    <cfRule type="colorScale" priority="3">
      <colorScale>
        <cfvo type="formula" val="&quot;yes&quot;"/>
        <cfvo type="formula" val="&quot;no&quot;"/>
        <color theme="6" tint="0.39997558519241921"/>
        <color theme="9" tint="0.39997558519241921"/>
      </colorScale>
    </cfRule>
    <cfRule type="expression" dxfId="2" priority="4">
      <formula>IF(C66="yes",TRUE,FALSE)</formula>
    </cfRule>
  </conditionalFormatting>
  <conditionalFormatting sqref="C14">
    <cfRule type="colorScale" priority="1">
      <colorScale>
        <cfvo type="formula" val="&quot;yes&quot;"/>
        <cfvo type="formula" val="&quot;no&quot;"/>
        <color theme="6" tint="0.39997558519241921"/>
        <color theme="9" tint="0.39997558519241921"/>
      </colorScale>
    </cfRule>
    <cfRule type="expression" dxfId="1" priority="2">
      <formula>IF(C14="yes",TRUE,FALSE)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EBF9C-A413-4C43-9E60-562CC530A0EE}">
  <dimension ref="A1:C4"/>
  <sheetViews>
    <sheetView workbookViewId="0">
      <selection activeCell="E8" sqref="E8"/>
    </sheetView>
  </sheetViews>
  <sheetFormatPr baseColWidth="10" defaultRowHeight="14.4" x14ac:dyDescent="0.3"/>
  <cols>
    <col min="1" max="1" width="8" bestFit="1" customWidth="1"/>
    <col min="2" max="2" width="13.44140625" bestFit="1" customWidth="1"/>
    <col min="3" max="3" width="5" bestFit="1" customWidth="1"/>
  </cols>
  <sheetData>
    <row r="1" spans="1:3" x14ac:dyDescent="0.3">
      <c r="A1" s="17" t="s">
        <v>3</v>
      </c>
      <c r="B1" s="17" t="s">
        <v>2</v>
      </c>
      <c r="C1" s="17" t="s">
        <v>228</v>
      </c>
    </row>
    <row r="2" spans="1:3" x14ac:dyDescent="0.3">
      <c r="A2" t="s">
        <v>226</v>
      </c>
      <c r="B2">
        <v>1379</v>
      </c>
      <c r="C2">
        <v>0.6</v>
      </c>
    </row>
    <row r="3" spans="1:3" x14ac:dyDescent="0.3">
      <c r="A3" t="s">
        <v>227</v>
      </c>
      <c r="B3">
        <v>503</v>
      </c>
      <c r="C3">
        <v>0.6</v>
      </c>
    </row>
    <row r="4" spans="1:3" x14ac:dyDescent="0.3">
      <c r="A4" t="s">
        <v>214</v>
      </c>
      <c r="B4">
        <v>46</v>
      </c>
      <c r="C4">
        <v>0.6</v>
      </c>
    </row>
  </sheetData>
  <autoFilter ref="A1:C1" xr:uid="{63E60E83-E170-4600-AE52-199EE3E7F82E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B00C-AA13-4E53-92CE-EF039324E601}">
  <dimension ref="A1:F12"/>
  <sheetViews>
    <sheetView workbookViewId="0">
      <selection activeCell="F22" sqref="F22"/>
    </sheetView>
  </sheetViews>
  <sheetFormatPr baseColWidth="10" defaultRowHeight="14.4" x14ac:dyDescent="0.3"/>
  <cols>
    <col min="1" max="1" width="12.33203125" bestFit="1" customWidth="1"/>
    <col min="3" max="3" width="12.44140625" bestFit="1" customWidth="1"/>
  </cols>
  <sheetData>
    <row r="1" spans="1:6" x14ac:dyDescent="0.3">
      <c r="A1" s="20" t="s">
        <v>4</v>
      </c>
      <c r="B1" s="20" t="s">
        <v>1</v>
      </c>
      <c r="C1" s="20" t="s">
        <v>2</v>
      </c>
      <c r="D1" s="20" t="s">
        <v>128</v>
      </c>
      <c r="E1" s="20" t="s">
        <v>5</v>
      </c>
      <c r="F1" s="20" t="s">
        <v>6</v>
      </c>
    </row>
    <row r="2" spans="1:6" x14ac:dyDescent="0.3">
      <c r="A2" s="3" t="s">
        <v>129</v>
      </c>
      <c r="B2" s="3" t="s">
        <v>35</v>
      </c>
      <c r="C2" s="3">
        <v>160.99016424751719</v>
      </c>
      <c r="D2" s="3">
        <v>56</v>
      </c>
      <c r="E2" s="3">
        <v>1297.78</v>
      </c>
      <c r="F2" s="3">
        <v>34.21</v>
      </c>
    </row>
    <row r="3" spans="1:6" x14ac:dyDescent="0.3">
      <c r="A3" s="3" t="s">
        <v>130</v>
      </c>
      <c r="B3" s="3" t="s">
        <v>297</v>
      </c>
      <c r="C3" s="3">
        <v>331.5832505729565</v>
      </c>
      <c r="D3" s="3">
        <v>54</v>
      </c>
      <c r="E3" s="3">
        <v>1297.78</v>
      </c>
      <c r="F3" s="3">
        <v>34.21</v>
      </c>
    </row>
    <row r="4" spans="1:6" x14ac:dyDescent="0.3">
      <c r="A4" s="3" t="s">
        <v>131</v>
      </c>
      <c r="B4" s="3" t="s">
        <v>35</v>
      </c>
      <c r="C4" s="3">
        <v>221.43208556149733</v>
      </c>
      <c r="D4" s="3">
        <v>28</v>
      </c>
      <c r="E4" s="3">
        <v>1297.78</v>
      </c>
      <c r="F4" s="3">
        <v>34.21</v>
      </c>
    </row>
    <row r="5" spans="1:6" x14ac:dyDescent="0.3">
      <c r="A5" s="3" t="s">
        <v>132</v>
      </c>
      <c r="B5" s="3" t="s">
        <v>35</v>
      </c>
      <c r="C5" s="3">
        <v>155.34138655462183</v>
      </c>
      <c r="D5" s="3">
        <v>50</v>
      </c>
      <c r="E5" s="3">
        <v>1297.78</v>
      </c>
      <c r="F5" s="3">
        <v>34.21</v>
      </c>
    </row>
    <row r="6" spans="1:6" x14ac:dyDescent="0.3">
      <c r="A6" s="3" t="s">
        <v>133</v>
      </c>
      <c r="B6" s="3" t="s">
        <v>35</v>
      </c>
      <c r="C6" s="3">
        <v>373.384205500382</v>
      </c>
      <c r="D6" s="3">
        <v>44</v>
      </c>
      <c r="E6" s="3">
        <v>1297.78</v>
      </c>
      <c r="F6" s="3">
        <v>34.21</v>
      </c>
    </row>
    <row r="7" spans="1:6" x14ac:dyDescent="0.3">
      <c r="A7" s="3" t="s">
        <v>134</v>
      </c>
      <c r="B7" s="3" t="s">
        <v>35</v>
      </c>
      <c r="C7" s="3">
        <v>205.70965431627195</v>
      </c>
      <c r="D7" s="3">
        <v>23</v>
      </c>
      <c r="E7" s="3">
        <v>1297.78</v>
      </c>
      <c r="F7" s="3">
        <v>34.21</v>
      </c>
    </row>
    <row r="8" spans="1:6" x14ac:dyDescent="0.3">
      <c r="A8" s="3" t="s">
        <v>135</v>
      </c>
      <c r="B8" s="3" t="s">
        <v>35</v>
      </c>
      <c r="C8" s="3">
        <v>223.69159663865545</v>
      </c>
      <c r="D8" s="3">
        <v>72</v>
      </c>
      <c r="E8" s="3">
        <v>1297.78</v>
      </c>
      <c r="F8" s="3">
        <v>34.21</v>
      </c>
    </row>
    <row r="9" spans="1:6" x14ac:dyDescent="0.3">
      <c r="A9" s="3" t="s">
        <v>136</v>
      </c>
      <c r="B9" s="3" t="s">
        <v>35</v>
      </c>
      <c r="C9" s="3">
        <v>290.62961229946524</v>
      </c>
      <c r="D9" s="3">
        <v>42</v>
      </c>
      <c r="E9" s="3">
        <v>1297.78</v>
      </c>
      <c r="F9" s="3">
        <v>34.21</v>
      </c>
    </row>
    <row r="10" spans="1:6" x14ac:dyDescent="0.3">
      <c r="A10" s="3" t="s">
        <v>137</v>
      </c>
      <c r="B10" s="3" t="s">
        <v>35</v>
      </c>
      <c r="C10" s="3">
        <v>237.24866310160428</v>
      </c>
      <c r="D10" s="3">
        <v>30</v>
      </c>
      <c r="E10" s="3">
        <v>1297.78</v>
      </c>
      <c r="F10" s="3">
        <v>34.21</v>
      </c>
    </row>
    <row r="11" spans="1:6" x14ac:dyDescent="0.3">
      <c r="A11" t="s">
        <v>239</v>
      </c>
      <c r="B11" s="3" t="s">
        <v>297</v>
      </c>
      <c r="C11" s="3">
        <v>728</v>
      </c>
      <c r="D11">
        <v>49</v>
      </c>
      <c r="E11" s="3">
        <v>1297.78</v>
      </c>
      <c r="F11" s="3">
        <v>34.21</v>
      </c>
    </row>
    <row r="12" spans="1:6" x14ac:dyDescent="0.3">
      <c r="A12" t="s">
        <v>240</v>
      </c>
      <c r="B12" s="3" t="s">
        <v>297</v>
      </c>
      <c r="C12" s="3">
        <v>2782</v>
      </c>
      <c r="D12">
        <v>185</v>
      </c>
      <c r="E12" s="3">
        <v>1297.78</v>
      </c>
      <c r="F12" s="3">
        <v>34.21</v>
      </c>
    </row>
  </sheetData>
  <autoFilter ref="A1:F1" xr:uid="{A64C47F8-846A-42F1-AD52-BE5DE5EDD074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D4063-AD13-4D53-B713-6F48AE7D29DF}">
  <dimension ref="A1:C2"/>
  <sheetViews>
    <sheetView workbookViewId="0">
      <selection activeCell="E21" sqref="E21"/>
    </sheetView>
  </sheetViews>
  <sheetFormatPr baseColWidth="10" defaultRowHeight="14.4" x14ac:dyDescent="0.3"/>
  <cols>
    <col min="1" max="1" width="10.5546875" bestFit="1" customWidth="1"/>
    <col min="2" max="2" width="13.5546875" bestFit="1" customWidth="1"/>
  </cols>
  <sheetData>
    <row r="1" spans="1:3" x14ac:dyDescent="0.3">
      <c r="A1" s="17" t="s">
        <v>19</v>
      </c>
      <c r="B1" s="17" t="s">
        <v>20</v>
      </c>
      <c r="C1" s="17" t="s">
        <v>209</v>
      </c>
    </row>
    <row r="2" spans="1:3" x14ac:dyDescent="0.3">
      <c r="A2">
        <v>14100</v>
      </c>
      <c r="B2">
        <v>5300</v>
      </c>
      <c r="C2">
        <v>151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B846-3E98-4E05-8738-D8C123134D10}">
  <dimension ref="A1:V16"/>
  <sheetViews>
    <sheetView zoomScale="86" workbookViewId="0">
      <selection activeCell="K6" sqref="K6"/>
    </sheetView>
  </sheetViews>
  <sheetFormatPr baseColWidth="10" defaultRowHeight="14.4" x14ac:dyDescent="0.3"/>
  <cols>
    <col min="1" max="1" width="16.88671875" customWidth="1"/>
    <col min="2" max="2" width="24.21875" bestFit="1" customWidth="1"/>
    <col min="3" max="3" width="10.109375" bestFit="1" customWidth="1"/>
    <col min="4" max="4" width="14.44140625" bestFit="1" customWidth="1"/>
    <col min="5" max="5" width="12.6640625" customWidth="1"/>
    <col min="6" max="6" width="13.44140625" bestFit="1" customWidth="1"/>
    <col min="7" max="7" width="7.33203125" bestFit="1" customWidth="1"/>
    <col min="8" max="8" width="24.44140625" bestFit="1" customWidth="1"/>
    <col min="9" max="9" width="22.33203125" bestFit="1" customWidth="1"/>
    <col min="10" max="10" width="20.109375" bestFit="1" customWidth="1"/>
    <col min="11" max="11" width="13.77734375" bestFit="1" customWidth="1"/>
    <col min="12" max="12" width="10.44140625" bestFit="1" customWidth="1"/>
    <col min="13" max="13" width="8.44140625" bestFit="1" customWidth="1"/>
    <col min="14" max="14" width="7.88671875" bestFit="1" customWidth="1"/>
    <col min="15" max="15" width="8.109375" bestFit="1" customWidth="1"/>
    <col min="16" max="16" width="17.44140625" bestFit="1" customWidth="1"/>
    <col min="17" max="17" width="11.88671875" bestFit="1" customWidth="1"/>
    <col min="18" max="18" width="17.44140625" customWidth="1"/>
    <col min="19" max="19" width="10.77734375" bestFit="1" customWidth="1"/>
    <col min="20" max="20" width="12.109375" bestFit="1" customWidth="1"/>
    <col min="21" max="22" width="12" bestFit="1" customWidth="1"/>
  </cols>
  <sheetData>
    <row r="1" spans="1:22" x14ac:dyDescent="0.3">
      <c r="A1" s="17" t="s">
        <v>17</v>
      </c>
      <c r="B1" s="17" t="s">
        <v>4</v>
      </c>
      <c r="C1" s="17" t="s">
        <v>1</v>
      </c>
      <c r="D1" s="17" t="s">
        <v>153</v>
      </c>
      <c r="E1" s="17" t="s">
        <v>2</v>
      </c>
      <c r="F1" s="17" t="s">
        <v>304</v>
      </c>
      <c r="G1" s="17" t="s">
        <v>3</v>
      </c>
      <c r="H1" s="17" t="s">
        <v>266</v>
      </c>
      <c r="I1" s="17" t="s">
        <v>267</v>
      </c>
      <c r="J1" s="17" t="s">
        <v>268</v>
      </c>
      <c r="K1" s="17" t="s">
        <v>269</v>
      </c>
      <c r="L1" s="17" t="s">
        <v>258</v>
      </c>
      <c r="M1" s="17" t="s">
        <v>270</v>
      </c>
      <c r="N1" s="17" t="s">
        <v>5</v>
      </c>
      <c r="O1" s="17" t="s">
        <v>6</v>
      </c>
      <c r="P1" s="17" t="s">
        <v>194</v>
      </c>
      <c r="Q1" s="17" t="s">
        <v>7</v>
      </c>
      <c r="R1" s="17" t="s">
        <v>8</v>
      </c>
      <c r="S1" s="17" t="s">
        <v>179</v>
      </c>
      <c r="T1" s="17" t="s">
        <v>180</v>
      </c>
      <c r="U1" s="17" t="s">
        <v>181</v>
      </c>
      <c r="V1" s="17" t="s">
        <v>182</v>
      </c>
    </row>
    <row r="2" spans="1:22" x14ac:dyDescent="0.3">
      <c r="A2">
        <v>1</v>
      </c>
      <c r="B2" t="s">
        <v>138</v>
      </c>
      <c r="C2" t="s">
        <v>111</v>
      </c>
      <c r="D2" t="s">
        <v>195</v>
      </c>
      <c r="E2">
        <v>1000</v>
      </c>
      <c r="F2">
        <v>1000</v>
      </c>
      <c r="G2" t="s">
        <v>139</v>
      </c>
      <c r="H2">
        <v>51.669515627891862</v>
      </c>
      <c r="I2">
        <v>0</v>
      </c>
      <c r="J2">
        <f>12.3/2</f>
        <v>6.15</v>
      </c>
      <c r="K2">
        <v>1</v>
      </c>
      <c r="L2" t="s">
        <v>140</v>
      </c>
      <c r="M2" t="s">
        <v>140</v>
      </c>
      <c r="N2">
        <v>31300</v>
      </c>
      <c r="O2">
        <v>14</v>
      </c>
      <c r="P2">
        <f>2.52*0.5</f>
        <v>1.26</v>
      </c>
      <c r="Q2" t="s">
        <v>111</v>
      </c>
      <c r="R2" t="s">
        <v>208</v>
      </c>
      <c r="S2" s="13">
        <v>51.316761269176602</v>
      </c>
      <c r="T2" s="13">
        <v>3.1530132326074298</v>
      </c>
      <c r="U2">
        <v>51.280248976074802</v>
      </c>
      <c r="V2">
        <v>1.0795604593536301</v>
      </c>
    </row>
    <row r="3" spans="1:22" x14ac:dyDescent="0.3">
      <c r="A3">
        <v>2</v>
      </c>
      <c r="B3" t="s">
        <v>305</v>
      </c>
      <c r="C3" t="s">
        <v>297</v>
      </c>
      <c r="D3" t="s">
        <v>195</v>
      </c>
      <c r="E3">
        <v>1400</v>
      </c>
      <c r="F3">
        <v>1400</v>
      </c>
      <c r="G3" t="s">
        <v>139</v>
      </c>
      <c r="H3">
        <f>H2</f>
        <v>51.669515627891862</v>
      </c>
      <c r="I3">
        <v>0</v>
      </c>
      <c r="J3">
        <f t="shared" ref="J3:J16" si="0">12.3/2</f>
        <v>6.15</v>
      </c>
      <c r="K3">
        <v>1</v>
      </c>
      <c r="L3" t="s">
        <v>140</v>
      </c>
      <c r="M3" t="s">
        <v>140</v>
      </c>
      <c r="N3">
        <v>31300</v>
      </c>
      <c r="O3">
        <v>14</v>
      </c>
      <c r="P3">
        <f>2.52*0.5</f>
        <v>1.26</v>
      </c>
      <c r="Q3" t="s">
        <v>297</v>
      </c>
    </row>
    <row r="4" spans="1:22" x14ac:dyDescent="0.3">
      <c r="A4">
        <v>3</v>
      </c>
      <c r="B4" t="s">
        <v>141</v>
      </c>
      <c r="C4" t="s">
        <v>33</v>
      </c>
      <c r="D4" t="s">
        <v>154</v>
      </c>
      <c r="E4">
        <f>F4/(SUM(F$4:F$7))*3400</f>
        <v>925.25318523358396</v>
      </c>
      <c r="F4">
        <f>SQRT(3)*L4*M4/1000</f>
        <v>1644.7900878835571</v>
      </c>
      <c r="G4" t="s">
        <v>142</v>
      </c>
      <c r="H4">
        <v>41.665112225483711</v>
      </c>
      <c r="I4">
        <v>0</v>
      </c>
      <c r="J4">
        <f t="shared" si="0"/>
        <v>6.15</v>
      </c>
      <c r="K4">
        <v>2</v>
      </c>
      <c r="L4">
        <v>2499</v>
      </c>
      <c r="M4">
        <v>380</v>
      </c>
      <c r="N4">
        <v>31300</v>
      </c>
      <c r="O4">
        <v>14</v>
      </c>
      <c r="P4">
        <f>6.23/4</f>
        <v>1.5575000000000001</v>
      </c>
      <c r="Q4" t="s">
        <v>33</v>
      </c>
      <c r="R4" t="s">
        <v>196</v>
      </c>
      <c r="S4" s="13">
        <v>51.360091658603402</v>
      </c>
      <c r="T4" s="13">
        <v>4.3089195290749096</v>
      </c>
      <c r="U4">
        <v>51.425142586213902</v>
      </c>
      <c r="V4">
        <v>3.73505895837005</v>
      </c>
    </row>
    <row r="5" spans="1:22" x14ac:dyDescent="0.3">
      <c r="A5">
        <v>4</v>
      </c>
      <c r="B5" t="s">
        <v>143</v>
      </c>
      <c r="C5" t="s">
        <v>33</v>
      </c>
      <c r="D5" t="s">
        <v>154</v>
      </c>
      <c r="E5">
        <f t="shared" ref="E5:E7" si="1">F5/(SUM(F$4:F$7))*3400</f>
        <v>925.25318523358396</v>
      </c>
      <c r="F5">
        <f t="shared" ref="F5:F12" si="2">SQRT(3)*L5*M5/1000</f>
        <v>1644.7900878835571</v>
      </c>
      <c r="G5" t="s">
        <v>142</v>
      </c>
      <c r="H5">
        <v>41.665112225483711</v>
      </c>
      <c r="I5">
        <v>0</v>
      </c>
      <c r="J5">
        <f t="shared" si="0"/>
        <v>6.15</v>
      </c>
      <c r="K5">
        <v>2</v>
      </c>
      <c r="L5">
        <v>2499</v>
      </c>
      <c r="M5">
        <v>380</v>
      </c>
      <c r="N5">
        <v>31300</v>
      </c>
      <c r="O5">
        <v>14</v>
      </c>
      <c r="P5">
        <f t="shared" ref="P5:P7" si="3">6.23/4</f>
        <v>1.5575000000000001</v>
      </c>
      <c r="Q5" t="s">
        <v>33</v>
      </c>
      <c r="R5" t="s">
        <v>197</v>
      </c>
      <c r="S5" s="13">
        <v>51.360091658603402</v>
      </c>
      <c r="T5" s="13">
        <v>4.3089195290749096</v>
      </c>
      <c r="U5">
        <v>51.539250518511402</v>
      </c>
      <c r="V5">
        <v>4.9461948648081702</v>
      </c>
    </row>
    <row r="6" spans="1:22" x14ac:dyDescent="0.3">
      <c r="A6">
        <v>5</v>
      </c>
      <c r="B6" t="s">
        <v>241</v>
      </c>
      <c r="C6" t="s">
        <v>37</v>
      </c>
      <c r="D6" t="s">
        <v>154</v>
      </c>
      <c r="E6">
        <f t="shared" si="1"/>
        <v>809.36513122073404</v>
      </c>
      <c r="F6">
        <f t="shared" si="2"/>
        <v>1438.7799648313148</v>
      </c>
      <c r="G6" t="s">
        <v>142</v>
      </c>
      <c r="H6">
        <v>41.665112225483711</v>
      </c>
      <c r="I6">
        <v>0</v>
      </c>
      <c r="J6">
        <f t="shared" si="0"/>
        <v>6.15</v>
      </c>
      <c r="K6">
        <v>2</v>
      </c>
      <c r="L6">
        <v>2186</v>
      </c>
      <c r="M6">
        <v>380</v>
      </c>
      <c r="N6">
        <v>31300</v>
      </c>
      <c r="O6">
        <v>14</v>
      </c>
      <c r="P6">
        <f t="shared" si="3"/>
        <v>1.5575000000000001</v>
      </c>
      <c r="Q6" t="s">
        <v>37</v>
      </c>
      <c r="R6" t="s">
        <v>198</v>
      </c>
      <c r="S6" s="13">
        <v>51.121523000000003</v>
      </c>
      <c r="T6" s="13">
        <v>5.7731950000000003</v>
      </c>
      <c r="U6">
        <v>51.140732751450798</v>
      </c>
      <c r="V6">
        <v>5.8916748902889804</v>
      </c>
    </row>
    <row r="7" spans="1:22" x14ac:dyDescent="0.3">
      <c r="A7">
        <v>6</v>
      </c>
      <c r="B7" t="s">
        <v>242</v>
      </c>
      <c r="C7" t="s">
        <v>37</v>
      </c>
      <c r="D7" t="s">
        <v>154</v>
      </c>
      <c r="E7">
        <f t="shared" si="1"/>
        <v>740.12849831209849</v>
      </c>
      <c r="F7">
        <f t="shared" si="2"/>
        <v>1315.7004344454704</v>
      </c>
      <c r="G7" t="s">
        <v>142</v>
      </c>
      <c r="H7">
        <v>41.665112225483711</v>
      </c>
      <c r="I7">
        <v>0</v>
      </c>
      <c r="J7">
        <f t="shared" si="0"/>
        <v>6.15</v>
      </c>
      <c r="K7">
        <v>2</v>
      </c>
      <c r="L7">
        <v>1999</v>
      </c>
      <c r="M7">
        <v>380</v>
      </c>
      <c r="N7">
        <v>31300</v>
      </c>
      <c r="O7">
        <v>14</v>
      </c>
      <c r="P7">
        <f t="shared" si="3"/>
        <v>1.5575000000000001</v>
      </c>
      <c r="Q7" t="s">
        <v>37</v>
      </c>
      <c r="R7" t="s">
        <v>198</v>
      </c>
      <c r="S7" s="13">
        <v>51.121523000000003</v>
      </c>
      <c r="T7" s="13">
        <v>5.7731950000000003</v>
      </c>
      <c r="U7">
        <v>51.140732751450798</v>
      </c>
      <c r="V7">
        <v>5.8916748902889804</v>
      </c>
    </row>
    <row r="8" spans="1:22" x14ac:dyDescent="0.3">
      <c r="A8">
        <v>7</v>
      </c>
      <c r="B8" t="s">
        <v>144</v>
      </c>
      <c r="C8" t="s">
        <v>127</v>
      </c>
      <c r="D8" t="s">
        <v>156</v>
      </c>
      <c r="E8">
        <v>1000</v>
      </c>
      <c r="F8">
        <v>1000</v>
      </c>
      <c r="G8" t="s">
        <v>139</v>
      </c>
      <c r="H8">
        <v>36.842239100891582</v>
      </c>
      <c r="I8">
        <v>0</v>
      </c>
      <c r="J8">
        <f t="shared" si="0"/>
        <v>6.15</v>
      </c>
      <c r="K8">
        <v>3</v>
      </c>
      <c r="L8" t="s">
        <v>140</v>
      </c>
      <c r="M8" t="s">
        <v>140</v>
      </c>
      <c r="N8">
        <v>31300</v>
      </c>
      <c r="O8">
        <v>14</v>
      </c>
      <c r="P8">
        <v>3.23</v>
      </c>
      <c r="Q8" t="s">
        <v>127</v>
      </c>
      <c r="R8" t="s">
        <v>199</v>
      </c>
      <c r="S8" s="13">
        <v>50.757772036836997</v>
      </c>
      <c r="T8" s="13">
        <v>5.6814758674481398</v>
      </c>
      <c r="U8">
        <v>50.867437132344698</v>
      </c>
      <c r="V8">
        <v>6.4731208431253204</v>
      </c>
    </row>
    <row r="9" spans="1:22" x14ac:dyDescent="0.3">
      <c r="A9">
        <v>8</v>
      </c>
      <c r="B9" t="s">
        <v>145</v>
      </c>
      <c r="C9" t="s">
        <v>124</v>
      </c>
      <c r="D9" t="s">
        <v>157</v>
      </c>
      <c r="E9">
        <f>F9/SUM(F$9:F$10)*180</f>
        <v>90</v>
      </c>
      <c r="F9">
        <f t="shared" si="2"/>
        <v>395.15007123876364</v>
      </c>
      <c r="G9" t="s">
        <v>142</v>
      </c>
      <c r="H9">
        <v>36.842239100891582</v>
      </c>
      <c r="I9">
        <v>0</v>
      </c>
      <c r="J9">
        <f t="shared" si="0"/>
        <v>6.15</v>
      </c>
      <c r="K9">
        <v>4</v>
      </c>
      <c r="L9">
        <v>1037</v>
      </c>
      <c r="M9">
        <v>220</v>
      </c>
      <c r="N9">
        <v>31300</v>
      </c>
      <c r="O9">
        <v>14</v>
      </c>
      <c r="P9">
        <f>0.11*0.5</f>
        <v>5.5E-2</v>
      </c>
      <c r="Q9" t="s">
        <v>124</v>
      </c>
      <c r="R9" t="s">
        <v>200</v>
      </c>
      <c r="S9" s="13">
        <v>49.563837674746701</v>
      </c>
      <c r="T9" s="13">
        <v>5.7992758711646104</v>
      </c>
      <c r="U9">
        <v>49.499952186955902</v>
      </c>
      <c r="V9">
        <v>5.9518039044067796</v>
      </c>
    </row>
    <row r="10" spans="1:22" x14ac:dyDescent="0.3">
      <c r="A10">
        <v>9</v>
      </c>
      <c r="B10" t="s">
        <v>146</v>
      </c>
      <c r="C10" t="s">
        <v>124</v>
      </c>
      <c r="D10" t="s">
        <v>157</v>
      </c>
      <c r="E10">
        <f>F10/SUM(F$9:F$10)*180</f>
        <v>90</v>
      </c>
      <c r="F10">
        <f t="shared" si="2"/>
        <v>395.15007123876364</v>
      </c>
      <c r="G10" t="s">
        <v>142</v>
      </c>
      <c r="H10">
        <v>36.842239100891582</v>
      </c>
      <c r="I10">
        <v>0</v>
      </c>
      <c r="J10">
        <f t="shared" si="0"/>
        <v>6.15</v>
      </c>
      <c r="K10">
        <v>4</v>
      </c>
      <c r="L10">
        <v>1037</v>
      </c>
      <c r="M10">
        <v>220</v>
      </c>
      <c r="N10">
        <v>31300</v>
      </c>
      <c r="O10">
        <v>14</v>
      </c>
      <c r="P10">
        <f>0.11*0.5</f>
        <v>5.5E-2</v>
      </c>
      <c r="Q10" t="s">
        <v>124</v>
      </c>
      <c r="R10" t="s">
        <v>201</v>
      </c>
      <c r="S10" s="13">
        <v>49.563837674746701</v>
      </c>
      <c r="T10" s="13">
        <v>5.7992758711646104</v>
      </c>
      <c r="U10">
        <v>49.548023538160798</v>
      </c>
      <c r="V10">
        <v>5.9295246912102701</v>
      </c>
    </row>
    <row r="11" spans="1:22" x14ac:dyDescent="0.3">
      <c r="A11">
        <v>10</v>
      </c>
      <c r="B11" t="s">
        <v>147</v>
      </c>
      <c r="C11" t="s">
        <v>124</v>
      </c>
      <c r="D11" t="s">
        <v>155</v>
      </c>
      <c r="E11">
        <f>F11/SUM(F$11:F$16)*4300</f>
        <v>348.94872740686094</v>
      </c>
      <c r="F11">
        <f t="shared" si="2"/>
        <v>442.01936609157747</v>
      </c>
      <c r="G11" t="s">
        <v>142</v>
      </c>
      <c r="H11">
        <v>42.560223146336099</v>
      </c>
      <c r="I11">
        <v>0</v>
      </c>
      <c r="J11">
        <f t="shared" si="0"/>
        <v>6.15</v>
      </c>
      <c r="K11">
        <v>5</v>
      </c>
      <c r="L11">
        <v>1160</v>
      </c>
      <c r="M11">
        <v>220</v>
      </c>
      <c r="N11">
        <v>31300</v>
      </c>
      <c r="O11">
        <v>14</v>
      </c>
      <c r="P11">
        <f>7.59/6</f>
        <v>1.2649999999999999</v>
      </c>
      <c r="Q11" t="s">
        <v>124</v>
      </c>
      <c r="R11" t="s">
        <v>202</v>
      </c>
      <c r="S11" s="13">
        <v>49.563837674746701</v>
      </c>
      <c r="T11" s="13">
        <v>5.7992758711646104</v>
      </c>
      <c r="U11">
        <v>49.502450800214199</v>
      </c>
      <c r="V11">
        <v>5.8204494695847302</v>
      </c>
    </row>
    <row r="12" spans="1:22" x14ac:dyDescent="0.3">
      <c r="A12">
        <v>11</v>
      </c>
      <c r="B12" t="s">
        <v>148</v>
      </c>
      <c r="C12" t="s">
        <v>124</v>
      </c>
      <c r="D12" t="s">
        <v>155</v>
      </c>
      <c r="E12">
        <f t="shared" ref="E12:E16" si="4">F12/SUM(F$11:F$16)*4300</f>
        <v>348.94872740686094</v>
      </c>
      <c r="F12">
        <f t="shared" si="2"/>
        <v>442.01936609157747</v>
      </c>
      <c r="G12" t="s">
        <v>142</v>
      </c>
      <c r="H12">
        <v>42.560223146336099</v>
      </c>
      <c r="I12">
        <v>0</v>
      </c>
      <c r="J12">
        <f t="shared" si="0"/>
        <v>6.15</v>
      </c>
      <c r="K12">
        <v>5</v>
      </c>
      <c r="L12">
        <v>1160</v>
      </c>
      <c r="M12">
        <v>220</v>
      </c>
      <c r="N12">
        <v>31300</v>
      </c>
      <c r="O12">
        <v>14</v>
      </c>
      <c r="P12">
        <f t="shared" ref="P12:P16" si="5">7.59/6</f>
        <v>1.2649999999999999</v>
      </c>
      <c r="Q12" t="s">
        <v>124</v>
      </c>
      <c r="R12" t="s">
        <v>203</v>
      </c>
      <c r="S12" s="13">
        <v>49.563837674746701</v>
      </c>
      <c r="T12" s="13">
        <v>5.7992758711646104</v>
      </c>
      <c r="U12">
        <v>49.502450800214199</v>
      </c>
      <c r="V12">
        <v>5.8204494695847302</v>
      </c>
    </row>
    <row r="13" spans="1:22" x14ac:dyDescent="0.3">
      <c r="A13">
        <v>12</v>
      </c>
      <c r="B13" t="s">
        <v>149</v>
      </c>
      <c r="C13" t="s">
        <v>113</v>
      </c>
      <c r="D13" t="s">
        <v>155</v>
      </c>
      <c r="E13">
        <f t="shared" si="4"/>
        <v>318.26530482453353</v>
      </c>
      <c r="F13">
        <v>403.15214596973186</v>
      </c>
      <c r="G13" t="s">
        <v>142</v>
      </c>
      <c r="H13">
        <v>42.560223146336099</v>
      </c>
      <c r="I13">
        <v>0</v>
      </c>
      <c r="J13">
        <f t="shared" si="0"/>
        <v>6.15</v>
      </c>
      <c r="K13">
        <v>5</v>
      </c>
      <c r="L13">
        <v>1058</v>
      </c>
      <c r="M13" t="s">
        <v>140</v>
      </c>
      <c r="N13">
        <v>31300</v>
      </c>
      <c r="O13">
        <v>14</v>
      </c>
      <c r="P13">
        <f t="shared" si="5"/>
        <v>1.2649999999999999</v>
      </c>
      <c r="Q13" t="s">
        <v>113</v>
      </c>
      <c r="R13" t="s">
        <v>204</v>
      </c>
      <c r="S13" s="13">
        <v>50.395207281948899</v>
      </c>
      <c r="T13" s="13">
        <v>4.4275796097614899</v>
      </c>
      <c r="U13">
        <v>50.102511633212202</v>
      </c>
      <c r="V13">
        <v>4.8045548015924204</v>
      </c>
    </row>
    <row r="14" spans="1:22" s="13" customFormat="1" x14ac:dyDescent="0.3">
      <c r="A14">
        <v>13</v>
      </c>
      <c r="B14" s="13" t="s">
        <v>150</v>
      </c>
      <c r="C14" s="13" t="s">
        <v>21</v>
      </c>
      <c r="D14" s="13" t="s">
        <v>155</v>
      </c>
      <c r="E14">
        <f t="shared" si="4"/>
        <v>1038.6694056144188</v>
      </c>
      <c r="F14" s="13">
        <v>1315.7004344454704</v>
      </c>
      <c r="G14" s="13" t="s">
        <v>142</v>
      </c>
      <c r="H14" s="13">
        <v>42.560223146336099</v>
      </c>
      <c r="I14" s="13">
        <v>0</v>
      </c>
      <c r="J14" s="13">
        <f t="shared" si="0"/>
        <v>6.15</v>
      </c>
      <c r="K14" s="13">
        <v>5</v>
      </c>
      <c r="L14" s="13">
        <v>1999</v>
      </c>
      <c r="M14" s="13" t="s">
        <v>140</v>
      </c>
      <c r="N14">
        <v>31300</v>
      </c>
      <c r="O14">
        <v>14</v>
      </c>
      <c r="P14">
        <f t="shared" si="5"/>
        <v>1.2649999999999999</v>
      </c>
      <c r="Q14" t="s">
        <v>21</v>
      </c>
      <c r="R14" t="s">
        <v>205</v>
      </c>
      <c r="S14" s="13">
        <v>50.267829470724003</v>
      </c>
      <c r="T14" s="13">
        <v>5.0456341096881596</v>
      </c>
      <c r="U14" s="13">
        <v>49.816245135299098</v>
      </c>
      <c r="V14" s="13">
        <v>4.5856595371275102</v>
      </c>
    </row>
    <row r="15" spans="1:22" x14ac:dyDescent="0.3">
      <c r="A15">
        <v>14</v>
      </c>
      <c r="B15" t="s">
        <v>151</v>
      </c>
      <c r="C15" t="s">
        <v>24</v>
      </c>
      <c r="D15" t="s">
        <v>155</v>
      </c>
      <c r="E15">
        <f t="shared" si="4"/>
        <v>1038.6694056144188</v>
      </c>
      <c r="F15">
        <f t="shared" ref="F15:F16" si="6">SQRT(3)*L15*M15/1000</f>
        <v>1315.7004344454704</v>
      </c>
      <c r="G15" t="s">
        <v>142</v>
      </c>
      <c r="H15">
        <v>42.560223146336099</v>
      </c>
      <c r="I15">
        <v>0</v>
      </c>
      <c r="J15">
        <f t="shared" si="0"/>
        <v>6.15</v>
      </c>
      <c r="K15">
        <v>5</v>
      </c>
      <c r="L15">
        <v>1999</v>
      </c>
      <c r="M15">
        <v>380</v>
      </c>
      <c r="N15">
        <v>31300</v>
      </c>
      <c r="O15">
        <v>14</v>
      </c>
      <c r="P15">
        <f t="shared" si="5"/>
        <v>1.2649999999999999</v>
      </c>
      <c r="Q15" t="s">
        <v>24</v>
      </c>
      <c r="R15" t="s">
        <v>206</v>
      </c>
      <c r="S15" s="13">
        <v>50.774131414375503</v>
      </c>
      <c r="T15" s="13">
        <v>3.4453157895245101</v>
      </c>
      <c r="U15" s="13">
        <v>50.3061615826146</v>
      </c>
      <c r="V15" s="13">
        <v>3.30366976332013</v>
      </c>
    </row>
    <row r="16" spans="1:22" x14ac:dyDescent="0.3">
      <c r="A16">
        <v>15</v>
      </c>
      <c r="B16" t="s">
        <v>152</v>
      </c>
      <c r="C16" t="s">
        <v>24</v>
      </c>
      <c r="D16" t="s">
        <v>155</v>
      </c>
      <c r="E16">
        <f t="shared" si="4"/>
        <v>1206.4984291329067</v>
      </c>
      <c r="F16">
        <f t="shared" si="6"/>
        <v>1528.2923505664744</v>
      </c>
      <c r="G16" t="s">
        <v>142</v>
      </c>
      <c r="H16">
        <v>42.560223146336099</v>
      </c>
      <c r="I16">
        <v>0</v>
      </c>
      <c r="J16">
        <f t="shared" si="0"/>
        <v>6.15</v>
      </c>
      <c r="K16">
        <v>5</v>
      </c>
      <c r="L16">
        <v>2322</v>
      </c>
      <c r="M16">
        <v>380</v>
      </c>
      <c r="N16">
        <v>31300</v>
      </c>
      <c r="O16">
        <v>14</v>
      </c>
      <c r="P16">
        <f t="shared" si="5"/>
        <v>1.2649999999999999</v>
      </c>
      <c r="Q16" t="s">
        <v>24</v>
      </c>
      <c r="R16" t="s">
        <v>207</v>
      </c>
      <c r="S16" s="13">
        <v>50.774131414375503</v>
      </c>
      <c r="T16" s="13">
        <v>3.4453157895245101</v>
      </c>
      <c r="U16">
        <v>50.539527253661802</v>
      </c>
      <c r="V16">
        <v>3.0842747334520402</v>
      </c>
    </row>
  </sheetData>
  <autoFilter ref="A1:V1" xr:uid="{01512B8B-A18C-44FE-9C91-E2321432F7DD}"/>
  <conditionalFormatting sqref="S14">
    <cfRule type="colorScale" priority="1">
      <colorScale>
        <cfvo type="formula" val="&quot;yes&quot;"/>
        <cfvo type="formula" val="&quot;no&quot;"/>
        <color theme="6" tint="0.39997558519241921"/>
        <color theme="9" tint="0.39997558519241921"/>
      </colorScale>
    </cfRule>
    <cfRule type="expression" dxfId="0" priority="2">
      <formula>IF(S14="yes",TRUE,FALSE)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CBD32-9537-475F-8C6B-6BE033D97041}">
  <dimension ref="A1:F3"/>
  <sheetViews>
    <sheetView workbookViewId="0">
      <selection activeCell="J8" sqref="J8"/>
    </sheetView>
  </sheetViews>
  <sheetFormatPr baseColWidth="10" defaultRowHeight="14.4" x14ac:dyDescent="0.3"/>
  <cols>
    <col min="3" max="3" width="12.6640625" bestFit="1" customWidth="1"/>
    <col min="4" max="4" width="13.5546875" bestFit="1" customWidth="1"/>
    <col min="5" max="5" width="11.6640625" bestFit="1" customWidth="1"/>
    <col min="6" max="6" width="10.21875" bestFit="1" customWidth="1"/>
  </cols>
  <sheetData>
    <row r="1" spans="1:6" x14ac:dyDescent="0.3">
      <c r="A1" s="17" t="s">
        <v>14</v>
      </c>
      <c r="B1" s="17" t="s">
        <v>1</v>
      </c>
      <c r="C1" s="17" t="s">
        <v>2</v>
      </c>
      <c r="D1" s="17" t="s">
        <v>9</v>
      </c>
      <c r="E1" s="17" t="s">
        <v>15</v>
      </c>
      <c r="F1" s="17" t="s">
        <v>16</v>
      </c>
    </row>
    <row r="2" spans="1:6" x14ac:dyDescent="0.3">
      <c r="A2">
        <v>1</v>
      </c>
      <c r="B2" t="s">
        <v>112</v>
      </c>
      <c r="C2">
        <v>1161</v>
      </c>
      <c r="D2">
        <v>5600</v>
      </c>
      <c r="E2">
        <v>0.86599999999999999</v>
      </c>
      <c r="F2">
        <v>0.86599999999999999</v>
      </c>
    </row>
    <row r="3" spans="1:6" x14ac:dyDescent="0.3">
      <c r="A3">
        <v>2</v>
      </c>
      <c r="B3" t="s">
        <v>113</v>
      </c>
      <c r="C3">
        <v>144</v>
      </c>
      <c r="D3">
        <v>700</v>
      </c>
      <c r="E3">
        <v>0.86599999999999999</v>
      </c>
      <c r="F3">
        <v>0.86599999999999999</v>
      </c>
    </row>
  </sheetData>
  <autoFilter ref="A1:F1" xr:uid="{C2A8A0F9-1D2C-4941-8CB9-1705709C211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General</vt:lpstr>
      <vt:lpstr>Buses</vt:lpstr>
      <vt:lpstr>Lines</vt:lpstr>
      <vt:lpstr>Gen</vt:lpstr>
      <vt:lpstr>DistGen</vt:lpstr>
      <vt:lpstr>Res</vt:lpstr>
      <vt:lpstr>DistRes</vt:lpstr>
      <vt:lpstr>Imp</vt:lpstr>
      <vt:lpstr>Phs</vt:lpstr>
      <vt:lpstr>Batt</vt:lpstr>
      <vt:lpstr>H2PipeLines</vt:lpstr>
      <vt:lpstr>H2Imports</vt:lpstr>
      <vt:lpstr>H2demand</vt:lpstr>
      <vt:lpstr>Electrolyzer</vt:lpstr>
      <vt:lpstr>H2toP</vt:lpstr>
      <vt:lpstr>H2Sto</vt:lpstr>
      <vt:lpstr>EVs</vt:lpstr>
      <vt:lpstr>HPs</vt:lpstr>
      <vt:lpstr>Shift</vt:lpstr>
      <vt:lpstr>Shed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Aurélia Hernandez</dc:creator>
  <cp:lastModifiedBy>Aurélia Hernandez</cp:lastModifiedBy>
  <dcterms:created xsi:type="dcterms:W3CDTF">2022-10-14T12:11:19Z</dcterms:created>
  <dcterms:modified xsi:type="dcterms:W3CDTF">2024-08-15T08:46:15Z</dcterms:modified>
</cp:coreProperties>
</file>