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eefe507ba652255/Doctorate/soil_analysis/inputs_database/"/>
    </mc:Choice>
  </mc:AlternateContent>
  <xr:revisionPtr revIDLastSave="22" documentId="13_ncr:1_{B153E449-62A8-47D7-AEF3-AB4834A6D293}" xr6:coauthVersionLast="45" xr6:coauthVersionMax="45" xr10:uidLastSave="{C78B0379-666E-4D9F-B96C-84F57D59CF55}"/>
  <bookViews>
    <workbookView xWindow="20370" yWindow="-120" windowWidth="19440" windowHeight="15150" tabRatio="482" firstSheet="1" activeTab="1" xr2:uid="{18B739E6-1A3D-41FF-AA15-F7EDEBCB484F}"/>
  </bookViews>
  <sheets>
    <sheet name="Resumen_Rabanales_biochar_2019" sheetId="2" r:id="rId1"/>
    <sheet name="Resumen_Suelos_forestales" sheetId="1" r:id="rId2"/>
    <sheet name="271119_Datos brutos análisis_19" sheetId="3" r:id="rId3"/>
    <sheet name="Planilha1" sheetId="4" r:id="rId4"/>
  </sheets>
  <definedNames>
    <definedName name="_xlnm._FilterDatabase" localSheetId="2" hidden="1">'271119_Datos brutos análisis_19'!$A$1:$BU$98</definedName>
    <definedName name="_xlnm._FilterDatabase" localSheetId="3" hidden="1">Planilha1!$A$2:$E$2</definedName>
    <definedName name="_xlnm._FilterDatabase" localSheetId="1" hidden="1">Resumen_Suelos_forestales!$A$1:$AA$59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5" i="3" l="1"/>
  <c r="Q6" i="3"/>
  <c r="Q7" i="3"/>
  <c r="Q8" i="3"/>
  <c r="Q9" i="3"/>
  <c r="Q10" i="3"/>
  <c r="Q11" i="3"/>
  <c r="Q4" i="3"/>
  <c r="Q95" i="3"/>
  <c r="Q94" i="3"/>
  <c r="Q93" i="3"/>
  <c r="Q92" i="3"/>
  <c r="Q91" i="3"/>
  <c r="Q90" i="3"/>
  <c r="Q89" i="3"/>
  <c r="Q88" i="3"/>
  <c r="Q87" i="3"/>
  <c r="Q86" i="3"/>
  <c r="Q85" i="3"/>
  <c r="Q84" i="3"/>
  <c r="Q83" i="3"/>
  <c r="Q82" i="3"/>
  <c r="Q81" i="3"/>
  <c r="Q80" i="3"/>
  <c r="Q79" i="3"/>
  <c r="Q78" i="3"/>
  <c r="Q77" i="3"/>
  <c r="Q76" i="3"/>
  <c r="Q75" i="3"/>
  <c r="Q74" i="3"/>
  <c r="Q73" i="3"/>
  <c r="Q72" i="3"/>
  <c r="Q71" i="3"/>
  <c r="Q70" i="3"/>
  <c r="Q69" i="3"/>
  <c r="Q68" i="3"/>
  <c r="Q67" i="3"/>
  <c r="Q66" i="3"/>
  <c r="Q65" i="3"/>
  <c r="Q64" i="3"/>
  <c r="Q63" i="3"/>
  <c r="Q62" i="3"/>
  <c r="Q61" i="3"/>
  <c r="Q60" i="3"/>
  <c r="Q59" i="3"/>
  <c r="Q58" i="3"/>
  <c r="Q57" i="3"/>
  <c r="Q56" i="3"/>
  <c r="Q55" i="3"/>
  <c r="Q54" i="3"/>
  <c r="Q53" i="3"/>
  <c r="Q52" i="3"/>
  <c r="Q51" i="3"/>
  <c r="Q50" i="3"/>
  <c r="Q49" i="3"/>
  <c r="Q48" i="3"/>
  <c r="Q47" i="3"/>
  <c r="Q46" i="3"/>
  <c r="Q45" i="3"/>
  <c r="Q44" i="3"/>
  <c r="Q43" i="3"/>
  <c r="Q42" i="3"/>
  <c r="Q41" i="3"/>
  <c r="Q40" i="3"/>
  <c r="Q39" i="3"/>
  <c r="Q38" i="3"/>
  <c r="Q37" i="3"/>
  <c r="Q36" i="3"/>
  <c r="Q35" i="3"/>
  <c r="Q34" i="3"/>
  <c r="Q33" i="3"/>
  <c r="Q32" i="3"/>
  <c r="Q31" i="3"/>
  <c r="Q30" i="3"/>
  <c r="Q29" i="3"/>
  <c r="Q28" i="3"/>
  <c r="Q27" i="3"/>
  <c r="Q26" i="3"/>
  <c r="Q25" i="3"/>
  <c r="Q24" i="3"/>
  <c r="Q23" i="3"/>
  <c r="Q22" i="3"/>
  <c r="Q21" i="3"/>
  <c r="Q20" i="3"/>
  <c r="Q19" i="3"/>
  <c r="Q18" i="3"/>
  <c r="Q17" i="3"/>
  <c r="Q16" i="3"/>
  <c r="Q15" i="3"/>
  <c r="Q14" i="3"/>
  <c r="Q13" i="3"/>
  <c r="Q12" i="3"/>
  <c r="Q3" i="3"/>
  <c r="Q2" i="3"/>
  <c r="U3" i="3"/>
  <c r="U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3" i="3"/>
  <c r="U54" i="3"/>
  <c r="U55" i="3"/>
  <c r="U56" i="3"/>
  <c r="U57" i="3"/>
  <c r="U58" i="3"/>
  <c r="U59" i="3"/>
  <c r="U60" i="3"/>
  <c r="U61" i="3"/>
  <c r="U62" i="3"/>
  <c r="U63" i="3"/>
  <c r="U64" i="3"/>
  <c r="U65" i="3"/>
  <c r="U66" i="3"/>
  <c r="U67" i="3"/>
  <c r="U68" i="3"/>
  <c r="U69" i="3"/>
  <c r="U70" i="3"/>
  <c r="U71" i="3"/>
  <c r="U72" i="3"/>
  <c r="U73" i="3"/>
  <c r="U74" i="3"/>
  <c r="U75" i="3"/>
  <c r="U76" i="3"/>
  <c r="U77" i="3"/>
  <c r="U78" i="3"/>
  <c r="U79" i="3"/>
  <c r="U80" i="3"/>
  <c r="U81" i="3"/>
  <c r="U82" i="3"/>
  <c r="U83" i="3"/>
  <c r="U84" i="3"/>
  <c r="U85" i="3"/>
  <c r="U86" i="3"/>
  <c r="U87" i="3"/>
  <c r="U88" i="3"/>
  <c r="U89" i="3"/>
  <c r="U90" i="3"/>
  <c r="U91" i="3"/>
  <c r="U92" i="3"/>
  <c r="U93" i="3"/>
  <c r="U94" i="3"/>
  <c r="U95" i="3"/>
  <c r="U2" i="3"/>
  <c r="BQ52" i="3" l="1"/>
  <c r="BS52" i="3"/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2" i="3"/>
  <c r="J2" i="3"/>
  <c r="F4" i="4" l="1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3" i="4"/>
  <c r="E31" i="4"/>
  <c r="E30" i="4"/>
  <c r="E4" i="4"/>
  <c r="E11" i="4"/>
  <c r="E21" i="4"/>
  <c r="E9" i="4"/>
  <c r="E17" i="4"/>
  <c r="E25" i="4"/>
  <c r="E7" i="4"/>
  <c r="E12" i="4"/>
  <c r="E13" i="4"/>
  <c r="E18" i="4"/>
  <c r="E10" i="4"/>
  <c r="E19" i="4"/>
  <c r="E8" i="4"/>
  <c r="E5" i="4"/>
  <c r="E26" i="4"/>
  <c r="E15" i="4"/>
  <c r="E23" i="4"/>
  <c r="E14" i="4"/>
  <c r="E24" i="4"/>
  <c r="E16" i="4"/>
  <c r="E22" i="4"/>
  <c r="E20" i="4"/>
  <c r="E6" i="4"/>
  <c r="E3" i="4"/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2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2" i="1"/>
  <c r="BC96" i="3" l="1"/>
  <c r="BH96" i="3"/>
  <c r="BN32" i="3"/>
  <c r="BN40" i="3"/>
  <c r="BN15" i="3"/>
  <c r="BN58" i="3"/>
  <c r="BN47" i="3"/>
  <c r="BN46" i="3"/>
  <c r="BH32" i="3"/>
  <c r="BN2" i="3" l="1"/>
  <c r="BN9" i="3"/>
  <c r="BN8" i="3"/>
  <c r="BN3" i="3"/>
  <c r="BN16" i="3"/>
  <c r="BN19" i="3"/>
  <c r="BN24" i="3"/>
  <c r="BN4" i="3"/>
  <c r="BN38" i="3"/>
  <c r="BN6" i="3"/>
  <c r="BN44" i="3"/>
  <c r="BN11" i="3"/>
  <c r="BN13" i="3"/>
  <c r="BN51" i="3"/>
  <c r="BN22" i="3"/>
  <c r="BN34" i="3"/>
  <c r="BN57" i="3"/>
  <c r="BN55" i="3"/>
  <c r="BN21" i="3"/>
  <c r="BN18" i="3"/>
  <c r="BN36" i="3"/>
  <c r="BN42" i="3"/>
  <c r="BN25" i="3"/>
  <c r="BN26" i="3"/>
  <c r="BN35" i="3"/>
  <c r="BN31" i="3"/>
  <c r="BN49" i="3"/>
  <c r="BN5" i="3"/>
  <c r="BN10" i="3"/>
  <c r="BN37" i="3"/>
  <c r="BN48" i="3"/>
  <c r="BN54" i="3"/>
  <c r="BN7" i="3"/>
  <c r="BN23" i="3"/>
  <c r="BN41" i="3"/>
  <c r="BN12" i="3"/>
  <c r="BN39" i="3"/>
  <c r="BN20" i="3"/>
  <c r="BN14" i="3"/>
  <c r="BN56" i="3"/>
  <c r="BN33" i="3"/>
  <c r="BN50" i="3"/>
  <c r="BN43" i="3"/>
  <c r="BN29" i="3"/>
  <c r="BN30" i="3"/>
  <c r="BN59" i="3"/>
  <c r="BN52" i="3"/>
  <c r="BN27" i="3"/>
  <c r="BN53" i="3"/>
  <c r="BN28" i="3"/>
  <c r="BN45" i="3"/>
  <c r="BN17" i="3"/>
  <c r="BK2" i="3"/>
  <c r="BK9" i="3"/>
  <c r="BK8" i="3"/>
  <c r="BK3" i="3"/>
  <c r="BK16" i="3"/>
  <c r="BK19" i="3"/>
  <c r="BK24" i="3"/>
  <c r="BK4" i="3"/>
  <c r="BK38" i="3"/>
  <c r="BK6" i="3"/>
  <c r="BK44" i="3"/>
  <c r="BK11" i="3"/>
  <c r="BK13" i="3"/>
  <c r="BK51" i="3"/>
  <c r="BK22" i="3"/>
  <c r="BK34" i="3"/>
  <c r="BK57" i="3"/>
  <c r="BK55" i="3"/>
  <c r="BK21" i="3"/>
  <c r="BK18" i="3"/>
  <c r="BK36" i="3"/>
  <c r="BK42" i="3"/>
  <c r="BK25" i="3"/>
  <c r="BK26" i="3"/>
  <c r="BK35" i="3"/>
  <c r="BK31" i="3"/>
  <c r="BK49" i="3"/>
  <c r="BK5" i="3"/>
  <c r="BK10" i="3"/>
  <c r="BK37" i="3"/>
  <c r="BK48" i="3"/>
  <c r="BK54" i="3"/>
  <c r="BK7" i="3"/>
  <c r="BK23" i="3"/>
  <c r="BK41" i="3"/>
  <c r="BK12" i="3"/>
  <c r="BK39" i="3"/>
  <c r="BK20" i="3"/>
  <c r="BK14" i="3"/>
  <c r="BK56" i="3"/>
  <c r="BK33" i="3"/>
  <c r="BK50" i="3"/>
  <c r="BK43" i="3"/>
  <c r="BK29" i="3"/>
  <c r="BK30" i="3"/>
  <c r="BK59" i="3"/>
  <c r="BK52" i="3"/>
  <c r="BK27" i="3"/>
  <c r="BK53" i="3"/>
  <c r="BK28" i="3"/>
  <c r="BK45" i="3"/>
  <c r="BK40" i="3"/>
  <c r="BK15" i="3"/>
  <c r="BK58" i="3"/>
  <c r="BK47" i="3"/>
  <c r="BK46" i="3"/>
  <c r="BK17" i="3"/>
  <c r="BH2" i="3"/>
  <c r="BH9" i="3"/>
  <c r="BH8" i="3"/>
  <c r="BH3" i="3"/>
  <c r="BH16" i="3"/>
  <c r="BH19" i="3"/>
  <c r="BH24" i="3"/>
  <c r="BH4" i="3"/>
  <c r="BH38" i="3"/>
  <c r="BH6" i="3"/>
  <c r="BH44" i="3"/>
  <c r="BH11" i="3"/>
  <c r="BH13" i="3"/>
  <c r="BH51" i="3"/>
  <c r="BH22" i="3"/>
  <c r="BH34" i="3"/>
  <c r="BH57" i="3"/>
  <c r="BH55" i="3"/>
  <c r="BH21" i="3"/>
  <c r="BH18" i="3"/>
  <c r="BH36" i="3"/>
  <c r="BH42" i="3"/>
  <c r="BH25" i="3"/>
  <c r="BH26" i="3"/>
  <c r="BH35" i="3"/>
  <c r="BH31" i="3"/>
  <c r="BH49" i="3"/>
  <c r="BH5" i="3"/>
  <c r="BH10" i="3"/>
  <c r="BH37" i="3"/>
  <c r="BH48" i="3"/>
  <c r="BH54" i="3"/>
  <c r="BH7" i="3"/>
  <c r="BH23" i="3"/>
  <c r="BH41" i="3"/>
  <c r="BH12" i="3"/>
  <c r="BH39" i="3"/>
  <c r="BH20" i="3"/>
  <c r="BH14" i="3"/>
  <c r="BH56" i="3"/>
  <c r="BH33" i="3"/>
  <c r="BH50" i="3"/>
  <c r="BH43" i="3"/>
  <c r="BH29" i="3"/>
  <c r="BH30" i="3"/>
  <c r="BH59" i="3"/>
  <c r="BH52" i="3"/>
  <c r="BH27" i="3"/>
  <c r="BH53" i="3"/>
  <c r="BH28" i="3"/>
  <c r="BH45" i="3"/>
  <c r="BK32" i="3"/>
  <c r="BH40" i="3"/>
  <c r="BH15" i="3"/>
  <c r="BH58" i="3"/>
  <c r="BH47" i="3"/>
  <c r="BH46" i="3"/>
  <c r="BH17" i="3"/>
  <c r="AX74" i="3" l="1"/>
  <c r="AM74" i="3"/>
  <c r="AI74" i="3"/>
  <c r="AF74" i="3"/>
  <c r="AA74" i="3"/>
  <c r="J74" i="3"/>
  <c r="G74" i="3"/>
  <c r="L74" i="3" s="1"/>
  <c r="M74" i="3" s="1"/>
  <c r="AU74" i="3" s="1"/>
  <c r="AV74" i="3" s="1"/>
  <c r="AX85" i="3"/>
  <c r="AM85" i="3"/>
  <c r="AI85" i="3"/>
  <c r="AF85" i="3"/>
  <c r="AA85" i="3"/>
  <c r="J85" i="3"/>
  <c r="G85" i="3"/>
  <c r="L85" i="3" s="1"/>
  <c r="M85" i="3" s="1"/>
  <c r="AU85" i="3" s="1"/>
  <c r="AV85" i="3" s="1"/>
  <c r="AX71" i="3"/>
  <c r="AM71" i="3"/>
  <c r="AI71" i="3"/>
  <c r="AF71" i="3"/>
  <c r="AA71" i="3"/>
  <c r="J71" i="3"/>
  <c r="G71" i="3"/>
  <c r="L71" i="3" s="1"/>
  <c r="M71" i="3" s="1"/>
  <c r="AX64" i="3"/>
  <c r="AM64" i="3"/>
  <c r="AI64" i="3"/>
  <c r="AF64" i="3"/>
  <c r="AA64" i="3"/>
  <c r="J64" i="3"/>
  <c r="G64" i="3"/>
  <c r="L64" i="3" s="1"/>
  <c r="M64" i="3" s="1"/>
  <c r="AX61" i="3"/>
  <c r="AM61" i="3"/>
  <c r="AI61" i="3"/>
  <c r="AF61" i="3"/>
  <c r="AA61" i="3"/>
  <c r="J61" i="3"/>
  <c r="G61" i="3"/>
  <c r="L61" i="3" s="1"/>
  <c r="M61" i="3" s="1"/>
  <c r="AU61" i="3" s="1"/>
  <c r="AV61" i="3" s="1"/>
  <c r="AX63" i="3"/>
  <c r="AM63" i="3"/>
  <c r="AI63" i="3"/>
  <c r="AF63" i="3"/>
  <c r="AA63" i="3"/>
  <c r="J63" i="3"/>
  <c r="G63" i="3"/>
  <c r="L63" i="3" s="1"/>
  <c r="M63" i="3" s="1"/>
  <c r="AX82" i="3"/>
  <c r="AM82" i="3"/>
  <c r="AI82" i="3"/>
  <c r="AF82" i="3"/>
  <c r="AA82" i="3"/>
  <c r="J82" i="3"/>
  <c r="G82" i="3"/>
  <c r="L82" i="3" s="1"/>
  <c r="M82" i="3" s="1"/>
  <c r="AX80" i="3"/>
  <c r="AM80" i="3"/>
  <c r="AI80" i="3"/>
  <c r="AF80" i="3"/>
  <c r="AA80" i="3"/>
  <c r="J80" i="3"/>
  <c r="G80" i="3"/>
  <c r="L80" i="3" s="1"/>
  <c r="M80" i="3" s="1"/>
  <c r="AX84" i="3"/>
  <c r="AM84" i="3"/>
  <c r="AI84" i="3"/>
  <c r="AF84" i="3"/>
  <c r="AA84" i="3"/>
  <c r="J84" i="3"/>
  <c r="G84" i="3"/>
  <c r="L84" i="3" s="1"/>
  <c r="M84" i="3" s="1"/>
  <c r="AN84" i="3" s="1"/>
  <c r="AX62" i="3"/>
  <c r="AM62" i="3"/>
  <c r="AI62" i="3"/>
  <c r="AF62" i="3"/>
  <c r="AA62" i="3"/>
  <c r="J62" i="3"/>
  <c r="G62" i="3"/>
  <c r="L62" i="3" s="1"/>
  <c r="M62" i="3" s="1"/>
  <c r="AU62" i="3" s="1"/>
  <c r="AV62" i="3" s="1"/>
  <c r="AX72" i="3"/>
  <c r="AM72" i="3"/>
  <c r="AI72" i="3"/>
  <c r="AF72" i="3"/>
  <c r="AA72" i="3"/>
  <c r="J72" i="3"/>
  <c r="G72" i="3"/>
  <c r="L72" i="3" s="1"/>
  <c r="M72" i="3" s="1"/>
  <c r="AX70" i="3"/>
  <c r="AM70" i="3"/>
  <c r="AI70" i="3"/>
  <c r="AF70" i="3"/>
  <c r="AA70" i="3"/>
  <c r="J70" i="3"/>
  <c r="G70" i="3"/>
  <c r="L70" i="3" s="1"/>
  <c r="M70" i="3" s="1"/>
  <c r="AX76" i="3"/>
  <c r="AM76" i="3"/>
  <c r="AI76" i="3"/>
  <c r="AF76" i="3"/>
  <c r="AA76" i="3"/>
  <c r="J76" i="3"/>
  <c r="G76" i="3"/>
  <c r="L76" i="3" s="1"/>
  <c r="M76" i="3" s="1"/>
  <c r="AN76" i="3" s="1"/>
  <c r="AX89" i="3"/>
  <c r="AM89" i="3"/>
  <c r="AI89" i="3"/>
  <c r="AF89" i="3"/>
  <c r="AA89" i="3"/>
  <c r="J89" i="3"/>
  <c r="G89" i="3"/>
  <c r="L89" i="3" s="1"/>
  <c r="M89" i="3" s="1"/>
  <c r="AU89" i="3" s="1"/>
  <c r="AV89" i="3" s="1"/>
  <c r="AX86" i="3"/>
  <c r="AM86" i="3"/>
  <c r="AI86" i="3"/>
  <c r="AF86" i="3"/>
  <c r="AA86" i="3"/>
  <c r="J86" i="3"/>
  <c r="G86" i="3"/>
  <c r="L86" i="3" s="1"/>
  <c r="M86" i="3" s="1"/>
  <c r="AX65" i="3"/>
  <c r="AM65" i="3"/>
  <c r="AI65" i="3"/>
  <c r="AF65" i="3"/>
  <c r="AA65" i="3"/>
  <c r="J65" i="3"/>
  <c r="G65" i="3"/>
  <c r="L65" i="3" s="1"/>
  <c r="M65" i="3" s="1"/>
  <c r="AX60" i="3"/>
  <c r="AM60" i="3"/>
  <c r="AI60" i="3"/>
  <c r="AF60" i="3"/>
  <c r="AA60" i="3"/>
  <c r="J60" i="3"/>
  <c r="G60" i="3"/>
  <c r="L60" i="3" s="1"/>
  <c r="M60" i="3" s="1"/>
  <c r="AX67" i="3"/>
  <c r="AM67" i="3"/>
  <c r="AI67" i="3"/>
  <c r="AF67" i="3"/>
  <c r="AA67" i="3"/>
  <c r="J67" i="3"/>
  <c r="G67" i="3"/>
  <c r="L67" i="3" s="1"/>
  <c r="M67" i="3" s="1"/>
  <c r="AX73" i="3"/>
  <c r="AM73" i="3"/>
  <c r="AI73" i="3"/>
  <c r="AF73" i="3"/>
  <c r="AA73" i="3"/>
  <c r="J73" i="3"/>
  <c r="G73" i="3"/>
  <c r="L73" i="3" s="1"/>
  <c r="M73" i="3" s="1"/>
  <c r="AX88" i="3"/>
  <c r="AM88" i="3"/>
  <c r="AI88" i="3"/>
  <c r="AF88" i="3"/>
  <c r="AA88" i="3"/>
  <c r="J88" i="3"/>
  <c r="G88" i="3"/>
  <c r="L88" i="3" s="1"/>
  <c r="M88" i="3" s="1"/>
  <c r="AX87" i="3"/>
  <c r="AM87" i="3"/>
  <c r="AI87" i="3"/>
  <c r="AF87" i="3"/>
  <c r="AA87" i="3"/>
  <c r="J87" i="3"/>
  <c r="G87" i="3"/>
  <c r="L87" i="3" s="1"/>
  <c r="M87" i="3" s="1"/>
  <c r="AX91" i="3"/>
  <c r="AM91" i="3"/>
  <c r="AI91" i="3"/>
  <c r="AF91" i="3"/>
  <c r="AA91" i="3"/>
  <c r="J91" i="3"/>
  <c r="G91" i="3"/>
  <c r="L91" i="3" s="1"/>
  <c r="M91" i="3" s="1"/>
  <c r="AY91" i="3" s="1"/>
  <c r="AX78" i="3"/>
  <c r="AM78" i="3"/>
  <c r="AI78" i="3"/>
  <c r="AF78" i="3"/>
  <c r="AA78" i="3"/>
  <c r="V78" i="3"/>
  <c r="W78" i="3" s="1"/>
  <c r="J78" i="3"/>
  <c r="G78" i="3"/>
  <c r="L78" i="3" s="1"/>
  <c r="M78" i="3" s="1"/>
  <c r="AR78" i="3" s="1"/>
  <c r="AS78" i="3" s="1"/>
  <c r="AX83" i="3"/>
  <c r="AM83" i="3"/>
  <c r="AI83" i="3"/>
  <c r="AF83" i="3"/>
  <c r="AA83" i="3"/>
  <c r="J83" i="3"/>
  <c r="G83" i="3"/>
  <c r="L83" i="3" s="1"/>
  <c r="M83" i="3" s="1"/>
  <c r="AR83" i="3" s="1"/>
  <c r="AS83" i="3" s="1"/>
  <c r="AX92" i="3"/>
  <c r="AM92" i="3"/>
  <c r="AI92" i="3"/>
  <c r="AF92" i="3"/>
  <c r="AA92" i="3"/>
  <c r="J92" i="3"/>
  <c r="G92" i="3"/>
  <c r="L92" i="3" s="1"/>
  <c r="M92" i="3" s="1"/>
  <c r="AX94" i="3"/>
  <c r="AM94" i="3"/>
  <c r="AI94" i="3"/>
  <c r="AF94" i="3"/>
  <c r="AA94" i="3"/>
  <c r="J94" i="3"/>
  <c r="G94" i="3"/>
  <c r="L94" i="3" s="1"/>
  <c r="M94" i="3" s="1"/>
  <c r="AR94" i="3" s="1"/>
  <c r="AS94" i="3" s="1"/>
  <c r="AX79" i="3"/>
  <c r="AM79" i="3"/>
  <c r="AI79" i="3"/>
  <c r="AF79" i="3"/>
  <c r="AA79" i="3"/>
  <c r="J79" i="3"/>
  <c r="G79" i="3"/>
  <c r="L79" i="3" s="1"/>
  <c r="M79" i="3" s="1"/>
  <c r="AR79" i="3" s="1"/>
  <c r="AS79" i="3" s="1"/>
  <c r="AX68" i="3"/>
  <c r="AM68" i="3"/>
  <c r="AI68" i="3"/>
  <c r="AF68" i="3"/>
  <c r="AA68" i="3"/>
  <c r="J68" i="3"/>
  <c r="G68" i="3"/>
  <c r="L68" i="3" s="1"/>
  <c r="M68" i="3" s="1"/>
  <c r="AR68" i="3" s="1"/>
  <c r="AS68" i="3" s="1"/>
  <c r="AX66" i="3"/>
  <c r="AM66" i="3"/>
  <c r="AI66" i="3"/>
  <c r="AF66" i="3"/>
  <c r="AA66" i="3"/>
  <c r="J66" i="3"/>
  <c r="G66" i="3"/>
  <c r="L66" i="3" s="1"/>
  <c r="M66" i="3" s="1"/>
  <c r="AX69" i="3"/>
  <c r="AM69" i="3"/>
  <c r="AI69" i="3"/>
  <c r="AF69" i="3"/>
  <c r="AA69" i="3"/>
  <c r="J69" i="3"/>
  <c r="G69" i="3"/>
  <c r="L69" i="3" s="1"/>
  <c r="M69" i="3" s="1"/>
  <c r="AR69" i="3" s="1"/>
  <c r="AS69" i="3" s="1"/>
  <c r="AX95" i="3"/>
  <c r="AM95" i="3"/>
  <c r="AI95" i="3"/>
  <c r="AF95" i="3"/>
  <c r="AA95" i="3"/>
  <c r="J95" i="3"/>
  <c r="G95" i="3"/>
  <c r="L95" i="3" s="1"/>
  <c r="M95" i="3" s="1"/>
  <c r="AR95" i="3" s="1"/>
  <c r="AS95" i="3" s="1"/>
  <c r="AX93" i="3"/>
  <c r="AM93" i="3"/>
  <c r="AI93" i="3"/>
  <c r="AF93" i="3"/>
  <c r="AA93" i="3"/>
  <c r="J93" i="3"/>
  <c r="G93" i="3"/>
  <c r="L93" i="3" s="1"/>
  <c r="M93" i="3" s="1"/>
  <c r="AR93" i="3" s="1"/>
  <c r="AS93" i="3" s="1"/>
  <c r="AX90" i="3"/>
  <c r="AM90" i="3"/>
  <c r="AI90" i="3"/>
  <c r="AF90" i="3"/>
  <c r="AA90" i="3"/>
  <c r="J90" i="3"/>
  <c r="G90" i="3"/>
  <c r="L90" i="3" s="1"/>
  <c r="M90" i="3" s="1"/>
  <c r="AX75" i="3"/>
  <c r="AM75" i="3"/>
  <c r="AI75" i="3"/>
  <c r="AF75" i="3"/>
  <c r="AA75" i="3"/>
  <c r="R75" i="3"/>
  <c r="S75" i="3" s="1"/>
  <c r="J75" i="3"/>
  <c r="G75" i="3"/>
  <c r="L75" i="3" s="1"/>
  <c r="M75" i="3" s="1"/>
  <c r="AR75" i="3" s="1"/>
  <c r="AS75" i="3" s="1"/>
  <c r="AX81" i="3"/>
  <c r="AM81" i="3"/>
  <c r="AI81" i="3"/>
  <c r="AF81" i="3"/>
  <c r="AA81" i="3"/>
  <c r="J81" i="3"/>
  <c r="G81" i="3"/>
  <c r="L81" i="3" s="1"/>
  <c r="M81" i="3" s="1"/>
  <c r="AR81" i="3" s="1"/>
  <c r="AS81" i="3" s="1"/>
  <c r="AX77" i="3"/>
  <c r="AM77" i="3"/>
  <c r="AI77" i="3"/>
  <c r="AF77" i="3"/>
  <c r="AA77" i="3"/>
  <c r="J77" i="3"/>
  <c r="G77" i="3"/>
  <c r="L77" i="3" s="1"/>
  <c r="M77" i="3" s="1"/>
  <c r="AR77" i="3" s="1"/>
  <c r="AS77" i="3" s="1"/>
  <c r="AX46" i="3"/>
  <c r="AO46" i="3"/>
  <c r="AI46" i="3"/>
  <c r="AF46" i="3"/>
  <c r="AA46" i="3"/>
  <c r="H46" i="3"/>
  <c r="L46" i="3" s="1"/>
  <c r="M46" i="3" s="1"/>
  <c r="BO46" i="3" s="1"/>
  <c r="AX47" i="3"/>
  <c r="AO47" i="3"/>
  <c r="AI47" i="3"/>
  <c r="AF47" i="3"/>
  <c r="AA47" i="3"/>
  <c r="H47" i="3"/>
  <c r="L47" i="3" s="1"/>
  <c r="M47" i="3" s="1"/>
  <c r="BO47" i="3" s="1"/>
  <c r="AX58" i="3"/>
  <c r="AO58" i="3"/>
  <c r="AI58" i="3"/>
  <c r="AF58" i="3"/>
  <c r="AA58" i="3"/>
  <c r="H58" i="3"/>
  <c r="L58" i="3" s="1"/>
  <c r="M58" i="3" s="1"/>
  <c r="AX15" i="3"/>
  <c r="AO15" i="3"/>
  <c r="AI15" i="3"/>
  <c r="AF15" i="3"/>
  <c r="AA15" i="3"/>
  <c r="H15" i="3"/>
  <c r="J15" i="3" s="1"/>
  <c r="AX40" i="3"/>
  <c r="AO40" i="3"/>
  <c r="AI40" i="3"/>
  <c r="AF40" i="3"/>
  <c r="AA40" i="3"/>
  <c r="H40" i="3"/>
  <c r="L40" i="3" s="1"/>
  <c r="M40" i="3" s="1"/>
  <c r="AX32" i="3"/>
  <c r="AO32" i="3"/>
  <c r="AI32" i="3"/>
  <c r="AF32" i="3"/>
  <c r="AA32" i="3"/>
  <c r="H32" i="3"/>
  <c r="AX45" i="3"/>
  <c r="AO45" i="3"/>
  <c r="AI45" i="3"/>
  <c r="AF45" i="3"/>
  <c r="AA45" i="3"/>
  <c r="H45" i="3"/>
  <c r="L45" i="3" s="1"/>
  <c r="M45" i="3" s="1"/>
  <c r="AX28" i="3"/>
  <c r="AO28" i="3"/>
  <c r="AI28" i="3"/>
  <c r="AF28" i="3"/>
  <c r="AA28" i="3"/>
  <c r="H28" i="3"/>
  <c r="L28" i="3" s="1"/>
  <c r="M28" i="3" s="1"/>
  <c r="AX53" i="3"/>
  <c r="AO53" i="3"/>
  <c r="AI53" i="3"/>
  <c r="AF53" i="3"/>
  <c r="AA53" i="3"/>
  <c r="H53" i="3"/>
  <c r="J53" i="3" s="1"/>
  <c r="AX27" i="3"/>
  <c r="AO27" i="3"/>
  <c r="AI27" i="3"/>
  <c r="AF27" i="3"/>
  <c r="AA27" i="3"/>
  <c r="H27" i="3"/>
  <c r="AX52" i="3"/>
  <c r="AO52" i="3"/>
  <c r="AI52" i="3"/>
  <c r="AF52" i="3"/>
  <c r="AA52" i="3"/>
  <c r="H52" i="3"/>
  <c r="AX59" i="3"/>
  <c r="AO59" i="3"/>
  <c r="AI59" i="3"/>
  <c r="AF59" i="3"/>
  <c r="AA59" i="3"/>
  <c r="H59" i="3"/>
  <c r="AX30" i="3"/>
  <c r="AO30" i="3"/>
  <c r="AI30" i="3"/>
  <c r="AF30" i="3"/>
  <c r="AA30" i="3"/>
  <c r="H30" i="3"/>
  <c r="AX29" i="3"/>
  <c r="AO29" i="3"/>
  <c r="AI29" i="3"/>
  <c r="AF29" i="3"/>
  <c r="AA29" i="3"/>
  <c r="H29" i="3"/>
  <c r="AX43" i="3"/>
  <c r="AO43" i="3"/>
  <c r="AI43" i="3"/>
  <c r="AF43" i="3"/>
  <c r="AA43" i="3"/>
  <c r="H43" i="3"/>
  <c r="AX50" i="3"/>
  <c r="AO50" i="3"/>
  <c r="AI50" i="3"/>
  <c r="AF50" i="3"/>
  <c r="AA50" i="3"/>
  <c r="H50" i="3"/>
  <c r="AX33" i="3"/>
  <c r="AO33" i="3"/>
  <c r="AI33" i="3"/>
  <c r="AF33" i="3"/>
  <c r="AA33" i="3"/>
  <c r="H33" i="3"/>
  <c r="AX56" i="3"/>
  <c r="AO56" i="3"/>
  <c r="AI56" i="3"/>
  <c r="AF56" i="3"/>
  <c r="AA56" i="3"/>
  <c r="H56" i="3"/>
  <c r="AX14" i="3"/>
  <c r="AO14" i="3"/>
  <c r="AI14" i="3"/>
  <c r="AF14" i="3"/>
  <c r="AA14" i="3"/>
  <c r="H14" i="3"/>
  <c r="AX20" i="3"/>
  <c r="AO20" i="3"/>
  <c r="AI20" i="3"/>
  <c r="AF20" i="3"/>
  <c r="AA20" i="3"/>
  <c r="H20" i="3"/>
  <c r="AX39" i="3"/>
  <c r="AO39" i="3"/>
  <c r="AI39" i="3"/>
  <c r="AF39" i="3"/>
  <c r="AA39" i="3"/>
  <c r="H39" i="3"/>
  <c r="AX12" i="3"/>
  <c r="AO12" i="3"/>
  <c r="AI12" i="3"/>
  <c r="AF12" i="3"/>
  <c r="AA12" i="3"/>
  <c r="H12" i="3"/>
  <c r="AX41" i="3"/>
  <c r="AO41" i="3"/>
  <c r="AI41" i="3"/>
  <c r="AF41" i="3"/>
  <c r="AA41" i="3"/>
  <c r="H41" i="3"/>
  <c r="AX23" i="3"/>
  <c r="AO23" i="3"/>
  <c r="AI23" i="3"/>
  <c r="AF23" i="3"/>
  <c r="AA23" i="3"/>
  <c r="H23" i="3"/>
  <c r="AX7" i="3"/>
  <c r="AO7" i="3"/>
  <c r="AI7" i="3"/>
  <c r="AF7" i="3"/>
  <c r="AA7" i="3"/>
  <c r="H7" i="3"/>
  <c r="AX54" i="3"/>
  <c r="AO54" i="3"/>
  <c r="AI54" i="3"/>
  <c r="AF54" i="3"/>
  <c r="AA54" i="3"/>
  <c r="H54" i="3"/>
  <c r="AX48" i="3"/>
  <c r="AO48" i="3"/>
  <c r="AI48" i="3"/>
  <c r="AF48" i="3"/>
  <c r="AA48" i="3"/>
  <c r="H48" i="3"/>
  <c r="AX37" i="3"/>
  <c r="AO37" i="3"/>
  <c r="AI37" i="3"/>
  <c r="AF37" i="3"/>
  <c r="AA37" i="3"/>
  <c r="H37" i="3"/>
  <c r="AX10" i="3"/>
  <c r="AO10" i="3"/>
  <c r="AI10" i="3"/>
  <c r="AF10" i="3"/>
  <c r="AA10" i="3"/>
  <c r="H10" i="3"/>
  <c r="AX5" i="3"/>
  <c r="AO5" i="3"/>
  <c r="AI5" i="3"/>
  <c r="AF5" i="3"/>
  <c r="AA5" i="3"/>
  <c r="H5" i="3"/>
  <c r="AX49" i="3"/>
  <c r="AO49" i="3"/>
  <c r="AI49" i="3"/>
  <c r="AF49" i="3"/>
  <c r="AA49" i="3"/>
  <c r="H49" i="3"/>
  <c r="L49" i="3" s="1"/>
  <c r="M49" i="3" s="1"/>
  <c r="AX31" i="3"/>
  <c r="AO31" i="3"/>
  <c r="AI31" i="3"/>
  <c r="AF31" i="3"/>
  <c r="AA31" i="3"/>
  <c r="H31" i="3"/>
  <c r="L31" i="3" s="1"/>
  <c r="M31" i="3" s="1"/>
  <c r="AX35" i="3"/>
  <c r="AO35" i="3"/>
  <c r="AI35" i="3"/>
  <c r="AF35" i="3"/>
  <c r="AA35" i="3"/>
  <c r="H35" i="3"/>
  <c r="AX26" i="3"/>
  <c r="AO26" i="3"/>
  <c r="AI26" i="3"/>
  <c r="AF26" i="3"/>
  <c r="AA26" i="3"/>
  <c r="H26" i="3"/>
  <c r="AX25" i="3"/>
  <c r="AO25" i="3"/>
  <c r="AI25" i="3"/>
  <c r="AF25" i="3"/>
  <c r="AA25" i="3"/>
  <c r="H25" i="3"/>
  <c r="AX42" i="3"/>
  <c r="AO42" i="3"/>
  <c r="AI42" i="3"/>
  <c r="AF42" i="3"/>
  <c r="AA42" i="3"/>
  <c r="H42" i="3"/>
  <c r="AX36" i="3"/>
  <c r="AO36" i="3"/>
  <c r="AI36" i="3"/>
  <c r="AF36" i="3"/>
  <c r="AA36" i="3"/>
  <c r="H36" i="3"/>
  <c r="AX18" i="3"/>
  <c r="AO18" i="3"/>
  <c r="AI18" i="3"/>
  <c r="AF18" i="3"/>
  <c r="AA18" i="3"/>
  <c r="H18" i="3"/>
  <c r="AX21" i="3"/>
  <c r="AO21" i="3"/>
  <c r="AI21" i="3"/>
  <c r="AF21" i="3"/>
  <c r="AA21" i="3"/>
  <c r="H21" i="3"/>
  <c r="AX55" i="3"/>
  <c r="AO55" i="3"/>
  <c r="AI55" i="3"/>
  <c r="AF55" i="3"/>
  <c r="AA55" i="3"/>
  <c r="L55" i="3"/>
  <c r="M55" i="3" s="1"/>
  <c r="H55" i="3"/>
  <c r="J55" i="3" s="1"/>
  <c r="AX57" i="3"/>
  <c r="AO57" i="3"/>
  <c r="AI57" i="3"/>
  <c r="AF57" i="3"/>
  <c r="AA57" i="3"/>
  <c r="H57" i="3"/>
  <c r="AX34" i="3"/>
  <c r="AO34" i="3"/>
  <c r="AI34" i="3"/>
  <c r="AF34" i="3"/>
  <c r="AA34" i="3"/>
  <c r="H34" i="3"/>
  <c r="J34" i="3" s="1"/>
  <c r="AX22" i="3"/>
  <c r="AO22" i="3"/>
  <c r="AI22" i="3"/>
  <c r="AF22" i="3"/>
  <c r="AA22" i="3"/>
  <c r="H22" i="3"/>
  <c r="J22" i="3" s="1"/>
  <c r="AX51" i="3"/>
  <c r="AO51" i="3"/>
  <c r="AI51" i="3"/>
  <c r="AF51" i="3"/>
  <c r="AA51" i="3"/>
  <c r="H51" i="3"/>
  <c r="J51" i="3" s="1"/>
  <c r="AX13" i="3"/>
  <c r="AO13" i="3"/>
  <c r="AI13" i="3"/>
  <c r="AF13" i="3"/>
  <c r="AA13" i="3"/>
  <c r="H13" i="3"/>
  <c r="J13" i="3" s="1"/>
  <c r="AX11" i="3"/>
  <c r="AO11" i="3"/>
  <c r="AI11" i="3"/>
  <c r="AF11" i="3"/>
  <c r="AA11" i="3"/>
  <c r="H11" i="3"/>
  <c r="J11" i="3" s="1"/>
  <c r="AX44" i="3"/>
  <c r="AO44" i="3"/>
  <c r="AI44" i="3"/>
  <c r="AF44" i="3"/>
  <c r="AA44" i="3"/>
  <c r="H44" i="3"/>
  <c r="J44" i="3" s="1"/>
  <c r="AX6" i="3"/>
  <c r="AO6" i="3"/>
  <c r="AI6" i="3"/>
  <c r="AF6" i="3"/>
  <c r="AA6" i="3"/>
  <c r="H6" i="3"/>
  <c r="J6" i="3" s="1"/>
  <c r="AX38" i="3"/>
  <c r="AO38" i="3"/>
  <c r="AI38" i="3"/>
  <c r="AF38" i="3"/>
  <c r="AA38" i="3"/>
  <c r="H38" i="3"/>
  <c r="J38" i="3" s="1"/>
  <c r="AX4" i="3"/>
  <c r="AO4" i="3"/>
  <c r="AI4" i="3"/>
  <c r="AF4" i="3"/>
  <c r="AA4" i="3"/>
  <c r="H4" i="3"/>
  <c r="J4" i="3" s="1"/>
  <c r="AX24" i="3"/>
  <c r="AO24" i="3"/>
  <c r="AI24" i="3"/>
  <c r="AF24" i="3"/>
  <c r="AA24" i="3"/>
  <c r="H24" i="3"/>
  <c r="J24" i="3" s="1"/>
  <c r="AX19" i="3"/>
  <c r="AO19" i="3"/>
  <c r="AI19" i="3"/>
  <c r="AF19" i="3"/>
  <c r="AA19" i="3"/>
  <c r="H19" i="3"/>
  <c r="J19" i="3" s="1"/>
  <c r="AX16" i="3"/>
  <c r="AO16" i="3"/>
  <c r="AI16" i="3"/>
  <c r="AF16" i="3"/>
  <c r="AA16" i="3"/>
  <c r="H16" i="3"/>
  <c r="J16" i="3" s="1"/>
  <c r="AX3" i="3"/>
  <c r="AO3" i="3"/>
  <c r="AI3" i="3"/>
  <c r="AF3" i="3"/>
  <c r="AA3" i="3"/>
  <c r="H3" i="3"/>
  <c r="J3" i="3" s="1"/>
  <c r="AX8" i="3"/>
  <c r="AO8" i="3"/>
  <c r="AI8" i="3"/>
  <c r="AF8" i="3"/>
  <c r="AA8" i="3"/>
  <c r="H8" i="3"/>
  <c r="J8" i="3" s="1"/>
  <c r="AX9" i="3"/>
  <c r="AO9" i="3"/>
  <c r="AI9" i="3"/>
  <c r="AF9" i="3"/>
  <c r="AA9" i="3"/>
  <c r="H9" i="3"/>
  <c r="L9" i="3" s="1"/>
  <c r="M9" i="3" s="1"/>
  <c r="AX2" i="3"/>
  <c r="AO2" i="3"/>
  <c r="AI2" i="3"/>
  <c r="AF2" i="3"/>
  <c r="AA2" i="3"/>
  <c r="H2" i="3"/>
  <c r="L2" i="3" s="1"/>
  <c r="M2" i="3" s="1"/>
  <c r="AX17" i="3"/>
  <c r="AO17" i="3"/>
  <c r="AI17" i="3"/>
  <c r="AF17" i="3"/>
  <c r="AA17" i="3"/>
  <c r="H17" i="3"/>
  <c r="L17" i="3" s="1"/>
  <c r="M17" i="3" s="1"/>
  <c r="AG77" i="3" l="1"/>
  <c r="R60" i="3"/>
  <c r="S60" i="3" s="1"/>
  <c r="V89" i="3"/>
  <c r="W89" i="3" s="1"/>
  <c r="R76" i="3"/>
  <c r="S76" i="3" s="1"/>
  <c r="R84" i="3"/>
  <c r="S84" i="3" s="1"/>
  <c r="L6" i="3"/>
  <c r="M6" i="3" s="1"/>
  <c r="AU47" i="3"/>
  <c r="AV47" i="3" s="1"/>
  <c r="AG45" i="3"/>
  <c r="AG47" i="3"/>
  <c r="AU46" i="3"/>
  <c r="AV46" i="3" s="1"/>
  <c r="R77" i="3"/>
  <c r="S77" i="3" s="1"/>
  <c r="V87" i="3"/>
  <c r="W87" i="3" s="1"/>
  <c r="AB67" i="3"/>
  <c r="AN71" i="3"/>
  <c r="AP28" i="3"/>
  <c r="AJ78" i="3"/>
  <c r="AY87" i="3"/>
  <c r="V88" i="3"/>
  <c r="W88" i="3" s="1"/>
  <c r="AG80" i="3"/>
  <c r="R61" i="3"/>
  <c r="S61" i="3" s="1"/>
  <c r="R74" i="3"/>
  <c r="S74" i="3" s="1"/>
  <c r="AG31" i="3"/>
  <c r="V85" i="3"/>
  <c r="W85" i="3" s="1"/>
  <c r="R2" i="3"/>
  <c r="S2" i="3" s="1"/>
  <c r="L11" i="3"/>
  <c r="M11" i="3" s="1"/>
  <c r="BQ11" i="3" s="1"/>
  <c r="R17" i="3"/>
  <c r="S17" i="3" s="1"/>
  <c r="L3" i="3"/>
  <c r="M3" i="3" s="1"/>
  <c r="R31" i="3"/>
  <c r="S31" i="3" s="1"/>
  <c r="AY83" i="3"/>
  <c r="L19" i="3"/>
  <c r="M19" i="3" s="1"/>
  <c r="BO19" i="3" s="1"/>
  <c r="L51" i="3"/>
  <c r="M51" i="3" s="1"/>
  <c r="J49" i="3"/>
  <c r="R47" i="3"/>
  <c r="S47" i="3" s="1"/>
  <c r="AG46" i="3"/>
  <c r="AG81" i="3"/>
  <c r="AG93" i="3"/>
  <c r="AG83" i="3"/>
  <c r="AY67" i="3"/>
  <c r="AB71" i="3"/>
  <c r="AN82" i="3"/>
  <c r="R9" i="3"/>
  <c r="S9" i="3" s="1"/>
  <c r="L15" i="3"/>
  <c r="M15" i="3" s="1"/>
  <c r="AP15" i="3" s="1"/>
  <c r="AU81" i="3"/>
  <c r="AV81" i="3" s="1"/>
  <c r="AY93" i="3"/>
  <c r="AN86" i="3"/>
  <c r="L4" i="3"/>
  <c r="M4" i="3" s="1"/>
  <c r="BQ4" i="3" s="1"/>
  <c r="L34" i="3"/>
  <c r="M34" i="3" s="1"/>
  <c r="AP31" i="3"/>
  <c r="L53" i="3"/>
  <c r="M53" i="3" s="1"/>
  <c r="BO53" i="3" s="1"/>
  <c r="V58" i="3"/>
  <c r="W58" i="3" s="1"/>
  <c r="R46" i="3"/>
  <c r="S46" i="3" s="1"/>
  <c r="AU77" i="3"/>
  <c r="AV77" i="3" s="1"/>
  <c r="R81" i="3"/>
  <c r="S81" i="3" s="1"/>
  <c r="AG95" i="3"/>
  <c r="R68" i="3"/>
  <c r="S68" i="3" s="1"/>
  <c r="AY78" i="3"/>
  <c r="AN60" i="3"/>
  <c r="V62" i="3"/>
  <c r="W62" i="3" s="1"/>
  <c r="AU17" i="3"/>
  <c r="AV17" i="3" s="1"/>
  <c r="BO17" i="3"/>
  <c r="BQ17" i="3"/>
  <c r="BP17" i="3"/>
  <c r="AP17" i="3"/>
  <c r="AG17" i="3"/>
  <c r="AU2" i="3"/>
  <c r="AV2" i="3" s="1"/>
  <c r="BQ2" i="3"/>
  <c r="BP2" i="3"/>
  <c r="BO2" i="3"/>
  <c r="AP2" i="3"/>
  <c r="AG2" i="3"/>
  <c r="AY9" i="3"/>
  <c r="BP9" i="3"/>
  <c r="BO9" i="3"/>
  <c r="BQ9" i="3"/>
  <c r="AU9" i="3"/>
  <c r="AV9" i="3" s="1"/>
  <c r="AJ9" i="3"/>
  <c r="V2" i="3"/>
  <c r="W2" i="3" s="1"/>
  <c r="BP3" i="3"/>
  <c r="BO3" i="3"/>
  <c r="BQ3" i="3"/>
  <c r="BO4" i="3"/>
  <c r="BO11" i="3"/>
  <c r="BP11" i="3"/>
  <c r="BQ34" i="3"/>
  <c r="BP34" i="3"/>
  <c r="BO34" i="3"/>
  <c r="J17" i="3"/>
  <c r="J9" i="3"/>
  <c r="L16" i="3"/>
  <c r="M16" i="3" s="1"/>
  <c r="L38" i="3"/>
  <c r="M38" i="3" s="1"/>
  <c r="L13" i="3"/>
  <c r="M13" i="3" s="1"/>
  <c r="AY13" i="3" s="1"/>
  <c r="BP55" i="3"/>
  <c r="BO55" i="3"/>
  <c r="BQ55" i="3"/>
  <c r="J21" i="3"/>
  <c r="L21" i="3"/>
  <c r="M21" i="3" s="1"/>
  <c r="AG21" i="3" s="1"/>
  <c r="J36" i="3"/>
  <c r="L36" i="3"/>
  <c r="M36" i="3" s="1"/>
  <c r="AY36" i="3" s="1"/>
  <c r="J25" i="3"/>
  <c r="L25" i="3"/>
  <c r="M25" i="3" s="1"/>
  <c r="AG25" i="3" s="1"/>
  <c r="J35" i="3"/>
  <c r="L35" i="3"/>
  <c r="M35" i="3" s="1"/>
  <c r="AY35" i="3" s="1"/>
  <c r="AU40" i="3"/>
  <c r="AV40" i="3" s="1"/>
  <c r="BQ40" i="3"/>
  <c r="BP40" i="3"/>
  <c r="BO40" i="3"/>
  <c r="AB91" i="3"/>
  <c r="BP19" i="3"/>
  <c r="BO6" i="3"/>
  <c r="BQ6" i="3"/>
  <c r="BP6" i="3"/>
  <c r="AY21" i="3"/>
  <c r="AG35" i="3"/>
  <c r="R49" i="3"/>
  <c r="S49" i="3" s="1"/>
  <c r="AG49" i="3"/>
  <c r="L5" i="3"/>
  <c r="M5" i="3" s="1"/>
  <c r="R5" i="3" s="1"/>
  <c r="S5" i="3" s="1"/>
  <c r="J5" i="3"/>
  <c r="V17" i="3"/>
  <c r="W17" i="3" s="1"/>
  <c r="V9" i="3"/>
  <c r="W9" i="3" s="1"/>
  <c r="BQ51" i="3"/>
  <c r="BP51" i="3"/>
  <c r="BO51" i="3"/>
  <c r="AB9" i="3"/>
  <c r="L8" i="3"/>
  <c r="M8" i="3" s="1"/>
  <c r="AY8" i="3" s="1"/>
  <c r="AB3" i="3"/>
  <c r="V16" i="3"/>
  <c r="W16" i="3" s="1"/>
  <c r="L24" i="3"/>
  <c r="M24" i="3" s="1"/>
  <c r="AJ6" i="3"/>
  <c r="L44" i="3"/>
  <c r="M44" i="3" s="1"/>
  <c r="AY44" i="3" s="1"/>
  <c r="AJ51" i="3"/>
  <c r="L22" i="3"/>
  <c r="M22" i="3" s="1"/>
  <c r="J18" i="3"/>
  <c r="L18" i="3"/>
  <c r="M18" i="3" s="1"/>
  <c r="AG18" i="3" s="1"/>
  <c r="J42" i="3"/>
  <c r="L42" i="3"/>
  <c r="M42" i="3" s="1"/>
  <c r="J26" i="3"/>
  <c r="L26" i="3"/>
  <c r="M26" i="3" s="1"/>
  <c r="AB26" i="3" s="1"/>
  <c r="AR31" i="3"/>
  <c r="AS31" i="3" s="1"/>
  <c r="BO31" i="3"/>
  <c r="BQ31" i="3"/>
  <c r="BP31" i="3"/>
  <c r="AU63" i="3"/>
  <c r="AV63" i="3" s="1"/>
  <c r="V63" i="3"/>
  <c r="W63" i="3" s="1"/>
  <c r="AB16" i="3"/>
  <c r="J57" i="3"/>
  <c r="L57" i="3"/>
  <c r="M57" i="3" s="1"/>
  <c r="AG42" i="3"/>
  <c r="AY42" i="3"/>
  <c r="BO49" i="3"/>
  <c r="BP49" i="3"/>
  <c r="BQ49" i="3"/>
  <c r="V49" i="3"/>
  <c r="W49" i="3" s="1"/>
  <c r="AP49" i="3"/>
  <c r="BP28" i="3"/>
  <c r="BO28" i="3"/>
  <c r="BQ28" i="3"/>
  <c r="AJ55" i="3"/>
  <c r="AB53" i="3"/>
  <c r="R28" i="3"/>
  <c r="S28" i="3" s="1"/>
  <c r="V45" i="3"/>
  <c r="W45" i="3" s="1"/>
  <c r="J47" i="3"/>
  <c r="J46" i="3"/>
  <c r="R93" i="3"/>
  <c r="S93" i="3" s="1"/>
  <c r="AY95" i="3"/>
  <c r="AG68" i="3"/>
  <c r="AY68" i="3"/>
  <c r="AJ94" i="3"/>
  <c r="AB83" i="3"/>
  <c r="AU83" i="3"/>
  <c r="AV83" i="3" s="1"/>
  <c r="R78" i="3"/>
  <c r="S78" i="3" s="1"/>
  <c r="AG89" i="3"/>
  <c r="AG62" i="3"/>
  <c r="AB82" i="3"/>
  <c r="AY63" i="3"/>
  <c r="BO45" i="3"/>
  <c r="BP47" i="3"/>
  <c r="AU53" i="3"/>
  <c r="AV53" i="3" s="1"/>
  <c r="AG53" i="3"/>
  <c r="AP40" i="3"/>
  <c r="AG58" i="3"/>
  <c r="BQ58" i="3"/>
  <c r="AU58" i="3"/>
  <c r="AV58" i="3" s="1"/>
  <c r="AY79" i="3"/>
  <c r="AG63" i="3"/>
  <c r="AN61" i="3"/>
  <c r="AY85" i="3"/>
  <c r="BP58" i="3"/>
  <c r="R36" i="3"/>
  <c r="S36" i="3" s="1"/>
  <c r="R42" i="3"/>
  <c r="S42" i="3" s="1"/>
  <c r="R35" i="3"/>
  <c r="S35" i="3" s="1"/>
  <c r="J28" i="3"/>
  <c r="J40" i="3"/>
  <c r="AB40" i="3"/>
  <c r="R58" i="3"/>
  <c r="S58" i="3" s="1"/>
  <c r="AJ75" i="3"/>
  <c r="AB93" i="3"/>
  <c r="AU93" i="3"/>
  <c r="AV93" i="3" s="1"/>
  <c r="R95" i="3"/>
  <c r="S95" i="3" s="1"/>
  <c r="AJ95" i="3"/>
  <c r="AG79" i="3"/>
  <c r="R83" i="3"/>
  <c r="S83" i="3" s="1"/>
  <c r="R87" i="3"/>
  <c r="S87" i="3" s="1"/>
  <c r="AN73" i="3"/>
  <c r="R67" i="3"/>
  <c r="S67" i="3" s="1"/>
  <c r="AG85" i="3"/>
  <c r="AN74" i="3"/>
  <c r="BO58" i="3"/>
  <c r="BP53" i="3"/>
  <c r="AP53" i="3"/>
  <c r="AG40" i="3"/>
  <c r="AR47" i="3"/>
  <c r="AS47" i="3" s="1"/>
  <c r="BQ47" i="3"/>
  <c r="V47" i="3"/>
  <c r="W47" i="3" s="1"/>
  <c r="AJ47" i="3"/>
  <c r="AR46" i="3"/>
  <c r="AS46" i="3" s="1"/>
  <c r="BQ46" i="3"/>
  <c r="V46" i="3"/>
  <c r="W46" i="3" s="1"/>
  <c r="AJ46" i="3"/>
  <c r="V77" i="3"/>
  <c r="W77" i="3" s="1"/>
  <c r="AJ77" i="3"/>
  <c r="V81" i="3"/>
  <c r="W81" i="3" s="1"/>
  <c r="AJ81" i="3"/>
  <c r="V75" i="3"/>
  <c r="W75" i="3" s="1"/>
  <c r="AN75" i="3"/>
  <c r="AJ69" i="3"/>
  <c r="AB68" i="3"/>
  <c r="AU68" i="3"/>
  <c r="AV68" i="3" s="1"/>
  <c r="R79" i="3"/>
  <c r="S79" i="3" s="1"/>
  <c r="AJ79" i="3"/>
  <c r="AB86" i="3"/>
  <c r="AY89" i="3"/>
  <c r="AY62" i="3"/>
  <c r="BQ45" i="3"/>
  <c r="BP46" i="3"/>
  <c r="BP45" i="3"/>
  <c r="BQ53" i="3"/>
  <c r="AJ8" i="3"/>
  <c r="AY24" i="3"/>
  <c r="AR24" i="3"/>
  <c r="AS24" i="3" s="1"/>
  <c r="AU24" i="3"/>
  <c r="AV24" i="3" s="1"/>
  <c r="AJ24" i="3"/>
  <c r="AR44" i="3"/>
  <c r="AS44" i="3" s="1"/>
  <c r="AU22" i="3"/>
  <c r="AV22" i="3" s="1"/>
  <c r="AY22" i="3"/>
  <c r="AB22" i="3"/>
  <c r="AR22" i="3"/>
  <c r="AS22" i="3" s="1"/>
  <c r="AR4" i="3"/>
  <c r="AS4" i="3" s="1"/>
  <c r="AU11" i="3"/>
  <c r="AV11" i="3" s="1"/>
  <c r="AY11" i="3"/>
  <c r="AB11" i="3"/>
  <c r="AR11" i="3"/>
  <c r="AS11" i="3" s="1"/>
  <c r="AJ22" i="3"/>
  <c r="AU34" i="3"/>
  <c r="AV34" i="3" s="1"/>
  <c r="AY34" i="3"/>
  <c r="AB34" i="3"/>
  <c r="AR34" i="3"/>
  <c r="AS34" i="3" s="1"/>
  <c r="V8" i="3"/>
  <c r="W8" i="3" s="1"/>
  <c r="AY16" i="3"/>
  <c r="AR16" i="3"/>
  <c r="AS16" i="3" s="1"/>
  <c r="AU16" i="3"/>
  <c r="AV16" i="3" s="1"/>
  <c r="AJ16" i="3"/>
  <c r="V24" i="3"/>
  <c r="W24" i="3" s="1"/>
  <c r="AU38" i="3"/>
  <c r="AV38" i="3" s="1"/>
  <c r="AY38" i="3"/>
  <c r="AB38" i="3"/>
  <c r="AR38" i="3"/>
  <c r="AS38" i="3" s="1"/>
  <c r="AJ11" i="3"/>
  <c r="AU13" i="3"/>
  <c r="AV13" i="3" s="1"/>
  <c r="AJ34" i="3"/>
  <c r="AU57" i="3"/>
  <c r="AV57" i="3" s="1"/>
  <c r="AY57" i="3"/>
  <c r="AB57" i="3"/>
  <c r="AR57" i="3"/>
  <c r="AS57" i="3" s="1"/>
  <c r="AY3" i="3"/>
  <c r="AR3" i="3"/>
  <c r="AS3" i="3" s="1"/>
  <c r="AU3" i="3"/>
  <c r="AV3" i="3" s="1"/>
  <c r="AJ3" i="3"/>
  <c r="V3" i="3"/>
  <c r="W3" i="3" s="1"/>
  <c r="AR19" i="3"/>
  <c r="AS19" i="3" s="1"/>
  <c r="AB24" i="3"/>
  <c r="AJ38" i="3"/>
  <c r="AU6" i="3"/>
  <c r="AV6" i="3" s="1"/>
  <c r="AY6" i="3"/>
  <c r="AB6" i="3"/>
  <c r="AR6" i="3"/>
  <c r="AS6" i="3" s="1"/>
  <c r="AU51" i="3"/>
  <c r="AV51" i="3" s="1"/>
  <c r="AY51" i="3"/>
  <c r="AB51" i="3"/>
  <c r="AR51" i="3"/>
  <c r="AS51" i="3" s="1"/>
  <c r="AJ57" i="3"/>
  <c r="AU55" i="3"/>
  <c r="AV55" i="3" s="1"/>
  <c r="AY55" i="3"/>
  <c r="AB55" i="3"/>
  <c r="AR55" i="3"/>
  <c r="AS55" i="3" s="1"/>
  <c r="AG16" i="3"/>
  <c r="AG24" i="3"/>
  <c r="R6" i="3"/>
  <c r="S6" i="3" s="1"/>
  <c r="R34" i="3"/>
  <c r="S34" i="3" s="1"/>
  <c r="AR17" i="3"/>
  <c r="AS17" i="3" s="1"/>
  <c r="AR2" i="3"/>
  <c r="AS2" i="3" s="1"/>
  <c r="AP9" i="3"/>
  <c r="AP3" i="3"/>
  <c r="AG4" i="3"/>
  <c r="AG38" i="3"/>
  <c r="AG6" i="3"/>
  <c r="AG11" i="3"/>
  <c r="AG51" i="3"/>
  <c r="AG22" i="3"/>
  <c r="AG34" i="3"/>
  <c r="AG57" i="3"/>
  <c r="AG55" i="3"/>
  <c r="AU18" i="3"/>
  <c r="AV18" i="3" s="1"/>
  <c r="AR42" i="3"/>
  <c r="AS42" i="3" s="1"/>
  <c r="AU42" i="3"/>
  <c r="AV42" i="3" s="1"/>
  <c r="AB42" i="3"/>
  <c r="AP42" i="3"/>
  <c r="AU26" i="3"/>
  <c r="AV26" i="3" s="1"/>
  <c r="AR49" i="3"/>
  <c r="AS49" i="3" s="1"/>
  <c r="AU49" i="3"/>
  <c r="AV49" i="3" s="1"/>
  <c r="AJ49" i="3"/>
  <c r="AB49" i="3"/>
  <c r="AY49" i="3"/>
  <c r="L37" i="3"/>
  <c r="M37" i="3" s="1"/>
  <c r="R37" i="3" s="1"/>
  <c r="S37" i="3" s="1"/>
  <c r="J37" i="3"/>
  <c r="L20" i="3"/>
  <c r="M20" i="3" s="1"/>
  <c r="J20" i="3"/>
  <c r="L59" i="3"/>
  <c r="M59" i="3" s="1"/>
  <c r="R59" i="3" s="1"/>
  <c r="S59" i="3" s="1"/>
  <c r="J59" i="3"/>
  <c r="AR92" i="3"/>
  <c r="AS92" i="3" s="1"/>
  <c r="AU92" i="3"/>
  <c r="AV92" i="3" s="1"/>
  <c r="V92" i="3"/>
  <c r="W92" i="3" s="1"/>
  <c r="AN92" i="3"/>
  <c r="AU72" i="3"/>
  <c r="AV72" i="3" s="1"/>
  <c r="R72" i="3"/>
  <c r="S72" i="3" s="1"/>
  <c r="AR72" i="3"/>
  <c r="AS72" i="3" s="1"/>
  <c r="V72" i="3"/>
  <c r="W72" i="3" s="1"/>
  <c r="AN72" i="3"/>
  <c r="R3" i="3"/>
  <c r="S3" i="3" s="1"/>
  <c r="R19" i="3"/>
  <c r="S19" i="3" s="1"/>
  <c r="AP38" i="3"/>
  <c r="R11" i="3"/>
  <c r="S11" i="3" s="1"/>
  <c r="AP11" i="3"/>
  <c r="AP13" i="3"/>
  <c r="R51" i="3"/>
  <c r="S51" i="3" s="1"/>
  <c r="AP51" i="3"/>
  <c r="R22" i="3"/>
  <c r="S22" i="3" s="1"/>
  <c r="AP22" i="3"/>
  <c r="AP55" i="3"/>
  <c r="L12" i="3"/>
  <c r="M12" i="3" s="1"/>
  <c r="J12" i="3"/>
  <c r="L29" i="3"/>
  <c r="M29" i="3" s="1"/>
  <c r="AP29" i="3" s="1"/>
  <c r="J29" i="3"/>
  <c r="AB17" i="3"/>
  <c r="AJ17" i="3"/>
  <c r="AY17" i="3"/>
  <c r="AB2" i="3"/>
  <c r="AJ2" i="3"/>
  <c r="AY2" i="3"/>
  <c r="AG9" i="3"/>
  <c r="AR9" i="3"/>
  <c r="AS9" i="3" s="1"/>
  <c r="AG3" i="3"/>
  <c r="R16" i="3"/>
  <c r="S16" i="3" s="1"/>
  <c r="AG19" i="3"/>
  <c r="R24" i="3"/>
  <c r="S24" i="3" s="1"/>
  <c r="V4" i="3"/>
  <c r="W4" i="3" s="1"/>
  <c r="V38" i="3"/>
  <c r="W38" i="3" s="1"/>
  <c r="V6" i="3"/>
  <c r="W6" i="3" s="1"/>
  <c r="V11" i="3"/>
  <c r="W11" i="3" s="1"/>
  <c r="V13" i="3"/>
  <c r="W13" i="3" s="1"/>
  <c r="V51" i="3"/>
  <c r="W51" i="3" s="1"/>
  <c r="V22" i="3"/>
  <c r="W22" i="3" s="1"/>
  <c r="V34" i="3"/>
  <c r="W34" i="3" s="1"/>
  <c r="V57" i="3"/>
  <c r="W57" i="3" s="1"/>
  <c r="V55" i="3"/>
  <c r="W55" i="3" s="1"/>
  <c r="L54" i="3"/>
  <c r="M54" i="3" s="1"/>
  <c r="R54" i="3" s="1"/>
  <c r="S54" i="3" s="1"/>
  <c r="J54" i="3"/>
  <c r="L56" i="3"/>
  <c r="M56" i="3" s="1"/>
  <c r="R56" i="3" s="1"/>
  <c r="S56" i="3" s="1"/>
  <c r="J56" i="3"/>
  <c r="L27" i="3"/>
  <c r="M27" i="3" s="1"/>
  <c r="J27" i="3"/>
  <c r="AR90" i="3"/>
  <c r="AS90" i="3" s="1"/>
  <c r="AU90" i="3"/>
  <c r="AV90" i="3" s="1"/>
  <c r="V90" i="3"/>
  <c r="W90" i="3" s="1"/>
  <c r="AN90" i="3"/>
  <c r="R38" i="3"/>
  <c r="S38" i="3" s="1"/>
  <c r="AP6" i="3"/>
  <c r="AP34" i="3"/>
  <c r="R57" i="3"/>
  <c r="S57" i="3" s="1"/>
  <c r="AP57" i="3"/>
  <c r="R55" i="3"/>
  <c r="S55" i="3" s="1"/>
  <c r="AP16" i="3"/>
  <c r="AP24" i="3"/>
  <c r="AR21" i="3"/>
  <c r="AS21" i="3" s="1"/>
  <c r="AR36" i="3"/>
  <c r="AS36" i="3" s="1"/>
  <c r="AU36" i="3"/>
  <c r="AV36" i="3" s="1"/>
  <c r="V42" i="3"/>
  <c r="W42" i="3" s="1"/>
  <c r="AU25" i="3"/>
  <c r="AV25" i="3" s="1"/>
  <c r="AB35" i="3"/>
  <c r="AP35" i="3"/>
  <c r="L23" i="3"/>
  <c r="M23" i="3" s="1"/>
  <c r="AG23" i="3" s="1"/>
  <c r="J23" i="3"/>
  <c r="L50" i="3"/>
  <c r="M50" i="3" s="1"/>
  <c r="R50" i="3" s="1"/>
  <c r="S50" i="3" s="1"/>
  <c r="J50" i="3"/>
  <c r="AY31" i="3"/>
  <c r="AG5" i="3"/>
  <c r="AG54" i="3"/>
  <c r="R23" i="3"/>
  <c r="S23" i="3" s="1"/>
  <c r="R12" i="3"/>
  <c r="S12" i="3" s="1"/>
  <c r="AG12" i="3"/>
  <c r="R20" i="3"/>
  <c r="S20" i="3" s="1"/>
  <c r="AG20" i="3"/>
  <c r="AG56" i="3"/>
  <c r="AU28" i="3"/>
  <c r="AV28" i="3" s="1"/>
  <c r="AR28" i="3"/>
  <c r="AS28" i="3" s="1"/>
  <c r="V28" i="3"/>
  <c r="W28" i="3" s="1"/>
  <c r="AG28" i="3"/>
  <c r="AY28" i="3"/>
  <c r="L32" i="3"/>
  <c r="M32" i="3" s="1"/>
  <c r="AP32" i="3" s="1"/>
  <c r="J32" i="3"/>
  <c r="AR73" i="3"/>
  <c r="AS73" i="3" s="1"/>
  <c r="AJ73" i="3"/>
  <c r="AU73" i="3"/>
  <c r="AV73" i="3" s="1"/>
  <c r="AY73" i="3"/>
  <c r="AB73" i="3"/>
  <c r="J31" i="3"/>
  <c r="AB31" i="3"/>
  <c r="AJ31" i="3"/>
  <c r="AU31" i="3"/>
  <c r="AV31" i="3" s="1"/>
  <c r="L10" i="3"/>
  <c r="M10" i="3" s="1"/>
  <c r="R10" i="3" s="1"/>
  <c r="S10" i="3" s="1"/>
  <c r="J10" i="3"/>
  <c r="L48" i="3"/>
  <c r="M48" i="3" s="1"/>
  <c r="J48" i="3"/>
  <c r="L7" i="3"/>
  <c r="M7" i="3" s="1"/>
  <c r="R7" i="3" s="1"/>
  <c r="S7" i="3" s="1"/>
  <c r="J7" i="3"/>
  <c r="L41" i="3"/>
  <c r="M41" i="3" s="1"/>
  <c r="AG41" i="3" s="1"/>
  <c r="J41" i="3"/>
  <c r="L39" i="3"/>
  <c r="M39" i="3" s="1"/>
  <c r="R39" i="3" s="1"/>
  <c r="S39" i="3" s="1"/>
  <c r="J39" i="3"/>
  <c r="L14" i="3"/>
  <c r="M14" i="3" s="1"/>
  <c r="AG14" i="3" s="1"/>
  <c r="J14" i="3"/>
  <c r="L33" i="3"/>
  <c r="M33" i="3" s="1"/>
  <c r="R33" i="3" s="1"/>
  <c r="S33" i="3" s="1"/>
  <c r="J33" i="3"/>
  <c r="L43" i="3"/>
  <c r="M43" i="3" s="1"/>
  <c r="J43" i="3"/>
  <c r="L30" i="3"/>
  <c r="M30" i="3" s="1"/>
  <c r="R30" i="3" s="1"/>
  <c r="S30" i="3" s="1"/>
  <c r="J30" i="3"/>
  <c r="L52" i="3"/>
  <c r="M52" i="3" s="1"/>
  <c r="AG52" i="3" s="1"/>
  <c r="J52" i="3"/>
  <c r="AP45" i="3"/>
  <c r="AU45" i="3"/>
  <c r="AV45" i="3" s="1"/>
  <c r="AU15" i="3"/>
  <c r="AV15" i="3" s="1"/>
  <c r="AR15" i="3"/>
  <c r="AS15" i="3" s="1"/>
  <c r="V15" i="3"/>
  <c r="W15" i="3" s="1"/>
  <c r="AG15" i="3"/>
  <c r="AY15" i="3"/>
  <c r="AR66" i="3"/>
  <c r="AS66" i="3" s="1"/>
  <c r="AU66" i="3"/>
  <c r="AV66" i="3" s="1"/>
  <c r="V66" i="3"/>
  <c r="W66" i="3" s="1"/>
  <c r="AN66" i="3"/>
  <c r="V31" i="3"/>
  <c r="W31" i="3" s="1"/>
  <c r="AY5" i="3"/>
  <c r="AJ5" i="3"/>
  <c r="AB5" i="3"/>
  <c r="AR5" i="3"/>
  <c r="AS5" i="3" s="1"/>
  <c r="V5" i="3"/>
  <c r="W5" i="3" s="1"/>
  <c r="AP5" i="3"/>
  <c r="AG48" i="3"/>
  <c r="AP54" i="3"/>
  <c r="AP23" i="3"/>
  <c r="R41" i="3"/>
  <c r="S41" i="3" s="1"/>
  <c r="AP12" i="3"/>
  <c r="AG39" i="3"/>
  <c r="AP20" i="3"/>
  <c r="AP56" i="3"/>
  <c r="AG33" i="3"/>
  <c r="R43" i="3"/>
  <c r="S43" i="3" s="1"/>
  <c r="AG43" i="3"/>
  <c r="AG30" i="3"/>
  <c r="AJ27" i="3"/>
  <c r="R45" i="3"/>
  <c r="S45" i="3" s="1"/>
  <c r="AR45" i="3"/>
  <c r="AS45" i="3" s="1"/>
  <c r="R15" i="3"/>
  <c r="S15" i="3" s="1"/>
  <c r="AR58" i="3"/>
  <c r="AS58" i="3" s="1"/>
  <c r="AP58" i="3"/>
  <c r="AR65" i="3"/>
  <c r="AS65" i="3" s="1"/>
  <c r="AG65" i="3"/>
  <c r="V65" i="3"/>
  <c r="W65" i="3" s="1"/>
  <c r="AU65" i="3"/>
  <c r="AV65" i="3" s="1"/>
  <c r="R65" i="3"/>
  <c r="S65" i="3" s="1"/>
  <c r="AB27" i="3"/>
  <c r="AY53" i="3"/>
  <c r="AJ45" i="3"/>
  <c r="AY40" i="3"/>
  <c r="AJ58" i="3"/>
  <c r="AB90" i="3"/>
  <c r="V69" i="3"/>
  <c r="W69" i="3" s="1"/>
  <c r="AN69" i="3"/>
  <c r="AB66" i="3"/>
  <c r="V94" i="3"/>
  <c r="W94" i="3" s="1"/>
  <c r="AN94" i="3"/>
  <c r="AB92" i="3"/>
  <c r="AR88" i="3"/>
  <c r="AS88" i="3" s="1"/>
  <c r="AJ88" i="3"/>
  <c r="AU88" i="3"/>
  <c r="AV88" i="3" s="1"/>
  <c r="AN88" i="3"/>
  <c r="AU86" i="3"/>
  <c r="AV86" i="3" s="1"/>
  <c r="R86" i="3"/>
  <c r="S86" i="3" s="1"/>
  <c r="AR86" i="3"/>
  <c r="AS86" i="3" s="1"/>
  <c r="V86" i="3"/>
  <c r="W86" i="3" s="1"/>
  <c r="AR64" i="3"/>
  <c r="AS64" i="3" s="1"/>
  <c r="V64" i="3"/>
  <c r="W64" i="3" s="1"/>
  <c r="AU64" i="3"/>
  <c r="AV64" i="3" s="1"/>
  <c r="R64" i="3"/>
  <c r="S64" i="3" s="1"/>
  <c r="AY27" i="3"/>
  <c r="V53" i="3"/>
  <c r="W53" i="3" s="1"/>
  <c r="AR53" i="3"/>
  <c r="AS53" i="3" s="1"/>
  <c r="AJ28" i="3"/>
  <c r="J45" i="3"/>
  <c r="AB45" i="3"/>
  <c r="V40" i="3"/>
  <c r="W40" i="3" s="1"/>
  <c r="AR40" i="3"/>
  <c r="AS40" i="3" s="1"/>
  <c r="AJ15" i="3"/>
  <c r="J58" i="3"/>
  <c r="AB58" i="3"/>
  <c r="AY58" i="3"/>
  <c r="AB47" i="3"/>
  <c r="AY47" i="3"/>
  <c r="AB46" i="3"/>
  <c r="AY46" i="3"/>
  <c r="AB77" i="3"/>
  <c r="AY77" i="3"/>
  <c r="AB81" i="3"/>
  <c r="AY81" i="3"/>
  <c r="AB75" i="3"/>
  <c r="AU75" i="3"/>
  <c r="AV75" i="3" s="1"/>
  <c r="R90" i="3"/>
  <c r="S90" i="3" s="1"/>
  <c r="AG90" i="3"/>
  <c r="AY90" i="3"/>
  <c r="AJ93" i="3"/>
  <c r="V95" i="3"/>
  <c r="W95" i="3" s="1"/>
  <c r="AN95" i="3"/>
  <c r="AB69" i="3"/>
  <c r="AU69" i="3"/>
  <c r="AV69" i="3" s="1"/>
  <c r="R66" i="3"/>
  <c r="S66" i="3" s="1"/>
  <c r="AG66" i="3"/>
  <c r="AY66" i="3"/>
  <c r="AJ68" i="3"/>
  <c r="V79" i="3"/>
  <c r="W79" i="3" s="1"/>
  <c r="AN79" i="3"/>
  <c r="AB94" i="3"/>
  <c r="AU94" i="3"/>
  <c r="AV94" i="3" s="1"/>
  <c r="R92" i="3"/>
  <c r="S92" i="3" s="1"/>
  <c r="AG92" i="3"/>
  <c r="AY92" i="3"/>
  <c r="AJ83" i="3"/>
  <c r="AB78" i="3"/>
  <c r="V91" i="3"/>
  <c r="W91" i="3" s="1"/>
  <c r="AR87" i="3"/>
  <c r="AS87" i="3" s="1"/>
  <c r="AJ87" i="3"/>
  <c r="AU87" i="3"/>
  <c r="AV87" i="3" s="1"/>
  <c r="AN87" i="3"/>
  <c r="AB88" i="3"/>
  <c r="R73" i="3"/>
  <c r="S73" i="3" s="1"/>
  <c r="V67" i="3"/>
  <c r="W67" i="3" s="1"/>
  <c r="AR80" i="3"/>
  <c r="AS80" i="3" s="1"/>
  <c r="V80" i="3"/>
  <c r="W80" i="3" s="1"/>
  <c r="AU80" i="3"/>
  <c r="AV80" i="3" s="1"/>
  <c r="R80" i="3"/>
  <c r="S80" i="3" s="1"/>
  <c r="AU71" i="3"/>
  <c r="AV71" i="3" s="1"/>
  <c r="AR71" i="3"/>
  <c r="AS71" i="3" s="1"/>
  <c r="V71" i="3"/>
  <c r="W71" i="3" s="1"/>
  <c r="R53" i="3"/>
  <c r="S53" i="3" s="1"/>
  <c r="AJ53" i="3"/>
  <c r="AB28" i="3"/>
  <c r="AY45" i="3"/>
  <c r="R40" i="3"/>
  <c r="S40" i="3" s="1"/>
  <c r="AJ40" i="3"/>
  <c r="AB15" i="3"/>
  <c r="AP47" i="3"/>
  <c r="AP46" i="3"/>
  <c r="AN77" i="3"/>
  <c r="AN81" i="3"/>
  <c r="AG75" i="3"/>
  <c r="AY75" i="3"/>
  <c r="AJ90" i="3"/>
  <c r="V93" i="3"/>
  <c r="W93" i="3" s="1"/>
  <c r="AN93" i="3"/>
  <c r="AB95" i="3"/>
  <c r="AU95" i="3"/>
  <c r="AV95" i="3" s="1"/>
  <c r="R69" i="3"/>
  <c r="S69" i="3" s="1"/>
  <c r="AG69" i="3"/>
  <c r="AY69" i="3"/>
  <c r="AJ66" i="3"/>
  <c r="V68" i="3"/>
  <c r="W68" i="3" s="1"/>
  <c r="AN68" i="3"/>
  <c r="AB79" i="3"/>
  <c r="AU79" i="3"/>
  <c r="AV79" i="3" s="1"/>
  <c r="R94" i="3"/>
  <c r="S94" i="3" s="1"/>
  <c r="AG94" i="3"/>
  <c r="AY94" i="3"/>
  <c r="AJ92" i="3"/>
  <c r="V83" i="3"/>
  <c r="W83" i="3" s="1"/>
  <c r="AN83" i="3"/>
  <c r="AU78" i="3"/>
  <c r="AV78" i="3" s="1"/>
  <c r="AR91" i="3"/>
  <c r="AS91" i="3" s="1"/>
  <c r="AJ91" i="3"/>
  <c r="AU91" i="3"/>
  <c r="AV91" i="3" s="1"/>
  <c r="AN91" i="3"/>
  <c r="AB87" i="3"/>
  <c r="R88" i="3"/>
  <c r="S88" i="3" s="1"/>
  <c r="AY88" i="3"/>
  <c r="V73" i="3"/>
  <c r="W73" i="3" s="1"/>
  <c r="AR67" i="3"/>
  <c r="AS67" i="3" s="1"/>
  <c r="AJ67" i="3"/>
  <c r="AU67" i="3"/>
  <c r="AV67" i="3" s="1"/>
  <c r="AN67" i="3"/>
  <c r="AR70" i="3"/>
  <c r="AS70" i="3" s="1"/>
  <c r="AG70" i="3"/>
  <c r="V70" i="3"/>
  <c r="W70" i="3" s="1"/>
  <c r="AU70" i="3"/>
  <c r="AV70" i="3" s="1"/>
  <c r="R70" i="3"/>
  <c r="S70" i="3" s="1"/>
  <c r="AB72" i="3"/>
  <c r="AU82" i="3"/>
  <c r="AV82" i="3" s="1"/>
  <c r="AR82" i="3"/>
  <c r="AS82" i="3" s="1"/>
  <c r="V82" i="3"/>
  <c r="W82" i="3" s="1"/>
  <c r="AG64" i="3"/>
  <c r="AN78" i="3"/>
  <c r="AG91" i="3"/>
  <c r="AG87" i="3"/>
  <c r="AG88" i="3"/>
  <c r="AG73" i="3"/>
  <c r="AG67" i="3"/>
  <c r="AR60" i="3"/>
  <c r="AS60" i="3" s="1"/>
  <c r="AJ65" i="3"/>
  <c r="AG86" i="3"/>
  <c r="AR76" i="3"/>
  <c r="AS76" i="3" s="1"/>
  <c r="AJ70" i="3"/>
  <c r="AG72" i="3"/>
  <c r="AR84" i="3"/>
  <c r="AS84" i="3" s="1"/>
  <c r="AJ80" i="3"/>
  <c r="R82" i="3"/>
  <c r="S82" i="3" s="1"/>
  <c r="AG82" i="3"/>
  <c r="AR61" i="3"/>
  <c r="AS61" i="3" s="1"/>
  <c r="AJ64" i="3"/>
  <c r="R71" i="3"/>
  <c r="S71" i="3" s="1"/>
  <c r="AG71" i="3"/>
  <c r="AR74" i="3"/>
  <c r="AS74" i="3" s="1"/>
  <c r="AG78" i="3"/>
  <c r="V60" i="3"/>
  <c r="W60" i="3" s="1"/>
  <c r="AG60" i="3"/>
  <c r="AU60" i="3"/>
  <c r="AV60" i="3" s="1"/>
  <c r="AN65" i="3"/>
  <c r="AY86" i="3"/>
  <c r="R89" i="3"/>
  <c r="S89" i="3" s="1"/>
  <c r="AN89" i="3"/>
  <c r="V76" i="3"/>
  <c r="W76" i="3" s="1"/>
  <c r="AG76" i="3"/>
  <c r="AU76" i="3"/>
  <c r="AV76" i="3" s="1"/>
  <c r="AN70" i="3"/>
  <c r="AY72" i="3"/>
  <c r="R62" i="3"/>
  <c r="S62" i="3" s="1"/>
  <c r="AN62" i="3"/>
  <c r="V84" i="3"/>
  <c r="W84" i="3" s="1"/>
  <c r="AG84" i="3"/>
  <c r="AU84" i="3"/>
  <c r="AV84" i="3" s="1"/>
  <c r="AN80" i="3"/>
  <c r="AY82" i="3"/>
  <c r="R63" i="3"/>
  <c r="S63" i="3" s="1"/>
  <c r="AN63" i="3"/>
  <c r="V61" i="3"/>
  <c r="W61" i="3" s="1"/>
  <c r="AG61" i="3"/>
  <c r="AN64" i="3"/>
  <c r="AY71" i="3"/>
  <c r="R85" i="3"/>
  <c r="S85" i="3" s="1"/>
  <c r="AN85" i="3"/>
  <c r="V74" i="3"/>
  <c r="W74" i="3" s="1"/>
  <c r="AG74" i="3"/>
  <c r="R91" i="3"/>
  <c r="S91" i="3" s="1"/>
  <c r="AJ60" i="3"/>
  <c r="AB65" i="3"/>
  <c r="AR89" i="3"/>
  <c r="AS89" i="3" s="1"/>
  <c r="AJ76" i="3"/>
  <c r="AB70" i="3"/>
  <c r="AR62" i="3"/>
  <c r="AS62" i="3" s="1"/>
  <c r="AJ84" i="3"/>
  <c r="AB80" i="3"/>
  <c r="AR63" i="3"/>
  <c r="AS63" i="3" s="1"/>
  <c r="AJ61" i="3"/>
  <c r="AB64" i="3"/>
  <c r="AR85" i="3"/>
  <c r="AS85" i="3" s="1"/>
  <c r="AJ74" i="3"/>
  <c r="AB60" i="3"/>
  <c r="AY65" i="3"/>
  <c r="AJ89" i="3"/>
  <c r="AB76" i="3"/>
  <c r="AY70" i="3"/>
  <c r="AJ62" i="3"/>
  <c r="AB84" i="3"/>
  <c r="AY80" i="3"/>
  <c r="AJ63" i="3"/>
  <c r="AB61" i="3"/>
  <c r="AY64" i="3"/>
  <c r="AJ85" i="3"/>
  <c r="AB74" i="3"/>
  <c r="AY60" i="3"/>
  <c r="AJ86" i="3"/>
  <c r="AB89" i="3"/>
  <c r="AY76" i="3"/>
  <c r="AJ72" i="3"/>
  <c r="AB62" i="3"/>
  <c r="AY84" i="3"/>
  <c r="AJ82" i="3"/>
  <c r="AB63" i="3"/>
  <c r="AY61" i="3"/>
  <c r="AJ71" i="3"/>
  <c r="AB85" i="3"/>
  <c r="AY74" i="3"/>
  <c r="AG7" i="3" l="1"/>
  <c r="AG10" i="3"/>
  <c r="AG29" i="3"/>
  <c r="AR25" i="3"/>
  <c r="AS25" i="3" s="1"/>
  <c r="AP21" i="3"/>
  <c r="AU8" i="3"/>
  <c r="AV8" i="3" s="1"/>
  <c r="V21" i="3"/>
  <c r="W21" i="3" s="1"/>
  <c r="AP25" i="3"/>
  <c r="AB21" i="3"/>
  <c r="R8" i="3"/>
  <c r="S8" i="3" s="1"/>
  <c r="AG8" i="3"/>
  <c r="AR8" i="3"/>
  <c r="AS8" i="3" s="1"/>
  <c r="R21" i="3"/>
  <c r="S21" i="3" s="1"/>
  <c r="V25" i="3"/>
  <c r="W25" i="3" s="1"/>
  <c r="AY25" i="3"/>
  <c r="AB25" i="3"/>
  <c r="AU21" i="3"/>
  <c r="AV21" i="3" s="1"/>
  <c r="AP8" i="3"/>
  <c r="AB8" i="3"/>
  <c r="R25" i="3"/>
  <c r="S25" i="3" s="1"/>
  <c r="AY26" i="3"/>
  <c r="BR47" i="3"/>
  <c r="BS47" i="3" s="1"/>
  <c r="AG36" i="3"/>
  <c r="AP50" i="3"/>
  <c r="AP37" i="3"/>
  <c r="R29" i="3"/>
  <c r="S29" i="3" s="1"/>
  <c r="AU35" i="3"/>
  <c r="AV35" i="3" s="1"/>
  <c r="AP36" i="3"/>
  <c r="V18" i="3"/>
  <c r="W18" i="3" s="1"/>
  <c r="AP44" i="3"/>
  <c r="R13" i="3"/>
  <c r="S13" i="3" s="1"/>
  <c r="AP4" i="3"/>
  <c r="AR26" i="3"/>
  <c r="AS26" i="3" s="1"/>
  <c r="AR18" i="3"/>
  <c r="AS18" i="3" s="1"/>
  <c r="AG44" i="3"/>
  <c r="AP19" i="3"/>
  <c r="AY19" i="3"/>
  <c r="AR13" i="3"/>
  <c r="AS13" i="3" s="1"/>
  <c r="AB4" i="3"/>
  <c r="AB44" i="3"/>
  <c r="R26" i="3"/>
  <c r="S26" i="3" s="1"/>
  <c r="R18" i="3"/>
  <c r="S18" i="3" s="1"/>
  <c r="BQ15" i="3"/>
  <c r="AG26" i="3"/>
  <c r="V36" i="3"/>
  <c r="W36" i="3" s="1"/>
  <c r="AG59" i="3"/>
  <c r="AG50" i="3"/>
  <c r="AG37" i="3"/>
  <c r="AR35" i="3"/>
  <c r="AS35" i="3" s="1"/>
  <c r="AB36" i="3"/>
  <c r="R44" i="3"/>
  <c r="S44" i="3" s="1"/>
  <c r="V44" i="3"/>
  <c r="W44" i="3" s="1"/>
  <c r="R4" i="3"/>
  <c r="S4" i="3" s="1"/>
  <c r="AP26" i="3"/>
  <c r="AP18" i="3"/>
  <c r="AJ19" i="3"/>
  <c r="AB13" i="3"/>
  <c r="AJ4" i="3"/>
  <c r="AJ44" i="3"/>
  <c r="AU4" i="3"/>
  <c r="AV4" i="3" s="1"/>
  <c r="AU44" i="3"/>
  <c r="AV44" i="3" s="1"/>
  <c r="BP15" i="3"/>
  <c r="AY18" i="3"/>
  <c r="BQ19" i="3"/>
  <c r="BR19" i="3" s="1"/>
  <c r="BT19" i="3" s="1"/>
  <c r="AB19" i="3"/>
  <c r="BP4" i="3"/>
  <c r="AY32" i="3"/>
  <c r="AB32" i="3"/>
  <c r="AP59" i="3"/>
  <c r="V26" i="3"/>
  <c r="W26" i="3" s="1"/>
  <c r="AB18" i="3"/>
  <c r="AG13" i="3"/>
  <c r="AJ13" i="3"/>
  <c r="AU19" i="3"/>
  <c r="AV19" i="3" s="1"/>
  <c r="AY4" i="3"/>
  <c r="BO15" i="3"/>
  <c r="BR15" i="3" s="1"/>
  <c r="BT15" i="3" s="1"/>
  <c r="V35" i="3"/>
  <c r="W35" i="3" s="1"/>
  <c r="V19" i="3"/>
  <c r="W19" i="3" s="1"/>
  <c r="R52" i="3"/>
  <c r="S52" i="3" s="1"/>
  <c r="BO52" i="3"/>
  <c r="BP52" i="3"/>
  <c r="AP43" i="3"/>
  <c r="BP43" i="3"/>
  <c r="BO43" i="3"/>
  <c r="BQ43" i="3"/>
  <c r="R14" i="3"/>
  <c r="S14" i="3" s="1"/>
  <c r="BP14" i="3"/>
  <c r="BO14" i="3"/>
  <c r="BQ14" i="3"/>
  <c r="AP41" i="3"/>
  <c r="BQ41" i="3"/>
  <c r="BP41" i="3"/>
  <c r="BO41" i="3"/>
  <c r="R48" i="3"/>
  <c r="S48" i="3" s="1"/>
  <c r="BO48" i="3"/>
  <c r="BQ48" i="3"/>
  <c r="BP48" i="3"/>
  <c r="BP23" i="3"/>
  <c r="BO23" i="3"/>
  <c r="BQ23" i="3"/>
  <c r="BQ27" i="3"/>
  <c r="BP27" i="3"/>
  <c r="BO27" i="3"/>
  <c r="BQ54" i="3"/>
  <c r="BP54" i="3"/>
  <c r="BO54" i="3"/>
  <c r="BP12" i="3"/>
  <c r="BO12" i="3"/>
  <c r="BQ12" i="3"/>
  <c r="BP20" i="3"/>
  <c r="BO20" i="3"/>
  <c r="BQ20" i="3"/>
  <c r="BR28" i="3"/>
  <c r="BS28" i="3" s="1"/>
  <c r="BP42" i="3"/>
  <c r="BO42" i="3"/>
  <c r="BQ42" i="3"/>
  <c r="AJ42" i="3"/>
  <c r="BP22" i="3"/>
  <c r="BO22" i="3"/>
  <c r="BQ22" i="3"/>
  <c r="BP24" i="3"/>
  <c r="BO24" i="3"/>
  <c r="BQ24" i="3"/>
  <c r="BO5" i="3"/>
  <c r="BQ5" i="3"/>
  <c r="BP5" i="3"/>
  <c r="AU5" i="3"/>
  <c r="AV5" i="3" s="1"/>
  <c r="BR6" i="3"/>
  <c r="BT6" i="3" s="1"/>
  <c r="BO35" i="3"/>
  <c r="BP35" i="3"/>
  <c r="BQ35" i="3"/>
  <c r="AJ35" i="3"/>
  <c r="BO36" i="3"/>
  <c r="BQ36" i="3"/>
  <c r="BP36" i="3"/>
  <c r="AJ36" i="3"/>
  <c r="BO13" i="3"/>
  <c r="BQ13" i="3"/>
  <c r="BP13" i="3"/>
  <c r="BR11" i="3"/>
  <c r="BS11" i="3" s="1"/>
  <c r="BR4" i="3"/>
  <c r="BS4" i="3" s="1"/>
  <c r="BR2" i="3"/>
  <c r="BT2" i="3" s="1"/>
  <c r="BR58" i="3"/>
  <c r="BU58" i="3" s="1"/>
  <c r="BR49" i="3"/>
  <c r="BS49" i="3" s="1"/>
  <c r="BQ57" i="3"/>
  <c r="BP57" i="3"/>
  <c r="BO57" i="3"/>
  <c r="BR55" i="3"/>
  <c r="BS55" i="3" s="1"/>
  <c r="BO38" i="3"/>
  <c r="BQ38" i="3"/>
  <c r="BP38" i="3"/>
  <c r="BR17" i="3"/>
  <c r="BU17" i="3" s="1"/>
  <c r="BO30" i="3"/>
  <c r="BQ30" i="3"/>
  <c r="BP30" i="3"/>
  <c r="AP33" i="3"/>
  <c r="BP33" i="3"/>
  <c r="BO33" i="3"/>
  <c r="BQ33" i="3"/>
  <c r="BO39" i="3"/>
  <c r="BQ39" i="3"/>
  <c r="BP39" i="3"/>
  <c r="AP7" i="3"/>
  <c r="BQ7" i="3"/>
  <c r="BP7" i="3"/>
  <c r="BO7" i="3"/>
  <c r="BO10" i="3"/>
  <c r="BQ10" i="3"/>
  <c r="BP10" i="3"/>
  <c r="AJ32" i="3"/>
  <c r="BQ32" i="3"/>
  <c r="BO32" i="3"/>
  <c r="BP32" i="3"/>
  <c r="BO50" i="3"/>
  <c r="BQ50" i="3"/>
  <c r="BP50" i="3"/>
  <c r="BO56" i="3"/>
  <c r="BQ56" i="3"/>
  <c r="BP56" i="3"/>
  <c r="BO29" i="3"/>
  <c r="BQ29" i="3"/>
  <c r="BP29" i="3"/>
  <c r="BQ59" i="3"/>
  <c r="BP59" i="3"/>
  <c r="BO59" i="3"/>
  <c r="BQ37" i="3"/>
  <c r="BP37" i="3"/>
  <c r="BO37" i="3"/>
  <c r="BT47" i="3"/>
  <c r="BO26" i="3"/>
  <c r="BQ26" i="3"/>
  <c r="BP26" i="3"/>
  <c r="AJ26" i="3"/>
  <c r="BP18" i="3"/>
  <c r="BO18" i="3"/>
  <c r="BQ18" i="3"/>
  <c r="AJ18" i="3"/>
  <c r="BP44" i="3"/>
  <c r="BO44" i="3"/>
  <c r="BQ44" i="3"/>
  <c r="BO25" i="3"/>
  <c r="BP25" i="3"/>
  <c r="BQ25" i="3"/>
  <c r="AJ25" i="3"/>
  <c r="BQ21" i="3"/>
  <c r="BP21" i="3"/>
  <c r="BO21" i="3"/>
  <c r="AJ21" i="3"/>
  <c r="BT55" i="3"/>
  <c r="BR34" i="3"/>
  <c r="BU34" i="3" s="1"/>
  <c r="BT4" i="3"/>
  <c r="BR9" i="3"/>
  <c r="BU9" i="3" s="1"/>
  <c r="BU47" i="3"/>
  <c r="BR45" i="3"/>
  <c r="BU45" i="3" s="1"/>
  <c r="BU28" i="3"/>
  <c r="BR53" i="3"/>
  <c r="BS53" i="3" s="1"/>
  <c r="BU49" i="3"/>
  <c r="BR46" i="3"/>
  <c r="BS46" i="3" s="1"/>
  <c r="BR31" i="3"/>
  <c r="BT31" i="3" s="1"/>
  <c r="BQ8" i="3"/>
  <c r="BP8" i="3"/>
  <c r="BO8" i="3"/>
  <c r="BR51" i="3"/>
  <c r="BT51" i="3" s="1"/>
  <c r="BU6" i="3"/>
  <c r="BR40" i="3"/>
  <c r="BT40" i="3" s="1"/>
  <c r="BO16" i="3"/>
  <c r="BQ16" i="3"/>
  <c r="BP16" i="3"/>
  <c r="BT34" i="3"/>
  <c r="BU11" i="3"/>
  <c r="BU4" i="3"/>
  <c r="BR3" i="3"/>
  <c r="BS3" i="3" s="1"/>
  <c r="BT17" i="3"/>
  <c r="AY56" i="3"/>
  <c r="AJ56" i="3"/>
  <c r="AB56" i="3"/>
  <c r="AR56" i="3"/>
  <c r="AS56" i="3" s="1"/>
  <c r="V56" i="3"/>
  <c r="W56" i="3" s="1"/>
  <c r="AU56" i="3"/>
  <c r="AV56" i="3" s="1"/>
  <c r="AY29" i="3"/>
  <c r="AJ29" i="3"/>
  <c r="AB29" i="3"/>
  <c r="AR29" i="3"/>
  <c r="AS29" i="3" s="1"/>
  <c r="V29" i="3"/>
  <c r="W29" i="3" s="1"/>
  <c r="AU29" i="3"/>
  <c r="AV29" i="3" s="1"/>
  <c r="AY30" i="3"/>
  <c r="AJ30" i="3"/>
  <c r="AB30" i="3"/>
  <c r="AR30" i="3"/>
  <c r="AS30" i="3" s="1"/>
  <c r="AU30" i="3"/>
  <c r="AV30" i="3" s="1"/>
  <c r="V30" i="3"/>
  <c r="W30" i="3" s="1"/>
  <c r="AY33" i="3"/>
  <c r="AJ33" i="3"/>
  <c r="AB33" i="3"/>
  <c r="AR33" i="3"/>
  <c r="AS33" i="3" s="1"/>
  <c r="AU33" i="3"/>
  <c r="AV33" i="3" s="1"/>
  <c r="V33" i="3"/>
  <c r="W33" i="3" s="1"/>
  <c r="AY39" i="3"/>
  <c r="AJ39" i="3"/>
  <c r="AB39" i="3"/>
  <c r="AR39" i="3"/>
  <c r="AS39" i="3" s="1"/>
  <c r="AU39" i="3"/>
  <c r="AV39" i="3" s="1"/>
  <c r="V39" i="3"/>
  <c r="W39" i="3" s="1"/>
  <c r="AY7" i="3"/>
  <c r="AJ7" i="3"/>
  <c r="AB7" i="3"/>
  <c r="AR7" i="3"/>
  <c r="AS7" i="3" s="1"/>
  <c r="AU7" i="3"/>
  <c r="AV7" i="3" s="1"/>
  <c r="V7" i="3"/>
  <c r="W7" i="3" s="1"/>
  <c r="AY10" i="3"/>
  <c r="AJ10" i="3"/>
  <c r="AB10" i="3"/>
  <c r="AR10" i="3"/>
  <c r="AS10" i="3" s="1"/>
  <c r="AU10" i="3"/>
  <c r="AV10" i="3" s="1"/>
  <c r="V10" i="3"/>
  <c r="W10" i="3" s="1"/>
  <c r="AR32" i="3"/>
  <c r="AS32" i="3" s="1"/>
  <c r="AG32" i="3"/>
  <c r="V32" i="3"/>
  <c r="W32" i="3" s="1"/>
  <c r="R32" i="3"/>
  <c r="S32" i="3" s="1"/>
  <c r="AU32" i="3"/>
  <c r="AV32" i="3" s="1"/>
  <c r="AY23" i="3"/>
  <c r="AJ23" i="3"/>
  <c r="AB23" i="3"/>
  <c r="AR23" i="3"/>
  <c r="AS23" i="3" s="1"/>
  <c r="V23" i="3"/>
  <c r="W23" i="3" s="1"/>
  <c r="AU23" i="3"/>
  <c r="AV23" i="3" s="1"/>
  <c r="AY59" i="3"/>
  <c r="AJ59" i="3"/>
  <c r="AB59" i="3"/>
  <c r="AR59" i="3"/>
  <c r="AS59" i="3" s="1"/>
  <c r="V59" i="3"/>
  <c r="W59" i="3" s="1"/>
  <c r="AU59" i="3"/>
  <c r="AV59" i="3" s="1"/>
  <c r="AY37" i="3"/>
  <c r="AJ37" i="3"/>
  <c r="AB37" i="3"/>
  <c r="AR37" i="3"/>
  <c r="AS37" i="3" s="1"/>
  <c r="V37" i="3"/>
  <c r="W37" i="3" s="1"/>
  <c r="AU37" i="3"/>
  <c r="AV37" i="3" s="1"/>
  <c r="AP30" i="3"/>
  <c r="AP39" i="3"/>
  <c r="AP10" i="3"/>
  <c r="AR27" i="3"/>
  <c r="AS27" i="3" s="1"/>
  <c r="AG27" i="3"/>
  <c r="V27" i="3"/>
  <c r="W27" i="3" s="1"/>
  <c r="R27" i="3"/>
  <c r="S27" i="3" s="1"/>
  <c r="AU27" i="3"/>
  <c r="AV27" i="3" s="1"/>
  <c r="AY54" i="3"/>
  <c r="AJ54" i="3"/>
  <c r="AB54" i="3"/>
  <c r="AR54" i="3"/>
  <c r="AS54" i="3" s="1"/>
  <c r="V54" i="3"/>
  <c r="W54" i="3" s="1"/>
  <c r="AU54" i="3"/>
  <c r="AV54" i="3" s="1"/>
  <c r="AY12" i="3"/>
  <c r="AJ12" i="3"/>
  <c r="AB12" i="3"/>
  <c r="AR12" i="3"/>
  <c r="AS12" i="3" s="1"/>
  <c r="V12" i="3"/>
  <c r="W12" i="3" s="1"/>
  <c r="AU12" i="3"/>
  <c r="AV12" i="3" s="1"/>
  <c r="AY52" i="3"/>
  <c r="AJ52" i="3"/>
  <c r="AB52" i="3"/>
  <c r="AR52" i="3"/>
  <c r="AS52" i="3" s="1"/>
  <c r="AU52" i="3"/>
  <c r="AV52" i="3" s="1"/>
  <c r="V52" i="3"/>
  <c r="W52" i="3" s="1"/>
  <c r="AY43" i="3"/>
  <c r="AJ43" i="3"/>
  <c r="AB43" i="3"/>
  <c r="AR43" i="3"/>
  <c r="AS43" i="3" s="1"/>
  <c r="AU43" i="3"/>
  <c r="AV43" i="3" s="1"/>
  <c r="V43" i="3"/>
  <c r="W43" i="3" s="1"/>
  <c r="AY14" i="3"/>
  <c r="AJ14" i="3"/>
  <c r="AB14" i="3"/>
  <c r="AR14" i="3"/>
  <c r="AS14" i="3" s="1"/>
  <c r="AU14" i="3"/>
  <c r="AV14" i="3" s="1"/>
  <c r="V14" i="3"/>
  <c r="W14" i="3" s="1"/>
  <c r="AY41" i="3"/>
  <c r="AJ41" i="3"/>
  <c r="AB41" i="3"/>
  <c r="AR41" i="3"/>
  <c r="AS41" i="3" s="1"/>
  <c r="AU41" i="3"/>
  <c r="AV41" i="3" s="1"/>
  <c r="V41" i="3"/>
  <c r="W41" i="3" s="1"/>
  <c r="AY48" i="3"/>
  <c r="AJ48" i="3"/>
  <c r="AB48" i="3"/>
  <c r="AR48" i="3"/>
  <c r="AS48" i="3" s="1"/>
  <c r="AU48" i="3"/>
  <c r="AV48" i="3" s="1"/>
  <c r="V48" i="3"/>
  <c r="W48" i="3" s="1"/>
  <c r="AP52" i="3"/>
  <c r="AP14" i="3"/>
  <c r="AP48" i="3"/>
  <c r="AY50" i="3"/>
  <c r="AJ50" i="3"/>
  <c r="AB50" i="3"/>
  <c r="AR50" i="3"/>
  <c r="AS50" i="3" s="1"/>
  <c r="V50" i="3"/>
  <c r="W50" i="3" s="1"/>
  <c r="AU50" i="3"/>
  <c r="AV50" i="3" s="1"/>
  <c r="AP27" i="3"/>
  <c r="AY20" i="3"/>
  <c r="AJ20" i="3"/>
  <c r="AB20" i="3"/>
  <c r="AR20" i="3"/>
  <c r="AS20" i="3" s="1"/>
  <c r="V20" i="3"/>
  <c r="W20" i="3" s="1"/>
  <c r="AU20" i="3"/>
  <c r="AV20" i="3" s="1"/>
  <c r="BS51" i="3" l="1"/>
  <c r="BS45" i="3"/>
  <c r="BS34" i="3"/>
  <c r="BU46" i="3"/>
  <c r="BS31" i="3"/>
  <c r="BT9" i="3"/>
  <c r="BU2" i="3"/>
  <c r="BT11" i="3"/>
  <c r="BS17" i="3"/>
  <c r="BT28" i="3"/>
  <c r="BS58" i="3"/>
  <c r="BU55" i="3"/>
  <c r="BS6" i="3"/>
  <c r="BU15" i="3"/>
  <c r="BS9" i="3"/>
  <c r="BT58" i="3"/>
  <c r="BS15" i="3"/>
  <c r="BS40" i="3"/>
  <c r="BT46" i="3"/>
  <c r="BU3" i="3"/>
  <c r="BU19" i="3"/>
  <c r="BR18" i="3"/>
  <c r="BS18" i="3" s="1"/>
  <c r="BU31" i="3"/>
  <c r="BT45" i="3"/>
  <c r="BR10" i="3"/>
  <c r="BS10" i="3" s="1"/>
  <c r="BR33" i="3"/>
  <c r="BU33" i="3" s="1"/>
  <c r="BS2" i="3"/>
  <c r="BR35" i="3"/>
  <c r="BS35" i="3" s="1"/>
  <c r="BR20" i="3"/>
  <c r="BS20" i="3" s="1"/>
  <c r="BR12" i="3"/>
  <c r="BS12" i="3" s="1"/>
  <c r="BR23" i="3"/>
  <c r="BT23" i="3" s="1"/>
  <c r="BR41" i="3"/>
  <c r="BS41" i="3" s="1"/>
  <c r="BR16" i="3"/>
  <c r="BU16" i="3" s="1"/>
  <c r="BR37" i="3"/>
  <c r="BS37" i="3" s="1"/>
  <c r="BR59" i="3"/>
  <c r="BS59" i="3" s="1"/>
  <c r="BR39" i="3"/>
  <c r="BU39" i="3" s="1"/>
  <c r="BR57" i="3"/>
  <c r="BS57" i="3" s="1"/>
  <c r="BU53" i="3"/>
  <c r="BT3" i="3"/>
  <c r="BR13" i="3"/>
  <c r="BS13" i="3" s="1"/>
  <c r="BS5" i="3"/>
  <c r="BR5" i="3"/>
  <c r="BU5" i="3" s="1"/>
  <c r="BR24" i="3"/>
  <c r="BU24" i="3" s="1"/>
  <c r="BR22" i="3"/>
  <c r="BU22" i="3" s="1"/>
  <c r="BT49" i="3"/>
  <c r="BT53" i="3"/>
  <c r="BR48" i="3"/>
  <c r="BU48" i="3" s="1"/>
  <c r="BR52" i="3"/>
  <c r="BU52" i="3" s="1"/>
  <c r="BS19" i="3"/>
  <c r="BR8" i="3"/>
  <c r="BU8" i="3" s="1"/>
  <c r="BR25" i="3"/>
  <c r="BT25" i="3" s="1"/>
  <c r="BR26" i="3"/>
  <c r="BT26" i="3" s="1"/>
  <c r="BR32" i="3"/>
  <c r="BS32" i="3" s="1"/>
  <c r="BR7" i="3"/>
  <c r="BU7" i="3" s="1"/>
  <c r="BR30" i="3"/>
  <c r="BT30" i="3" s="1"/>
  <c r="BR38" i="3"/>
  <c r="BT38" i="3" s="1"/>
  <c r="BU40" i="3"/>
  <c r="BU35" i="3"/>
  <c r="BR42" i="3"/>
  <c r="BU42" i="3" s="1"/>
  <c r="BU41" i="3"/>
  <c r="BR14" i="3"/>
  <c r="BU14" i="3" s="1"/>
  <c r="BR21" i="3"/>
  <c r="BU21" i="3" s="1"/>
  <c r="BR44" i="3"/>
  <c r="BT44" i="3" s="1"/>
  <c r="BU18" i="3"/>
  <c r="BU59" i="3"/>
  <c r="BR29" i="3"/>
  <c r="BT29" i="3" s="1"/>
  <c r="BR56" i="3"/>
  <c r="BT56" i="3" s="1"/>
  <c r="BR50" i="3"/>
  <c r="BT50" i="3" s="1"/>
  <c r="BU10" i="3"/>
  <c r="BU51" i="3"/>
  <c r="BT13" i="3"/>
  <c r="BR36" i="3"/>
  <c r="BU36" i="3" s="1"/>
  <c r="BT35" i="3"/>
  <c r="BT5" i="3"/>
  <c r="BT42" i="3"/>
  <c r="BR54" i="3"/>
  <c r="BT54" i="3" s="1"/>
  <c r="BR27" i="3"/>
  <c r="BU27" i="3" s="1"/>
  <c r="BT48" i="3"/>
  <c r="BR43" i="3"/>
  <c r="BT43" i="3" s="1"/>
  <c r="BS48" i="3" l="1"/>
  <c r="BT12" i="3"/>
  <c r="BT37" i="3"/>
  <c r="BT33" i="3"/>
  <c r="BS33" i="3"/>
  <c r="BU12" i="3"/>
  <c r="BT10" i="3"/>
  <c r="BT41" i="3"/>
  <c r="BU37" i="3"/>
  <c r="BT16" i="3"/>
  <c r="BS42" i="3"/>
  <c r="BT59" i="3"/>
  <c r="BS39" i="3"/>
  <c r="BT14" i="3"/>
  <c r="BT39" i="3"/>
  <c r="BT52" i="3"/>
  <c r="BU23" i="3"/>
  <c r="BS54" i="3"/>
  <c r="BU57" i="3"/>
  <c r="BT7" i="3"/>
  <c r="BT24" i="3"/>
  <c r="BS38" i="3"/>
  <c r="BS7" i="3"/>
  <c r="BS8" i="3"/>
  <c r="BU38" i="3"/>
  <c r="BT18" i="3"/>
  <c r="BS27" i="3"/>
  <c r="BU20" i="3"/>
  <c r="BT8" i="3"/>
  <c r="BS30" i="3"/>
  <c r="BS25" i="3"/>
  <c r="BS16" i="3"/>
  <c r="BU50" i="3"/>
  <c r="BS43" i="3"/>
  <c r="BS50" i="3"/>
  <c r="BS29" i="3"/>
  <c r="BS44" i="3"/>
  <c r="BS14" i="3"/>
  <c r="BT22" i="3"/>
  <c r="BT57" i="3"/>
  <c r="BU56" i="3"/>
  <c r="BS26" i="3"/>
  <c r="BU54" i="3"/>
  <c r="BS24" i="3"/>
  <c r="BT36" i="3"/>
  <c r="BU30" i="3"/>
  <c r="BT32" i="3"/>
  <c r="BU26" i="3"/>
  <c r="BS23" i="3"/>
  <c r="BU13" i="3"/>
  <c r="BT27" i="3"/>
  <c r="BU25" i="3"/>
  <c r="BU29" i="3"/>
  <c r="BS36" i="3"/>
  <c r="BU32" i="3"/>
  <c r="BS56" i="3"/>
  <c r="BS21" i="3"/>
  <c r="BU43" i="3"/>
  <c r="BU44" i="3"/>
  <c r="BT20" i="3"/>
  <c r="BS22" i="3"/>
  <c r="BT21" i="3"/>
  <c r="BD8" i="3"/>
  <c r="BC8" i="3"/>
  <c r="BC25" i="3"/>
  <c r="BD25" i="3" s="1"/>
  <c r="BD44" i="3"/>
  <c r="BC44" i="3"/>
  <c r="BC37" i="3"/>
  <c r="BD37" i="3" s="1"/>
  <c r="BD59" i="3"/>
  <c r="BC59" i="3"/>
  <c r="BC29" i="3"/>
  <c r="BD29" i="3" s="1"/>
  <c r="BD56" i="3"/>
  <c r="BC56" i="3"/>
  <c r="BC50" i="3"/>
  <c r="BD50" i="3" s="1"/>
  <c r="BD32" i="3"/>
  <c r="BC32" i="3"/>
  <c r="BC38" i="3"/>
  <c r="BD38" i="3" s="1"/>
  <c r="BD36" i="3"/>
  <c r="BC36" i="3"/>
  <c r="BC42" i="3"/>
  <c r="BD42" i="3" s="1"/>
  <c r="BD43" i="3"/>
  <c r="BC43" i="3"/>
  <c r="BC18" i="3"/>
  <c r="BD18" i="3" s="1"/>
  <c r="BD10" i="3"/>
  <c r="BC10" i="3"/>
  <c r="BC7" i="3"/>
  <c r="BD7" i="3" s="1"/>
  <c r="BD57" i="3"/>
  <c r="BC57" i="3"/>
  <c r="BC35" i="3"/>
  <c r="BD35" i="3" s="1"/>
  <c r="BD20" i="3"/>
  <c r="BC20" i="3"/>
  <c r="BC12" i="3"/>
  <c r="BD12" i="3" s="1"/>
  <c r="BD54" i="3"/>
  <c r="BC54" i="3"/>
  <c r="BC27" i="3"/>
  <c r="BD27" i="3" s="1"/>
  <c r="BD23" i="3"/>
  <c r="BC23" i="3"/>
  <c r="BC48" i="3"/>
  <c r="BD48" i="3" s="1"/>
  <c r="BD4" i="3"/>
  <c r="BC4" i="3"/>
  <c r="BC26" i="3"/>
  <c r="BD26" i="3" s="1"/>
  <c r="BD39" i="3"/>
  <c r="BC39" i="3"/>
  <c r="BD33" i="3"/>
  <c r="BC33" i="3"/>
  <c r="BD41" i="3"/>
  <c r="BC41" i="3"/>
  <c r="BC19" i="3"/>
  <c r="BD19" i="3" s="1"/>
  <c r="BD16" i="3"/>
  <c r="BC16" i="3"/>
  <c r="BC21" i="3"/>
  <c r="BD21" i="3" s="1"/>
  <c r="BD30" i="3"/>
  <c r="BC30" i="3"/>
  <c r="BC13" i="3"/>
  <c r="BD13" i="3" s="1"/>
  <c r="BD5" i="3"/>
  <c r="BC5" i="3"/>
  <c r="BC24" i="3"/>
  <c r="BD24" i="3" s="1"/>
  <c r="BD22" i="3"/>
  <c r="BC22" i="3"/>
  <c r="BC14" i="3"/>
  <c r="BD14" i="3" s="1"/>
  <c r="BD15" i="3"/>
  <c r="BC15" i="3"/>
  <c r="BC46" i="3"/>
  <c r="BD46" i="3" s="1"/>
  <c r="BD40" i="3"/>
  <c r="BC40" i="3"/>
  <c r="BC17" i="3"/>
  <c r="BD17" i="3" s="1"/>
  <c r="BD47" i="3"/>
  <c r="BC47" i="3"/>
  <c r="BC45" i="3"/>
  <c r="BD45" i="3" s="1"/>
  <c r="BD28" i="3"/>
  <c r="BC28" i="3"/>
  <c r="BC31" i="3"/>
  <c r="BD31" i="3" s="1"/>
  <c r="BD55" i="3"/>
  <c r="BC55" i="3"/>
  <c r="BC2" i="3"/>
  <c r="BD2" i="3" s="1"/>
  <c r="BD6" i="3"/>
  <c r="BC6" i="3"/>
  <c r="BC34" i="3"/>
  <c r="BD34" i="3" s="1"/>
  <c r="BD11" i="3"/>
  <c r="BC11" i="3"/>
  <c r="BC9" i="3"/>
  <c r="BD9" i="3" s="1"/>
  <c r="BD58" i="3"/>
  <c r="BC58" i="3"/>
  <c r="BC53" i="3"/>
  <c r="BD53" i="3" s="1"/>
  <c r="BD49" i="3"/>
  <c r="BC49" i="3"/>
  <c r="BC51" i="3"/>
  <c r="BD51" i="3" s="1"/>
  <c r="BD3" i="3"/>
  <c r="BC3" i="3"/>
  <c r="BC52" i="3"/>
  <c r="BD5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A. D.</author>
  </authors>
  <commentList>
    <comment ref="L1" authorId="0" shapeId="0" xr:uid="{997BF931-BE81-4481-9ABF-175753592EA7}">
      <text>
        <r>
          <rPr>
            <b/>
            <sz val="9"/>
            <color indexed="81"/>
            <rFont val="Segoe UI"/>
            <family val="2"/>
          </rPr>
          <t>A. D.:</t>
        </r>
        <r>
          <rPr>
            <sz val="9"/>
            <color indexed="81"/>
            <rFont val="Segoe UI"/>
            <family val="2"/>
          </rPr>
          <t xml:space="preserve">
(Valor extraccion*dilucion*20 ml de extractante)/(10 g de suelo*factor humedad)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A. D.</author>
  </authors>
  <commentList>
    <comment ref="H1" authorId="0" shapeId="0" xr:uid="{907345CB-1E5F-4F15-BAE5-2841A447520A}">
      <text>
        <r>
          <rPr>
            <b/>
            <sz val="9"/>
            <color indexed="81"/>
            <rFont val="Segoe UI"/>
            <family val="2"/>
          </rPr>
          <t>A. D.:</t>
        </r>
        <r>
          <rPr>
            <sz val="9"/>
            <color indexed="81"/>
            <rFont val="Segoe UI"/>
            <family val="2"/>
          </rPr>
          <t xml:space="preserve">
Valor final (meq) = (valor lectura*100*0,1 l de extractante)/(Peso atómico elemento*peso muestra suelo utilizada na extracción*factor humedad)</t>
        </r>
      </text>
    </comment>
    <comment ref="J1" authorId="0" shapeId="0" xr:uid="{138B382F-FAAE-4384-A411-9FB5DDFA7D19}">
      <text>
        <r>
          <rPr>
            <b/>
            <sz val="9"/>
            <color indexed="81"/>
            <rFont val="Segoe UI"/>
            <family val="2"/>
          </rPr>
          <t>A. D.:</t>
        </r>
        <r>
          <rPr>
            <sz val="9"/>
            <color indexed="81"/>
            <rFont val="Segoe UI"/>
            <family val="2"/>
          </rPr>
          <t xml:space="preserve">
Valor final (meq) = valor extraido*</t>
        </r>
      </text>
    </comment>
    <comment ref="R1" authorId="0" shapeId="0" xr:uid="{0FC76775-8E92-49AF-B694-7DD2582E3B22}">
      <text>
        <r>
          <rPr>
            <b/>
            <sz val="9"/>
            <color indexed="81"/>
            <rFont val="Segoe UI"/>
            <family val="2"/>
          </rPr>
          <t>A. D.:</t>
        </r>
        <r>
          <rPr>
            <sz val="9"/>
            <color indexed="81"/>
            <rFont val="Segoe UI"/>
            <family val="2"/>
          </rPr>
          <t xml:space="preserve">
(Valor extraccion*dilucion*20 ml de extractante)/(10 g de suelo*factor humedad)</t>
        </r>
      </text>
    </comment>
    <comment ref="R16" authorId="0" shapeId="0" xr:uid="{009E4016-530C-4E23-B20A-26DF17C990D0}">
      <text>
        <r>
          <rPr>
            <b/>
            <sz val="9"/>
            <color indexed="81"/>
            <rFont val="Segoe UI"/>
            <family val="2"/>
          </rPr>
          <t>A. D.:</t>
        </r>
        <r>
          <rPr>
            <sz val="9"/>
            <color indexed="81"/>
            <rFont val="Segoe UI"/>
            <family val="2"/>
          </rPr>
          <t xml:space="preserve">
Para todos los micro extraidos por DTPA se utilizaron 10 gr de muestra em 20 ml de extractante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A. D.</author>
  </authors>
  <commentList>
    <comment ref="R1" authorId="0" shapeId="0" xr:uid="{AB15DF1A-2FBB-42F3-ABD5-79969C011981}">
      <text>
        <r>
          <rPr>
            <b/>
            <sz val="9"/>
            <color indexed="81"/>
            <rFont val="Segoe UI"/>
            <family val="2"/>
          </rPr>
          <t>A. D.:</t>
        </r>
        <r>
          <rPr>
            <sz val="9"/>
            <color indexed="81"/>
            <rFont val="Segoe UI"/>
            <family val="2"/>
          </rPr>
          <t xml:space="preserve">
Valor final (meq) = (valor lectura*100*0,1 l de extractante)/(Peso atómico elemento*peso muestra suelo utilizada na extracción*factor humedad)</t>
        </r>
      </text>
    </comment>
    <comment ref="V1" authorId="0" shapeId="0" xr:uid="{6784350C-7711-409C-B542-26E0A06DCE33}">
      <text>
        <r>
          <rPr>
            <b/>
            <sz val="9"/>
            <color indexed="81"/>
            <rFont val="Segoe UI"/>
            <family val="2"/>
          </rPr>
          <t>A. D.:</t>
        </r>
        <r>
          <rPr>
            <sz val="9"/>
            <color indexed="81"/>
            <rFont val="Segoe UI"/>
            <family val="2"/>
          </rPr>
          <t xml:space="preserve">
Valor final (meq) = valor extraido*</t>
        </r>
      </text>
    </comment>
    <comment ref="AB1" authorId="0" shapeId="0" xr:uid="{B55082EB-499B-410A-B1F0-16CDF8D0699B}">
      <text>
        <r>
          <rPr>
            <b/>
            <sz val="9"/>
            <color indexed="81"/>
            <rFont val="Segoe UI"/>
            <family val="2"/>
          </rPr>
          <t>A. D.:</t>
        </r>
        <r>
          <rPr>
            <sz val="9"/>
            <color indexed="81"/>
            <rFont val="Segoe UI"/>
            <family val="2"/>
          </rPr>
          <t xml:space="preserve">
(Valor extraccion*dilucion*20 ml de extractante)/(10 g de suelo*factor humedad)</t>
        </r>
      </text>
    </comment>
    <comment ref="AB17" authorId="0" shapeId="0" xr:uid="{CEE32B3F-82E5-42B7-91B7-58CF57D19E21}">
      <text>
        <r>
          <rPr>
            <b/>
            <sz val="9"/>
            <color indexed="81"/>
            <rFont val="Segoe UI"/>
            <family val="2"/>
          </rPr>
          <t>A. D.:</t>
        </r>
        <r>
          <rPr>
            <sz val="9"/>
            <color indexed="81"/>
            <rFont val="Segoe UI"/>
            <family val="2"/>
          </rPr>
          <t xml:space="preserve">
Para todos los micro extraidos por DTPA se utilizaron 10 gr de muestra em 20 ml de extractante</t>
        </r>
      </text>
    </comment>
    <comment ref="V97" authorId="0" shapeId="0" xr:uid="{3ACD00D0-D66E-4E52-B9A6-29DE8DDB2D1F}">
      <text>
        <r>
          <rPr>
            <b/>
            <sz val="9"/>
            <color indexed="81"/>
            <rFont val="Segoe UI"/>
            <family val="2"/>
          </rPr>
          <t>A. D.:</t>
        </r>
        <r>
          <rPr>
            <sz val="9"/>
            <color indexed="81"/>
            <rFont val="Segoe UI"/>
            <family val="2"/>
          </rPr>
          <t xml:space="preserve">
Valor final (meq) = valor extraido*</t>
        </r>
      </text>
    </comment>
    <comment ref="AB97" authorId="0" shapeId="0" xr:uid="{821DA3A9-CEA2-4CD9-A07E-0831A7DD4F6E}">
      <text>
        <r>
          <rPr>
            <b/>
            <sz val="9"/>
            <color indexed="81"/>
            <rFont val="Segoe UI"/>
            <family val="2"/>
          </rPr>
          <t>A. D.:</t>
        </r>
        <r>
          <rPr>
            <sz val="9"/>
            <color indexed="81"/>
            <rFont val="Segoe UI"/>
            <family val="2"/>
          </rPr>
          <t xml:space="preserve">
(Valor extraccion*dilucion*20 ml de extractante)/(10 g de suelo*factor humedad)</t>
        </r>
      </text>
    </comment>
  </commentList>
</comments>
</file>

<file path=xl/sharedStrings.xml><?xml version="1.0" encoding="utf-8"?>
<sst xmlns="http://schemas.openxmlformats.org/spreadsheetml/2006/main" count="438" uniqueCount="121">
  <si>
    <t>Suelos Forestales</t>
  </si>
  <si>
    <t>pH</t>
  </si>
  <si>
    <t>Factor humedad</t>
  </si>
  <si>
    <t>Ca Final (meq/100g)</t>
  </si>
  <si>
    <t>Mg Final (meq/100g)</t>
  </si>
  <si>
    <t>k Final Calibrados (meq/100g)</t>
  </si>
  <si>
    <t>Na Final Calibrados (meq/100g)</t>
  </si>
  <si>
    <t>Mn (mg/kg suelo)</t>
  </si>
  <si>
    <t>Zn (mg/kg)</t>
  </si>
  <si>
    <t>Cu Final (mg/kg)</t>
  </si>
  <si>
    <t>Fe Final (mg/kg)</t>
  </si>
  <si>
    <t>P corregido fH</t>
  </si>
  <si>
    <t>POSICION</t>
  </si>
  <si>
    <t>Biochar</t>
  </si>
  <si>
    <t>AÑO</t>
  </si>
  <si>
    <t>CÓDIGO</t>
  </si>
  <si>
    <t>F</t>
  </si>
  <si>
    <t>COND (uS/cm)</t>
  </si>
  <si>
    <t>F humedad</t>
  </si>
  <si>
    <t>Ca (meq/100g)</t>
  </si>
  <si>
    <t>P ppm</t>
  </si>
  <si>
    <t>ALTA</t>
  </si>
  <si>
    <t>B</t>
  </si>
  <si>
    <t>NF</t>
  </si>
  <si>
    <t>C</t>
  </si>
  <si>
    <t>MEDIA</t>
  </si>
  <si>
    <t>BAJA</t>
  </si>
  <si>
    <t>Ca Final (mg/kg)</t>
  </si>
  <si>
    <t>Mg Final (mg/kg)</t>
  </si>
  <si>
    <t>k Final (mg/kg)</t>
  </si>
  <si>
    <t>Na Final (mg/kg)</t>
  </si>
  <si>
    <t>N</t>
  </si>
  <si>
    <t>S</t>
  </si>
  <si>
    <t>Peso Muestra Antes</t>
  </si>
  <si>
    <t>Recipiente</t>
  </si>
  <si>
    <t>Muestra y recipiente antes</t>
  </si>
  <si>
    <t>Muestra y recipiente seco (despues)</t>
  </si>
  <si>
    <t>Ca 1/2</t>
  </si>
  <si>
    <t>Ca 1/10</t>
  </si>
  <si>
    <t>Ca (ug/mg/l)</t>
  </si>
  <si>
    <t>Mg 1/2</t>
  </si>
  <si>
    <t>Mg (ug/mg/l)</t>
  </si>
  <si>
    <t>Mn 1/8</t>
  </si>
  <si>
    <t>Mn 1/8 * 1/2</t>
  </si>
  <si>
    <t>Mn 1/8*1/2*1/2</t>
  </si>
  <si>
    <t>Mn Final</t>
  </si>
  <si>
    <t>Zn 1/2</t>
  </si>
  <si>
    <t>Zn 1/8</t>
  </si>
  <si>
    <t>Zn 1/8*1/2</t>
  </si>
  <si>
    <t>Zn Final</t>
  </si>
  <si>
    <t>Cu 1/8</t>
  </si>
  <si>
    <t>Cu Final</t>
  </si>
  <si>
    <t>Fe 1/8</t>
  </si>
  <si>
    <t>Fe 1/8*1/2</t>
  </si>
  <si>
    <t>Fe 1/8*1/2*1/2</t>
  </si>
  <si>
    <t>Fe 1/8*1/2*1/3</t>
  </si>
  <si>
    <t>Fe Final</t>
  </si>
  <si>
    <t>k Final Calibrados (ug/mg/l)</t>
  </si>
  <si>
    <t>Na Final Calibrados (ug/mg/l)</t>
  </si>
  <si>
    <t>P Lectura (ppm)</t>
  </si>
  <si>
    <t>P Total</t>
  </si>
  <si>
    <t>Suelos Rabanales Biochar 2019</t>
  </si>
  <si>
    <t>Ca Final</t>
  </si>
  <si>
    <t>Fe 1/8*1/3</t>
  </si>
  <si>
    <t>k Final</t>
  </si>
  <si>
    <t>Na Final</t>
  </si>
  <si>
    <t>P lectura</t>
  </si>
  <si>
    <t>P corregido</t>
  </si>
  <si>
    <t>P (ppm) corregido fH</t>
  </si>
  <si>
    <t>Arcilla</t>
  </si>
  <si>
    <t>Arena</t>
  </si>
  <si>
    <t>Peso MO</t>
  </si>
  <si>
    <t>SO4Fe (ml)</t>
  </si>
  <si>
    <t>peso/2</t>
  </si>
  <si>
    <t>Parcela</t>
  </si>
  <si>
    <t>Provincia</t>
  </si>
  <si>
    <t>Cordoba</t>
  </si>
  <si>
    <t>Cadiz</t>
  </si>
  <si>
    <t>Lugo</t>
  </si>
  <si>
    <t>Sevilla</t>
  </si>
  <si>
    <t>Toledo</t>
  </si>
  <si>
    <t>Zamora</t>
  </si>
  <si>
    <t>Ourense</t>
  </si>
  <si>
    <t>Blanco</t>
  </si>
  <si>
    <t>Peso Total Textura</t>
  </si>
  <si>
    <t>CARBO (%)</t>
  </si>
  <si>
    <t>X</t>
  </si>
  <si>
    <t>Presencia  Carbonatos (%)</t>
  </si>
  <si>
    <t>Arcilla + Limo</t>
  </si>
  <si>
    <t>Arcilla + Limo + Recip</t>
  </si>
  <si>
    <t>Recip 20 micras</t>
  </si>
  <si>
    <t>Recip 2 micras</t>
  </si>
  <si>
    <t>Arcilla + Recipiente</t>
  </si>
  <si>
    <t>Recip arena</t>
  </si>
  <si>
    <t>Arena + Recip</t>
  </si>
  <si>
    <t>Blanco Hexametafofato</t>
  </si>
  <si>
    <t>%C</t>
  </si>
  <si>
    <t>%MO</t>
  </si>
  <si>
    <t>Limo Real</t>
  </si>
  <si>
    <t>Arena Real</t>
  </si>
  <si>
    <t>Arcilla Real</t>
  </si>
  <si>
    <t>Suma</t>
  </si>
  <si>
    <t>%Arcilla</t>
  </si>
  <si>
    <t>%Limo</t>
  </si>
  <si>
    <t>%Arena</t>
  </si>
  <si>
    <t>CE (dS/m)</t>
  </si>
  <si>
    <t>CE (dSm^-1)</t>
  </si>
  <si>
    <t>CTC (cmol/kg)</t>
  </si>
  <si>
    <t>RAS</t>
  </si>
  <si>
    <t>Analisis repeticion muestras suelos forestales</t>
  </si>
  <si>
    <t>muestra</t>
  </si>
  <si>
    <t>Na</t>
  </si>
  <si>
    <t>Dilucion</t>
  </si>
  <si>
    <t>Final</t>
  </si>
  <si>
    <t>K</t>
  </si>
  <si>
    <t>Calibracion</t>
  </si>
  <si>
    <t>y = 10,071x + 1,8473</t>
  </si>
  <si>
    <t>Humedad/peso suelo*1000 (g água/kg suelo)</t>
  </si>
  <si>
    <t>Mg 1/20</t>
  </si>
  <si>
    <t>Ca 1/100</t>
  </si>
  <si>
    <t>Ca 1/20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</si>
</sst>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 x14ac:knownFonts="1"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  <font>
      <b/>
      <sz val="9"/>
      <color indexed="81"/>
      <name val="Segoe UI"/>
      <family val="2"/>
    </font>
    <font>
      <sz val="9"/>
      <color indexed="81"/>
      <name val="Segoe UI"/>
      <family val="2"/>
    </font>
    <font>
      <sz val="10"/>
      <color rgb="FFFF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0" fillId="2" borderId="0" xfId="0" applyFill="1" applyAlignment="1">
      <alignment horizontal="center" wrapText="1"/>
    </xf>
    <xf numFmtId="0" fontId="2" fillId="2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wrapText="1"/>
    </xf>
    <xf numFmtId="0" fontId="2" fillId="3" borderId="0" xfId="0" applyFont="1" applyFill="1" applyAlignment="1">
      <alignment wrapText="1"/>
    </xf>
    <xf numFmtId="20" fontId="2" fillId="3" borderId="0" xfId="0" applyNumberFormat="1" applyFont="1" applyFill="1" applyAlignment="1">
      <alignment horizontal="center" wrapText="1"/>
    </xf>
    <xf numFmtId="0" fontId="0" fillId="0" borderId="0" xfId="0" applyAlignment="1">
      <alignment horizontal="center"/>
    </xf>
    <xf numFmtId="0" fontId="2" fillId="3" borderId="0" xfId="0" applyFont="1" applyFill="1" applyAlignment="1">
      <alignment horizontal="center" vertical="center"/>
    </xf>
    <xf numFmtId="0" fontId="0" fillId="3" borderId="0" xfId="0" applyFill="1"/>
    <xf numFmtId="0" fontId="0" fillId="0" borderId="0" xfId="0" applyAlignment="1">
      <alignment horizontal="center" wrapText="1"/>
    </xf>
    <xf numFmtId="0" fontId="1" fillId="0" borderId="0" xfId="0" applyFont="1" applyAlignment="1">
      <alignment horizontal="center" wrapText="1"/>
    </xf>
    <xf numFmtId="0" fontId="0" fillId="4" borderId="1" xfId="0" applyFill="1" applyBorder="1" applyAlignment="1">
      <alignment horizontal="center" wrapText="1"/>
    </xf>
    <xf numFmtId="0" fontId="1" fillId="4" borderId="0" xfId="0" applyFont="1" applyFill="1" applyAlignment="1">
      <alignment wrapText="1"/>
    </xf>
    <xf numFmtId="0" fontId="1" fillId="2" borderId="1" xfId="0" applyFont="1" applyFill="1" applyBorder="1" applyAlignment="1">
      <alignment horizontal="center" wrapText="1"/>
    </xf>
    <xf numFmtId="0" fontId="0" fillId="3" borderId="1" xfId="0" applyFill="1" applyBorder="1" applyAlignment="1">
      <alignment horizontal="center" wrapText="1"/>
    </xf>
    <xf numFmtId="0" fontId="0" fillId="3" borderId="0" xfId="0" applyFill="1" applyAlignment="1">
      <alignment wrapText="1"/>
    </xf>
    <xf numFmtId="0" fontId="0" fillId="0" borderId="0" xfId="0" applyAlignment="1">
      <alignment wrapText="1"/>
    </xf>
    <xf numFmtId="0" fontId="0" fillId="0" borderId="2" xfId="0" applyBorder="1" applyAlignment="1">
      <alignment horizontal="center"/>
    </xf>
    <xf numFmtId="0" fontId="0" fillId="4" borderId="2" xfId="0" applyFill="1" applyBorder="1"/>
    <xf numFmtId="0" fontId="0" fillId="3" borderId="2" xfId="0" applyFill="1" applyBorder="1"/>
    <xf numFmtId="0" fontId="0" fillId="0" borderId="2" xfId="0" applyBorder="1"/>
    <xf numFmtId="0" fontId="0" fillId="4" borderId="0" xfId="0" applyFill="1"/>
    <xf numFmtId="0" fontId="0" fillId="0" borderId="3" xfId="0" applyBorder="1" applyAlignment="1">
      <alignment horizontal="center"/>
    </xf>
    <xf numFmtId="0" fontId="0" fillId="4" borderId="3" xfId="0" applyFill="1" applyBorder="1"/>
    <xf numFmtId="0" fontId="0" fillId="3" borderId="3" xfId="0" applyFill="1" applyBorder="1"/>
    <xf numFmtId="0" fontId="0" fillId="0" borderId="3" xfId="0" applyBorder="1"/>
    <xf numFmtId="0" fontId="0" fillId="0" borderId="4" xfId="0" applyBorder="1" applyAlignment="1">
      <alignment horizontal="center"/>
    </xf>
    <xf numFmtId="0" fontId="0" fillId="4" borderId="4" xfId="0" applyFill="1" applyBorder="1"/>
    <xf numFmtId="0" fontId="0" fillId="3" borderId="4" xfId="0" applyFill="1" applyBorder="1"/>
    <xf numFmtId="0" fontId="0" fillId="0" borderId="4" xfId="0" applyBorder="1"/>
    <xf numFmtId="0" fontId="2" fillId="5" borderId="0" xfId="0" applyFont="1" applyFill="1" applyAlignment="1">
      <alignment wrapText="1"/>
    </xf>
    <xf numFmtId="0" fontId="3" fillId="0" borderId="0" xfId="0" applyFont="1" applyAlignment="1">
      <alignment horizontal="center"/>
    </xf>
    <xf numFmtId="0" fontId="0" fillId="0" borderId="5" xfId="0" applyBorder="1" applyAlignment="1">
      <alignment horizontal="center" wrapText="1"/>
    </xf>
    <xf numFmtId="20" fontId="1" fillId="0" borderId="0" xfId="0" applyNumberFormat="1" applyFont="1" applyAlignment="1">
      <alignment horizontal="center" wrapText="1"/>
    </xf>
    <xf numFmtId="0" fontId="1" fillId="0" borderId="0" xfId="0" applyFont="1"/>
    <xf numFmtId="0" fontId="1" fillId="3" borderId="0" xfId="0" applyFont="1" applyFill="1" applyAlignment="1">
      <alignment horizontal="center" wrapText="1"/>
    </xf>
    <xf numFmtId="0" fontId="2" fillId="0" borderId="0" xfId="0" applyFont="1" applyAlignment="1">
      <alignment wrapText="1"/>
    </xf>
    <xf numFmtId="0" fontId="0" fillId="7" borderId="0" xfId="0" applyFill="1" applyAlignment="1">
      <alignment horizontal="center" wrapText="1"/>
    </xf>
    <xf numFmtId="0" fontId="0" fillId="8" borderId="0" xfId="0" applyFill="1" applyAlignment="1">
      <alignment horizontal="center" wrapText="1"/>
    </xf>
    <xf numFmtId="0" fontId="0" fillId="9" borderId="0" xfId="0" applyFill="1" applyAlignment="1">
      <alignment horizontal="center" wrapText="1"/>
    </xf>
    <xf numFmtId="0" fontId="2" fillId="0" borderId="0" xfId="0" applyFont="1"/>
    <xf numFmtId="0" fontId="0" fillId="10" borderId="0" xfId="0" applyFill="1" applyAlignment="1">
      <alignment horizontal="center" wrapText="1"/>
    </xf>
    <xf numFmtId="0" fontId="2" fillId="3" borderId="0" xfId="0" applyFont="1" applyFill="1" applyAlignment="1">
      <alignment horizontal="center" wrapText="1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 vertical="center"/>
    </xf>
    <xf numFmtId="2" fontId="0" fillId="3" borderId="0" xfId="0" applyNumberFormat="1" applyFill="1"/>
    <xf numFmtId="2" fontId="0" fillId="5" borderId="0" xfId="0" applyNumberFormat="1" applyFill="1"/>
    <xf numFmtId="2" fontId="0" fillId="0" borderId="0" xfId="0" applyNumberFormat="1"/>
    <xf numFmtId="2" fontId="6" fillId="3" borderId="0" xfId="0" applyNumberFormat="1" applyFont="1" applyFill="1"/>
    <xf numFmtId="2" fontId="3" fillId="3" borderId="0" xfId="0" applyNumberFormat="1" applyFont="1" applyFill="1"/>
    <xf numFmtId="2" fontId="2" fillId="0" borderId="0" xfId="0" applyNumberFormat="1" applyFont="1"/>
    <xf numFmtId="2" fontId="0" fillId="0" borderId="0" xfId="0" applyNumberFormat="1" applyAlignment="1">
      <alignment wrapText="1"/>
    </xf>
    <xf numFmtId="2" fontId="2" fillId="3" borderId="0" xfId="0" applyNumberFormat="1" applyFont="1" applyFill="1" applyAlignment="1">
      <alignment wrapText="1"/>
    </xf>
    <xf numFmtId="2" fontId="1" fillId="0" borderId="0" xfId="0" applyNumberFormat="1" applyFont="1" applyAlignment="1">
      <alignment horizontal="center"/>
    </xf>
    <xf numFmtId="2" fontId="2" fillId="3" borderId="0" xfId="0" applyNumberFormat="1" applyFont="1" applyFill="1" applyAlignment="1">
      <alignment horizontal="center" wrapText="1"/>
    </xf>
    <xf numFmtId="2" fontId="1" fillId="0" borderId="0" xfId="0" applyNumberFormat="1" applyFont="1"/>
    <xf numFmtId="2" fontId="1" fillId="0" borderId="0" xfId="0" applyNumberFormat="1" applyFont="1" applyAlignment="1">
      <alignment wrapText="1"/>
    </xf>
    <xf numFmtId="2" fontId="2" fillId="0" borderId="0" xfId="0" applyNumberFormat="1" applyFont="1" applyAlignment="1">
      <alignment horizontal="center" vertical="center"/>
    </xf>
    <xf numFmtId="2" fontId="3" fillId="0" borderId="0" xfId="0" applyNumberFormat="1" applyFont="1"/>
    <xf numFmtId="2" fontId="3" fillId="0" borderId="0" xfId="0" applyNumberFormat="1" applyFont="1" applyAlignment="1">
      <alignment horizontal="right"/>
    </xf>
    <xf numFmtId="0" fontId="2" fillId="11" borderId="0" xfId="0" applyFont="1" applyFill="1" applyAlignment="1">
      <alignment wrapText="1"/>
    </xf>
    <xf numFmtId="2" fontId="0" fillId="11" borderId="0" xfId="0" applyNumberFormat="1" applyFill="1"/>
    <xf numFmtId="2" fontId="6" fillId="11" borderId="0" xfId="0" applyNumberFormat="1" applyFont="1" applyFill="1"/>
    <xf numFmtId="2" fontId="6" fillId="5" borderId="0" xfId="0" applyNumberFormat="1" applyFont="1" applyFill="1"/>
    <xf numFmtId="0" fontId="2" fillId="4" borderId="0" xfId="0" applyFont="1" applyFill="1" applyAlignment="1">
      <alignment wrapText="1"/>
    </xf>
    <xf numFmtId="2" fontId="0" fillId="4" borderId="0" xfId="0" applyNumberFormat="1" applyFill="1"/>
    <xf numFmtId="2" fontId="0" fillId="11" borderId="0" xfId="0" applyNumberFormat="1" applyFont="1" applyFill="1"/>
    <xf numFmtId="0" fontId="0" fillId="0" borderId="0" xfId="0" applyBorder="1" applyAlignment="1">
      <alignment horizontal="center"/>
    </xf>
    <xf numFmtId="2" fontId="0" fillId="0" borderId="5" xfId="0" applyNumberFormat="1" applyBorder="1"/>
    <xf numFmtId="2" fontId="0" fillId="6" borderId="0" xfId="0" applyNumberFormat="1" applyFill="1" applyBorder="1" applyAlignment="1">
      <alignment horizontal="center" wrapText="1"/>
    </xf>
    <xf numFmtId="2" fontId="0" fillId="0" borderId="0" xfId="0" applyNumberFormat="1" applyBorder="1"/>
    <xf numFmtId="2" fontId="6" fillId="4" borderId="0" xfId="0" applyNumberFormat="1" applyFont="1" applyFill="1"/>
    <xf numFmtId="2" fontId="6" fillId="0" borderId="0" xfId="0" applyNumberFormat="1" applyFont="1"/>
    <xf numFmtId="2" fontId="0" fillId="3" borderId="0" xfId="0" applyNumberFormat="1" applyFont="1" applyFill="1"/>
    <xf numFmtId="0" fontId="0" fillId="0" borderId="0" xfId="0" applyFont="1" applyAlignment="1">
      <alignment horizontal="center"/>
    </xf>
    <xf numFmtId="2" fontId="0" fillId="0" borderId="0" xfId="0" applyNumberFormat="1" applyFont="1"/>
    <xf numFmtId="0" fontId="2" fillId="3" borderId="0" xfId="0" applyFont="1" applyFill="1" applyBorder="1" applyAlignment="1">
      <alignment horizontal="center" vertical="center"/>
    </xf>
    <xf numFmtId="2" fontId="0" fillId="1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Planilha1!$I$3:$I$8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10</c:v>
                </c:pt>
              </c:numCache>
            </c:numRef>
          </c:xVal>
          <c:yVal>
            <c:numRef>
              <c:f>Planilha1!$J$3:$J$8</c:f>
              <c:numCache>
                <c:formatCode>General</c:formatCode>
                <c:ptCount val="6"/>
                <c:pt idx="0">
                  <c:v>0</c:v>
                </c:pt>
                <c:pt idx="1">
                  <c:v>12</c:v>
                </c:pt>
                <c:pt idx="2">
                  <c:v>34</c:v>
                </c:pt>
                <c:pt idx="3">
                  <c:v>54</c:v>
                </c:pt>
                <c:pt idx="4">
                  <c:v>80</c:v>
                </c:pt>
                <c:pt idx="5">
                  <c:v>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9E-4C39-B5FE-DBF348B17D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5551071"/>
        <c:axId val="1877676207"/>
      </c:scatterChart>
      <c:valAx>
        <c:axId val="1875551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77676207"/>
        <c:crosses val="autoZero"/>
        <c:crossBetween val="midCat"/>
      </c:valAx>
      <c:valAx>
        <c:axId val="1877676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755510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514349</xdr:colOff>
      <xdr:row>1</xdr:row>
      <xdr:rowOff>9525</xdr:rowOff>
    </xdr:from>
    <xdr:to>
      <xdr:col>16</xdr:col>
      <xdr:colOff>104774</xdr:colOff>
      <xdr:row>14</xdr:row>
      <xdr:rowOff>61912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0808DC1-E4AB-4036-A07E-5A9E1995CD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50C2E-BF40-4ABA-858C-392CAB76888E}">
  <dimension ref="A1:Q37"/>
  <sheetViews>
    <sheetView topLeftCell="J1" workbookViewId="0">
      <selection activeCell="I2" sqref="I2"/>
    </sheetView>
  </sheetViews>
  <sheetFormatPr defaultColWidth="11.42578125" defaultRowHeight="12.75" x14ac:dyDescent="0.2"/>
  <cols>
    <col min="1" max="6" width="11.42578125" customWidth="1"/>
    <col min="7" max="8" width="15.85546875" customWidth="1"/>
    <col min="9" max="15" width="11.42578125" customWidth="1"/>
    <col min="16" max="16" width="12" bestFit="1" customWidth="1"/>
    <col min="17" max="17" width="12.5703125" bestFit="1" customWidth="1"/>
    <col min="18" max="18" width="11.42578125" customWidth="1"/>
    <col min="19" max="19" width="14" customWidth="1"/>
    <col min="20" max="21" width="11.42578125" customWidth="1"/>
    <col min="22" max="22" width="8.85546875" bestFit="1" customWidth="1"/>
    <col min="263" max="264" width="15.85546875" customWidth="1"/>
    <col min="272" max="272" width="12" bestFit="1" customWidth="1"/>
    <col min="273" max="273" width="12.5703125" bestFit="1" customWidth="1"/>
    <col min="275" max="275" width="14" customWidth="1"/>
    <col min="278" max="278" width="8.85546875" bestFit="1" customWidth="1"/>
    <col min="519" max="520" width="15.85546875" customWidth="1"/>
    <col min="528" max="528" width="12" bestFit="1" customWidth="1"/>
    <col min="529" max="529" width="12.5703125" bestFit="1" customWidth="1"/>
    <col min="531" max="531" width="14" customWidth="1"/>
    <col min="534" max="534" width="8.85546875" bestFit="1" customWidth="1"/>
    <col min="775" max="776" width="15.85546875" customWidth="1"/>
    <col min="784" max="784" width="12" bestFit="1" customWidth="1"/>
    <col min="785" max="785" width="12.5703125" bestFit="1" customWidth="1"/>
    <col min="787" max="787" width="14" customWidth="1"/>
    <col min="790" max="790" width="8.85546875" bestFit="1" customWidth="1"/>
    <col min="1031" max="1032" width="15.85546875" customWidth="1"/>
    <col min="1040" max="1040" width="12" bestFit="1" customWidth="1"/>
    <col min="1041" max="1041" width="12.5703125" bestFit="1" customWidth="1"/>
    <col min="1043" max="1043" width="14" customWidth="1"/>
    <col min="1046" max="1046" width="8.85546875" bestFit="1" customWidth="1"/>
    <col min="1287" max="1288" width="15.85546875" customWidth="1"/>
    <col min="1296" max="1296" width="12" bestFit="1" customWidth="1"/>
    <col min="1297" max="1297" width="12.5703125" bestFit="1" customWidth="1"/>
    <col min="1299" max="1299" width="14" customWidth="1"/>
    <col min="1302" max="1302" width="8.85546875" bestFit="1" customWidth="1"/>
    <col min="1543" max="1544" width="15.85546875" customWidth="1"/>
    <col min="1552" max="1552" width="12" bestFit="1" customWidth="1"/>
    <col min="1553" max="1553" width="12.5703125" bestFit="1" customWidth="1"/>
    <col min="1555" max="1555" width="14" customWidth="1"/>
    <col min="1558" max="1558" width="8.85546875" bestFit="1" customWidth="1"/>
    <col min="1799" max="1800" width="15.85546875" customWidth="1"/>
    <col min="1808" max="1808" width="12" bestFit="1" customWidth="1"/>
    <col min="1809" max="1809" width="12.5703125" bestFit="1" customWidth="1"/>
    <col min="1811" max="1811" width="14" customWidth="1"/>
    <col min="1814" max="1814" width="8.85546875" bestFit="1" customWidth="1"/>
    <col min="2055" max="2056" width="15.85546875" customWidth="1"/>
    <col min="2064" max="2064" width="12" bestFit="1" customWidth="1"/>
    <col min="2065" max="2065" width="12.5703125" bestFit="1" customWidth="1"/>
    <col min="2067" max="2067" width="14" customWidth="1"/>
    <col min="2070" max="2070" width="8.85546875" bestFit="1" customWidth="1"/>
    <col min="2311" max="2312" width="15.85546875" customWidth="1"/>
    <col min="2320" max="2320" width="12" bestFit="1" customWidth="1"/>
    <col min="2321" max="2321" width="12.5703125" bestFit="1" customWidth="1"/>
    <col min="2323" max="2323" width="14" customWidth="1"/>
    <col min="2326" max="2326" width="8.85546875" bestFit="1" customWidth="1"/>
    <col min="2567" max="2568" width="15.85546875" customWidth="1"/>
    <col min="2576" max="2576" width="12" bestFit="1" customWidth="1"/>
    <col min="2577" max="2577" width="12.5703125" bestFit="1" customWidth="1"/>
    <col min="2579" max="2579" width="14" customWidth="1"/>
    <col min="2582" max="2582" width="8.85546875" bestFit="1" customWidth="1"/>
    <col min="2823" max="2824" width="15.85546875" customWidth="1"/>
    <col min="2832" max="2832" width="12" bestFit="1" customWidth="1"/>
    <col min="2833" max="2833" width="12.5703125" bestFit="1" customWidth="1"/>
    <col min="2835" max="2835" width="14" customWidth="1"/>
    <col min="2838" max="2838" width="8.85546875" bestFit="1" customWidth="1"/>
    <col min="3079" max="3080" width="15.85546875" customWidth="1"/>
    <col min="3088" max="3088" width="12" bestFit="1" customWidth="1"/>
    <col min="3089" max="3089" width="12.5703125" bestFit="1" customWidth="1"/>
    <col min="3091" max="3091" width="14" customWidth="1"/>
    <col min="3094" max="3094" width="8.85546875" bestFit="1" customWidth="1"/>
    <col min="3335" max="3336" width="15.85546875" customWidth="1"/>
    <col min="3344" max="3344" width="12" bestFit="1" customWidth="1"/>
    <col min="3345" max="3345" width="12.5703125" bestFit="1" customWidth="1"/>
    <col min="3347" max="3347" width="14" customWidth="1"/>
    <col min="3350" max="3350" width="8.85546875" bestFit="1" customWidth="1"/>
    <col min="3591" max="3592" width="15.85546875" customWidth="1"/>
    <col min="3600" max="3600" width="12" bestFit="1" customWidth="1"/>
    <col min="3601" max="3601" width="12.5703125" bestFit="1" customWidth="1"/>
    <col min="3603" max="3603" width="14" customWidth="1"/>
    <col min="3606" max="3606" width="8.85546875" bestFit="1" customWidth="1"/>
    <col min="3847" max="3848" width="15.85546875" customWidth="1"/>
    <col min="3856" max="3856" width="12" bestFit="1" customWidth="1"/>
    <col min="3857" max="3857" width="12.5703125" bestFit="1" customWidth="1"/>
    <col min="3859" max="3859" width="14" customWidth="1"/>
    <col min="3862" max="3862" width="8.85546875" bestFit="1" customWidth="1"/>
    <col min="4103" max="4104" width="15.85546875" customWidth="1"/>
    <col min="4112" max="4112" width="12" bestFit="1" customWidth="1"/>
    <col min="4113" max="4113" width="12.5703125" bestFit="1" customWidth="1"/>
    <col min="4115" max="4115" width="14" customWidth="1"/>
    <col min="4118" max="4118" width="8.85546875" bestFit="1" customWidth="1"/>
    <col min="4359" max="4360" width="15.85546875" customWidth="1"/>
    <col min="4368" max="4368" width="12" bestFit="1" customWidth="1"/>
    <col min="4369" max="4369" width="12.5703125" bestFit="1" customWidth="1"/>
    <col min="4371" max="4371" width="14" customWidth="1"/>
    <col min="4374" max="4374" width="8.85546875" bestFit="1" customWidth="1"/>
    <col min="4615" max="4616" width="15.85546875" customWidth="1"/>
    <col min="4624" max="4624" width="12" bestFit="1" customWidth="1"/>
    <col min="4625" max="4625" width="12.5703125" bestFit="1" customWidth="1"/>
    <col min="4627" max="4627" width="14" customWidth="1"/>
    <col min="4630" max="4630" width="8.85546875" bestFit="1" customWidth="1"/>
    <col min="4871" max="4872" width="15.85546875" customWidth="1"/>
    <col min="4880" max="4880" width="12" bestFit="1" customWidth="1"/>
    <col min="4881" max="4881" width="12.5703125" bestFit="1" customWidth="1"/>
    <col min="4883" max="4883" width="14" customWidth="1"/>
    <col min="4886" max="4886" width="8.85546875" bestFit="1" customWidth="1"/>
    <col min="5127" max="5128" width="15.85546875" customWidth="1"/>
    <col min="5136" max="5136" width="12" bestFit="1" customWidth="1"/>
    <col min="5137" max="5137" width="12.5703125" bestFit="1" customWidth="1"/>
    <col min="5139" max="5139" width="14" customWidth="1"/>
    <col min="5142" max="5142" width="8.85546875" bestFit="1" customWidth="1"/>
    <col min="5383" max="5384" width="15.85546875" customWidth="1"/>
    <col min="5392" max="5392" width="12" bestFit="1" customWidth="1"/>
    <col min="5393" max="5393" width="12.5703125" bestFit="1" customWidth="1"/>
    <col min="5395" max="5395" width="14" customWidth="1"/>
    <col min="5398" max="5398" width="8.85546875" bestFit="1" customWidth="1"/>
    <col min="5639" max="5640" width="15.85546875" customWidth="1"/>
    <col min="5648" max="5648" width="12" bestFit="1" customWidth="1"/>
    <col min="5649" max="5649" width="12.5703125" bestFit="1" customWidth="1"/>
    <col min="5651" max="5651" width="14" customWidth="1"/>
    <col min="5654" max="5654" width="8.85546875" bestFit="1" customWidth="1"/>
    <col min="5895" max="5896" width="15.85546875" customWidth="1"/>
    <col min="5904" max="5904" width="12" bestFit="1" customWidth="1"/>
    <col min="5905" max="5905" width="12.5703125" bestFit="1" customWidth="1"/>
    <col min="5907" max="5907" width="14" customWidth="1"/>
    <col min="5910" max="5910" width="8.85546875" bestFit="1" customWidth="1"/>
    <col min="6151" max="6152" width="15.85546875" customWidth="1"/>
    <col min="6160" max="6160" width="12" bestFit="1" customWidth="1"/>
    <col min="6161" max="6161" width="12.5703125" bestFit="1" customWidth="1"/>
    <col min="6163" max="6163" width="14" customWidth="1"/>
    <col min="6166" max="6166" width="8.85546875" bestFit="1" customWidth="1"/>
    <col min="6407" max="6408" width="15.85546875" customWidth="1"/>
    <col min="6416" max="6416" width="12" bestFit="1" customWidth="1"/>
    <col min="6417" max="6417" width="12.5703125" bestFit="1" customWidth="1"/>
    <col min="6419" max="6419" width="14" customWidth="1"/>
    <col min="6422" max="6422" width="8.85546875" bestFit="1" customWidth="1"/>
    <col min="6663" max="6664" width="15.85546875" customWidth="1"/>
    <col min="6672" max="6672" width="12" bestFit="1" customWidth="1"/>
    <col min="6673" max="6673" width="12.5703125" bestFit="1" customWidth="1"/>
    <col min="6675" max="6675" width="14" customWidth="1"/>
    <col min="6678" max="6678" width="8.85546875" bestFit="1" customWidth="1"/>
    <col min="6919" max="6920" width="15.85546875" customWidth="1"/>
    <col min="6928" max="6928" width="12" bestFit="1" customWidth="1"/>
    <col min="6929" max="6929" width="12.5703125" bestFit="1" customWidth="1"/>
    <col min="6931" max="6931" width="14" customWidth="1"/>
    <col min="6934" max="6934" width="8.85546875" bestFit="1" customWidth="1"/>
    <col min="7175" max="7176" width="15.85546875" customWidth="1"/>
    <col min="7184" max="7184" width="12" bestFit="1" customWidth="1"/>
    <col min="7185" max="7185" width="12.5703125" bestFit="1" customWidth="1"/>
    <col min="7187" max="7187" width="14" customWidth="1"/>
    <col min="7190" max="7190" width="8.85546875" bestFit="1" customWidth="1"/>
    <col min="7431" max="7432" width="15.85546875" customWidth="1"/>
    <col min="7440" max="7440" width="12" bestFit="1" customWidth="1"/>
    <col min="7441" max="7441" width="12.5703125" bestFit="1" customWidth="1"/>
    <col min="7443" max="7443" width="14" customWidth="1"/>
    <col min="7446" max="7446" width="8.85546875" bestFit="1" customWidth="1"/>
    <col min="7687" max="7688" width="15.85546875" customWidth="1"/>
    <col min="7696" max="7696" width="12" bestFit="1" customWidth="1"/>
    <col min="7697" max="7697" width="12.5703125" bestFit="1" customWidth="1"/>
    <col min="7699" max="7699" width="14" customWidth="1"/>
    <col min="7702" max="7702" width="8.85546875" bestFit="1" customWidth="1"/>
    <col min="7943" max="7944" width="15.85546875" customWidth="1"/>
    <col min="7952" max="7952" width="12" bestFit="1" customWidth="1"/>
    <col min="7953" max="7953" width="12.5703125" bestFit="1" customWidth="1"/>
    <col min="7955" max="7955" width="14" customWidth="1"/>
    <col min="7958" max="7958" width="8.85546875" bestFit="1" customWidth="1"/>
    <col min="8199" max="8200" width="15.85546875" customWidth="1"/>
    <col min="8208" max="8208" width="12" bestFit="1" customWidth="1"/>
    <col min="8209" max="8209" width="12.5703125" bestFit="1" customWidth="1"/>
    <col min="8211" max="8211" width="14" customWidth="1"/>
    <col min="8214" max="8214" width="8.85546875" bestFit="1" customWidth="1"/>
    <col min="8455" max="8456" width="15.85546875" customWidth="1"/>
    <col min="8464" max="8464" width="12" bestFit="1" customWidth="1"/>
    <col min="8465" max="8465" width="12.5703125" bestFit="1" customWidth="1"/>
    <col min="8467" max="8467" width="14" customWidth="1"/>
    <col min="8470" max="8470" width="8.85546875" bestFit="1" customWidth="1"/>
    <col min="8711" max="8712" width="15.85546875" customWidth="1"/>
    <col min="8720" max="8720" width="12" bestFit="1" customWidth="1"/>
    <col min="8721" max="8721" width="12.5703125" bestFit="1" customWidth="1"/>
    <col min="8723" max="8723" width="14" customWidth="1"/>
    <col min="8726" max="8726" width="8.85546875" bestFit="1" customWidth="1"/>
    <col min="8967" max="8968" width="15.85546875" customWidth="1"/>
    <col min="8976" max="8976" width="12" bestFit="1" customWidth="1"/>
    <col min="8977" max="8977" width="12.5703125" bestFit="1" customWidth="1"/>
    <col min="8979" max="8979" width="14" customWidth="1"/>
    <col min="8982" max="8982" width="8.85546875" bestFit="1" customWidth="1"/>
    <col min="9223" max="9224" width="15.85546875" customWidth="1"/>
    <col min="9232" max="9232" width="12" bestFit="1" customWidth="1"/>
    <col min="9233" max="9233" width="12.5703125" bestFit="1" customWidth="1"/>
    <col min="9235" max="9235" width="14" customWidth="1"/>
    <col min="9238" max="9238" width="8.85546875" bestFit="1" customWidth="1"/>
    <col min="9479" max="9480" width="15.85546875" customWidth="1"/>
    <col min="9488" max="9488" width="12" bestFit="1" customWidth="1"/>
    <col min="9489" max="9489" width="12.5703125" bestFit="1" customWidth="1"/>
    <col min="9491" max="9491" width="14" customWidth="1"/>
    <col min="9494" max="9494" width="8.85546875" bestFit="1" customWidth="1"/>
    <col min="9735" max="9736" width="15.85546875" customWidth="1"/>
    <col min="9744" max="9744" width="12" bestFit="1" customWidth="1"/>
    <col min="9745" max="9745" width="12.5703125" bestFit="1" customWidth="1"/>
    <col min="9747" max="9747" width="14" customWidth="1"/>
    <col min="9750" max="9750" width="8.85546875" bestFit="1" customWidth="1"/>
    <col min="9991" max="9992" width="15.85546875" customWidth="1"/>
    <col min="10000" max="10000" width="12" bestFit="1" customWidth="1"/>
    <col min="10001" max="10001" width="12.5703125" bestFit="1" customWidth="1"/>
    <col min="10003" max="10003" width="14" customWidth="1"/>
    <col min="10006" max="10006" width="8.85546875" bestFit="1" customWidth="1"/>
    <col min="10247" max="10248" width="15.85546875" customWidth="1"/>
    <col min="10256" max="10256" width="12" bestFit="1" customWidth="1"/>
    <col min="10257" max="10257" width="12.5703125" bestFit="1" customWidth="1"/>
    <col min="10259" max="10259" width="14" customWidth="1"/>
    <col min="10262" max="10262" width="8.85546875" bestFit="1" customWidth="1"/>
    <col min="10503" max="10504" width="15.85546875" customWidth="1"/>
    <col min="10512" max="10512" width="12" bestFit="1" customWidth="1"/>
    <col min="10513" max="10513" width="12.5703125" bestFit="1" customWidth="1"/>
    <col min="10515" max="10515" width="14" customWidth="1"/>
    <col min="10518" max="10518" width="8.85546875" bestFit="1" customWidth="1"/>
    <col min="10759" max="10760" width="15.85546875" customWidth="1"/>
    <col min="10768" max="10768" width="12" bestFit="1" customWidth="1"/>
    <col min="10769" max="10769" width="12.5703125" bestFit="1" customWidth="1"/>
    <col min="10771" max="10771" width="14" customWidth="1"/>
    <col min="10774" max="10774" width="8.85546875" bestFit="1" customWidth="1"/>
    <col min="11015" max="11016" width="15.85546875" customWidth="1"/>
    <col min="11024" max="11024" width="12" bestFit="1" customWidth="1"/>
    <col min="11025" max="11025" width="12.5703125" bestFit="1" customWidth="1"/>
    <col min="11027" max="11027" width="14" customWidth="1"/>
    <col min="11030" max="11030" width="8.85546875" bestFit="1" customWidth="1"/>
    <col min="11271" max="11272" width="15.85546875" customWidth="1"/>
    <col min="11280" max="11280" width="12" bestFit="1" customWidth="1"/>
    <col min="11281" max="11281" width="12.5703125" bestFit="1" customWidth="1"/>
    <col min="11283" max="11283" width="14" customWidth="1"/>
    <col min="11286" max="11286" width="8.85546875" bestFit="1" customWidth="1"/>
    <col min="11527" max="11528" width="15.85546875" customWidth="1"/>
    <col min="11536" max="11536" width="12" bestFit="1" customWidth="1"/>
    <col min="11537" max="11537" width="12.5703125" bestFit="1" customWidth="1"/>
    <col min="11539" max="11539" width="14" customWidth="1"/>
    <col min="11542" max="11542" width="8.85546875" bestFit="1" customWidth="1"/>
    <col min="11783" max="11784" width="15.85546875" customWidth="1"/>
    <col min="11792" max="11792" width="12" bestFit="1" customWidth="1"/>
    <col min="11793" max="11793" width="12.5703125" bestFit="1" customWidth="1"/>
    <col min="11795" max="11795" width="14" customWidth="1"/>
    <col min="11798" max="11798" width="8.85546875" bestFit="1" customWidth="1"/>
    <col min="12039" max="12040" width="15.85546875" customWidth="1"/>
    <col min="12048" max="12048" width="12" bestFit="1" customWidth="1"/>
    <col min="12049" max="12049" width="12.5703125" bestFit="1" customWidth="1"/>
    <col min="12051" max="12051" width="14" customWidth="1"/>
    <col min="12054" max="12054" width="8.85546875" bestFit="1" customWidth="1"/>
    <col min="12295" max="12296" width="15.85546875" customWidth="1"/>
    <col min="12304" max="12304" width="12" bestFit="1" customWidth="1"/>
    <col min="12305" max="12305" width="12.5703125" bestFit="1" customWidth="1"/>
    <col min="12307" max="12307" width="14" customWidth="1"/>
    <col min="12310" max="12310" width="8.85546875" bestFit="1" customWidth="1"/>
    <col min="12551" max="12552" width="15.85546875" customWidth="1"/>
    <col min="12560" max="12560" width="12" bestFit="1" customWidth="1"/>
    <col min="12561" max="12561" width="12.5703125" bestFit="1" customWidth="1"/>
    <col min="12563" max="12563" width="14" customWidth="1"/>
    <col min="12566" max="12566" width="8.85546875" bestFit="1" customWidth="1"/>
    <col min="12807" max="12808" width="15.85546875" customWidth="1"/>
    <col min="12816" max="12816" width="12" bestFit="1" customWidth="1"/>
    <col min="12817" max="12817" width="12.5703125" bestFit="1" customWidth="1"/>
    <col min="12819" max="12819" width="14" customWidth="1"/>
    <col min="12822" max="12822" width="8.85546875" bestFit="1" customWidth="1"/>
    <col min="13063" max="13064" width="15.85546875" customWidth="1"/>
    <col min="13072" max="13072" width="12" bestFit="1" customWidth="1"/>
    <col min="13073" max="13073" width="12.5703125" bestFit="1" customWidth="1"/>
    <col min="13075" max="13075" width="14" customWidth="1"/>
    <col min="13078" max="13078" width="8.85546875" bestFit="1" customWidth="1"/>
    <col min="13319" max="13320" width="15.85546875" customWidth="1"/>
    <col min="13328" max="13328" width="12" bestFit="1" customWidth="1"/>
    <col min="13329" max="13329" width="12.5703125" bestFit="1" customWidth="1"/>
    <col min="13331" max="13331" width="14" customWidth="1"/>
    <col min="13334" max="13334" width="8.85546875" bestFit="1" customWidth="1"/>
    <col min="13575" max="13576" width="15.85546875" customWidth="1"/>
    <col min="13584" max="13584" width="12" bestFit="1" customWidth="1"/>
    <col min="13585" max="13585" width="12.5703125" bestFit="1" customWidth="1"/>
    <col min="13587" max="13587" width="14" customWidth="1"/>
    <col min="13590" max="13590" width="8.85546875" bestFit="1" customWidth="1"/>
    <col min="13831" max="13832" width="15.85546875" customWidth="1"/>
    <col min="13840" max="13840" width="12" bestFit="1" customWidth="1"/>
    <col min="13841" max="13841" width="12.5703125" bestFit="1" customWidth="1"/>
    <col min="13843" max="13843" width="14" customWidth="1"/>
    <col min="13846" max="13846" width="8.85546875" bestFit="1" customWidth="1"/>
    <col min="14087" max="14088" width="15.85546875" customWidth="1"/>
    <col min="14096" max="14096" width="12" bestFit="1" customWidth="1"/>
    <col min="14097" max="14097" width="12.5703125" bestFit="1" customWidth="1"/>
    <col min="14099" max="14099" width="14" customWidth="1"/>
    <col min="14102" max="14102" width="8.85546875" bestFit="1" customWidth="1"/>
    <col min="14343" max="14344" width="15.85546875" customWidth="1"/>
    <col min="14352" max="14352" width="12" bestFit="1" customWidth="1"/>
    <col min="14353" max="14353" width="12.5703125" bestFit="1" customWidth="1"/>
    <col min="14355" max="14355" width="14" customWidth="1"/>
    <col min="14358" max="14358" width="8.85546875" bestFit="1" customWidth="1"/>
    <col min="14599" max="14600" width="15.85546875" customWidth="1"/>
    <col min="14608" max="14608" width="12" bestFit="1" customWidth="1"/>
    <col min="14609" max="14609" width="12.5703125" bestFit="1" customWidth="1"/>
    <col min="14611" max="14611" width="14" customWidth="1"/>
    <col min="14614" max="14614" width="8.85546875" bestFit="1" customWidth="1"/>
    <col min="14855" max="14856" width="15.85546875" customWidth="1"/>
    <col min="14864" max="14864" width="12" bestFit="1" customWidth="1"/>
    <col min="14865" max="14865" width="12.5703125" bestFit="1" customWidth="1"/>
    <col min="14867" max="14867" width="14" customWidth="1"/>
    <col min="14870" max="14870" width="8.85546875" bestFit="1" customWidth="1"/>
    <col min="15111" max="15112" width="15.85546875" customWidth="1"/>
    <col min="15120" max="15120" width="12" bestFit="1" customWidth="1"/>
    <col min="15121" max="15121" width="12.5703125" bestFit="1" customWidth="1"/>
    <col min="15123" max="15123" width="14" customWidth="1"/>
    <col min="15126" max="15126" width="8.85546875" bestFit="1" customWidth="1"/>
    <col min="15367" max="15368" width="15.85546875" customWidth="1"/>
    <col min="15376" max="15376" width="12" bestFit="1" customWidth="1"/>
    <col min="15377" max="15377" width="12.5703125" bestFit="1" customWidth="1"/>
    <col min="15379" max="15379" width="14" customWidth="1"/>
    <col min="15382" max="15382" width="8.85546875" bestFit="1" customWidth="1"/>
    <col min="15623" max="15624" width="15.85546875" customWidth="1"/>
    <col min="15632" max="15632" width="12" bestFit="1" customWidth="1"/>
    <col min="15633" max="15633" width="12.5703125" bestFit="1" customWidth="1"/>
    <col min="15635" max="15635" width="14" customWidth="1"/>
    <col min="15638" max="15638" width="8.85546875" bestFit="1" customWidth="1"/>
    <col min="15879" max="15880" width="15.85546875" customWidth="1"/>
    <col min="15888" max="15888" width="12" bestFit="1" customWidth="1"/>
    <col min="15889" max="15889" width="12.5703125" bestFit="1" customWidth="1"/>
    <col min="15891" max="15891" width="14" customWidth="1"/>
    <col min="15894" max="15894" width="8.85546875" bestFit="1" customWidth="1"/>
    <col min="16135" max="16136" width="15.85546875" customWidth="1"/>
    <col min="16144" max="16144" width="12" bestFit="1" customWidth="1"/>
    <col min="16145" max="16145" width="12.5703125" bestFit="1" customWidth="1"/>
    <col min="16147" max="16147" width="14" customWidth="1"/>
    <col min="16150" max="16150" width="8.85546875" bestFit="1" customWidth="1"/>
  </cols>
  <sheetData>
    <row r="1" spans="1:17" s="17" customFormat="1" ht="38.25" x14ac:dyDescent="0.2">
      <c r="A1" s="10" t="s">
        <v>12</v>
      </c>
      <c r="B1" s="10" t="s">
        <v>13</v>
      </c>
      <c r="C1" s="10" t="s">
        <v>14</v>
      </c>
      <c r="D1" s="10" t="s">
        <v>15</v>
      </c>
      <c r="E1" s="10" t="s">
        <v>16</v>
      </c>
      <c r="F1" s="10" t="s">
        <v>1</v>
      </c>
      <c r="G1" s="10" t="s">
        <v>17</v>
      </c>
      <c r="H1" s="11" t="s">
        <v>18</v>
      </c>
      <c r="I1" s="12" t="s">
        <v>10</v>
      </c>
      <c r="J1" s="12" t="s">
        <v>8</v>
      </c>
      <c r="K1" s="12" t="s">
        <v>9</v>
      </c>
      <c r="L1" s="13" t="s">
        <v>7</v>
      </c>
      <c r="M1" s="14" t="s">
        <v>19</v>
      </c>
      <c r="N1" s="14" t="s">
        <v>4</v>
      </c>
      <c r="O1" s="15" t="s">
        <v>5</v>
      </c>
      <c r="P1" s="16" t="s">
        <v>6</v>
      </c>
      <c r="Q1" s="17" t="s">
        <v>20</v>
      </c>
    </row>
    <row r="2" spans="1:17" x14ac:dyDescent="0.2">
      <c r="A2" s="18" t="s">
        <v>21</v>
      </c>
      <c r="B2" s="18" t="s">
        <v>22</v>
      </c>
      <c r="C2" s="18">
        <v>2019</v>
      </c>
      <c r="D2" s="18">
        <v>37</v>
      </c>
      <c r="E2" s="18" t="s">
        <v>23</v>
      </c>
      <c r="F2" s="18">
        <v>7.1</v>
      </c>
      <c r="G2" s="18">
        <v>124.5</v>
      </c>
      <c r="H2" s="18">
        <v>0.97284434490481508</v>
      </c>
      <c r="I2" s="19">
        <v>13.321761151079142</v>
      </c>
      <c r="J2" s="19">
        <v>2.1216138129496409</v>
      </c>
      <c r="K2" s="19">
        <v>5.5918503597122324</v>
      </c>
      <c r="L2" s="19">
        <v>57.694738417266194</v>
      </c>
      <c r="M2" s="20">
        <v>11.135549982825689</v>
      </c>
      <c r="N2" s="20">
        <v>0.42864987022727508</v>
      </c>
      <c r="O2" s="20">
        <v>4.7223153311854675</v>
      </c>
      <c r="P2" s="20">
        <v>20.191957075945876</v>
      </c>
      <c r="Q2" s="21">
        <v>17.22580650256128</v>
      </c>
    </row>
    <row r="3" spans="1:17" x14ac:dyDescent="0.2">
      <c r="A3" s="7" t="s">
        <v>21</v>
      </c>
      <c r="B3" s="7" t="s">
        <v>22</v>
      </c>
      <c r="C3" s="7">
        <v>2019</v>
      </c>
      <c r="D3" s="7">
        <v>38</v>
      </c>
      <c r="E3" s="7" t="s">
        <v>23</v>
      </c>
      <c r="F3" s="7">
        <v>7.06</v>
      </c>
      <c r="G3" s="7">
        <v>130</v>
      </c>
      <c r="H3" s="7">
        <v>0.97347994825355744</v>
      </c>
      <c r="I3" s="22">
        <v>12.491269102990033</v>
      </c>
      <c r="J3" s="22">
        <v>2.0380491694352161</v>
      </c>
      <c r="K3" s="22">
        <v>5.0951229235880406</v>
      </c>
      <c r="L3" s="22">
        <v>69.326543521594687</v>
      </c>
      <c r="M3" s="9">
        <v>9.016220767615243</v>
      </c>
      <c r="N3" s="9">
        <v>0.4362610229276897</v>
      </c>
      <c r="O3" s="9">
        <v>3.9534311541494525</v>
      </c>
      <c r="P3" s="9">
        <v>17.199108610467029</v>
      </c>
      <c r="Q3">
        <v>24.892209217181428</v>
      </c>
    </row>
    <row r="4" spans="1:17" ht="13.5" thickBot="1" x14ac:dyDescent="0.25">
      <c r="A4" s="23" t="s">
        <v>21</v>
      </c>
      <c r="B4" s="23" t="s">
        <v>22</v>
      </c>
      <c r="C4" s="23">
        <v>2019</v>
      </c>
      <c r="D4" s="23">
        <v>39</v>
      </c>
      <c r="E4" s="23" t="s">
        <v>23</v>
      </c>
      <c r="F4" s="23">
        <v>6.96</v>
      </c>
      <c r="G4" s="23">
        <v>122.1</v>
      </c>
      <c r="H4" s="23">
        <v>0.97592344891449734</v>
      </c>
      <c r="I4" s="24">
        <v>13.443677385345282</v>
      </c>
      <c r="J4" s="24">
        <v>1.6886570374275174</v>
      </c>
      <c r="K4" s="24">
        <v>4.5905239852398534</v>
      </c>
      <c r="L4" s="24">
        <v>69.185754348972068</v>
      </c>
      <c r="M4" s="25">
        <v>7.3771051330414554</v>
      </c>
      <c r="N4" s="25">
        <v>0.45765805947301103</v>
      </c>
      <c r="O4" s="25">
        <v>3.7874665398847878</v>
      </c>
      <c r="P4" s="25">
        <v>15.155950663619389</v>
      </c>
      <c r="Q4" s="26">
        <v>25.680820812446697</v>
      </c>
    </row>
    <row r="5" spans="1:17" x14ac:dyDescent="0.2">
      <c r="A5" s="27" t="s">
        <v>21</v>
      </c>
      <c r="B5" s="27" t="s">
        <v>22</v>
      </c>
      <c r="C5" s="27">
        <v>2019</v>
      </c>
      <c r="D5" s="27">
        <v>40</v>
      </c>
      <c r="E5" s="27" t="s">
        <v>16</v>
      </c>
      <c r="F5" s="27">
        <v>6.95</v>
      </c>
      <c r="G5" s="27">
        <v>150</v>
      </c>
      <c r="H5" s="27">
        <v>0.97373095260353371</v>
      </c>
      <c r="I5" s="28">
        <v>14.95279569892473</v>
      </c>
      <c r="J5" s="28">
        <v>2.0375238095238095</v>
      </c>
      <c r="K5" s="28">
        <v>5.9153917050691236</v>
      </c>
      <c r="L5" s="28">
        <v>84.655827956989242</v>
      </c>
      <c r="M5" s="29">
        <v>9.199207832526751</v>
      </c>
      <c r="N5" s="29">
        <v>0.39106861028406226</v>
      </c>
      <c r="O5" s="29">
        <v>4.4458304873884833</v>
      </c>
      <c r="P5" s="29">
        <v>8.8769762394577594</v>
      </c>
      <c r="Q5" s="30">
        <v>57.961154044412062</v>
      </c>
    </row>
    <row r="6" spans="1:17" x14ac:dyDescent="0.2">
      <c r="A6" s="7" t="s">
        <v>21</v>
      </c>
      <c r="B6" s="7" t="s">
        <v>22</v>
      </c>
      <c r="C6" s="7">
        <v>2019</v>
      </c>
      <c r="D6" s="7">
        <v>41</v>
      </c>
      <c r="E6" s="7" t="s">
        <v>16</v>
      </c>
      <c r="F6" s="7">
        <v>6.59</v>
      </c>
      <c r="G6" s="7">
        <v>178.4</v>
      </c>
      <c r="H6" s="7">
        <v>0.97428171742171521</v>
      </c>
      <c r="I6" s="22">
        <v>17.407696045946548</v>
      </c>
      <c r="J6" s="22">
        <v>1.9706825712392315</v>
      </c>
      <c r="K6" s="22">
        <v>5.0909299757013482</v>
      </c>
      <c r="L6" s="22">
        <v>142.28328164347252</v>
      </c>
      <c r="M6" s="9">
        <v>7.9565530379367422</v>
      </c>
      <c r="N6" s="9">
        <v>0.46237151091318274</v>
      </c>
      <c r="O6" s="9">
        <v>4.1673977767148811</v>
      </c>
      <c r="P6" s="9">
        <v>14.204757395558897</v>
      </c>
      <c r="Q6">
        <v>57.41478073463783</v>
      </c>
    </row>
    <row r="7" spans="1:17" ht="13.5" thickBot="1" x14ac:dyDescent="0.25">
      <c r="A7" s="23" t="s">
        <v>21</v>
      </c>
      <c r="B7" s="23" t="s">
        <v>22</v>
      </c>
      <c r="C7" s="23">
        <v>2019</v>
      </c>
      <c r="D7" s="23">
        <v>42</v>
      </c>
      <c r="E7" s="23" t="s">
        <v>16</v>
      </c>
      <c r="F7" s="23">
        <v>6.62</v>
      </c>
      <c r="G7" s="23">
        <v>200</v>
      </c>
      <c r="H7" s="23">
        <v>0.97477818761838309</v>
      </c>
      <c r="I7" s="24">
        <v>13.295332378809574</v>
      </c>
      <c r="J7" s="24">
        <v>2.4949265698506848</v>
      </c>
      <c r="K7" s="24">
        <v>5.0883370832481081</v>
      </c>
      <c r="L7" s="24">
        <v>170.93529801595417</v>
      </c>
      <c r="M7" s="25">
        <v>7.3101071466483827</v>
      </c>
      <c r="N7" s="25">
        <v>0.39008557886310657</v>
      </c>
      <c r="O7" s="25">
        <v>5.7155193480670938</v>
      </c>
      <c r="P7" s="25">
        <v>12.012344116439163</v>
      </c>
      <c r="Q7" s="26">
        <v>209.02736757165215</v>
      </c>
    </row>
    <row r="8" spans="1:17" x14ac:dyDescent="0.2">
      <c r="A8" s="27" t="s">
        <v>21</v>
      </c>
      <c r="B8" s="27" t="s">
        <v>24</v>
      </c>
      <c r="C8" s="27">
        <v>2019</v>
      </c>
      <c r="D8" s="27">
        <v>43</v>
      </c>
      <c r="E8" s="27" t="s">
        <v>23</v>
      </c>
      <c r="F8" s="27">
        <v>6.69</v>
      </c>
      <c r="G8" s="27">
        <v>100.5</v>
      </c>
      <c r="H8" s="27">
        <v>0.9652164884228015</v>
      </c>
      <c r="I8" s="28">
        <v>20.886506024096384</v>
      </c>
      <c r="J8" s="28">
        <v>3.4313545611015486</v>
      </c>
      <c r="K8" s="28">
        <v>6.7964027538726324</v>
      </c>
      <c r="L8" s="28">
        <v>80.479354561101545</v>
      </c>
      <c r="M8" s="29">
        <v>7.5070253967407332</v>
      </c>
      <c r="N8" s="29">
        <v>0.42237338536981545</v>
      </c>
      <c r="O8" s="29">
        <v>4.4069554117453968</v>
      </c>
      <c r="P8" s="29">
        <v>9.257896613527187</v>
      </c>
      <c r="Q8" s="30">
        <v>24.2449420868451</v>
      </c>
    </row>
    <row r="9" spans="1:17" x14ac:dyDescent="0.2">
      <c r="A9" s="7" t="s">
        <v>21</v>
      </c>
      <c r="B9" s="7" t="s">
        <v>24</v>
      </c>
      <c r="C9" s="7">
        <v>2019</v>
      </c>
      <c r="D9" s="7">
        <v>44</v>
      </c>
      <c r="E9" s="7" t="s">
        <v>23</v>
      </c>
      <c r="F9" s="7">
        <v>6.21</v>
      </c>
      <c r="G9" s="7">
        <v>81.099999999999994</v>
      </c>
      <c r="H9" s="7">
        <v>0.9766836785750026</v>
      </c>
      <c r="I9" s="22">
        <v>23.75385245901639</v>
      </c>
      <c r="J9" s="22">
        <v>1.2122655737704917</v>
      </c>
      <c r="K9" s="22">
        <v>4.9145901639344256</v>
      </c>
      <c r="L9" s="22">
        <v>67.936018032786876</v>
      </c>
      <c r="M9" s="9">
        <v>5.772419746191412</v>
      </c>
      <c r="N9" s="9">
        <v>0.51235782230317739</v>
      </c>
      <c r="O9" s="9">
        <v>3.579186908978444</v>
      </c>
      <c r="P9" s="9">
        <v>10.063869135179262</v>
      </c>
      <c r="Q9">
        <v>20.668197262586677</v>
      </c>
    </row>
    <row r="10" spans="1:17" ht="13.5" thickBot="1" x14ac:dyDescent="0.25">
      <c r="A10" s="23" t="s">
        <v>21</v>
      </c>
      <c r="B10" s="23" t="s">
        <v>24</v>
      </c>
      <c r="C10" s="23">
        <v>2019</v>
      </c>
      <c r="D10" s="23">
        <v>45</v>
      </c>
      <c r="E10" s="23" t="s">
        <v>23</v>
      </c>
      <c r="F10" s="23">
        <v>6.27</v>
      </c>
      <c r="G10" s="23">
        <v>89.8</v>
      </c>
      <c r="H10" s="23">
        <v>0.97497648165569151</v>
      </c>
      <c r="I10" s="24">
        <v>17.887610961018911</v>
      </c>
      <c r="J10" s="24">
        <v>1.5918332690081047</v>
      </c>
      <c r="K10" s="24">
        <v>4.9231956773446539</v>
      </c>
      <c r="L10" s="24">
        <v>81.068622153608644</v>
      </c>
      <c r="M10" s="25">
        <v>5.5901893431989169</v>
      </c>
      <c r="N10" s="25">
        <v>0.4766742956916919</v>
      </c>
      <c r="O10" s="25">
        <v>3.3269264041648601</v>
      </c>
      <c r="P10" s="25">
        <v>11.435814266823426</v>
      </c>
      <c r="Q10" s="26">
        <v>11.029235985881565</v>
      </c>
    </row>
    <row r="11" spans="1:17" x14ac:dyDescent="0.2">
      <c r="A11" s="27" t="s">
        <v>21</v>
      </c>
      <c r="B11" s="27" t="s">
        <v>24</v>
      </c>
      <c r="C11" s="27">
        <v>2019</v>
      </c>
      <c r="D11" s="27">
        <v>46</v>
      </c>
      <c r="E11" s="27" t="s">
        <v>16</v>
      </c>
      <c r="F11" s="27">
        <v>6.07</v>
      </c>
      <c r="G11" s="27">
        <v>126.3</v>
      </c>
      <c r="H11" s="27">
        <v>0.97418345394093497</v>
      </c>
      <c r="I11" s="28">
        <v>26.771138325637413</v>
      </c>
      <c r="J11" s="28">
        <v>2.6278417988355751</v>
      </c>
      <c r="K11" s="28">
        <v>6.0768841598072667</v>
      </c>
      <c r="L11" s="28">
        <v>82.547080505922494</v>
      </c>
      <c r="M11" s="29">
        <v>6.5564247019845272</v>
      </c>
      <c r="N11" s="29">
        <v>0.37624278155481911</v>
      </c>
      <c r="O11" s="29">
        <v>4.6234709038747557</v>
      </c>
      <c r="P11" s="29">
        <v>10.038106512051865</v>
      </c>
      <c r="Q11" s="30">
        <v>107.03789158398196</v>
      </c>
    </row>
    <row r="12" spans="1:17" x14ac:dyDescent="0.2">
      <c r="A12" s="7" t="s">
        <v>21</v>
      </c>
      <c r="B12" s="7" t="s">
        <v>24</v>
      </c>
      <c r="C12" s="7">
        <v>2019</v>
      </c>
      <c r="D12" s="7">
        <v>47</v>
      </c>
      <c r="E12" s="7" t="s">
        <v>16</v>
      </c>
      <c r="F12" s="7">
        <v>5.89</v>
      </c>
      <c r="G12" s="7">
        <v>182.4</v>
      </c>
      <c r="H12" s="7">
        <v>0.98002986188876451</v>
      </c>
      <c r="I12" s="22">
        <v>30.52968196533994</v>
      </c>
      <c r="J12" s="22">
        <v>2.3509487716625403</v>
      </c>
      <c r="K12" s="22">
        <v>5.3875909350599889</v>
      </c>
      <c r="L12" s="22">
        <v>159.01556274995241</v>
      </c>
      <c r="M12" s="9">
        <v>4.8478484639465167</v>
      </c>
      <c r="N12" s="9">
        <v>0.41822862664607097</v>
      </c>
      <c r="O12" s="9">
        <v>7.2299879299358567</v>
      </c>
      <c r="P12" s="9">
        <v>11.378692132175939</v>
      </c>
      <c r="Q12">
        <v>349.31667224978503</v>
      </c>
    </row>
    <row r="13" spans="1:17" ht="13.5" thickBot="1" x14ac:dyDescent="0.25">
      <c r="A13" s="23" t="s">
        <v>21</v>
      </c>
      <c r="B13" s="23" t="s">
        <v>24</v>
      </c>
      <c r="C13" s="23">
        <v>2019</v>
      </c>
      <c r="D13" s="23">
        <v>48</v>
      </c>
      <c r="E13" s="23" t="s">
        <v>16</v>
      </c>
      <c r="F13" s="23">
        <v>6.34</v>
      </c>
      <c r="G13" s="23">
        <v>178.1</v>
      </c>
      <c r="H13" s="23">
        <v>0.97717842323651449</v>
      </c>
      <c r="I13" s="24">
        <v>19.157197452229301</v>
      </c>
      <c r="J13" s="24">
        <v>1.8011040339702764</v>
      </c>
      <c r="K13" s="24">
        <v>4.9121019108280262</v>
      </c>
      <c r="L13" s="24">
        <v>153.15933757961784</v>
      </c>
      <c r="M13" s="25">
        <v>5.5764965180409973</v>
      </c>
      <c r="N13" s="25">
        <v>0.45257820531863152</v>
      </c>
      <c r="O13" s="25">
        <v>4.6024621815611297</v>
      </c>
      <c r="P13" s="25">
        <v>11.577697760134685</v>
      </c>
      <c r="Q13" s="26">
        <v>206.28540463506516</v>
      </c>
    </row>
    <row r="14" spans="1:17" x14ac:dyDescent="0.2">
      <c r="A14" s="27" t="s">
        <v>25</v>
      </c>
      <c r="B14" s="27" t="s">
        <v>22</v>
      </c>
      <c r="C14" s="27">
        <v>2019</v>
      </c>
      <c r="D14" s="27">
        <v>49</v>
      </c>
      <c r="E14" s="27" t="s">
        <v>23</v>
      </c>
      <c r="F14" s="27">
        <v>6.68</v>
      </c>
      <c r="G14" s="27">
        <v>130.6</v>
      </c>
      <c r="H14" s="27">
        <v>0.97203309940295368</v>
      </c>
      <c r="I14" s="28">
        <v>54.977551724137939</v>
      </c>
      <c r="J14" s="28">
        <v>3.0616241379310347</v>
      </c>
      <c r="K14" s="28">
        <v>6.0903275862068975</v>
      </c>
      <c r="L14" s="28">
        <v>82.120660344827598</v>
      </c>
      <c r="M14" s="29">
        <v>6.6670320114660448</v>
      </c>
      <c r="N14" s="29">
        <v>0.36070508727117923</v>
      </c>
      <c r="O14" s="29">
        <v>5.9797227399372739</v>
      </c>
      <c r="P14" s="29">
        <v>10.246839225483065</v>
      </c>
      <c r="Q14" s="30">
        <v>64.415194268984834</v>
      </c>
    </row>
    <row r="15" spans="1:17" x14ac:dyDescent="0.2">
      <c r="A15" s="7" t="s">
        <v>25</v>
      </c>
      <c r="B15" s="7" t="s">
        <v>22</v>
      </c>
      <c r="C15" s="7">
        <v>2019</v>
      </c>
      <c r="D15" s="7">
        <v>50</v>
      </c>
      <c r="E15" s="7" t="s">
        <v>23</v>
      </c>
      <c r="F15" s="7">
        <v>6.73</v>
      </c>
      <c r="G15" s="7">
        <v>126.2</v>
      </c>
      <c r="H15" s="7">
        <v>0.97563088920177632</v>
      </c>
      <c r="I15" s="22">
        <v>35.095239786856126</v>
      </c>
      <c r="J15" s="22">
        <v>2.7059413854351688</v>
      </c>
      <c r="K15" s="22">
        <v>5.9038721136767309</v>
      </c>
      <c r="L15" s="22">
        <v>69.173701598579029</v>
      </c>
      <c r="M15" s="9">
        <v>6.948632966484471</v>
      </c>
      <c r="N15" s="9">
        <v>0.35768772522275577</v>
      </c>
      <c r="O15" s="9">
        <v>5.790853189728665</v>
      </c>
      <c r="P15" s="9">
        <v>9.7054038233606494</v>
      </c>
      <c r="Q15">
        <v>56.713358966622991</v>
      </c>
    </row>
    <row r="16" spans="1:17" ht="13.5" thickBot="1" x14ac:dyDescent="0.25">
      <c r="A16" s="23" t="s">
        <v>25</v>
      </c>
      <c r="B16" s="23" t="s">
        <v>22</v>
      </c>
      <c r="C16" s="23">
        <v>2019</v>
      </c>
      <c r="D16" s="23">
        <v>51</v>
      </c>
      <c r="E16" s="23" t="s">
        <v>23</v>
      </c>
      <c r="F16" s="23">
        <v>7.09</v>
      </c>
      <c r="G16" s="23">
        <v>170.6</v>
      </c>
      <c r="H16" s="23">
        <v>0.97552484439286846</v>
      </c>
      <c r="I16" s="24">
        <v>25.750241159294909</v>
      </c>
      <c r="J16" s="24">
        <v>2.0009741537796044</v>
      </c>
      <c r="K16" s="24">
        <v>5.2484567967989628</v>
      </c>
      <c r="L16" s="24">
        <v>110.25039558775819</v>
      </c>
      <c r="M16" s="25">
        <v>8.8454073172380792</v>
      </c>
      <c r="N16" s="25">
        <v>0.39991134929313071</v>
      </c>
      <c r="O16" s="25">
        <v>4.8759797548606398</v>
      </c>
      <c r="P16" s="25">
        <v>9.0091899954159409</v>
      </c>
      <c r="Q16" s="26">
        <v>32.829002931583808</v>
      </c>
    </row>
    <row r="17" spans="1:17" x14ac:dyDescent="0.2">
      <c r="A17" s="27" t="s">
        <v>25</v>
      </c>
      <c r="B17" s="27" t="s">
        <v>22</v>
      </c>
      <c r="C17" s="27">
        <v>2019</v>
      </c>
      <c r="D17" s="27">
        <v>52</v>
      </c>
      <c r="E17" s="27" t="s">
        <v>16</v>
      </c>
      <c r="F17" s="27">
        <v>6.27</v>
      </c>
      <c r="G17" s="27">
        <v>144</v>
      </c>
      <c r="H17" s="27">
        <v>0.97593984962406022</v>
      </c>
      <c r="I17" s="28">
        <v>48.69152542372882</v>
      </c>
      <c r="J17" s="28">
        <v>2.7870570107858246</v>
      </c>
      <c r="K17" s="28">
        <v>6.3938366718027737</v>
      </c>
      <c r="L17" s="28">
        <v>130.36869029275809</v>
      </c>
      <c r="M17" s="29">
        <v>6.4076170476065473</v>
      </c>
      <c r="N17" s="29">
        <v>0.36319672980062179</v>
      </c>
      <c r="O17" s="29">
        <v>6.0037561634397809</v>
      </c>
      <c r="P17" s="29">
        <v>9.2448408766909136</v>
      </c>
      <c r="Q17" s="30">
        <v>109.43074958305102</v>
      </c>
    </row>
    <row r="18" spans="1:17" x14ac:dyDescent="0.2">
      <c r="A18" s="7" t="s">
        <v>25</v>
      </c>
      <c r="B18" s="7" t="s">
        <v>22</v>
      </c>
      <c r="C18" s="7">
        <v>2019</v>
      </c>
      <c r="D18" s="7">
        <v>53</v>
      </c>
      <c r="E18" s="7" t="s">
        <v>16</v>
      </c>
      <c r="F18" s="7">
        <v>6.52</v>
      </c>
      <c r="G18" s="7">
        <v>147.1</v>
      </c>
      <c r="H18" s="7">
        <v>0.97635200620275242</v>
      </c>
      <c r="I18" s="22">
        <v>31.627937264244594</v>
      </c>
      <c r="J18" s="22">
        <v>2.5728425650188607</v>
      </c>
      <c r="K18" s="22">
        <v>5.8995116140559851</v>
      </c>
      <c r="L18" s="22">
        <v>124.61079531467145</v>
      </c>
      <c r="M18" s="9">
        <v>6.845664091370721</v>
      </c>
      <c r="N18" s="9">
        <v>0.38046499797247968</v>
      </c>
      <c r="O18" s="9">
        <v>6.0062916553561925</v>
      </c>
      <c r="P18" s="9">
        <v>9.3647031937932734</v>
      </c>
      <c r="Q18">
        <v>75.154854952456262</v>
      </c>
    </row>
    <row r="19" spans="1:17" ht="13.5" thickBot="1" x14ac:dyDescent="0.25">
      <c r="A19" s="23" t="s">
        <v>25</v>
      </c>
      <c r="B19" s="23" t="s">
        <v>22</v>
      </c>
      <c r="C19" s="23">
        <v>2019</v>
      </c>
      <c r="D19" s="23">
        <v>54</v>
      </c>
      <c r="E19" s="23" t="s">
        <v>16</v>
      </c>
      <c r="F19" s="23">
        <v>6.43</v>
      </c>
      <c r="G19" s="23">
        <v>110.3</v>
      </c>
      <c r="H19" s="23">
        <v>0.97531266992930943</v>
      </c>
      <c r="I19" s="24">
        <v>30.67734165923283</v>
      </c>
      <c r="J19" s="24">
        <v>2.5755842997323817</v>
      </c>
      <c r="K19" s="24">
        <v>5.7417484388938442</v>
      </c>
      <c r="L19" s="24">
        <v>132.94608385370202</v>
      </c>
      <c r="M19" s="25">
        <v>6.2838349477041495</v>
      </c>
      <c r="N19" s="25">
        <v>0.40056093361673695</v>
      </c>
      <c r="O19" s="25">
        <v>5.6483420681700789</v>
      </c>
      <c r="P19" s="25">
        <v>9.4705689950890442</v>
      </c>
      <c r="Q19" s="26">
        <v>95.46279440513392</v>
      </c>
    </row>
    <row r="20" spans="1:17" x14ac:dyDescent="0.2">
      <c r="A20" s="27" t="s">
        <v>25</v>
      </c>
      <c r="B20" s="27" t="s">
        <v>24</v>
      </c>
      <c r="C20" s="27">
        <v>2019</v>
      </c>
      <c r="D20" s="27">
        <v>55</v>
      </c>
      <c r="E20" s="27" t="s">
        <v>23</v>
      </c>
      <c r="F20" s="27">
        <v>6.4</v>
      </c>
      <c r="G20" s="27">
        <v>88.7</v>
      </c>
      <c r="H20" s="27">
        <v>0.97713621391203276</v>
      </c>
      <c r="I20" s="28">
        <v>54.526686496133237</v>
      </c>
      <c r="J20" s="28">
        <v>1.9976744001586353</v>
      </c>
      <c r="K20" s="28">
        <v>6.2222645250842739</v>
      </c>
      <c r="L20" s="28">
        <v>81.806404124529053</v>
      </c>
      <c r="M20" s="29">
        <v>5.775094331599794</v>
      </c>
      <c r="N20" s="29">
        <v>0.43350554232231059</v>
      </c>
      <c r="O20" s="29">
        <v>5.5884601571430368</v>
      </c>
      <c r="P20" s="29">
        <v>17.727911036589838</v>
      </c>
      <c r="Q20" s="30">
        <v>40.848726968793599</v>
      </c>
    </row>
    <row r="21" spans="1:17" x14ac:dyDescent="0.2">
      <c r="A21" s="7" t="s">
        <v>25</v>
      </c>
      <c r="B21" s="7" t="s">
        <v>24</v>
      </c>
      <c r="C21" s="7">
        <v>2019</v>
      </c>
      <c r="D21" s="7">
        <v>56</v>
      </c>
      <c r="E21" s="7" t="s">
        <v>23</v>
      </c>
      <c r="F21" s="7">
        <v>6.43</v>
      </c>
      <c r="G21" s="7">
        <v>68.599999999999994</v>
      </c>
      <c r="H21" s="7">
        <v>0.97568165070007362</v>
      </c>
      <c r="I21" s="22">
        <v>49.524350453172211</v>
      </c>
      <c r="J21" s="22">
        <v>2.4762175226586107</v>
      </c>
      <c r="K21" s="22">
        <v>6.395528700906346</v>
      </c>
      <c r="L21" s="22">
        <v>78.599407854984904</v>
      </c>
      <c r="M21" s="9">
        <v>5.5679548365637119</v>
      </c>
      <c r="N21" s="9">
        <v>0.39647284074944356</v>
      </c>
      <c r="O21" s="9">
        <v>4.8415946388976669</v>
      </c>
      <c r="P21" s="9">
        <v>9.1265165788918594</v>
      </c>
      <c r="Q21">
        <v>54.571628284855898</v>
      </c>
    </row>
    <row r="22" spans="1:17" ht="13.5" thickBot="1" x14ac:dyDescent="0.25">
      <c r="A22" s="23" t="s">
        <v>25</v>
      </c>
      <c r="B22" s="23" t="s">
        <v>24</v>
      </c>
      <c r="C22" s="23">
        <v>2019</v>
      </c>
      <c r="D22" s="23">
        <v>57</v>
      </c>
      <c r="E22" s="23" t="s">
        <v>23</v>
      </c>
      <c r="F22" s="23">
        <v>6.2</v>
      </c>
      <c r="G22" s="23">
        <v>80.7</v>
      </c>
      <c r="H22" s="23">
        <v>0.9756756756756757</v>
      </c>
      <c r="I22" s="24">
        <v>41.489196675900267</v>
      </c>
      <c r="J22" s="24">
        <v>2.115457063711911</v>
      </c>
      <c r="K22" s="24">
        <v>5.9036011080332393</v>
      </c>
      <c r="L22" s="24">
        <v>82.666814404432131</v>
      </c>
      <c r="M22" s="25">
        <v>5.5095261845386538</v>
      </c>
      <c r="N22" s="25">
        <v>0.4217822007911266</v>
      </c>
      <c r="O22" s="25">
        <v>4.5602156468669843</v>
      </c>
      <c r="P22" s="25">
        <v>9.4740938862060897</v>
      </c>
      <c r="Q22" s="26">
        <v>43.376034965207815</v>
      </c>
    </row>
    <row r="23" spans="1:17" x14ac:dyDescent="0.2">
      <c r="A23" s="27" t="s">
        <v>25</v>
      </c>
      <c r="B23" s="27" t="s">
        <v>24</v>
      </c>
      <c r="C23" s="27">
        <v>2019</v>
      </c>
      <c r="D23" s="27">
        <v>58</v>
      </c>
      <c r="E23" s="27" t="s">
        <v>16</v>
      </c>
      <c r="F23" s="27">
        <v>5.65</v>
      </c>
      <c r="G23" s="27">
        <v>143.80000000000001</v>
      </c>
      <c r="H23" s="27">
        <v>0.97690288713910778</v>
      </c>
      <c r="I23" s="28">
        <v>62.401289629231592</v>
      </c>
      <c r="J23" s="28">
        <v>2.0800429876410531</v>
      </c>
      <c r="K23" s="28">
        <v>6.3875335840945731</v>
      </c>
      <c r="L23" s="28">
        <v>145.96333154218161</v>
      </c>
      <c r="M23" s="29">
        <v>5.2358096883774827</v>
      </c>
      <c r="N23" s="29">
        <v>0.38081212145335369</v>
      </c>
      <c r="O23" s="29">
        <v>4.742016032860553</v>
      </c>
      <c r="P23" s="29">
        <v>9.2539634968896163</v>
      </c>
      <c r="Q23" s="30">
        <v>49.904239947396654</v>
      </c>
    </row>
    <row r="24" spans="1:17" x14ac:dyDescent="0.2">
      <c r="A24" s="7" t="s">
        <v>25</v>
      </c>
      <c r="B24" s="7" t="s">
        <v>24</v>
      </c>
      <c r="C24" s="7">
        <v>2019</v>
      </c>
      <c r="D24" s="7">
        <v>59</v>
      </c>
      <c r="E24" s="7" t="s">
        <v>16</v>
      </c>
      <c r="F24" s="7">
        <v>5.62</v>
      </c>
      <c r="G24" s="7">
        <v>149.30000000000001</v>
      </c>
      <c r="H24" s="7">
        <v>0.97701029855404142</v>
      </c>
      <c r="I24" s="22">
        <v>65.342197614991491</v>
      </c>
      <c r="J24" s="22">
        <v>3.1442862010221462</v>
      </c>
      <c r="K24" s="22">
        <v>6.7143611584327072</v>
      </c>
      <c r="L24" s="22">
        <v>209.02952640545141</v>
      </c>
      <c r="M24" s="9">
        <v>4.8913862228855205</v>
      </c>
      <c r="N24" s="9">
        <v>0.35549789331258197</v>
      </c>
      <c r="O24" s="9">
        <v>5.799040668349849</v>
      </c>
      <c r="P24" s="9">
        <v>8.3266910492295931</v>
      </c>
      <c r="Q24">
        <v>94.446930957811361</v>
      </c>
    </row>
    <row r="25" spans="1:17" ht="13.5" thickBot="1" x14ac:dyDescent="0.25">
      <c r="A25" s="23" t="s">
        <v>25</v>
      </c>
      <c r="B25" s="23" t="s">
        <v>24</v>
      </c>
      <c r="C25" s="23">
        <v>2019</v>
      </c>
      <c r="D25" s="23">
        <v>60</v>
      </c>
      <c r="E25" s="23" t="s">
        <v>16</v>
      </c>
      <c r="F25" s="23">
        <v>5.6</v>
      </c>
      <c r="G25" s="23">
        <v>122.4</v>
      </c>
      <c r="H25" s="23">
        <v>0.97632840591290448</v>
      </c>
      <c r="I25" s="24">
        <v>49.81930230179028</v>
      </c>
      <c r="J25" s="24">
        <v>2.3598616879795395</v>
      </c>
      <c r="K25" s="24">
        <v>6.3912920716112538</v>
      </c>
      <c r="L25" s="24">
        <v>170.95886895140666</v>
      </c>
      <c r="M25" s="25">
        <v>5.2473391033004777</v>
      </c>
      <c r="N25" s="25">
        <v>0.42093821547226878</v>
      </c>
      <c r="O25" s="25">
        <v>4.9855727951225983</v>
      </c>
      <c r="P25" s="25">
        <v>9.0166110656722456</v>
      </c>
      <c r="Q25" s="26">
        <v>158.04801289492417</v>
      </c>
    </row>
    <row r="26" spans="1:17" x14ac:dyDescent="0.2">
      <c r="A26" s="27" t="s">
        <v>26</v>
      </c>
      <c r="B26" s="27" t="s">
        <v>22</v>
      </c>
      <c r="C26" s="27">
        <v>2019</v>
      </c>
      <c r="D26" s="27">
        <v>61</v>
      </c>
      <c r="E26" s="27" t="s">
        <v>23</v>
      </c>
      <c r="F26" s="27">
        <v>5.88</v>
      </c>
      <c r="G26" s="27">
        <v>101.5</v>
      </c>
      <c r="H26" s="27">
        <v>0.97484341308142519</v>
      </c>
      <c r="I26" s="28">
        <v>174.79730356014323</v>
      </c>
      <c r="J26" s="28">
        <v>2.6753014535496105</v>
      </c>
      <c r="K26" s="28">
        <v>8.5347040235938501</v>
      </c>
      <c r="L26" s="28">
        <v>34.713267326732677</v>
      </c>
      <c r="M26" s="29">
        <v>6.0999428730770875</v>
      </c>
      <c r="N26" s="29">
        <v>0.28818247204284392</v>
      </c>
      <c r="O26" s="29">
        <v>4.87257374700956</v>
      </c>
      <c r="P26" s="29">
        <v>8.0766657249079756</v>
      </c>
      <c r="Q26" s="30">
        <v>48.666320933797252</v>
      </c>
    </row>
    <row r="27" spans="1:17" x14ac:dyDescent="0.2">
      <c r="A27" s="7" t="s">
        <v>26</v>
      </c>
      <c r="B27" s="7" t="s">
        <v>22</v>
      </c>
      <c r="C27" s="7">
        <v>2019</v>
      </c>
      <c r="D27" s="7">
        <v>62</v>
      </c>
      <c r="E27" s="7" t="s">
        <v>23</v>
      </c>
      <c r="F27" s="7">
        <v>5.49</v>
      </c>
      <c r="G27" s="7">
        <v>107.1</v>
      </c>
      <c r="H27" s="7">
        <v>0.97225109124922049</v>
      </c>
      <c r="I27" s="22">
        <v>241.41911704970605</v>
      </c>
      <c r="J27" s="22">
        <v>3.768573810796366</v>
      </c>
      <c r="K27" s="22">
        <v>8.8865932656333531</v>
      </c>
      <c r="L27" s="22">
        <v>49.945945483698566</v>
      </c>
      <c r="M27" s="9">
        <v>6.8256390825057514</v>
      </c>
      <c r="N27" s="9">
        <v>0.339178641000206</v>
      </c>
      <c r="O27" s="9">
        <v>5.9810637753413598</v>
      </c>
      <c r="P27" s="9">
        <v>8.9789561533577498</v>
      </c>
      <c r="Q27">
        <v>57.151423590607997</v>
      </c>
    </row>
    <row r="28" spans="1:17" ht="13.5" thickBot="1" x14ac:dyDescent="0.25">
      <c r="A28" s="23" t="s">
        <v>26</v>
      </c>
      <c r="B28" s="23" t="s">
        <v>22</v>
      </c>
      <c r="C28" s="23">
        <v>2019</v>
      </c>
      <c r="D28" s="23">
        <v>63</v>
      </c>
      <c r="E28" s="23" t="s">
        <v>23</v>
      </c>
      <c r="F28" s="23">
        <v>5.9</v>
      </c>
      <c r="G28" s="23">
        <v>74.400000000000006</v>
      </c>
      <c r="H28" s="23">
        <v>0.97452537776055792</v>
      </c>
      <c r="I28" s="24">
        <v>150.71952291024746</v>
      </c>
      <c r="J28" s="24">
        <v>2.4627373024550243</v>
      </c>
      <c r="K28" s="24">
        <v>7.3882119073650729</v>
      </c>
      <c r="L28" s="24">
        <v>71.9611839777358</v>
      </c>
      <c r="M28" s="25">
        <v>5.7625799893911092</v>
      </c>
      <c r="N28" s="25">
        <v>0.32318500494037128</v>
      </c>
      <c r="O28" s="25">
        <v>4.4494576490532154</v>
      </c>
      <c r="P28" s="25">
        <v>9.694406390738207</v>
      </c>
      <c r="Q28" s="26">
        <v>38.215966465292063</v>
      </c>
    </row>
    <row r="29" spans="1:17" x14ac:dyDescent="0.2">
      <c r="A29" s="27" t="s">
        <v>26</v>
      </c>
      <c r="B29" s="27" t="s">
        <v>22</v>
      </c>
      <c r="C29" s="27">
        <v>2019</v>
      </c>
      <c r="D29" s="27">
        <v>64</v>
      </c>
      <c r="E29" s="27" t="s">
        <v>16</v>
      </c>
      <c r="F29" s="27">
        <v>5.34</v>
      </c>
      <c r="G29" s="27">
        <v>141</v>
      </c>
      <c r="H29" s="27">
        <v>0.97497833622183716</v>
      </c>
      <c r="I29" s="28">
        <v>212.18933007443619</v>
      </c>
      <c r="J29" s="28">
        <v>3.3969985557160309</v>
      </c>
      <c r="K29" s="28">
        <v>8.5335229418953453</v>
      </c>
      <c r="L29" s="28">
        <v>66.085570936562604</v>
      </c>
      <c r="M29" s="29">
        <v>6.4304805577045272</v>
      </c>
      <c r="N29" s="29">
        <v>0.31628151665513771</v>
      </c>
      <c r="O29" s="29">
        <v>6.2789894104867852</v>
      </c>
      <c r="P29" s="29">
        <v>8.7725530465504278</v>
      </c>
      <c r="Q29" s="30">
        <v>69.93177515009134</v>
      </c>
    </row>
    <row r="30" spans="1:17" x14ac:dyDescent="0.2">
      <c r="A30" s="7" t="s">
        <v>26</v>
      </c>
      <c r="B30" s="7" t="s">
        <v>22</v>
      </c>
      <c r="C30" s="7">
        <v>2019</v>
      </c>
      <c r="D30" s="7">
        <v>65</v>
      </c>
      <c r="E30" s="7" t="s">
        <v>16</v>
      </c>
      <c r="F30" s="7">
        <v>5.43</v>
      </c>
      <c r="G30" s="7">
        <v>129</v>
      </c>
      <c r="H30" s="7">
        <v>0.97279966904540283</v>
      </c>
      <c r="I30" s="22">
        <v>201.31585796300237</v>
      </c>
      <c r="J30" s="22">
        <v>2.6151324686370407</v>
      </c>
      <c r="K30" s="22">
        <v>7.2368445672974708</v>
      </c>
      <c r="L30" s="22">
        <v>81.776343610461424</v>
      </c>
      <c r="M30" s="9">
        <v>6.1453768619097628</v>
      </c>
      <c r="N30" s="9">
        <v>0.29724849474418308</v>
      </c>
      <c r="O30" s="9">
        <v>6.4052185091524185</v>
      </c>
      <c r="P30" s="9">
        <v>9.0995585507967913</v>
      </c>
      <c r="Q30">
        <v>103.62225289775233</v>
      </c>
    </row>
    <row r="31" spans="1:17" ht="13.5" thickBot="1" x14ac:dyDescent="0.25">
      <c r="A31" s="23" t="s">
        <v>26</v>
      </c>
      <c r="B31" s="23" t="s">
        <v>22</v>
      </c>
      <c r="C31" s="23">
        <v>2019</v>
      </c>
      <c r="D31" s="23">
        <v>66</v>
      </c>
      <c r="E31" s="23" t="s">
        <v>16</v>
      </c>
      <c r="F31" s="23">
        <v>5.54</v>
      </c>
      <c r="G31" s="23">
        <v>130</v>
      </c>
      <c r="H31" s="23">
        <v>0.97350797715186133</v>
      </c>
      <c r="I31" s="24">
        <v>154.82153566009106</v>
      </c>
      <c r="J31" s="24">
        <v>3.0734211431461813</v>
      </c>
      <c r="K31" s="24">
        <v>7.2315791603439559</v>
      </c>
      <c r="L31" s="24">
        <v>102.75416570561457</v>
      </c>
      <c r="M31" s="25">
        <v>5.7536506380297041</v>
      </c>
      <c r="N31" s="25">
        <v>0.3522678151277413</v>
      </c>
      <c r="O31" s="25">
        <v>4.9009893506677553</v>
      </c>
      <c r="P31" s="25">
        <v>7.949981235365061</v>
      </c>
      <c r="Q31" s="26">
        <v>113.31316085143929</v>
      </c>
    </row>
    <row r="32" spans="1:17" x14ac:dyDescent="0.2">
      <c r="A32" s="27" t="s">
        <v>26</v>
      </c>
      <c r="B32" s="27" t="s">
        <v>24</v>
      </c>
      <c r="C32" s="27">
        <v>2019</v>
      </c>
      <c r="D32" s="27">
        <v>67</v>
      </c>
      <c r="E32" s="27" t="s">
        <v>23</v>
      </c>
      <c r="F32" s="27">
        <v>5.34</v>
      </c>
      <c r="G32" s="27">
        <v>76</v>
      </c>
      <c r="H32" s="27">
        <v>0.97363759508179626</v>
      </c>
      <c r="I32" s="28">
        <v>244.52630136986303</v>
      </c>
      <c r="J32" s="28">
        <v>3.9768390410958911</v>
      </c>
      <c r="K32" s="28">
        <v>8.5452739726027414</v>
      </c>
      <c r="L32" s="28">
        <v>36.99117636986302</v>
      </c>
      <c r="M32" s="29">
        <v>5.6582669615426884</v>
      </c>
      <c r="N32" s="29">
        <v>0.31333572918428326</v>
      </c>
      <c r="O32" s="29">
        <v>5.708831592027896</v>
      </c>
      <c r="P32" s="29">
        <v>9.6855748854013726</v>
      </c>
      <c r="Q32" s="30">
        <v>60.602059244509093</v>
      </c>
    </row>
    <row r="33" spans="1:17" x14ac:dyDescent="0.2">
      <c r="A33" s="7" t="s">
        <v>26</v>
      </c>
      <c r="B33" s="7" t="s">
        <v>24</v>
      </c>
      <c r="C33" s="7">
        <v>2019</v>
      </c>
      <c r="D33" s="7">
        <v>68</v>
      </c>
      <c r="E33" s="7" t="s">
        <v>23</v>
      </c>
      <c r="F33" s="7">
        <v>5.13</v>
      </c>
      <c r="G33" s="7">
        <v>71.3</v>
      </c>
      <c r="H33" s="7">
        <v>0.97358816749903976</v>
      </c>
      <c r="I33" s="22">
        <v>253.90612607280258</v>
      </c>
      <c r="J33" s="22">
        <v>2.8759593568116797</v>
      </c>
      <c r="K33" s="22">
        <v>8.7100483377725162</v>
      </c>
      <c r="L33" s="22">
        <v>53.410673769359768</v>
      </c>
      <c r="M33" s="9">
        <v>5.4744304241317581</v>
      </c>
      <c r="N33" s="9">
        <v>0.32405969628977377</v>
      </c>
      <c r="O33" s="9">
        <v>4.7259259445983801</v>
      </c>
      <c r="P33" s="9">
        <v>8.8756745452099253</v>
      </c>
      <c r="Q33">
        <v>48.54316101439764</v>
      </c>
    </row>
    <row r="34" spans="1:17" ht="13.5" thickBot="1" x14ac:dyDescent="0.25">
      <c r="A34" s="23" t="s">
        <v>26</v>
      </c>
      <c r="B34" s="23" t="s">
        <v>24</v>
      </c>
      <c r="C34" s="23">
        <v>2019</v>
      </c>
      <c r="D34" s="23">
        <v>69</v>
      </c>
      <c r="E34" s="23" t="s">
        <v>23</v>
      </c>
      <c r="F34" s="23">
        <v>5.98</v>
      </c>
      <c r="G34" s="23">
        <v>79.5</v>
      </c>
      <c r="H34" s="23">
        <v>0.97656954040252308</v>
      </c>
      <c r="I34" s="24">
        <v>123.37063057520766</v>
      </c>
      <c r="J34" s="24">
        <v>1.7039237157797607</v>
      </c>
      <c r="K34" s="24">
        <v>6.7173915718240558</v>
      </c>
      <c r="L34" s="24">
        <v>86.982028914180276</v>
      </c>
      <c r="M34" s="25">
        <v>5.8798740607178344</v>
      </c>
      <c r="N34" s="25">
        <v>0.38431327872525456</v>
      </c>
      <c r="O34" s="25">
        <v>4.5643934858919541</v>
      </c>
      <c r="P34" s="25">
        <v>8.7868702088548254</v>
      </c>
      <c r="Q34" s="26">
        <v>29.763066031435564</v>
      </c>
    </row>
    <row r="35" spans="1:17" x14ac:dyDescent="0.2">
      <c r="A35" s="7" t="s">
        <v>26</v>
      </c>
      <c r="B35" s="7" t="s">
        <v>24</v>
      </c>
      <c r="C35" s="7">
        <v>2019</v>
      </c>
      <c r="D35" s="7">
        <v>70</v>
      </c>
      <c r="E35" s="7" t="s">
        <v>16</v>
      </c>
      <c r="F35" s="7">
        <v>4.8</v>
      </c>
      <c r="G35" s="7">
        <v>105.2</v>
      </c>
      <c r="H35" s="7">
        <v>0.97670581384062893</v>
      </c>
      <c r="I35" s="22">
        <v>258.99303189903605</v>
      </c>
      <c r="J35" s="22">
        <v>2.6046737553413495</v>
      </c>
      <c r="K35" s="22">
        <v>8.6822458511378322</v>
      </c>
      <c r="L35" s="22">
        <v>74.913038258968498</v>
      </c>
      <c r="M35" s="9">
        <v>4.746644114744683</v>
      </c>
      <c r="N35" s="9">
        <v>0.29325079161774648</v>
      </c>
      <c r="O35" s="9">
        <v>4.6002362146143669</v>
      </c>
      <c r="P35" s="9">
        <v>9.136096590850741</v>
      </c>
      <c r="Q35">
        <v>59.496025365345581</v>
      </c>
    </row>
    <row r="36" spans="1:17" x14ac:dyDescent="0.2">
      <c r="A36" s="7" t="s">
        <v>26</v>
      </c>
      <c r="B36" s="7" t="s">
        <v>24</v>
      </c>
      <c r="C36" s="7">
        <v>2019</v>
      </c>
      <c r="D36" s="7">
        <v>71</v>
      </c>
      <c r="E36" s="7" t="s">
        <v>16</v>
      </c>
      <c r="F36" s="7">
        <v>5.08</v>
      </c>
      <c r="G36" s="7">
        <v>143</v>
      </c>
      <c r="H36" s="7">
        <v>0.9753033851394507</v>
      </c>
      <c r="I36" s="22">
        <v>201.29121152586768</v>
      </c>
      <c r="J36" s="22">
        <v>3.0021427635887363</v>
      </c>
      <c r="K36" s="22">
        <v>7.8744728225278324</v>
      </c>
      <c r="L36" s="22">
        <v>97.413790875354721</v>
      </c>
      <c r="M36" s="9">
        <v>5.2359928367287019</v>
      </c>
      <c r="N36" s="9">
        <v>0.32348978859121391</v>
      </c>
      <c r="O36" s="9">
        <v>4.7694070866691378</v>
      </c>
      <c r="P36" s="9">
        <v>9.8179793876188111</v>
      </c>
      <c r="Q36">
        <v>74.253185726163494</v>
      </c>
    </row>
    <row r="37" spans="1:17" x14ac:dyDescent="0.2">
      <c r="A37" s="7" t="s">
        <v>26</v>
      </c>
      <c r="B37" s="7" t="s">
        <v>24</v>
      </c>
      <c r="C37" s="7">
        <v>2019</v>
      </c>
      <c r="D37" s="7">
        <v>72</v>
      </c>
      <c r="E37" s="7" t="s">
        <v>16</v>
      </c>
      <c r="F37" s="7">
        <v>5.88</v>
      </c>
      <c r="G37" s="7">
        <v>118</v>
      </c>
      <c r="H37" s="7">
        <v>0.97569336241819893</v>
      </c>
      <c r="I37" s="22">
        <v>83.632832960715419</v>
      </c>
      <c r="J37" s="22">
        <v>2.0498243372724367</v>
      </c>
      <c r="K37" s="22">
        <v>6.7234238262535913</v>
      </c>
      <c r="L37" s="22">
        <v>138.46973363142766</v>
      </c>
      <c r="M37" s="9">
        <v>5.6614546525552747</v>
      </c>
      <c r="N37" s="9">
        <v>0.38915732274143372</v>
      </c>
      <c r="O37" s="9">
        <v>4.419621091742437</v>
      </c>
      <c r="P37" s="9">
        <v>9.126626130188189</v>
      </c>
      <c r="Q37">
        <v>45.492179047762775</v>
      </c>
    </row>
  </sheetData>
  <pageMargins left="0.75" right="0.75" top="1" bottom="1" header="0" footer="0"/>
  <pageSetup paperSize="9" orientation="portrait" horizontalDpi="300" verticalDpi="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1B452-2E0A-4BB7-BBB2-13C2258892AF}">
  <dimension ref="A1:AA95"/>
  <sheetViews>
    <sheetView tabSelected="1" workbookViewId="0">
      <pane xSplit="3" topLeftCell="G1" activePane="topRight" state="frozen"/>
      <selection activeCell="A3" sqref="A3"/>
      <selection pane="topRight" activeCell="K7" sqref="K7"/>
    </sheetView>
  </sheetViews>
  <sheetFormatPr defaultRowHeight="12.75" x14ac:dyDescent="0.2"/>
  <cols>
    <col min="1" max="2" width="11.42578125" customWidth="1"/>
    <col min="4" max="4" width="9.85546875" customWidth="1"/>
    <col min="5" max="5" width="11.5703125" customWidth="1"/>
    <col min="6" max="6" width="9.5703125" bestFit="1" customWidth="1"/>
    <col min="10" max="11" width="12" customWidth="1"/>
    <col min="12" max="13" width="12.5703125" customWidth="1"/>
    <col min="14" max="14" width="11.7109375" customWidth="1"/>
    <col min="17" max="17" width="11.42578125" bestFit="1" customWidth="1"/>
    <col min="20" max="20" width="10" customWidth="1"/>
    <col min="21" max="21" width="12.7109375" customWidth="1"/>
    <col min="267" max="267" width="9.85546875" customWidth="1"/>
    <col min="271" max="271" width="12" customWidth="1"/>
    <col min="272" max="272" width="12.5703125" customWidth="1"/>
    <col min="277" max="277" width="12.7109375" bestFit="1" customWidth="1"/>
    <col min="523" max="523" width="9.85546875" customWidth="1"/>
    <col min="527" max="527" width="12" customWidth="1"/>
    <col min="528" max="528" width="12.5703125" customWidth="1"/>
    <col min="533" max="533" width="12.7109375" bestFit="1" customWidth="1"/>
    <col min="779" max="779" width="9.85546875" customWidth="1"/>
    <col min="783" max="783" width="12" customWidth="1"/>
    <col min="784" max="784" width="12.5703125" customWidth="1"/>
    <col min="789" max="789" width="12.7109375" bestFit="1" customWidth="1"/>
    <col min="1035" max="1035" width="9.85546875" customWidth="1"/>
    <col min="1039" max="1039" width="12" customWidth="1"/>
    <col min="1040" max="1040" width="12.5703125" customWidth="1"/>
    <col min="1045" max="1045" width="12.7109375" bestFit="1" customWidth="1"/>
    <col min="1291" max="1291" width="9.85546875" customWidth="1"/>
    <col min="1295" max="1295" width="12" customWidth="1"/>
    <col min="1296" max="1296" width="12.5703125" customWidth="1"/>
    <col min="1301" max="1301" width="12.7109375" bestFit="1" customWidth="1"/>
    <col min="1547" max="1547" width="9.85546875" customWidth="1"/>
    <col min="1551" max="1551" width="12" customWidth="1"/>
    <col min="1552" max="1552" width="12.5703125" customWidth="1"/>
    <col min="1557" max="1557" width="12.7109375" bestFit="1" customWidth="1"/>
    <col min="1803" max="1803" width="9.85546875" customWidth="1"/>
    <col min="1807" max="1807" width="12" customWidth="1"/>
    <col min="1808" max="1808" width="12.5703125" customWidth="1"/>
    <col min="1813" max="1813" width="12.7109375" bestFit="1" customWidth="1"/>
    <col min="2059" max="2059" width="9.85546875" customWidth="1"/>
    <col min="2063" max="2063" width="12" customWidth="1"/>
    <col min="2064" max="2064" width="12.5703125" customWidth="1"/>
    <col min="2069" max="2069" width="12.7109375" bestFit="1" customWidth="1"/>
    <col min="2315" max="2315" width="9.85546875" customWidth="1"/>
    <col min="2319" max="2319" width="12" customWidth="1"/>
    <col min="2320" max="2320" width="12.5703125" customWidth="1"/>
    <col min="2325" max="2325" width="12.7109375" bestFit="1" customWidth="1"/>
    <col min="2571" max="2571" width="9.85546875" customWidth="1"/>
    <col min="2575" max="2575" width="12" customWidth="1"/>
    <col min="2576" max="2576" width="12.5703125" customWidth="1"/>
    <col min="2581" max="2581" width="12.7109375" bestFit="1" customWidth="1"/>
    <col min="2827" max="2827" width="9.85546875" customWidth="1"/>
    <col min="2831" max="2831" width="12" customWidth="1"/>
    <col min="2832" max="2832" width="12.5703125" customWidth="1"/>
    <col min="2837" max="2837" width="12.7109375" bestFit="1" customWidth="1"/>
    <col min="3083" max="3083" width="9.85546875" customWidth="1"/>
    <col min="3087" max="3087" width="12" customWidth="1"/>
    <col min="3088" max="3088" width="12.5703125" customWidth="1"/>
    <col min="3093" max="3093" width="12.7109375" bestFit="1" customWidth="1"/>
    <col min="3339" max="3339" width="9.85546875" customWidth="1"/>
    <col min="3343" max="3343" width="12" customWidth="1"/>
    <col min="3344" max="3344" width="12.5703125" customWidth="1"/>
    <col min="3349" max="3349" width="12.7109375" bestFit="1" customWidth="1"/>
    <col min="3595" max="3595" width="9.85546875" customWidth="1"/>
    <col min="3599" max="3599" width="12" customWidth="1"/>
    <col min="3600" max="3600" width="12.5703125" customWidth="1"/>
    <col min="3605" max="3605" width="12.7109375" bestFit="1" customWidth="1"/>
    <col min="3851" max="3851" width="9.85546875" customWidth="1"/>
    <col min="3855" max="3855" width="12" customWidth="1"/>
    <col min="3856" max="3856" width="12.5703125" customWidth="1"/>
    <col min="3861" max="3861" width="12.7109375" bestFit="1" customWidth="1"/>
    <col min="4107" max="4107" width="9.85546875" customWidth="1"/>
    <col min="4111" max="4111" width="12" customWidth="1"/>
    <col min="4112" max="4112" width="12.5703125" customWidth="1"/>
    <col min="4117" max="4117" width="12.7109375" bestFit="1" customWidth="1"/>
    <col min="4363" max="4363" width="9.85546875" customWidth="1"/>
    <col min="4367" max="4367" width="12" customWidth="1"/>
    <col min="4368" max="4368" width="12.5703125" customWidth="1"/>
    <col min="4373" max="4373" width="12.7109375" bestFit="1" customWidth="1"/>
    <col min="4619" max="4619" width="9.85546875" customWidth="1"/>
    <col min="4623" max="4623" width="12" customWidth="1"/>
    <col min="4624" max="4624" width="12.5703125" customWidth="1"/>
    <col min="4629" max="4629" width="12.7109375" bestFit="1" customWidth="1"/>
    <col min="4875" max="4875" width="9.85546875" customWidth="1"/>
    <col min="4879" max="4879" width="12" customWidth="1"/>
    <col min="4880" max="4880" width="12.5703125" customWidth="1"/>
    <col min="4885" max="4885" width="12.7109375" bestFit="1" customWidth="1"/>
    <col min="5131" max="5131" width="9.85546875" customWidth="1"/>
    <col min="5135" max="5135" width="12" customWidth="1"/>
    <col min="5136" max="5136" width="12.5703125" customWidth="1"/>
    <col min="5141" max="5141" width="12.7109375" bestFit="1" customWidth="1"/>
    <col min="5387" max="5387" width="9.85546875" customWidth="1"/>
    <col min="5391" max="5391" width="12" customWidth="1"/>
    <col min="5392" max="5392" width="12.5703125" customWidth="1"/>
    <col min="5397" max="5397" width="12.7109375" bestFit="1" customWidth="1"/>
    <col min="5643" max="5643" width="9.85546875" customWidth="1"/>
    <col min="5647" max="5647" width="12" customWidth="1"/>
    <col min="5648" max="5648" width="12.5703125" customWidth="1"/>
    <col min="5653" max="5653" width="12.7109375" bestFit="1" customWidth="1"/>
    <col min="5899" max="5899" width="9.85546875" customWidth="1"/>
    <col min="5903" max="5903" width="12" customWidth="1"/>
    <col min="5904" max="5904" width="12.5703125" customWidth="1"/>
    <col min="5909" max="5909" width="12.7109375" bestFit="1" customWidth="1"/>
    <col min="6155" max="6155" width="9.85546875" customWidth="1"/>
    <col min="6159" max="6159" width="12" customWidth="1"/>
    <col min="6160" max="6160" width="12.5703125" customWidth="1"/>
    <col min="6165" max="6165" width="12.7109375" bestFit="1" customWidth="1"/>
    <col min="6411" max="6411" width="9.85546875" customWidth="1"/>
    <col min="6415" max="6415" width="12" customWidth="1"/>
    <col min="6416" max="6416" width="12.5703125" customWidth="1"/>
    <col min="6421" max="6421" width="12.7109375" bestFit="1" customWidth="1"/>
    <col min="6667" max="6667" width="9.85546875" customWidth="1"/>
    <col min="6671" max="6671" width="12" customWidth="1"/>
    <col min="6672" max="6672" width="12.5703125" customWidth="1"/>
    <col min="6677" max="6677" width="12.7109375" bestFit="1" customWidth="1"/>
    <col min="6923" max="6923" width="9.85546875" customWidth="1"/>
    <col min="6927" max="6927" width="12" customWidth="1"/>
    <col min="6928" max="6928" width="12.5703125" customWidth="1"/>
    <col min="6933" max="6933" width="12.7109375" bestFit="1" customWidth="1"/>
    <col min="7179" max="7179" width="9.85546875" customWidth="1"/>
    <col min="7183" max="7183" width="12" customWidth="1"/>
    <col min="7184" max="7184" width="12.5703125" customWidth="1"/>
    <col min="7189" max="7189" width="12.7109375" bestFit="1" customWidth="1"/>
    <col min="7435" max="7435" width="9.85546875" customWidth="1"/>
    <col min="7439" max="7439" width="12" customWidth="1"/>
    <col min="7440" max="7440" width="12.5703125" customWidth="1"/>
    <col min="7445" max="7445" width="12.7109375" bestFit="1" customWidth="1"/>
    <col min="7691" max="7691" width="9.85546875" customWidth="1"/>
    <col min="7695" max="7695" width="12" customWidth="1"/>
    <col min="7696" max="7696" width="12.5703125" customWidth="1"/>
    <col min="7701" max="7701" width="12.7109375" bestFit="1" customWidth="1"/>
    <col min="7947" max="7947" width="9.85546875" customWidth="1"/>
    <col min="7951" max="7951" width="12" customWidth="1"/>
    <col min="7952" max="7952" width="12.5703125" customWidth="1"/>
    <col min="7957" max="7957" width="12.7109375" bestFit="1" customWidth="1"/>
    <col min="8203" max="8203" width="9.85546875" customWidth="1"/>
    <col min="8207" max="8207" width="12" customWidth="1"/>
    <col min="8208" max="8208" width="12.5703125" customWidth="1"/>
    <col min="8213" max="8213" width="12.7109375" bestFit="1" customWidth="1"/>
    <col min="8459" max="8459" width="9.85546875" customWidth="1"/>
    <col min="8463" max="8463" width="12" customWidth="1"/>
    <col min="8464" max="8464" width="12.5703125" customWidth="1"/>
    <col min="8469" max="8469" width="12.7109375" bestFit="1" customWidth="1"/>
    <col min="8715" max="8715" width="9.85546875" customWidth="1"/>
    <col min="8719" max="8719" width="12" customWidth="1"/>
    <col min="8720" max="8720" width="12.5703125" customWidth="1"/>
    <col min="8725" max="8725" width="12.7109375" bestFit="1" customWidth="1"/>
    <col min="8971" max="8971" width="9.85546875" customWidth="1"/>
    <col min="8975" max="8975" width="12" customWidth="1"/>
    <col min="8976" max="8976" width="12.5703125" customWidth="1"/>
    <col min="8981" max="8981" width="12.7109375" bestFit="1" customWidth="1"/>
    <col min="9227" max="9227" width="9.85546875" customWidth="1"/>
    <col min="9231" max="9231" width="12" customWidth="1"/>
    <col min="9232" max="9232" width="12.5703125" customWidth="1"/>
    <col min="9237" max="9237" width="12.7109375" bestFit="1" customWidth="1"/>
    <col min="9483" max="9483" width="9.85546875" customWidth="1"/>
    <col min="9487" max="9487" width="12" customWidth="1"/>
    <col min="9488" max="9488" width="12.5703125" customWidth="1"/>
    <col min="9493" max="9493" width="12.7109375" bestFit="1" customWidth="1"/>
    <col min="9739" max="9739" width="9.85546875" customWidth="1"/>
    <col min="9743" max="9743" width="12" customWidth="1"/>
    <col min="9744" max="9744" width="12.5703125" customWidth="1"/>
    <col min="9749" max="9749" width="12.7109375" bestFit="1" customWidth="1"/>
    <col min="9995" max="9995" width="9.85546875" customWidth="1"/>
    <col min="9999" max="9999" width="12" customWidth="1"/>
    <col min="10000" max="10000" width="12.5703125" customWidth="1"/>
    <col min="10005" max="10005" width="12.7109375" bestFit="1" customWidth="1"/>
    <col min="10251" max="10251" width="9.85546875" customWidth="1"/>
    <col min="10255" max="10255" width="12" customWidth="1"/>
    <col min="10256" max="10256" width="12.5703125" customWidth="1"/>
    <col min="10261" max="10261" width="12.7109375" bestFit="1" customWidth="1"/>
    <col min="10507" max="10507" width="9.85546875" customWidth="1"/>
    <col min="10511" max="10511" width="12" customWidth="1"/>
    <col min="10512" max="10512" width="12.5703125" customWidth="1"/>
    <col min="10517" max="10517" width="12.7109375" bestFit="1" customWidth="1"/>
    <col min="10763" max="10763" width="9.85546875" customWidth="1"/>
    <col min="10767" max="10767" width="12" customWidth="1"/>
    <col min="10768" max="10768" width="12.5703125" customWidth="1"/>
    <col min="10773" max="10773" width="12.7109375" bestFit="1" customWidth="1"/>
    <col min="11019" max="11019" width="9.85546875" customWidth="1"/>
    <col min="11023" max="11023" width="12" customWidth="1"/>
    <col min="11024" max="11024" width="12.5703125" customWidth="1"/>
    <col min="11029" max="11029" width="12.7109375" bestFit="1" customWidth="1"/>
    <col min="11275" max="11275" width="9.85546875" customWidth="1"/>
    <col min="11279" max="11279" width="12" customWidth="1"/>
    <col min="11280" max="11280" width="12.5703125" customWidth="1"/>
    <col min="11285" max="11285" width="12.7109375" bestFit="1" customWidth="1"/>
    <col min="11531" max="11531" width="9.85546875" customWidth="1"/>
    <col min="11535" max="11535" width="12" customWidth="1"/>
    <col min="11536" max="11536" width="12.5703125" customWidth="1"/>
    <col min="11541" max="11541" width="12.7109375" bestFit="1" customWidth="1"/>
    <col min="11787" max="11787" width="9.85546875" customWidth="1"/>
    <col min="11791" max="11791" width="12" customWidth="1"/>
    <col min="11792" max="11792" width="12.5703125" customWidth="1"/>
    <col min="11797" max="11797" width="12.7109375" bestFit="1" customWidth="1"/>
    <col min="12043" max="12043" width="9.85546875" customWidth="1"/>
    <col min="12047" max="12047" width="12" customWidth="1"/>
    <col min="12048" max="12048" width="12.5703125" customWidth="1"/>
    <col min="12053" max="12053" width="12.7109375" bestFit="1" customWidth="1"/>
    <col min="12299" max="12299" width="9.85546875" customWidth="1"/>
    <col min="12303" max="12303" width="12" customWidth="1"/>
    <col min="12304" max="12304" width="12.5703125" customWidth="1"/>
    <col min="12309" max="12309" width="12.7109375" bestFit="1" customWidth="1"/>
    <col min="12555" max="12555" width="9.85546875" customWidth="1"/>
    <col min="12559" max="12559" width="12" customWidth="1"/>
    <col min="12560" max="12560" width="12.5703125" customWidth="1"/>
    <col min="12565" max="12565" width="12.7109375" bestFit="1" customWidth="1"/>
    <col min="12811" max="12811" width="9.85546875" customWidth="1"/>
    <col min="12815" max="12815" width="12" customWidth="1"/>
    <col min="12816" max="12816" width="12.5703125" customWidth="1"/>
    <col min="12821" max="12821" width="12.7109375" bestFit="1" customWidth="1"/>
    <col min="13067" max="13067" width="9.85546875" customWidth="1"/>
    <col min="13071" max="13071" width="12" customWidth="1"/>
    <col min="13072" max="13072" width="12.5703125" customWidth="1"/>
    <col min="13077" max="13077" width="12.7109375" bestFit="1" customWidth="1"/>
    <col min="13323" max="13323" width="9.85546875" customWidth="1"/>
    <col min="13327" max="13327" width="12" customWidth="1"/>
    <col min="13328" max="13328" width="12.5703125" customWidth="1"/>
    <col min="13333" max="13333" width="12.7109375" bestFit="1" customWidth="1"/>
    <col min="13579" max="13579" width="9.85546875" customWidth="1"/>
    <col min="13583" max="13583" width="12" customWidth="1"/>
    <col min="13584" max="13584" width="12.5703125" customWidth="1"/>
    <col min="13589" max="13589" width="12.7109375" bestFit="1" customWidth="1"/>
    <col min="13835" max="13835" width="9.85546875" customWidth="1"/>
    <col min="13839" max="13839" width="12" customWidth="1"/>
    <col min="13840" max="13840" width="12.5703125" customWidth="1"/>
    <col min="13845" max="13845" width="12.7109375" bestFit="1" customWidth="1"/>
    <col min="14091" max="14091" width="9.85546875" customWidth="1"/>
    <col min="14095" max="14095" width="12" customWidth="1"/>
    <col min="14096" max="14096" width="12.5703125" customWidth="1"/>
    <col min="14101" max="14101" width="12.7109375" bestFit="1" customWidth="1"/>
    <col min="14347" max="14347" width="9.85546875" customWidth="1"/>
    <col min="14351" max="14351" width="12" customWidth="1"/>
    <col min="14352" max="14352" width="12.5703125" customWidth="1"/>
    <col min="14357" max="14357" width="12.7109375" bestFit="1" customWidth="1"/>
    <col min="14603" max="14603" width="9.85546875" customWidth="1"/>
    <col min="14607" max="14607" width="12" customWidth="1"/>
    <col min="14608" max="14608" width="12.5703125" customWidth="1"/>
    <col min="14613" max="14613" width="12.7109375" bestFit="1" customWidth="1"/>
    <col min="14859" max="14859" width="9.85546875" customWidth="1"/>
    <col min="14863" max="14863" width="12" customWidth="1"/>
    <col min="14864" max="14864" width="12.5703125" customWidth="1"/>
    <col min="14869" max="14869" width="12.7109375" bestFit="1" customWidth="1"/>
    <col min="15115" max="15115" width="9.85546875" customWidth="1"/>
    <col min="15119" max="15119" width="12" customWidth="1"/>
    <col min="15120" max="15120" width="12.5703125" customWidth="1"/>
    <col min="15125" max="15125" width="12.7109375" bestFit="1" customWidth="1"/>
    <col min="15371" max="15371" width="9.85546875" customWidth="1"/>
    <col min="15375" max="15375" width="12" customWidth="1"/>
    <col min="15376" max="15376" width="12.5703125" customWidth="1"/>
    <col min="15381" max="15381" width="12.7109375" bestFit="1" customWidth="1"/>
    <col min="15627" max="15627" width="9.85546875" customWidth="1"/>
    <col min="15631" max="15631" width="12" customWidth="1"/>
    <col min="15632" max="15632" width="12.5703125" customWidth="1"/>
    <col min="15637" max="15637" width="12.7109375" bestFit="1" customWidth="1"/>
    <col min="15883" max="15883" width="9.85546875" customWidth="1"/>
    <col min="15887" max="15887" width="12" customWidth="1"/>
    <col min="15888" max="15888" width="12.5703125" customWidth="1"/>
    <col min="15893" max="15893" width="12.7109375" bestFit="1" customWidth="1"/>
    <col min="16139" max="16139" width="9.85546875" customWidth="1"/>
    <col min="16143" max="16143" width="12" customWidth="1"/>
    <col min="16144" max="16144" width="12.5703125" customWidth="1"/>
    <col min="16149" max="16149" width="12.7109375" bestFit="1" customWidth="1"/>
  </cols>
  <sheetData>
    <row r="1" spans="1:27" ht="51" x14ac:dyDescent="0.2">
      <c r="A1" s="1" t="s">
        <v>0</v>
      </c>
      <c r="B1" s="1" t="s">
        <v>75</v>
      </c>
      <c r="C1" s="1" t="s">
        <v>74</v>
      </c>
      <c r="D1" s="2" t="s">
        <v>1</v>
      </c>
      <c r="E1" s="2" t="s">
        <v>106</v>
      </c>
      <c r="F1" s="3" t="s">
        <v>2</v>
      </c>
      <c r="G1" s="11" t="s">
        <v>87</v>
      </c>
      <c r="H1" s="5" t="s">
        <v>3</v>
      </c>
      <c r="I1" s="31" t="s">
        <v>27</v>
      </c>
      <c r="J1" s="5" t="s">
        <v>4</v>
      </c>
      <c r="K1" s="31" t="s">
        <v>28</v>
      </c>
      <c r="L1" s="6" t="s">
        <v>5</v>
      </c>
      <c r="M1" s="31" t="s">
        <v>29</v>
      </c>
      <c r="N1" s="6" t="s">
        <v>6</v>
      </c>
      <c r="O1" s="31" t="s">
        <v>30</v>
      </c>
      <c r="P1" s="65" t="s">
        <v>108</v>
      </c>
      <c r="Q1" s="61" t="s">
        <v>107</v>
      </c>
      <c r="R1" s="5" t="s">
        <v>7</v>
      </c>
      <c r="S1" s="5" t="s">
        <v>8</v>
      </c>
      <c r="T1" s="5" t="s">
        <v>9</v>
      </c>
      <c r="U1" s="5" t="s">
        <v>10</v>
      </c>
      <c r="V1" s="37" t="s">
        <v>68</v>
      </c>
      <c r="W1" s="43" t="s">
        <v>96</v>
      </c>
      <c r="X1" s="5" t="s">
        <v>97</v>
      </c>
      <c r="Y1" s="5" t="s">
        <v>102</v>
      </c>
      <c r="Z1" s="5" t="s">
        <v>103</v>
      </c>
      <c r="AA1" s="5" t="s">
        <v>104</v>
      </c>
    </row>
    <row r="2" spans="1:27" x14ac:dyDescent="0.2">
      <c r="A2" s="7">
        <v>2</v>
      </c>
      <c r="B2" s="7" t="s">
        <v>77</v>
      </c>
      <c r="C2" s="7">
        <v>110085</v>
      </c>
      <c r="D2" s="8">
        <v>7.57</v>
      </c>
      <c r="E2" s="8">
        <v>0.1404</v>
      </c>
      <c r="F2" s="45">
        <v>0.97636110813990795</v>
      </c>
      <c r="G2" s="7" t="s">
        <v>31</v>
      </c>
      <c r="H2" s="46">
        <v>138.11248752650408</v>
      </c>
      <c r="I2" s="47">
        <v>27629.403129677139</v>
      </c>
      <c r="J2" s="46">
        <v>1.955695494891132</v>
      </c>
      <c r="K2" s="47">
        <v>237.61700262927258</v>
      </c>
      <c r="L2" s="46">
        <v>3.0149108145846673</v>
      </c>
      <c r="M2" s="47">
        <f>L2*39.1*10</f>
        <v>1178.830128502605</v>
      </c>
      <c r="N2" s="46">
        <v>9.9445861905517816</v>
      </c>
      <c r="O2" s="47">
        <f>N2*22.98*10</f>
        <v>2285.2659065887992</v>
      </c>
      <c r="P2" s="66">
        <f>N2/(SQRT((H2+J2)/2))</f>
        <v>1.1883160597341302</v>
      </c>
      <c r="Q2" s="62">
        <f>N2+L2+J2+H2</f>
        <v>153.02768002653167</v>
      </c>
      <c r="R2" s="46">
        <v>49.162138475021912</v>
      </c>
      <c r="S2" s="46">
        <v>1.2782156003505696</v>
      </c>
      <c r="T2" s="46">
        <v>1.3109903593339176</v>
      </c>
      <c r="U2" s="46">
        <v>14.093146362839613</v>
      </c>
      <c r="V2" s="73">
        <v>4.56900619076292</v>
      </c>
      <c r="W2" s="48">
        <v>1.972057586731971</v>
      </c>
      <c r="X2" s="48">
        <v>3.39193904917899</v>
      </c>
      <c r="Y2" s="48">
        <v>13.617201984528668</v>
      </c>
      <c r="Z2" s="48">
        <v>7.2503547494979834</v>
      </c>
      <c r="AA2" s="48">
        <v>79.13244326597335</v>
      </c>
    </row>
    <row r="3" spans="1:27" x14ac:dyDescent="0.2">
      <c r="A3" s="7">
        <v>5</v>
      </c>
      <c r="B3" s="7" t="s">
        <v>77</v>
      </c>
      <c r="C3" s="7">
        <v>110085</v>
      </c>
      <c r="D3" s="8">
        <v>7.14</v>
      </c>
      <c r="E3" s="8">
        <v>0.16300000000000001</v>
      </c>
      <c r="F3" s="45">
        <v>0.93353059283525308</v>
      </c>
      <c r="G3" s="7" t="s">
        <v>31</v>
      </c>
      <c r="H3" s="46">
        <v>125.54473269431304</v>
      </c>
      <c r="I3" s="47">
        <v>25115.223775497321</v>
      </c>
      <c r="J3" s="46">
        <v>2.1629761306934516</v>
      </c>
      <c r="K3" s="47">
        <v>262.80159987925435</v>
      </c>
      <c r="L3" s="46">
        <v>2.4452103500503073</v>
      </c>
      <c r="M3" s="47">
        <f t="shared" ref="M3:M59" si="0">L3*39.1*10</f>
        <v>956.07724686967015</v>
      </c>
      <c r="N3" s="46">
        <v>9.7300867173356202</v>
      </c>
      <c r="O3" s="47">
        <f t="shared" ref="O3:O59" si="1">N3*22.98*10</f>
        <v>2235.9739276437258</v>
      </c>
      <c r="P3" s="66">
        <f t="shared" ref="P3:P59" si="2">N3/(SQRT((H3+J3)/2))</f>
        <v>1.2176519034154007</v>
      </c>
      <c r="Q3" s="62">
        <f t="shared" ref="Q3:Q59" si="3">N3+L3+J3+H3</f>
        <v>139.88300589239242</v>
      </c>
      <c r="R3" s="46">
        <v>46.995781752320582</v>
      </c>
      <c r="S3" s="46">
        <v>1.512537468870274</v>
      </c>
      <c r="T3" s="46">
        <v>1.3711387819787186</v>
      </c>
      <c r="U3" s="46">
        <v>28.96530676930043</v>
      </c>
      <c r="V3" s="73">
        <v>16.639678550575923</v>
      </c>
      <c r="W3" s="48">
        <v>2.316488604516064</v>
      </c>
      <c r="X3" s="48">
        <v>3.9843603997676298</v>
      </c>
      <c r="Y3" s="48">
        <v>9.47303778838792</v>
      </c>
      <c r="Z3" s="48">
        <v>9.7409128929452482</v>
      </c>
      <c r="AA3" s="48">
        <v>80.786049318666841</v>
      </c>
    </row>
    <row r="4" spans="1:27" x14ac:dyDescent="0.2">
      <c r="A4" s="7">
        <v>9</v>
      </c>
      <c r="B4" s="7" t="s">
        <v>77</v>
      </c>
      <c r="C4" s="7">
        <v>110094</v>
      </c>
      <c r="D4" s="8">
        <v>5.66</v>
      </c>
      <c r="E4" s="8">
        <v>0.1394</v>
      </c>
      <c r="F4" s="45">
        <v>0.90389837083010083</v>
      </c>
      <c r="G4" s="32" t="s">
        <v>32</v>
      </c>
      <c r="H4" s="49">
        <v>539.63408971752153</v>
      </c>
      <c r="I4" s="64">
        <v>107953.79964799018</v>
      </c>
      <c r="J4" s="46">
        <v>1.9121564077398574</v>
      </c>
      <c r="K4" s="47">
        <v>232.32700354039267</v>
      </c>
      <c r="L4" s="46">
        <v>3.3776183381285656</v>
      </c>
      <c r="M4" s="47">
        <f t="shared" si="0"/>
        <v>1320.6487702082691</v>
      </c>
      <c r="N4" s="74">
        <v>7.2741736772750372</v>
      </c>
      <c r="O4" s="47">
        <f t="shared" si="1"/>
        <v>1671.6051110378035</v>
      </c>
      <c r="P4" s="66">
        <f t="shared" si="2"/>
        <v>0.44205966370311028</v>
      </c>
      <c r="Q4" s="63">
        <f t="shared" si="3"/>
        <v>552.19803814066495</v>
      </c>
      <c r="R4" s="46">
        <v>23.0645398562386</v>
      </c>
      <c r="S4" s="46">
        <v>0.44695290204913635</v>
      </c>
      <c r="T4" s="49">
        <v>3.1861989056968132</v>
      </c>
      <c r="U4" s="46">
        <v>11.505718270571826</v>
      </c>
      <c r="V4" s="73">
        <v>5.0412978890378941</v>
      </c>
      <c r="W4" s="48">
        <v>2.6983446965515219</v>
      </c>
      <c r="X4" s="48">
        <v>4.6411528780686178</v>
      </c>
      <c r="Y4" s="48">
        <v>30.00316431525291</v>
      </c>
      <c r="Z4" s="48">
        <v>32.352395604875475</v>
      </c>
      <c r="AA4" s="48">
        <v>37.644440079871615</v>
      </c>
    </row>
    <row r="5" spans="1:27" x14ac:dyDescent="0.2">
      <c r="A5" s="7">
        <v>29</v>
      </c>
      <c r="B5" s="7" t="s">
        <v>77</v>
      </c>
      <c r="C5" s="7">
        <v>110094</v>
      </c>
      <c r="D5" s="8">
        <v>7.47</v>
      </c>
      <c r="E5" s="8">
        <v>0.17660000000000001</v>
      </c>
      <c r="F5" s="45">
        <v>0.9181011535048802</v>
      </c>
      <c r="G5" s="32">
        <v>51</v>
      </c>
      <c r="H5" s="49">
        <v>559.10299672292206</v>
      </c>
      <c r="I5" s="64">
        <v>111848.55449442055</v>
      </c>
      <c r="J5" s="46">
        <v>2.2351852978729978</v>
      </c>
      <c r="K5" s="47">
        <v>271.57501369156927</v>
      </c>
      <c r="L5" s="46">
        <v>3.5961570522289477</v>
      </c>
      <c r="M5" s="47">
        <f t="shared" si="0"/>
        <v>1406.0974074215187</v>
      </c>
      <c r="N5" s="74">
        <v>9.5692673678288909</v>
      </c>
      <c r="O5" s="47">
        <f t="shared" si="1"/>
        <v>2199.0176411270791</v>
      </c>
      <c r="P5" s="66">
        <f t="shared" si="2"/>
        <v>0.57119105149938165</v>
      </c>
      <c r="Q5" s="63">
        <f t="shared" si="3"/>
        <v>574.50360644085288</v>
      </c>
      <c r="R5" s="46">
        <v>34.488574466028801</v>
      </c>
      <c r="S5" s="46">
        <v>0.53153184497922101</v>
      </c>
      <c r="T5" s="49">
        <v>4.182545665410264</v>
      </c>
      <c r="U5" s="46">
        <v>13.76754614864212</v>
      </c>
      <c r="V5" s="73">
        <v>6.6216126270967459</v>
      </c>
      <c r="W5" s="48">
        <v>2.594475499206172</v>
      </c>
      <c r="X5" s="48">
        <v>4.4624978586346158</v>
      </c>
      <c r="Y5" s="48">
        <v>33.243553189472522</v>
      </c>
      <c r="Z5" s="48">
        <v>32.457626227026125</v>
      </c>
      <c r="AA5" s="48">
        <v>34.298820583501353</v>
      </c>
    </row>
    <row r="6" spans="1:27" x14ac:dyDescent="0.2">
      <c r="A6" s="7">
        <v>11</v>
      </c>
      <c r="B6" s="7" t="s">
        <v>77</v>
      </c>
      <c r="C6" s="7">
        <v>110158</v>
      </c>
      <c r="D6" s="8">
        <v>7.32</v>
      </c>
      <c r="E6" s="8">
        <v>0.312</v>
      </c>
      <c r="F6" s="45">
        <v>0.94684524432353234</v>
      </c>
      <c r="G6" s="32">
        <v>33.1</v>
      </c>
      <c r="H6" s="49">
        <v>561.02351633733485</v>
      </c>
      <c r="I6" s="64">
        <v>112232.75444328383</v>
      </c>
      <c r="J6" s="46">
        <v>3.9753701877038612</v>
      </c>
      <c r="K6" s="47">
        <v>483.00747780601915</v>
      </c>
      <c r="L6" s="49">
        <v>11.763299262483402</v>
      </c>
      <c r="M6" s="47">
        <f t="shared" si="0"/>
        <v>4599.4500116310101</v>
      </c>
      <c r="N6" s="74">
        <v>9.8688638657080059</v>
      </c>
      <c r="O6" s="47">
        <f t="shared" si="1"/>
        <v>2267.8649163396999</v>
      </c>
      <c r="P6" s="66">
        <f t="shared" si="2"/>
        <v>0.58716256644632636</v>
      </c>
      <c r="Q6" s="63">
        <f t="shared" si="3"/>
        <v>586.63104965323009</v>
      </c>
      <c r="R6" s="46">
        <v>42.194857332301915</v>
      </c>
      <c r="S6" s="49">
        <v>26.158445795115487</v>
      </c>
      <c r="T6" s="46">
        <v>4.9004840313846838</v>
      </c>
      <c r="U6" s="46">
        <v>19.601936125538735</v>
      </c>
      <c r="V6" s="73">
        <v>30.584972686641986</v>
      </c>
      <c r="W6" s="48">
        <v>5.1778603633517921</v>
      </c>
      <c r="X6" s="48">
        <v>8.9059198249650819</v>
      </c>
      <c r="Y6" s="48">
        <v>29.089622691319988</v>
      </c>
      <c r="Z6" s="48">
        <v>33.105589406212552</v>
      </c>
      <c r="AA6" s="48">
        <v>37.804787902467467</v>
      </c>
    </row>
    <row r="7" spans="1:27" x14ac:dyDescent="0.2">
      <c r="A7" s="7">
        <v>34</v>
      </c>
      <c r="B7" s="7" t="s">
        <v>77</v>
      </c>
      <c r="C7" s="7">
        <v>110158</v>
      </c>
      <c r="D7" s="8">
        <v>7.31</v>
      </c>
      <c r="E7" s="8">
        <v>0.36699999999999999</v>
      </c>
      <c r="F7" s="45">
        <v>0.98066725585505954</v>
      </c>
      <c r="G7" s="32">
        <v>25.1</v>
      </c>
      <c r="H7" s="49">
        <v>578.1290256462247</v>
      </c>
      <c r="I7" s="64">
        <v>115654.71158052725</v>
      </c>
      <c r="J7" s="46">
        <v>3.4130340688695822</v>
      </c>
      <c r="K7" s="47">
        <v>414.68363936765428</v>
      </c>
      <c r="L7" s="49">
        <v>5.8914437066783032</v>
      </c>
      <c r="M7" s="47">
        <f t="shared" si="0"/>
        <v>2303.5544893112165</v>
      </c>
      <c r="N7" s="74">
        <v>11.619033762478482</v>
      </c>
      <c r="O7" s="47">
        <f t="shared" si="1"/>
        <v>2670.0539586175551</v>
      </c>
      <c r="P7" s="66">
        <f t="shared" si="2"/>
        <v>0.68138794580939566</v>
      </c>
      <c r="Q7" s="63">
        <f t="shared" si="3"/>
        <v>599.05253718425104</v>
      </c>
      <c r="R7" s="46">
        <v>42.925874957756001</v>
      </c>
      <c r="S7" s="49">
        <v>10.490816266756788</v>
      </c>
      <c r="T7" s="46">
        <v>5.0577807817956524</v>
      </c>
      <c r="U7" s="46">
        <v>18.436426720738989</v>
      </c>
      <c r="V7" s="73">
        <v>13.50569385337133</v>
      </c>
      <c r="W7" s="48">
        <v>5.1776912373504098</v>
      </c>
      <c r="X7" s="48">
        <v>8.9056289282427041</v>
      </c>
      <c r="Y7" s="48">
        <v>32.72705950083661</v>
      </c>
      <c r="Z7" s="48">
        <v>31.024446410865952</v>
      </c>
      <c r="AA7" s="48">
        <v>36.248494088297448</v>
      </c>
    </row>
    <row r="8" spans="1:27" x14ac:dyDescent="0.2">
      <c r="A8" s="44">
        <v>3</v>
      </c>
      <c r="B8" s="75" t="s">
        <v>77</v>
      </c>
      <c r="C8" s="75">
        <v>110160</v>
      </c>
      <c r="D8" s="8">
        <v>7.09</v>
      </c>
      <c r="E8" s="8">
        <v>0.18490000000000001</v>
      </c>
      <c r="F8" s="45">
        <v>0.90597227159616078</v>
      </c>
      <c r="G8" s="44" t="s">
        <v>31</v>
      </c>
      <c r="H8" s="74">
        <v>189.17795868515051</v>
      </c>
      <c r="I8" s="47">
        <v>37845.050634964362</v>
      </c>
      <c r="J8" s="74">
        <v>2.9025389566090696</v>
      </c>
      <c r="K8" s="47">
        <v>352.65848322800196</v>
      </c>
      <c r="L8" s="74">
        <v>7.3367653850757408</v>
      </c>
      <c r="M8" s="47">
        <f t="shared" si="0"/>
        <v>2868.6752655646151</v>
      </c>
      <c r="N8" s="49">
        <v>12.240430974890863</v>
      </c>
      <c r="O8" s="47">
        <f t="shared" si="1"/>
        <v>2812.8510380299203</v>
      </c>
      <c r="P8" s="72">
        <f t="shared" si="2"/>
        <v>1.2490219508815155</v>
      </c>
      <c r="Q8" s="67">
        <f t="shared" si="3"/>
        <v>211.65769400172618</v>
      </c>
      <c r="R8" s="49">
        <v>100.27679968608986</v>
      </c>
      <c r="S8" s="74">
        <v>0.93159584069060219</v>
      </c>
      <c r="T8" s="74">
        <v>3.5321169315283498</v>
      </c>
      <c r="U8" s="49">
        <v>32.495475770060821</v>
      </c>
      <c r="V8" s="73">
        <v>4.7947222300343322</v>
      </c>
      <c r="W8" s="73">
        <v>3.6721078908644529</v>
      </c>
      <c r="X8" s="73">
        <v>6.3160255722868586</v>
      </c>
      <c r="Y8" s="76">
        <v>43.02329310400183</v>
      </c>
      <c r="Z8" s="76">
        <v>29.717682020801711</v>
      </c>
      <c r="AA8" s="76">
        <v>27.259024875196452</v>
      </c>
    </row>
    <row r="9" spans="1:27" x14ac:dyDescent="0.2">
      <c r="A9" s="44">
        <v>4</v>
      </c>
      <c r="B9" s="75" t="s">
        <v>77</v>
      </c>
      <c r="C9" s="75">
        <v>110160</v>
      </c>
      <c r="D9" s="8">
        <v>7.12</v>
      </c>
      <c r="E9" s="8">
        <v>0.22800000000000001</v>
      </c>
      <c r="F9" s="45">
        <v>0.89037982902283297</v>
      </c>
      <c r="G9" s="44" t="s">
        <v>31</v>
      </c>
      <c r="H9" s="74">
        <v>184.35744978116392</v>
      </c>
      <c r="I9" s="47">
        <v>36880.707828721846</v>
      </c>
      <c r="J9" s="74">
        <v>3.0463902890239365</v>
      </c>
      <c r="K9" s="47">
        <v>370.13642011640826</v>
      </c>
      <c r="L9" s="74">
        <v>6.6969880584806463</v>
      </c>
      <c r="M9" s="47">
        <f t="shared" si="0"/>
        <v>2618.5223308659329</v>
      </c>
      <c r="N9" s="49">
        <v>8.2228567461498301</v>
      </c>
      <c r="O9" s="47">
        <f t="shared" si="1"/>
        <v>1889.6124802652309</v>
      </c>
      <c r="P9" s="72">
        <f t="shared" si="2"/>
        <v>0.84947084771669901</v>
      </c>
      <c r="Q9" s="67">
        <f t="shared" si="3"/>
        <v>202.32368487481833</v>
      </c>
      <c r="R9" s="49">
        <v>77.36024307243558</v>
      </c>
      <c r="S9" s="74">
        <v>1.3926640738940204</v>
      </c>
      <c r="T9" s="74">
        <v>3.7736703937773459</v>
      </c>
      <c r="U9" s="49">
        <v>19.048050559066603</v>
      </c>
      <c r="V9" s="73">
        <v>7.9876558488763578</v>
      </c>
      <c r="W9" s="73">
        <v>7.1867260232895207</v>
      </c>
      <c r="X9" s="73">
        <v>12.361168760057975</v>
      </c>
      <c r="Y9" s="76">
        <v>45.225983491871055</v>
      </c>
      <c r="Z9" s="76">
        <v>27.441239953577227</v>
      </c>
      <c r="AA9" s="76">
        <v>27.332776554551714</v>
      </c>
    </row>
    <row r="10" spans="1:27" x14ac:dyDescent="0.2">
      <c r="A10" s="7">
        <v>13</v>
      </c>
      <c r="B10" s="7" t="s">
        <v>77</v>
      </c>
      <c r="C10" s="7">
        <v>110397</v>
      </c>
      <c r="D10" s="8">
        <v>7.29</v>
      </c>
      <c r="E10" s="8">
        <v>0.35199999999999998</v>
      </c>
      <c r="F10" s="45">
        <v>0.921677459142769</v>
      </c>
      <c r="G10" s="32">
        <v>24.5</v>
      </c>
      <c r="H10" s="49">
        <v>534.957989335305</v>
      </c>
      <c r="I10" s="64">
        <v>107018.34576652777</v>
      </c>
      <c r="J10" s="46">
        <v>4.0999148909947634</v>
      </c>
      <c r="K10" s="47">
        <v>498.13965925586376</v>
      </c>
      <c r="L10" s="46">
        <v>4.2746108221722769</v>
      </c>
      <c r="M10" s="47">
        <f t="shared" si="0"/>
        <v>1671.3728314693603</v>
      </c>
      <c r="N10" s="46">
        <v>8.9497555370244708</v>
      </c>
      <c r="O10" s="47">
        <f t="shared" si="1"/>
        <v>2056.6538224082233</v>
      </c>
      <c r="P10" s="66">
        <f t="shared" si="2"/>
        <v>0.54514051646741202</v>
      </c>
      <c r="Q10" s="63">
        <f t="shared" si="3"/>
        <v>552.28227058549646</v>
      </c>
      <c r="R10" s="49">
        <v>70.254511876881907</v>
      </c>
      <c r="S10" s="49">
        <v>2.8643425894948149</v>
      </c>
      <c r="T10" s="46">
        <v>11.283773837403814</v>
      </c>
      <c r="U10" s="46">
        <v>29.511408497825361</v>
      </c>
      <c r="V10" s="48">
        <v>21.127734673649492</v>
      </c>
      <c r="W10" s="48">
        <v>6.3127908504741885</v>
      </c>
      <c r="X10" s="48">
        <v>10.858000262815604</v>
      </c>
      <c r="Y10" s="48">
        <v>23.533572182219004</v>
      </c>
      <c r="Z10" s="48">
        <v>20.69637204772626</v>
      </c>
      <c r="AA10" s="48">
        <v>55.770055770054725</v>
      </c>
    </row>
    <row r="11" spans="1:27" x14ac:dyDescent="0.2">
      <c r="A11" s="7">
        <v>30</v>
      </c>
      <c r="B11" s="7" t="s">
        <v>77</v>
      </c>
      <c r="C11" s="7">
        <v>110397</v>
      </c>
      <c r="D11" s="8">
        <v>7.29</v>
      </c>
      <c r="E11" s="8">
        <v>0.36499999999999999</v>
      </c>
      <c r="F11" s="45">
        <v>0.86990329977071068</v>
      </c>
      <c r="G11" s="32">
        <v>54</v>
      </c>
      <c r="H11" s="49">
        <v>543.35299586371718</v>
      </c>
      <c r="I11" s="64">
        <v>108697.76682253662</v>
      </c>
      <c r="J11" s="46">
        <v>3.792214801322269</v>
      </c>
      <c r="K11" s="47">
        <v>460.75409836065569</v>
      </c>
      <c r="L11" s="46">
        <v>5.2260196210836929</v>
      </c>
      <c r="M11" s="47">
        <f t="shared" si="0"/>
        <v>2043.373671843724</v>
      </c>
      <c r="N11" s="46">
        <v>8.3436979264652393</v>
      </c>
      <c r="O11" s="47">
        <f t="shared" si="1"/>
        <v>1917.3817835017121</v>
      </c>
      <c r="P11" s="66">
        <f t="shared" si="2"/>
        <v>0.50445481231075973</v>
      </c>
      <c r="Q11" s="63">
        <f t="shared" si="3"/>
        <v>560.71492821258835</v>
      </c>
      <c r="R11" s="49">
        <v>82.289606234242513</v>
      </c>
      <c r="S11" s="49">
        <v>1.949641989456796</v>
      </c>
      <c r="T11" s="46">
        <v>11.771423332569334</v>
      </c>
      <c r="U11" s="46">
        <v>25.382131560852624</v>
      </c>
      <c r="V11" s="48">
        <v>22.458631303166104</v>
      </c>
      <c r="W11" s="48">
        <v>7.2123312732094007</v>
      </c>
      <c r="X11" s="48">
        <v>12.405209789920169</v>
      </c>
      <c r="Y11" s="48">
        <v>18.532045884502953</v>
      </c>
      <c r="Z11" s="48">
        <v>20.886415081958138</v>
      </c>
      <c r="AA11" s="48">
        <v>60.581539033538903</v>
      </c>
    </row>
    <row r="12" spans="1:27" x14ac:dyDescent="0.2">
      <c r="A12" s="7">
        <v>14</v>
      </c>
      <c r="B12" s="7" t="s">
        <v>76</v>
      </c>
      <c r="C12" s="7">
        <v>140897</v>
      </c>
      <c r="D12" s="8">
        <v>6.07</v>
      </c>
      <c r="E12" s="8">
        <v>2.3699999999999999E-2</v>
      </c>
      <c r="F12" s="45">
        <v>0.98287900526064087</v>
      </c>
      <c r="G12" s="7" t="s">
        <v>31</v>
      </c>
      <c r="H12" s="46">
        <v>38.784294960898627</v>
      </c>
      <c r="I12" s="47">
        <v>7758.7982069277696</v>
      </c>
      <c r="J12" s="46">
        <v>3.1047956590234427</v>
      </c>
      <c r="K12" s="47">
        <v>377.2326725713483</v>
      </c>
      <c r="L12" s="46">
        <v>1.9367596984696107</v>
      </c>
      <c r="M12" s="47">
        <f t="shared" si="0"/>
        <v>757.27304210161776</v>
      </c>
      <c r="N12" s="49">
        <v>9.4273070585213397</v>
      </c>
      <c r="O12" s="47">
        <f t="shared" si="1"/>
        <v>2166.3951620482039</v>
      </c>
      <c r="P12" s="66">
        <f t="shared" si="2"/>
        <v>2.0599286811988025</v>
      </c>
      <c r="Q12" s="62">
        <f t="shared" si="3"/>
        <v>53.253157376913023</v>
      </c>
      <c r="R12" s="49">
        <v>24.515733748540292</v>
      </c>
      <c r="S12" s="49">
        <v>5.2905799922148701E-2</v>
      </c>
      <c r="T12" s="49">
        <v>1.6278707668353445</v>
      </c>
      <c r="U12" s="49">
        <v>31.092331646555078</v>
      </c>
      <c r="V12" s="73">
        <v>22.88851590039776</v>
      </c>
      <c r="W12" s="48">
        <v>1.1084220377396927</v>
      </c>
      <c r="X12" s="48">
        <v>1.9064859049122715</v>
      </c>
      <c r="Y12" s="48">
        <v>7.7370816433947329</v>
      </c>
      <c r="Z12" s="48">
        <v>20.434069166228021</v>
      </c>
      <c r="AA12" s="48">
        <v>71.828849190377241</v>
      </c>
    </row>
    <row r="13" spans="1:27" x14ac:dyDescent="0.2">
      <c r="A13" s="7">
        <v>37</v>
      </c>
      <c r="B13" s="7" t="s">
        <v>76</v>
      </c>
      <c r="C13" s="7">
        <v>140897</v>
      </c>
      <c r="D13" s="8">
        <v>5.74</v>
      </c>
      <c r="E13" s="8">
        <v>2.6499999999999999E-2</v>
      </c>
      <c r="F13" s="45">
        <v>0.98259428097803569</v>
      </c>
      <c r="G13" s="7" t="s">
        <v>31</v>
      </c>
      <c r="H13" s="46">
        <v>35.089515808756445</v>
      </c>
      <c r="I13" s="47">
        <v>7019.6576375417262</v>
      </c>
      <c r="J13" s="46">
        <v>2.9587500220258325</v>
      </c>
      <c r="K13" s="47">
        <v>359.48812767613867</v>
      </c>
      <c r="L13" s="46">
        <v>1.8299444941643201</v>
      </c>
      <c r="M13" s="47">
        <f t="shared" si="0"/>
        <v>715.50829721824925</v>
      </c>
      <c r="N13" s="49">
        <v>12.925559082674727</v>
      </c>
      <c r="O13" s="47">
        <f t="shared" si="1"/>
        <v>2970.2934771986525</v>
      </c>
      <c r="P13" s="66">
        <f t="shared" si="2"/>
        <v>2.9634452048088784</v>
      </c>
      <c r="Q13" s="62">
        <f t="shared" si="3"/>
        <v>52.803769407621324</v>
      </c>
      <c r="R13" s="49">
        <v>43.167358920286787</v>
      </c>
      <c r="S13" s="49">
        <v>0.11398397300716996</v>
      </c>
      <c r="T13" s="49">
        <v>2.4425137072964991</v>
      </c>
      <c r="U13" s="49">
        <v>39.731556305356385</v>
      </c>
      <c r="V13" s="73">
        <v>10.727021663529301</v>
      </c>
      <c r="W13" s="48">
        <v>1.1188526225570679</v>
      </c>
      <c r="X13" s="48">
        <v>1.9244265107981566</v>
      </c>
      <c r="Y13" s="48">
        <v>5.9188234445956143</v>
      </c>
      <c r="Z13" s="48">
        <v>20.958423020279362</v>
      </c>
      <c r="AA13" s="48">
        <v>73.122753535125014</v>
      </c>
    </row>
    <row r="14" spans="1:27" x14ac:dyDescent="0.2">
      <c r="A14" s="7">
        <v>40</v>
      </c>
      <c r="B14" s="7" t="s">
        <v>76</v>
      </c>
      <c r="C14" s="7">
        <v>140933</v>
      </c>
      <c r="D14" s="8">
        <v>6.41</v>
      </c>
      <c r="E14" s="8">
        <v>3.27E-2</v>
      </c>
      <c r="F14" s="45">
        <v>0.97949218750000011</v>
      </c>
      <c r="G14" s="7" t="s">
        <v>31</v>
      </c>
      <c r="H14" s="46">
        <v>31.978832216334173</v>
      </c>
      <c r="I14" s="47">
        <v>6397.3653848776503</v>
      </c>
      <c r="J14" s="46">
        <v>6.4141184129367712</v>
      </c>
      <c r="K14" s="47">
        <v>779.31538717181763</v>
      </c>
      <c r="L14" s="46">
        <v>2.2478421068118872</v>
      </c>
      <c r="M14" s="47">
        <f t="shared" si="0"/>
        <v>878.90626376344801</v>
      </c>
      <c r="N14" s="49">
        <v>16.840006756300749</v>
      </c>
      <c r="O14" s="47">
        <f t="shared" si="1"/>
        <v>3869.8335525979119</v>
      </c>
      <c r="P14" s="72">
        <f t="shared" si="2"/>
        <v>3.8435409634850872</v>
      </c>
      <c r="Q14" s="62">
        <f t="shared" si="3"/>
        <v>57.480799492383582</v>
      </c>
      <c r="R14" s="46">
        <v>61.5992662013958</v>
      </c>
      <c r="S14" s="46">
        <v>0.61256231306081743</v>
      </c>
      <c r="T14" s="46">
        <v>2.4502492522432697</v>
      </c>
      <c r="U14" s="46">
        <v>50.801834496510459</v>
      </c>
      <c r="V14" s="73">
        <v>5.6087608207974045</v>
      </c>
      <c r="W14" s="48">
        <v>1.2677539370517421</v>
      </c>
      <c r="X14" s="48">
        <v>2.1805367717289963</v>
      </c>
      <c r="Y14" s="48">
        <v>7.6774575233277202</v>
      </c>
      <c r="Z14" s="48">
        <v>24.546690607905287</v>
      </c>
      <c r="AA14" s="48">
        <v>67.775851868766992</v>
      </c>
    </row>
    <row r="15" spans="1:27" x14ac:dyDescent="0.2">
      <c r="A15" s="7">
        <v>55</v>
      </c>
      <c r="B15" s="7" t="s">
        <v>76</v>
      </c>
      <c r="C15" s="7">
        <v>140933</v>
      </c>
      <c r="D15" s="8">
        <v>5.76</v>
      </c>
      <c r="E15" s="8">
        <v>3.3700000000000001E-2</v>
      </c>
      <c r="F15" s="45">
        <v>0.97991667556884932</v>
      </c>
      <c r="G15" s="7" t="s">
        <v>31</v>
      </c>
      <c r="H15" s="46">
        <v>35.335648700063743</v>
      </c>
      <c r="I15" s="47">
        <v>7068.8965224477506</v>
      </c>
      <c r="J15" s="46">
        <v>6.0585762145331099</v>
      </c>
      <c r="K15" s="47">
        <v>736.11701006577289</v>
      </c>
      <c r="L15" s="46">
        <v>2.0015655110821728</v>
      </c>
      <c r="M15" s="47">
        <f t="shared" si="0"/>
        <v>782.61211483312968</v>
      </c>
      <c r="N15" s="49">
        <v>11.959285085503627</v>
      </c>
      <c r="O15" s="47">
        <f t="shared" si="1"/>
        <v>2748.243712648733</v>
      </c>
      <c r="P15" s="72">
        <f t="shared" si="2"/>
        <v>2.628756375723484</v>
      </c>
      <c r="Q15" s="62">
        <f t="shared" si="3"/>
        <v>55.355075511182655</v>
      </c>
      <c r="R15" s="46">
        <v>60.347988226316374</v>
      </c>
      <c r="S15" s="46">
        <v>0.63678883680366305</v>
      </c>
      <c r="T15" s="46">
        <v>2.7757462117082752</v>
      </c>
      <c r="U15" s="46">
        <v>48.167360732584768</v>
      </c>
      <c r="V15" s="73">
        <v>9.0126745949959535</v>
      </c>
      <c r="W15" s="48">
        <v>1.3132350379100366</v>
      </c>
      <c r="X15" s="48">
        <v>2.2587642652052629</v>
      </c>
      <c r="Y15" s="48">
        <v>5.6741356500720954</v>
      </c>
      <c r="Z15" s="48">
        <v>26.407075221100364</v>
      </c>
      <c r="AA15" s="48">
        <v>67.918789128827541</v>
      </c>
    </row>
    <row r="16" spans="1:27" x14ac:dyDescent="0.2">
      <c r="A16" s="7">
        <v>1</v>
      </c>
      <c r="B16" s="7" t="s">
        <v>76</v>
      </c>
      <c r="C16" s="7">
        <v>141353</v>
      </c>
      <c r="D16" s="8">
        <v>7.35</v>
      </c>
      <c r="E16" s="8">
        <v>0.1231</v>
      </c>
      <c r="F16" s="45">
        <v>0.93171548117154823</v>
      </c>
      <c r="G16" s="7" t="s">
        <v>31</v>
      </c>
      <c r="H16" s="46">
        <v>110.66384703543088</v>
      </c>
      <c r="I16" s="47">
        <v>22138.30259943795</v>
      </c>
      <c r="J16" s="46">
        <v>1.4223839854413101</v>
      </c>
      <c r="K16" s="47">
        <v>172.81965423111916</v>
      </c>
      <c r="L16" s="74">
        <v>3.3136426754837771</v>
      </c>
      <c r="M16" s="47">
        <f t="shared" si="0"/>
        <v>1295.634286114157</v>
      </c>
      <c r="N16" s="46">
        <v>9.9324814629806095</v>
      </c>
      <c r="O16" s="47">
        <f t="shared" si="1"/>
        <v>2282.4842401929441</v>
      </c>
      <c r="P16" s="66">
        <f t="shared" si="2"/>
        <v>1.3267730093819325</v>
      </c>
      <c r="Q16" s="62">
        <f t="shared" si="3"/>
        <v>125.33235515933657</v>
      </c>
      <c r="R16" s="49">
        <v>68.39856296030176</v>
      </c>
      <c r="S16" s="49">
        <v>2.2496137955811024</v>
      </c>
      <c r="T16" s="49">
        <v>4.293156098437219</v>
      </c>
      <c r="U16" s="49">
        <v>29.021735225435595</v>
      </c>
      <c r="V16" s="73">
        <v>10.570039645019461</v>
      </c>
      <c r="W16" s="48">
        <v>1.7185740020940901</v>
      </c>
      <c r="X16" s="48">
        <v>2.955947283601835</v>
      </c>
      <c r="Y16" s="48">
        <v>18.685102942875677</v>
      </c>
      <c r="Z16" s="48">
        <v>21.470492508950379</v>
      </c>
      <c r="AA16" s="48">
        <v>59.844404548173948</v>
      </c>
    </row>
    <row r="17" spans="1:27" x14ac:dyDescent="0.2">
      <c r="A17" s="7">
        <v>6</v>
      </c>
      <c r="B17" s="7" t="s">
        <v>76</v>
      </c>
      <c r="C17" s="7">
        <v>141353</v>
      </c>
      <c r="D17" s="8">
        <v>7.04</v>
      </c>
      <c r="E17" s="8">
        <v>0.13900000000000001</v>
      </c>
      <c r="F17" s="45">
        <v>0.93739338109860126</v>
      </c>
      <c r="G17" s="7" t="s">
        <v>31</v>
      </c>
      <c r="H17" s="46">
        <v>116.32270286626532</v>
      </c>
      <c r="I17" s="47">
        <v>23270.356708396375</v>
      </c>
      <c r="J17" s="46">
        <v>1.7843982137537409</v>
      </c>
      <c r="K17" s="47">
        <v>216.80438297107952</v>
      </c>
      <c r="L17" s="74">
        <v>2.387750677309421</v>
      </c>
      <c r="M17" s="47">
        <f t="shared" si="0"/>
        <v>933.61051482798359</v>
      </c>
      <c r="N17" s="46">
        <v>9.2136927715399448</v>
      </c>
      <c r="O17" s="47">
        <f t="shared" si="1"/>
        <v>2117.3065988998796</v>
      </c>
      <c r="P17" s="66">
        <f t="shared" si="2"/>
        <v>1.1989766341070267</v>
      </c>
      <c r="Q17" s="62">
        <f t="shared" si="3"/>
        <v>129.70854452886843</v>
      </c>
      <c r="R17" s="49">
        <v>54.926779981801623</v>
      </c>
      <c r="S17" s="49">
        <v>0.66994285714285706</v>
      </c>
      <c r="T17" s="49">
        <v>2.389605095541401</v>
      </c>
      <c r="U17" s="49">
        <v>23.213306642402181</v>
      </c>
      <c r="V17" s="73">
        <v>2.2715709610004962</v>
      </c>
      <c r="W17" s="48">
        <v>1.2090068386423558</v>
      </c>
      <c r="X17" s="48">
        <v>2.0794917624648521</v>
      </c>
      <c r="Y17" s="48">
        <v>12.813696635971855</v>
      </c>
      <c r="Z17" s="48">
        <v>20.728504066579895</v>
      </c>
      <c r="AA17" s="48">
        <v>66.457799297448233</v>
      </c>
    </row>
    <row r="18" spans="1:27" x14ac:dyDescent="0.2">
      <c r="A18" s="7">
        <v>7</v>
      </c>
      <c r="B18" s="7" t="s">
        <v>76</v>
      </c>
      <c r="C18" s="7">
        <v>141364</v>
      </c>
      <c r="D18" s="8">
        <v>6.27</v>
      </c>
      <c r="E18" s="8">
        <v>8.2200000000000009E-2</v>
      </c>
      <c r="F18" s="45">
        <v>0.97864016072750348</v>
      </c>
      <c r="G18" s="7" t="s">
        <v>31</v>
      </c>
      <c r="H18" s="46">
        <v>59.536623255934543</v>
      </c>
      <c r="I18" s="47">
        <v>11910.301482349705</v>
      </c>
      <c r="J18" s="46">
        <v>2.7057286962610347</v>
      </c>
      <c r="K18" s="47">
        <v>328.74603659571574</v>
      </c>
      <c r="L18" s="46">
        <v>2.7044685976552501</v>
      </c>
      <c r="M18" s="47">
        <f t="shared" si="0"/>
        <v>1057.4472216832028</v>
      </c>
      <c r="N18" s="49">
        <v>8.6892711946086241</v>
      </c>
      <c r="O18" s="47">
        <f t="shared" si="1"/>
        <v>1996.7945205210617</v>
      </c>
      <c r="P18" s="66">
        <f t="shared" si="2"/>
        <v>1.5575978972961464</v>
      </c>
      <c r="Q18" s="62">
        <f t="shared" si="3"/>
        <v>73.636091744459449</v>
      </c>
      <c r="R18" s="49">
        <v>104.5368911939492</v>
      </c>
      <c r="S18" s="49">
        <v>3.4047243652079953</v>
      </c>
      <c r="T18" s="49">
        <v>3.5968276607239331</v>
      </c>
      <c r="U18" s="49">
        <v>32.698433279308482</v>
      </c>
      <c r="V18" s="73">
        <v>5.2981484451442959</v>
      </c>
      <c r="W18" s="48">
        <v>2.4505997445099621</v>
      </c>
      <c r="X18" s="48">
        <v>4.2150315605571347</v>
      </c>
      <c r="Y18" s="48">
        <v>9.1699629892778471</v>
      </c>
      <c r="Z18" s="48">
        <v>24.762187556338674</v>
      </c>
      <c r="AA18" s="48">
        <v>66.067849454383477</v>
      </c>
    </row>
    <row r="19" spans="1:27" x14ac:dyDescent="0.2">
      <c r="A19" s="7">
        <v>21</v>
      </c>
      <c r="B19" s="7" t="s">
        <v>76</v>
      </c>
      <c r="C19" s="7">
        <v>141364</v>
      </c>
      <c r="D19" s="8">
        <v>6.45</v>
      </c>
      <c r="E19" s="8">
        <v>0.10979999999999999</v>
      </c>
      <c r="F19" s="45">
        <v>0.9815073970411835</v>
      </c>
      <c r="G19" s="7" t="s">
        <v>31</v>
      </c>
      <c r="H19" s="46">
        <v>57.605542029456345</v>
      </c>
      <c r="I19" s="47">
        <v>11523.988682992742</v>
      </c>
      <c r="J19" s="46">
        <v>1.7661190814441308</v>
      </c>
      <c r="K19" s="47">
        <v>214.58346839546186</v>
      </c>
      <c r="L19" s="46">
        <v>2.2524668224742785</v>
      </c>
      <c r="M19" s="47">
        <f t="shared" si="0"/>
        <v>880.71452758744294</v>
      </c>
      <c r="N19" s="49">
        <v>10.230143672005468</v>
      </c>
      <c r="O19" s="47">
        <f t="shared" si="1"/>
        <v>2350.8870158268569</v>
      </c>
      <c r="P19" s="66">
        <f t="shared" si="2"/>
        <v>1.8776175281322507</v>
      </c>
      <c r="Q19" s="62">
        <f t="shared" si="3"/>
        <v>71.85427160538022</v>
      </c>
      <c r="R19" s="49">
        <v>60.967446786841855</v>
      </c>
      <c r="S19" s="49">
        <v>4.5155034117527251</v>
      </c>
      <c r="T19" s="49">
        <v>4.4013932172318979</v>
      </c>
      <c r="U19" s="49">
        <v>20.050791322945312</v>
      </c>
      <c r="V19" s="73">
        <v>2.8854015106177018</v>
      </c>
      <c r="W19" s="48">
        <v>2.2399001326466919</v>
      </c>
      <c r="X19" s="48">
        <v>3.8526282281523101</v>
      </c>
      <c r="Y19" s="48">
        <v>8.778164612541369</v>
      </c>
      <c r="Z19" s="48">
        <v>20.76510635659816</v>
      </c>
      <c r="AA19" s="48">
        <v>70.456729030860487</v>
      </c>
    </row>
    <row r="20" spans="1:27" x14ac:dyDescent="0.2">
      <c r="A20" s="7">
        <v>20</v>
      </c>
      <c r="B20" s="7" t="s">
        <v>76</v>
      </c>
      <c r="C20" s="7">
        <v>141372</v>
      </c>
      <c r="D20" s="8">
        <v>6.53</v>
      </c>
      <c r="E20" s="8">
        <v>8.6300000000000002E-2</v>
      </c>
      <c r="F20" s="45">
        <v>0.9779945799457993</v>
      </c>
      <c r="G20" s="7" t="s">
        <v>31</v>
      </c>
      <c r="H20" s="49">
        <v>50.660921684949763</v>
      </c>
      <c r="I20" s="47">
        <v>10134.717383074199</v>
      </c>
      <c r="J20" s="46">
        <v>3.2520446207052265</v>
      </c>
      <c r="K20" s="47">
        <v>395.12342141568502</v>
      </c>
      <c r="L20" s="46">
        <v>2.3149097463277788</v>
      </c>
      <c r="M20" s="47">
        <f t="shared" si="0"/>
        <v>905.12971081416151</v>
      </c>
      <c r="N20" s="49">
        <v>9.4966111194588922</v>
      </c>
      <c r="O20" s="47">
        <f t="shared" si="1"/>
        <v>2182.3212352516534</v>
      </c>
      <c r="P20" s="72">
        <f t="shared" si="2"/>
        <v>1.8290982673990741</v>
      </c>
      <c r="Q20" s="62">
        <f t="shared" si="3"/>
        <v>65.724487171441666</v>
      </c>
      <c r="R20" s="49">
        <v>52.09026823320773</v>
      </c>
      <c r="S20" s="49">
        <v>8.5890046552870771</v>
      </c>
      <c r="T20" s="46">
        <v>4.2536023054755052</v>
      </c>
      <c r="U20" s="49">
        <v>19.304810463311906</v>
      </c>
      <c r="V20" s="73">
        <v>3.8211040487726309</v>
      </c>
      <c r="W20" s="48">
        <v>2.5956885923553594</v>
      </c>
      <c r="X20" s="48">
        <v>4.4645843788512183</v>
      </c>
      <c r="Y20" s="48">
        <v>9.2760109017245131</v>
      </c>
      <c r="Z20" s="48">
        <v>23.383564694529333</v>
      </c>
      <c r="AA20" s="48">
        <v>67.340424403746155</v>
      </c>
    </row>
    <row r="21" spans="1:27" x14ac:dyDescent="0.2">
      <c r="A21" s="7">
        <v>39</v>
      </c>
      <c r="B21" s="7" t="s">
        <v>76</v>
      </c>
      <c r="C21" s="7">
        <v>141372</v>
      </c>
      <c r="D21" s="8">
        <v>6.77</v>
      </c>
      <c r="E21" s="8">
        <v>0.1176</v>
      </c>
      <c r="F21" s="45">
        <v>0.98197165485618998</v>
      </c>
      <c r="G21" s="7" t="s">
        <v>31</v>
      </c>
      <c r="H21" s="49">
        <v>76.005543863917424</v>
      </c>
      <c r="I21" s="47">
        <v>15204.909049976679</v>
      </c>
      <c r="J21" s="46">
        <v>3.3886986816861944</v>
      </c>
      <c r="K21" s="47">
        <v>411.72688982487267</v>
      </c>
      <c r="L21" s="46">
        <v>2.5013015146678201</v>
      </c>
      <c r="M21" s="47">
        <f t="shared" si="0"/>
        <v>978.00889223511774</v>
      </c>
      <c r="N21" s="49">
        <v>14.783376491540217</v>
      </c>
      <c r="O21" s="47">
        <f t="shared" si="1"/>
        <v>3397.2199177559419</v>
      </c>
      <c r="P21" s="72">
        <f t="shared" si="2"/>
        <v>2.3463572120563891</v>
      </c>
      <c r="Q21" s="62">
        <f t="shared" si="3"/>
        <v>96.678920551811657</v>
      </c>
      <c r="R21" s="49">
        <v>78.438109307014756</v>
      </c>
      <c r="S21" s="49">
        <v>3.4053936113764194</v>
      </c>
      <c r="T21" s="46">
        <v>4.2363748275496134</v>
      </c>
      <c r="U21" s="49">
        <v>12.383249495914253</v>
      </c>
      <c r="V21" s="73">
        <v>5.7680746936016858</v>
      </c>
      <c r="W21" s="48">
        <v>2.9949569100229048</v>
      </c>
      <c r="X21" s="48">
        <v>5.1513258852393964</v>
      </c>
      <c r="Y21" s="48">
        <v>10.858825863996191</v>
      </c>
      <c r="Z21" s="48">
        <v>21.149487712409268</v>
      </c>
      <c r="AA21" s="48">
        <v>67.991686423594544</v>
      </c>
    </row>
    <row r="22" spans="1:27" x14ac:dyDescent="0.2">
      <c r="A22" s="7">
        <v>16</v>
      </c>
      <c r="B22" s="7" t="s">
        <v>78</v>
      </c>
      <c r="C22" s="7">
        <v>272850</v>
      </c>
      <c r="D22" s="8">
        <v>3.87</v>
      </c>
      <c r="E22" s="8">
        <v>4.1700000000000001E-2</v>
      </c>
      <c r="F22" s="45">
        <v>0.97645342779745792</v>
      </c>
      <c r="G22" s="7" t="s">
        <v>31</v>
      </c>
      <c r="H22" s="46">
        <v>4.1785388581058305</v>
      </c>
      <c r="I22" s="47">
        <v>835.91669856407134</v>
      </c>
      <c r="J22" s="46">
        <v>0.93280102947986798</v>
      </c>
      <c r="K22" s="47">
        <v>113.33532508180396</v>
      </c>
      <c r="L22" s="46">
        <v>1.3257541824680767</v>
      </c>
      <c r="M22" s="47">
        <f t="shared" si="0"/>
        <v>518.36988534501802</v>
      </c>
      <c r="N22" s="49">
        <v>7.5101543244489566</v>
      </c>
      <c r="O22" s="47">
        <f t="shared" si="1"/>
        <v>1725.8334637583703</v>
      </c>
      <c r="P22" s="72">
        <f t="shared" si="2"/>
        <v>4.6978211478176206</v>
      </c>
      <c r="Q22" s="62">
        <f t="shared" si="3"/>
        <v>13.947248394502733</v>
      </c>
      <c r="R22" s="49">
        <v>9.1596790439607343</v>
      </c>
      <c r="S22" s="49">
        <v>2.4414886897140415</v>
      </c>
      <c r="T22" s="49">
        <v>2.4578745198463503</v>
      </c>
      <c r="U22" s="49">
        <v>251.68635083226627</v>
      </c>
      <c r="V22" s="73">
        <v>22.995520307663991</v>
      </c>
      <c r="W22" s="48">
        <v>3.4828311654121835</v>
      </c>
      <c r="X22" s="48">
        <v>5.9904696045089558</v>
      </c>
      <c r="Y22" s="48">
        <v>2.8445622528680965</v>
      </c>
      <c r="Z22" s="48">
        <v>22.235122731304312</v>
      </c>
      <c r="AA22" s="48">
        <v>74.920315015827583</v>
      </c>
    </row>
    <row r="23" spans="1:27" x14ac:dyDescent="0.2">
      <c r="A23" s="7">
        <v>35</v>
      </c>
      <c r="B23" s="7" t="s">
        <v>78</v>
      </c>
      <c r="C23" s="7">
        <v>272850</v>
      </c>
      <c r="D23" s="8">
        <v>4.1500000000000004</v>
      </c>
      <c r="E23" s="8">
        <v>4.9500000000000002E-2</v>
      </c>
      <c r="F23" s="45">
        <v>0.9332172487964765</v>
      </c>
      <c r="G23" s="7" t="s">
        <v>31</v>
      </c>
      <c r="H23" s="46">
        <v>3.7142511947111632</v>
      </c>
      <c r="I23" s="47">
        <v>743.03595150196816</v>
      </c>
      <c r="J23" s="46">
        <v>1.0583326896940477</v>
      </c>
      <c r="K23" s="47">
        <v>128.58742179782681</v>
      </c>
      <c r="L23" s="46">
        <v>1.468880796133275</v>
      </c>
      <c r="M23" s="47">
        <f t="shared" si="0"/>
        <v>574.33239128811056</v>
      </c>
      <c r="N23" s="49">
        <v>11.056841815360995</v>
      </c>
      <c r="O23" s="47">
        <f t="shared" si="1"/>
        <v>2540.8622491699566</v>
      </c>
      <c r="P23" s="72">
        <f t="shared" si="2"/>
        <v>7.1576310615985159</v>
      </c>
      <c r="Q23" s="62">
        <f t="shared" si="3"/>
        <v>17.298306495899482</v>
      </c>
      <c r="R23" s="49">
        <v>23.488635715069698</v>
      </c>
      <c r="S23" s="49">
        <v>1.731643946877401</v>
      </c>
      <c r="T23" s="49">
        <v>3.2575480188782788</v>
      </c>
      <c r="U23" s="49">
        <v>241.40145318845353</v>
      </c>
      <c r="V23" s="73">
        <v>38.264716154763477</v>
      </c>
      <c r="W23" s="48">
        <v>3.1873304986706312</v>
      </c>
      <c r="X23" s="48">
        <v>5.4822084577134857</v>
      </c>
      <c r="Y23" s="48">
        <v>5.7022409585106386</v>
      </c>
      <c r="Z23" s="48">
        <v>17.591682779167332</v>
      </c>
      <c r="AA23" s="48">
        <v>76.706076262322028</v>
      </c>
    </row>
    <row r="24" spans="1:27" x14ac:dyDescent="0.2">
      <c r="A24" s="44">
        <v>8</v>
      </c>
      <c r="B24" s="75" t="s">
        <v>78</v>
      </c>
      <c r="C24" s="75">
        <v>272894</v>
      </c>
      <c r="D24" s="8">
        <v>4.6399999999999997</v>
      </c>
      <c r="E24" s="8">
        <v>9.6000000000000002E-2</v>
      </c>
      <c r="F24" s="45">
        <v>0.96699199473626496</v>
      </c>
      <c r="G24" s="44" t="s">
        <v>31</v>
      </c>
      <c r="H24" s="49">
        <v>24.452116774627747</v>
      </c>
      <c r="I24" s="47">
        <v>4891.6459607642801</v>
      </c>
      <c r="J24" s="49">
        <v>2.5136992204186406</v>
      </c>
      <c r="K24" s="47">
        <v>305.41445528086484</v>
      </c>
      <c r="L24" s="74">
        <v>1.9054543988873753</v>
      </c>
      <c r="M24" s="47">
        <f t="shared" si="0"/>
        <v>745.03266996496382</v>
      </c>
      <c r="N24" s="49">
        <v>9.7343120273858066</v>
      </c>
      <c r="O24" s="47">
        <f t="shared" si="1"/>
        <v>2236.9449038932585</v>
      </c>
      <c r="P24" s="72">
        <f t="shared" si="2"/>
        <v>2.6510228901167348</v>
      </c>
      <c r="Q24" s="62">
        <f t="shared" si="3"/>
        <v>38.605582421319568</v>
      </c>
      <c r="R24" s="49">
        <v>39.727319573599452</v>
      </c>
      <c r="S24" s="74">
        <v>3.9048927194375143</v>
      </c>
      <c r="T24" s="74">
        <v>1.820077114992062</v>
      </c>
      <c r="U24" s="49">
        <v>290.55049217509639</v>
      </c>
      <c r="V24" s="73">
        <v>28.96784342984936</v>
      </c>
      <c r="W24" s="73">
        <v>4.8317558401883627</v>
      </c>
      <c r="X24" s="73">
        <v>8.3106200451239829</v>
      </c>
      <c r="Y24" s="76">
        <v>3.6686487092911233</v>
      </c>
      <c r="Z24" s="76">
        <v>20.65336012320709</v>
      </c>
      <c r="AA24" s="76">
        <v>75.677991167501787</v>
      </c>
    </row>
    <row r="25" spans="1:27" x14ac:dyDescent="0.2">
      <c r="A25" s="44">
        <v>24</v>
      </c>
      <c r="B25" s="75" t="s">
        <v>78</v>
      </c>
      <c r="C25" s="75">
        <v>272894</v>
      </c>
      <c r="D25" s="8">
        <v>3.73</v>
      </c>
      <c r="E25" s="8">
        <v>0.121</v>
      </c>
      <c r="F25" s="45">
        <v>0.94946434368574839</v>
      </c>
      <c r="G25" s="44" t="s">
        <v>31</v>
      </c>
      <c r="H25" s="49">
        <v>14.37692642109692</v>
      </c>
      <c r="I25" s="47">
        <v>2876.1041305404387</v>
      </c>
      <c r="J25" s="49">
        <v>4.657885891193053</v>
      </c>
      <c r="K25" s="47">
        <v>565.93313577995593</v>
      </c>
      <c r="L25" s="74">
        <v>2.2473787769975742</v>
      </c>
      <c r="M25" s="47">
        <f t="shared" si="0"/>
        <v>878.7251018060515</v>
      </c>
      <c r="N25" s="49">
        <v>14.970573969427768</v>
      </c>
      <c r="O25" s="47">
        <f t="shared" si="1"/>
        <v>3440.237898174501</v>
      </c>
      <c r="P25" s="72">
        <f t="shared" si="2"/>
        <v>4.8526520234532136</v>
      </c>
      <c r="Q25" s="62">
        <f t="shared" si="3"/>
        <v>36.252765058715319</v>
      </c>
      <c r="R25" s="49">
        <v>9.5043063596991093</v>
      </c>
      <c r="S25" s="74">
        <v>4.5667855026213813</v>
      </c>
      <c r="T25" s="74">
        <v>2.0221928424891722</v>
      </c>
      <c r="U25" s="49">
        <v>569.24728516070206</v>
      </c>
      <c r="V25" s="73">
        <v>56.818588362683982</v>
      </c>
      <c r="W25" s="73">
        <v>7.7307081799612503</v>
      </c>
      <c r="X25" s="73">
        <v>13.29681806953335</v>
      </c>
      <c r="Y25" s="76">
        <v>2.6678205498014607</v>
      </c>
      <c r="Z25" s="76">
        <v>15.491949528298759</v>
      </c>
      <c r="AA25" s="76">
        <v>81.840229921899777</v>
      </c>
    </row>
    <row r="26" spans="1:27" x14ac:dyDescent="0.2">
      <c r="A26" s="7">
        <v>25</v>
      </c>
      <c r="B26" s="7" t="s">
        <v>82</v>
      </c>
      <c r="C26" s="7">
        <v>320550</v>
      </c>
      <c r="D26" s="8">
        <v>5.24</v>
      </c>
      <c r="E26" s="8">
        <v>4.1299999999999996E-2</v>
      </c>
      <c r="F26" s="45">
        <v>0.97861981371718887</v>
      </c>
      <c r="G26" s="7" t="s">
        <v>31</v>
      </c>
      <c r="H26" s="46">
        <v>24.336151577026946</v>
      </c>
      <c r="I26" s="47">
        <v>4868.4471229842402</v>
      </c>
      <c r="J26" s="46">
        <v>2.1249938059449276</v>
      </c>
      <c r="K26" s="47">
        <v>258.18674742230871</v>
      </c>
      <c r="L26" s="46">
        <v>1.9283669761861257</v>
      </c>
      <c r="M26" s="47">
        <f t="shared" si="0"/>
        <v>753.99148768877524</v>
      </c>
      <c r="N26" s="49">
        <v>7.1781343615776301</v>
      </c>
      <c r="O26" s="47">
        <f t="shared" si="1"/>
        <v>1649.5352762905395</v>
      </c>
      <c r="P26" s="66">
        <f t="shared" si="2"/>
        <v>1.9734324338273905</v>
      </c>
      <c r="Q26" s="62">
        <f t="shared" si="3"/>
        <v>35.567646720735631</v>
      </c>
      <c r="R26" s="46">
        <v>56.242474583603716</v>
      </c>
      <c r="S26" s="46">
        <v>0.17575773307376158</v>
      </c>
      <c r="T26" s="49">
        <v>2.2889379191001513</v>
      </c>
      <c r="U26" s="49">
        <v>74.717473502054943</v>
      </c>
      <c r="V26" s="73">
        <v>3.5901957671301314</v>
      </c>
      <c r="W26" s="73">
        <v>2.5253503498593268</v>
      </c>
      <c r="X26" s="73">
        <v>4.3436026017580422</v>
      </c>
      <c r="Y26" s="48">
        <v>3.2159329582975307</v>
      </c>
      <c r="Z26" s="48">
        <v>31.346638943715234</v>
      </c>
      <c r="AA26" s="48">
        <v>65.437428097987237</v>
      </c>
    </row>
    <row r="27" spans="1:27" x14ac:dyDescent="0.2">
      <c r="A27" s="7">
        <v>49</v>
      </c>
      <c r="B27" s="7" t="s">
        <v>82</v>
      </c>
      <c r="C27" s="7">
        <v>320550</v>
      </c>
      <c r="D27" s="8">
        <v>5.9</v>
      </c>
      <c r="E27" s="8">
        <v>4.1799999999999997E-2</v>
      </c>
      <c r="F27" s="45">
        <v>0.933187729574109</v>
      </c>
      <c r="G27" s="7" t="s">
        <v>31</v>
      </c>
      <c r="H27" s="46">
        <v>22.22895060571544</v>
      </c>
      <c r="I27" s="47">
        <v>4446.9015686733737</v>
      </c>
      <c r="J27" s="46">
        <v>2.4048431252371367</v>
      </c>
      <c r="K27" s="47">
        <v>292.18843971631213</v>
      </c>
      <c r="L27" s="46">
        <v>1.6370201864793221</v>
      </c>
      <c r="M27" s="47">
        <f t="shared" si="0"/>
        <v>640.07489291341494</v>
      </c>
      <c r="N27" s="49">
        <v>11.167323650436666</v>
      </c>
      <c r="O27" s="47">
        <f t="shared" si="1"/>
        <v>2566.2509748703455</v>
      </c>
      <c r="P27" s="66">
        <f t="shared" si="2"/>
        <v>3.1819873630169719</v>
      </c>
      <c r="Q27" s="62">
        <f t="shared" si="3"/>
        <v>37.438137567868566</v>
      </c>
      <c r="R27" s="46">
        <v>70.485281702127651</v>
      </c>
      <c r="S27" s="46">
        <v>0.3686289361702127</v>
      </c>
      <c r="T27" s="49">
        <v>3.0861957446808503</v>
      </c>
      <c r="U27" s="49">
        <v>92.928782978723405</v>
      </c>
      <c r="V27" s="73">
        <v>25.727389509658586</v>
      </c>
      <c r="W27" s="73">
        <v>3.4424838676345182</v>
      </c>
      <c r="X27" s="73">
        <v>5.9210722523313715</v>
      </c>
      <c r="Y27" s="48">
        <v>3.1510801782870059</v>
      </c>
      <c r="Z27" s="48">
        <v>28.801307176025187</v>
      </c>
      <c r="AA27" s="48">
        <v>68.047612645687806</v>
      </c>
    </row>
    <row r="28" spans="1:27" x14ac:dyDescent="0.2">
      <c r="A28" s="7">
        <v>45</v>
      </c>
      <c r="B28" s="7" t="s">
        <v>82</v>
      </c>
      <c r="C28" s="7">
        <v>320575</v>
      </c>
      <c r="D28" s="8">
        <v>4.83</v>
      </c>
      <c r="E28" s="8">
        <v>6.1799999999999994E-2</v>
      </c>
      <c r="F28" s="45">
        <v>0.93305075535267901</v>
      </c>
      <c r="G28" s="7" t="s">
        <v>31</v>
      </c>
      <c r="H28" s="46">
        <v>24.445626658994584</v>
      </c>
      <c r="I28" s="47">
        <v>4890.3476131318657</v>
      </c>
      <c r="J28" s="46">
        <v>2.1480812044794355</v>
      </c>
      <c r="K28" s="47">
        <v>260.99186634425143</v>
      </c>
      <c r="L28" s="46">
        <v>3.2174948729791324</v>
      </c>
      <c r="M28" s="47">
        <f t="shared" si="0"/>
        <v>1258.0404953348407</v>
      </c>
      <c r="N28" s="49">
        <v>8.2844863484519777</v>
      </c>
      <c r="O28" s="47">
        <f t="shared" si="1"/>
        <v>1903.7749628742645</v>
      </c>
      <c r="P28" s="72">
        <f t="shared" si="2"/>
        <v>2.2719100758940085</v>
      </c>
      <c r="Q28" s="63">
        <f t="shared" si="3"/>
        <v>38.095689084905132</v>
      </c>
      <c r="R28" s="49">
        <v>131.90279231217241</v>
      </c>
      <c r="S28" s="49">
        <v>2.6236514851485153</v>
      </c>
      <c r="T28" s="49">
        <v>3.2581292952824694</v>
      </c>
      <c r="U28" s="46">
        <v>162.90646476412348</v>
      </c>
      <c r="V28" s="73">
        <v>58.422869951977496</v>
      </c>
      <c r="W28" s="48">
        <v>2.9935600030062628</v>
      </c>
      <c r="X28" s="48">
        <v>5.1489232051707718</v>
      </c>
      <c r="Y28" s="48">
        <v>4.0136884826858097</v>
      </c>
      <c r="Z28" s="48">
        <v>20.762256512984155</v>
      </c>
      <c r="AA28" s="48">
        <v>75.22405500433004</v>
      </c>
    </row>
    <row r="29" spans="1:27" x14ac:dyDescent="0.2">
      <c r="A29" s="7">
        <v>51</v>
      </c>
      <c r="B29" s="7" t="s">
        <v>82</v>
      </c>
      <c r="C29" s="7">
        <v>320575</v>
      </c>
      <c r="D29" s="8">
        <v>5.09</v>
      </c>
      <c r="E29" s="8">
        <v>8.0099999999999991E-2</v>
      </c>
      <c r="F29" s="45">
        <v>0.92723196086424786</v>
      </c>
      <c r="G29" s="7" t="s">
        <v>31</v>
      </c>
      <c r="H29" s="46">
        <v>24.487347005814446</v>
      </c>
      <c r="I29" s="47">
        <v>4898.6937685131797</v>
      </c>
      <c r="J29" s="46">
        <v>1.8641740426765987</v>
      </c>
      <c r="K29" s="47">
        <v>226.49714618520676</v>
      </c>
      <c r="L29" s="46">
        <v>2.6292472051671316</v>
      </c>
      <c r="M29" s="47">
        <f t="shared" si="0"/>
        <v>1028.0356572203484</v>
      </c>
      <c r="N29" s="49">
        <v>24.531208462901017</v>
      </c>
      <c r="O29" s="47">
        <f t="shared" si="1"/>
        <v>5637.2717047746537</v>
      </c>
      <c r="P29" s="72">
        <f t="shared" si="2"/>
        <v>6.7582008823471451</v>
      </c>
      <c r="Q29" s="63">
        <f t="shared" si="3"/>
        <v>53.51197671655919</v>
      </c>
      <c r="R29" s="49">
        <v>114.8536768520554</v>
      </c>
      <c r="S29" s="49">
        <v>0.93611958672235662</v>
      </c>
      <c r="T29" s="49">
        <v>4.141358540338536</v>
      </c>
      <c r="U29" s="46">
        <v>159.09719059133877</v>
      </c>
      <c r="V29" s="73">
        <v>34.630689573964133</v>
      </c>
      <c r="W29" s="48">
        <v>3.4106407045638836</v>
      </c>
      <c r="X29" s="48">
        <v>5.8663020118498794</v>
      </c>
      <c r="Y29" s="48">
        <v>4.3697356502554427</v>
      </c>
      <c r="Z29" s="48">
        <v>25.35217133278347</v>
      </c>
      <c r="AA29" s="48">
        <v>70.27809301696108</v>
      </c>
    </row>
    <row r="30" spans="1:27" x14ac:dyDescent="0.2">
      <c r="A30" s="7">
        <v>27</v>
      </c>
      <c r="B30" s="7" t="s">
        <v>82</v>
      </c>
      <c r="C30" s="7">
        <v>320602</v>
      </c>
      <c r="D30" s="8">
        <v>4.93</v>
      </c>
      <c r="E30" s="8">
        <v>2.7600000000000003E-2</v>
      </c>
      <c r="F30" s="45">
        <v>0.93550506947052214</v>
      </c>
      <c r="G30" s="7" t="s">
        <v>31</v>
      </c>
      <c r="H30" s="46">
        <v>8.0913200318280438</v>
      </c>
      <c r="I30" s="47">
        <v>1618.6685723672003</v>
      </c>
      <c r="J30" s="46">
        <v>0.99939818330099284</v>
      </c>
      <c r="K30" s="47">
        <v>121.42687927107063</v>
      </c>
      <c r="L30" s="46">
        <v>1.708526719945711</v>
      </c>
      <c r="M30" s="47">
        <f t="shared" si="0"/>
        <v>668.03394749877293</v>
      </c>
      <c r="N30" s="46">
        <v>9.1951324493221183</v>
      </c>
      <c r="O30" s="47">
        <f t="shared" si="1"/>
        <v>2113.0414368542229</v>
      </c>
      <c r="P30" s="66">
        <f t="shared" si="2"/>
        <v>4.312944693651648</v>
      </c>
      <c r="Q30" s="62">
        <f t="shared" si="3"/>
        <v>19.994377384396866</v>
      </c>
      <c r="R30" s="46">
        <v>27.724061414952327</v>
      </c>
      <c r="S30" s="46">
        <v>0.46178263923733059</v>
      </c>
      <c r="T30" s="49">
        <v>1.8813366783743097</v>
      </c>
      <c r="U30" s="49">
        <v>98.855690918213739</v>
      </c>
      <c r="V30" s="73">
        <v>19.916365997353434</v>
      </c>
      <c r="W30" s="48">
        <v>3.1369522577486606</v>
      </c>
      <c r="X30" s="48">
        <v>5.3955578833276965</v>
      </c>
      <c r="Y30" s="48">
        <v>1.7392379731728598</v>
      </c>
      <c r="Z30" s="48">
        <v>13.378753639812418</v>
      </c>
      <c r="AA30" s="48">
        <v>84.882008387014736</v>
      </c>
    </row>
    <row r="31" spans="1:27" x14ac:dyDescent="0.2">
      <c r="A31" s="7">
        <v>46</v>
      </c>
      <c r="B31" s="7" t="s">
        <v>82</v>
      </c>
      <c r="C31" s="7">
        <v>320602</v>
      </c>
      <c r="D31" s="8">
        <v>4.9000000000000004</v>
      </c>
      <c r="E31" s="8">
        <v>3.27E-2</v>
      </c>
      <c r="F31" s="45">
        <v>0.93883661248930717</v>
      </c>
      <c r="G31" s="7" t="s">
        <v>31</v>
      </c>
      <c r="H31" s="46">
        <v>7.6426798194150392</v>
      </c>
      <c r="I31" s="47">
        <v>1528.9180978739785</v>
      </c>
      <c r="J31" s="46">
        <v>0.78594311916123416</v>
      </c>
      <c r="K31" s="47">
        <v>95.492088978089953</v>
      </c>
      <c r="L31" s="46">
        <v>1.5792480172613905</v>
      </c>
      <c r="M31" s="47">
        <f t="shared" si="0"/>
        <v>617.48597474920371</v>
      </c>
      <c r="N31" s="46">
        <v>10.119898217878136</v>
      </c>
      <c r="O31" s="47">
        <f t="shared" si="1"/>
        <v>2325.5526104683959</v>
      </c>
      <c r="P31" s="66">
        <f t="shared" si="2"/>
        <v>4.9296130368985542</v>
      </c>
      <c r="Q31" s="62">
        <f t="shared" si="3"/>
        <v>20.127769173715798</v>
      </c>
      <c r="R31" s="46">
        <v>23.365087927107062</v>
      </c>
      <c r="S31" s="46">
        <v>0.25563553530751704</v>
      </c>
      <c r="T31" s="49">
        <v>2.7267790432801822</v>
      </c>
      <c r="U31" s="49">
        <v>86.063963553530755</v>
      </c>
      <c r="V31" s="73">
        <v>22.862236087223334</v>
      </c>
      <c r="W31" s="48">
        <v>2.5459925574266062</v>
      </c>
      <c r="X31" s="48">
        <v>4.3791071987737631</v>
      </c>
      <c r="Y31" s="48">
        <v>3.710462932505973</v>
      </c>
      <c r="Z31" s="48">
        <v>11.936719471177318</v>
      </c>
      <c r="AA31" s="48">
        <v>84.352817596316712</v>
      </c>
    </row>
    <row r="32" spans="1:27" x14ac:dyDescent="0.2">
      <c r="A32" s="7">
        <v>42</v>
      </c>
      <c r="B32" s="7" t="s">
        <v>79</v>
      </c>
      <c r="C32" s="7">
        <v>410143</v>
      </c>
      <c r="D32" s="8">
        <v>5.48</v>
      </c>
      <c r="E32" s="8">
        <v>2.8000000000000001E-2</v>
      </c>
      <c r="F32" s="45">
        <v>0.98025586783519703</v>
      </c>
      <c r="G32" s="7" t="s">
        <v>31</v>
      </c>
      <c r="H32" s="46">
        <v>25.623818848738441</v>
      </c>
      <c r="I32" s="47">
        <v>5126.0449606901248</v>
      </c>
      <c r="J32" s="46">
        <v>1.5044036598146129</v>
      </c>
      <c r="K32" s="47">
        <v>182.78504466747546</v>
      </c>
      <c r="L32" s="46">
        <v>4.2989529279563783</v>
      </c>
      <c r="M32" s="47">
        <f t="shared" si="0"/>
        <v>1680.8905948309439</v>
      </c>
      <c r="N32" s="46">
        <v>15.456075919002098</v>
      </c>
      <c r="O32" s="47">
        <f t="shared" si="1"/>
        <v>3551.8062461866821</v>
      </c>
      <c r="P32" s="66">
        <f t="shared" si="2"/>
        <v>4.1966579242310589</v>
      </c>
      <c r="Q32" s="62">
        <f t="shared" si="3"/>
        <v>46.883251355511533</v>
      </c>
      <c r="R32" s="49">
        <v>30.995988901448982</v>
      </c>
      <c r="S32" s="46">
        <v>7.7530777926215183E-2</v>
      </c>
      <c r="T32" s="46">
        <v>2.6115630459356698</v>
      </c>
      <c r="U32" s="49">
        <v>34.276764977905664</v>
      </c>
      <c r="V32" s="73">
        <v>7.657162459579534</v>
      </c>
      <c r="W32" s="48">
        <v>1.5498104621803139</v>
      </c>
      <c r="X32" s="48">
        <v>2.66567399495014</v>
      </c>
      <c r="Y32" s="48">
        <v>3.8127991912561101</v>
      </c>
      <c r="Z32" s="48">
        <v>30.080180778414821</v>
      </c>
      <c r="AA32" s="48">
        <v>66.107020030329053</v>
      </c>
    </row>
    <row r="33" spans="1:27" x14ac:dyDescent="0.2">
      <c r="A33" s="7">
        <v>53</v>
      </c>
      <c r="B33" s="7" t="s">
        <v>79</v>
      </c>
      <c r="C33" s="7">
        <v>410143</v>
      </c>
      <c r="D33" s="8">
        <v>6.34</v>
      </c>
      <c r="E33" s="8">
        <v>3.5000000000000003E-2</v>
      </c>
      <c r="F33" s="45">
        <v>0.97746873652436395</v>
      </c>
      <c r="G33" s="7" t="s">
        <v>31</v>
      </c>
      <c r="H33" s="46">
        <v>21.502071355307713</v>
      </c>
      <c r="I33" s="47">
        <v>4301.4893746293083</v>
      </c>
      <c r="J33" s="46">
        <v>1.5001262352339664</v>
      </c>
      <c r="K33" s="47">
        <v>182.26533758092694</v>
      </c>
      <c r="L33" s="46">
        <v>3.6877637564138288</v>
      </c>
      <c r="M33" s="47">
        <f t="shared" si="0"/>
        <v>1441.9156287578071</v>
      </c>
      <c r="N33" s="46">
        <v>15.412130134488104</v>
      </c>
      <c r="O33" s="47">
        <f t="shared" si="1"/>
        <v>3541.7075049053665</v>
      </c>
      <c r="P33" s="66">
        <f t="shared" si="2"/>
        <v>4.5445721252122855</v>
      </c>
      <c r="Q33" s="62">
        <f t="shared" si="3"/>
        <v>42.102091481443608</v>
      </c>
      <c r="R33" s="49">
        <v>21.901467740156612</v>
      </c>
      <c r="S33" s="46">
        <v>5.3198632403220467E-2</v>
      </c>
      <c r="T33" s="46">
        <v>2.9463857946399026</v>
      </c>
      <c r="U33" s="49">
        <v>27.99066504907908</v>
      </c>
      <c r="V33" s="73">
        <v>10.858047359847502</v>
      </c>
      <c r="W33" s="48">
        <v>1.9970508739354367</v>
      </c>
      <c r="X33" s="48">
        <v>3.434927503168951</v>
      </c>
      <c r="Y33" s="48">
        <v>3.7984307845007059</v>
      </c>
      <c r="Z33" s="48">
        <v>26.505591518212579</v>
      </c>
      <c r="AA33" s="48">
        <v>69.695977697286722</v>
      </c>
    </row>
    <row r="34" spans="1:27" x14ac:dyDescent="0.2">
      <c r="A34" s="7">
        <v>17</v>
      </c>
      <c r="B34" s="7" t="s">
        <v>79</v>
      </c>
      <c r="C34" s="7">
        <v>410162</v>
      </c>
      <c r="D34" s="8">
        <v>6.75</v>
      </c>
      <c r="E34" s="8">
        <v>7.7200000000000005E-2</v>
      </c>
      <c r="F34" s="45">
        <v>0.93203118157134102</v>
      </c>
      <c r="G34" s="7" t="s">
        <v>31</v>
      </c>
      <c r="H34" s="49">
        <v>58.934121296565891</v>
      </c>
      <c r="I34" s="47">
        <v>11789.770965378008</v>
      </c>
      <c r="J34" s="46">
        <v>2.9671025534822797</v>
      </c>
      <c r="K34" s="47">
        <v>360.502960248097</v>
      </c>
      <c r="L34" s="46">
        <v>2.1725190609057754</v>
      </c>
      <c r="M34" s="47">
        <f t="shared" si="0"/>
        <v>849.4549528141581</v>
      </c>
      <c r="N34" s="49">
        <v>7.9433509643436961</v>
      </c>
      <c r="O34" s="47">
        <f t="shared" si="1"/>
        <v>1825.3820516061814</v>
      </c>
      <c r="P34" s="66">
        <f t="shared" si="2"/>
        <v>1.4278057665840043</v>
      </c>
      <c r="Q34" s="62">
        <f t="shared" si="3"/>
        <v>72.017093875297647</v>
      </c>
      <c r="R34" s="49">
        <v>73.62843792876609</v>
      </c>
      <c r="S34" s="46">
        <v>0.37337806597124323</v>
      </c>
      <c r="T34" s="46">
        <v>6.866723052344704</v>
      </c>
      <c r="U34" s="49">
        <v>21.801845691194433</v>
      </c>
      <c r="V34" s="48">
        <v>3.4840757789028589</v>
      </c>
      <c r="W34" s="73">
        <v>1.5412061989223933</v>
      </c>
      <c r="X34" s="73">
        <v>2.6508746621465162</v>
      </c>
      <c r="Y34" s="48">
        <v>6.4127172656626472</v>
      </c>
      <c r="Z34" s="48">
        <v>23.171468869632474</v>
      </c>
      <c r="AA34" s="48">
        <v>70.415813864704873</v>
      </c>
    </row>
    <row r="35" spans="1:27" x14ac:dyDescent="0.2">
      <c r="A35" s="7">
        <v>26</v>
      </c>
      <c r="B35" s="7" t="s">
        <v>79</v>
      </c>
      <c r="C35" s="7">
        <v>410162</v>
      </c>
      <c r="D35" s="8">
        <v>6.44</v>
      </c>
      <c r="E35" s="8">
        <v>8.3500000000000005E-2</v>
      </c>
      <c r="F35" s="45">
        <v>0.97425107704638825</v>
      </c>
      <c r="G35" s="7" t="s">
        <v>31</v>
      </c>
      <c r="H35" s="49">
        <v>73.061542117054842</v>
      </c>
      <c r="I35" s="47">
        <v>14615.961500516822</v>
      </c>
      <c r="J35" s="46">
        <v>2.7878330819507289</v>
      </c>
      <c r="K35" s="47">
        <v>338.72171945701353</v>
      </c>
      <c r="L35" s="46">
        <v>2.1304623005878014</v>
      </c>
      <c r="M35" s="47">
        <f t="shared" si="0"/>
        <v>833.01075952983047</v>
      </c>
      <c r="N35" s="49">
        <v>10.270220384346841</v>
      </c>
      <c r="O35" s="47">
        <f t="shared" si="1"/>
        <v>2360.096644322904</v>
      </c>
      <c r="P35" s="66">
        <f t="shared" si="2"/>
        <v>1.6677031805852356</v>
      </c>
      <c r="Q35" s="62">
        <f t="shared" si="3"/>
        <v>88.250057883940215</v>
      </c>
      <c r="R35" s="49">
        <v>116.79946030440148</v>
      </c>
      <c r="S35" s="46">
        <v>0.50500329082682016</v>
      </c>
      <c r="T35" s="46">
        <v>6.8976059234882765</v>
      </c>
      <c r="U35" s="49">
        <v>17.736700946112709</v>
      </c>
      <c r="V35" s="48">
        <v>3.3112344292599047</v>
      </c>
      <c r="W35" s="73">
        <v>2.4005008189845021</v>
      </c>
      <c r="X35" s="73">
        <v>4.1288614086533437</v>
      </c>
      <c r="Y35" s="48">
        <v>5.8609170968696036</v>
      </c>
      <c r="Z35" s="48">
        <v>22.932657570397325</v>
      </c>
      <c r="AA35" s="48">
        <v>71.206425332733062</v>
      </c>
    </row>
    <row r="36" spans="1:27" x14ac:dyDescent="0.2">
      <c r="A36" s="7">
        <v>22</v>
      </c>
      <c r="B36" s="7" t="s">
        <v>79</v>
      </c>
      <c r="C36" s="7">
        <v>410273</v>
      </c>
      <c r="D36" s="8">
        <v>5.66</v>
      </c>
      <c r="E36" s="8">
        <v>3.1300000000000001E-2</v>
      </c>
      <c r="F36" s="45">
        <v>0.98206882255389716</v>
      </c>
      <c r="G36" s="7" t="s">
        <v>31</v>
      </c>
      <c r="H36" s="49">
        <v>27.302003076884908</v>
      </c>
      <c r="I36" s="47">
        <v>5461.7657155308261</v>
      </c>
      <c r="J36" s="46">
        <v>1.4470725430795792</v>
      </c>
      <c r="K36" s="47">
        <v>175.81931398416887</v>
      </c>
      <c r="L36" s="46">
        <v>2.7139436923974971</v>
      </c>
      <c r="M36" s="47">
        <f t="shared" si="0"/>
        <v>1061.1519837274213</v>
      </c>
      <c r="N36" s="46">
        <v>9.4195361720652269</v>
      </c>
      <c r="O36" s="47">
        <f t="shared" si="1"/>
        <v>2164.6094123405892</v>
      </c>
      <c r="P36" s="66">
        <f t="shared" si="2"/>
        <v>2.4844632291075812</v>
      </c>
      <c r="Q36" s="62">
        <f t="shared" si="3"/>
        <v>40.882555484427215</v>
      </c>
      <c r="R36" s="49">
        <v>247.37981129287601</v>
      </c>
      <c r="S36" s="49">
        <v>0.41137646437994724</v>
      </c>
      <c r="T36" s="49">
        <v>8.308989973614775</v>
      </c>
      <c r="U36" s="49">
        <v>23.134834828496043</v>
      </c>
      <c r="V36" s="73">
        <v>2.2549639658860303</v>
      </c>
      <c r="W36" s="48">
        <v>1.438500697093452</v>
      </c>
      <c r="X36" s="48">
        <v>2.4742211990007372</v>
      </c>
      <c r="Y36" s="48">
        <v>12.081936010151709</v>
      </c>
      <c r="Z36" s="48">
        <v>33.737172321419521</v>
      </c>
      <c r="AA36" s="48">
        <v>54.180891668428778</v>
      </c>
    </row>
    <row r="37" spans="1:27" x14ac:dyDescent="0.2">
      <c r="A37" s="7">
        <v>31</v>
      </c>
      <c r="B37" s="7" t="s">
        <v>79</v>
      </c>
      <c r="C37" s="7">
        <v>410273</v>
      </c>
      <c r="D37" s="8">
        <v>5.97</v>
      </c>
      <c r="E37" s="8">
        <v>0.10440000000000001</v>
      </c>
      <c r="F37" s="45">
        <v>0.92913776015857286</v>
      </c>
      <c r="G37" s="7" t="s">
        <v>31</v>
      </c>
      <c r="H37" s="49">
        <v>60.280418873529754</v>
      </c>
      <c r="I37" s="47">
        <v>12059.097795649628</v>
      </c>
      <c r="J37" s="46">
        <v>1.8779303155006859</v>
      </c>
      <c r="K37" s="47">
        <v>228.16853333333336</v>
      </c>
      <c r="L37" s="46">
        <v>2.9025807673858512</v>
      </c>
      <c r="M37" s="47">
        <f t="shared" si="0"/>
        <v>1134.909080047868</v>
      </c>
      <c r="N37" s="46">
        <v>8.9118466441948563</v>
      </c>
      <c r="O37" s="47">
        <f t="shared" si="1"/>
        <v>2047.942358835978</v>
      </c>
      <c r="P37" s="66">
        <f t="shared" si="2"/>
        <v>1.5985748145589387</v>
      </c>
      <c r="Q37" s="62">
        <f t="shared" si="3"/>
        <v>73.972776600611155</v>
      </c>
      <c r="R37" s="49">
        <v>261.12812373333327</v>
      </c>
      <c r="S37" s="49">
        <v>2.1353130666666664</v>
      </c>
      <c r="T37" s="49">
        <v>12.226389333333332</v>
      </c>
      <c r="U37" s="49">
        <v>55.621461333333322</v>
      </c>
      <c r="V37" s="73">
        <v>3.5293018315048741</v>
      </c>
      <c r="W37" s="48">
        <v>1.4311822535707988</v>
      </c>
      <c r="X37" s="48">
        <v>2.461633476141774</v>
      </c>
      <c r="Y37" s="48">
        <v>6.4030315862627072</v>
      </c>
      <c r="Z37" s="48">
        <v>28.991172350890686</v>
      </c>
      <c r="AA37" s="48">
        <v>64.605796062846608</v>
      </c>
    </row>
    <row r="38" spans="1:27" x14ac:dyDescent="0.2">
      <c r="A38" s="7">
        <v>10</v>
      </c>
      <c r="B38" s="7" t="s">
        <v>79</v>
      </c>
      <c r="C38" s="7">
        <v>410283</v>
      </c>
      <c r="D38" s="8">
        <v>6.86</v>
      </c>
      <c r="E38" s="8">
        <v>8.8200000000000001E-2</v>
      </c>
      <c r="F38" s="45">
        <v>0.97877457130907553</v>
      </c>
      <c r="G38" s="7" t="s">
        <v>31</v>
      </c>
      <c r="H38" s="46">
        <v>73.781540502570422</v>
      </c>
      <c r="I38" s="47">
        <v>14759.997177539211</v>
      </c>
      <c r="J38" s="46">
        <v>1.4127012387881952</v>
      </c>
      <c r="K38" s="47">
        <v>171.64320051276573</v>
      </c>
      <c r="L38" s="46">
        <v>2.810681147454487</v>
      </c>
      <c r="M38" s="47">
        <f t="shared" si="0"/>
        <v>1098.9763286547045</v>
      </c>
      <c r="N38" s="49">
        <v>8.9229561718921442</v>
      </c>
      <c r="O38" s="47">
        <f t="shared" si="1"/>
        <v>2050.4953283008149</v>
      </c>
      <c r="P38" s="66">
        <f t="shared" si="2"/>
        <v>1.4552294177958456</v>
      </c>
      <c r="Q38" s="62">
        <f t="shared" si="3"/>
        <v>86.927879060705251</v>
      </c>
      <c r="R38" s="49">
        <v>107.30152077769471</v>
      </c>
      <c r="S38" s="49">
        <v>0.310592458070719</v>
      </c>
      <c r="T38" s="49">
        <v>2.6155154363850022</v>
      </c>
      <c r="U38" s="49">
        <v>15.202683473987825</v>
      </c>
      <c r="V38" s="73">
        <v>4.1661441377873238</v>
      </c>
      <c r="W38" s="73">
        <v>1.6344202422658334</v>
      </c>
      <c r="X38" s="73">
        <v>2.8112028166972332</v>
      </c>
      <c r="Y38" s="48">
        <v>23.903871996001943</v>
      </c>
      <c r="Z38" s="48">
        <v>26.094565455167558</v>
      </c>
      <c r="AA38" s="48">
        <v>50.001562548830492</v>
      </c>
    </row>
    <row r="39" spans="1:27" x14ac:dyDescent="0.2">
      <c r="A39" s="7">
        <v>38</v>
      </c>
      <c r="B39" s="7" t="s">
        <v>79</v>
      </c>
      <c r="C39" s="7">
        <v>410283</v>
      </c>
      <c r="D39" s="8">
        <v>7.24</v>
      </c>
      <c r="E39" s="8">
        <v>0.11650000000000001</v>
      </c>
      <c r="F39" s="45">
        <v>0.97737789203084835</v>
      </c>
      <c r="G39" s="7" t="s">
        <v>31</v>
      </c>
      <c r="H39" s="46">
        <v>75.431149632345878</v>
      </c>
      <c r="I39" s="47">
        <v>15090.001483950791</v>
      </c>
      <c r="J39" s="46">
        <v>1.3810361884474924</v>
      </c>
      <c r="K39" s="47">
        <v>167.79589689637035</v>
      </c>
      <c r="L39" s="46">
        <v>3.5465009213361927</v>
      </c>
      <c r="M39" s="47">
        <f t="shared" si="0"/>
        <v>1386.6818602424514</v>
      </c>
      <c r="N39" s="49">
        <v>11.115741488010602</v>
      </c>
      <c r="O39" s="47">
        <f t="shared" si="1"/>
        <v>2554.3973939448365</v>
      </c>
      <c r="P39" s="66">
        <f t="shared" si="2"/>
        <v>1.7936527759378229</v>
      </c>
      <c r="Q39" s="62">
        <f t="shared" si="3"/>
        <v>91.474428230140163</v>
      </c>
      <c r="R39" s="49">
        <v>126.08429247764333</v>
      </c>
      <c r="S39" s="49">
        <v>0.72847974750131494</v>
      </c>
      <c r="T39" s="49">
        <v>3.2740662809047869</v>
      </c>
      <c r="U39" s="49">
        <v>26.028826933193056</v>
      </c>
      <c r="V39" s="73">
        <v>14.030448273685396</v>
      </c>
      <c r="W39" s="73">
        <v>2.3072652036588335</v>
      </c>
      <c r="X39" s="73">
        <v>3.9684961502931935</v>
      </c>
      <c r="Y39" s="48">
        <v>13.6760728312774</v>
      </c>
      <c r="Z39" s="48">
        <v>31.08904940050104</v>
      </c>
      <c r="AA39" s="48">
        <v>55.234877768221558</v>
      </c>
    </row>
    <row r="40" spans="1:27" x14ac:dyDescent="0.2">
      <c r="A40" s="7">
        <v>36</v>
      </c>
      <c r="B40" s="7" t="s">
        <v>79</v>
      </c>
      <c r="C40" s="7">
        <v>410296</v>
      </c>
      <c r="D40" s="8">
        <v>5.07</v>
      </c>
      <c r="E40" s="8">
        <v>3.7499999999999999E-2</v>
      </c>
      <c r="F40" s="45">
        <v>0.93219241443108225</v>
      </c>
      <c r="G40" s="7" t="s">
        <v>31</v>
      </c>
      <c r="H40" s="49">
        <v>47.829422858624042</v>
      </c>
      <c r="I40" s="47">
        <v>9568.2760428677393</v>
      </c>
      <c r="J40" s="46">
        <v>5.2133722447623789</v>
      </c>
      <c r="K40" s="47">
        <v>633.42472773862914</v>
      </c>
      <c r="L40" s="46">
        <v>2.6097117103596381</v>
      </c>
      <c r="M40" s="47">
        <f t="shared" si="0"/>
        <v>1020.3972787506186</v>
      </c>
      <c r="N40" s="49">
        <v>7.7232983488660674</v>
      </c>
      <c r="O40" s="47">
        <f t="shared" si="1"/>
        <v>1774.8139605694223</v>
      </c>
      <c r="P40" s="66">
        <f t="shared" si="2"/>
        <v>1.4997007513065461</v>
      </c>
      <c r="Q40" s="62">
        <f t="shared" si="3"/>
        <v>63.375805162612124</v>
      </c>
      <c r="R40" s="49">
        <v>152.9298005358738</v>
      </c>
      <c r="S40" s="49">
        <v>2.0081690979458178</v>
      </c>
      <c r="T40" s="46">
        <v>3.432767688796269</v>
      </c>
      <c r="U40" s="49">
        <v>127.01240448546196</v>
      </c>
      <c r="V40" s="73">
        <v>3.5063156169588701</v>
      </c>
      <c r="W40" s="73">
        <v>2.1398366497050447</v>
      </c>
      <c r="X40" s="73">
        <v>3.6805190374926768</v>
      </c>
      <c r="Y40" s="48">
        <v>13.023963567495819</v>
      </c>
      <c r="Z40" s="48">
        <v>35.414408792845293</v>
      </c>
      <c r="AA40" s="48">
        <v>51.561627639658894</v>
      </c>
    </row>
    <row r="41" spans="1:27" x14ac:dyDescent="0.2">
      <c r="A41" s="7">
        <v>54</v>
      </c>
      <c r="B41" s="7" t="s">
        <v>79</v>
      </c>
      <c r="C41" s="7">
        <v>410296</v>
      </c>
      <c r="D41" s="8">
        <v>5.91</v>
      </c>
      <c r="E41" s="8">
        <v>4.19E-2</v>
      </c>
      <c r="F41" s="45">
        <v>0.93249701314217437</v>
      </c>
      <c r="G41" s="7" t="s">
        <v>31</v>
      </c>
      <c r="H41" s="49">
        <v>34.228431695968226</v>
      </c>
      <c r="I41" s="47">
        <v>6847.3977607784436</v>
      </c>
      <c r="J41" s="46">
        <v>3.8259585008874741</v>
      </c>
      <c r="K41" s="47">
        <v>464.85395785782816</v>
      </c>
      <c r="L41" s="46">
        <v>2.2408294385278267</v>
      </c>
      <c r="M41" s="47">
        <f t="shared" si="0"/>
        <v>876.16431046438026</v>
      </c>
      <c r="N41" s="49">
        <v>12.377302967380208</v>
      </c>
      <c r="O41" s="47">
        <f t="shared" si="1"/>
        <v>2844.3042219039717</v>
      </c>
      <c r="P41" s="66">
        <f t="shared" si="2"/>
        <v>2.8375180701678291</v>
      </c>
      <c r="Q41" s="62">
        <f t="shared" si="3"/>
        <v>52.672522602763735</v>
      </c>
      <c r="R41" s="49">
        <v>78.498910954516347</v>
      </c>
      <c r="S41" s="49">
        <v>0.56193209481101869</v>
      </c>
      <c r="T41" s="46">
        <v>3.4316463805253048</v>
      </c>
      <c r="U41" s="49">
        <v>43.581909032671369</v>
      </c>
      <c r="V41" s="73">
        <v>7.4777183357303398</v>
      </c>
      <c r="W41" s="73">
        <v>1.4062965691357994</v>
      </c>
      <c r="X41" s="73">
        <v>2.4188300989135749</v>
      </c>
      <c r="Y41" s="48">
        <v>15.060096028119924</v>
      </c>
      <c r="Z41" s="48">
        <v>35.670575436466045</v>
      </c>
      <c r="AA41" s="48">
        <v>49.269328535414033</v>
      </c>
    </row>
    <row r="42" spans="1:27" x14ac:dyDescent="0.2">
      <c r="A42" s="7">
        <v>23</v>
      </c>
      <c r="B42" s="7" t="s">
        <v>80</v>
      </c>
      <c r="C42" s="7">
        <v>450101</v>
      </c>
      <c r="D42" s="8">
        <v>5.32</v>
      </c>
      <c r="E42" s="8">
        <v>1.9910000000000001E-2</v>
      </c>
      <c r="F42" s="45">
        <v>0.992654314219932</v>
      </c>
      <c r="G42" s="7" t="s">
        <v>31</v>
      </c>
      <c r="H42" s="46">
        <v>8.7036722413897287</v>
      </c>
      <c r="I42" s="47">
        <v>1741.1696318900154</v>
      </c>
      <c r="J42" s="46">
        <v>0.60250537621701594</v>
      </c>
      <c r="K42" s="47">
        <v>73.204403210367431</v>
      </c>
      <c r="L42" s="46">
        <v>1.6339958771509209</v>
      </c>
      <c r="M42" s="47">
        <f t="shared" si="0"/>
        <v>638.89238796601012</v>
      </c>
      <c r="N42" s="49">
        <v>10.464220992619918</v>
      </c>
      <c r="O42" s="47">
        <f t="shared" si="1"/>
        <v>2404.677984104057</v>
      </c>
      <c r="P42" s="66">
        <f t="shared" si="2"/>
        <v>4.8510553746608247</v>
      </c>
      <c r="Q42" s="62">
        <f t="shared" si="3"/>
        <v>21.404394487377584</v>
      </c>
      <c r="R42" s="46">
        <v>21.792077755688098</v>
      </c>
      <c r="S42" s="46">
        <v>0.12088800530152419</v>
      </c>
      <c r="T42" s="49">
        <v>1.6118400706869893</v>
      </c>
      <c r="U42" s="46">
        <v>16.27958471393859</v>
      </c>
      <c r="V42" s="73">
        <v>2.7028422652510651</v>
      </c>
      <c r="W42" s="76">
        <v>0.85208116328725514</v>
      </c>
      <c r="X42" s="76">
        <v>1.4655796008540789</v>
      </c>
      <c r="Y42" s="48">
        <v>1.8198021205700303</v>
      </c>
      <c r="Z42" s="48">
        <v>11.088944474263606</v>
      </c>
      <c r="AA42" s="48">
        <v>87.091253405166356</v>
      </c>
    </row>
    <row r="43" spans="1:27" x14ac:dyDescent="0.2">
      <c r="A43" s="7">
        <v>44</v>
      </c>
      <c r="B43" s="7" t="s">
        <v>80</v>
      </c>
      <c r="C43" s="7">
        <v>450101</v>
      </c>
      <c r="D43" s="8">
        <v>6.29</v>
      </c>
      <c r="E43" s="8">
        <v>2.6199999999999998E-2</v>
      </c>
      <c r="F43" s="45">
        <v>0.95559845559845569</v>
      </c>
      <c r="G43" s="7" t="s">
        <v>31</v>
      </c>
      <c r="H43" s="46">
        <v>10.294726504202812</v>
      </c>
      <c r="I43" s="47">
        <v>2059.4600371657725</v>
      </c>
      <c r="J43" s="46">
        <v>0.78664283437945981</v>
      </c>
      <c r="K43" s="47">
        <v>95.577104377104376</v>
      </c>
      <c r="L43" s="46">
        <v>1.7796685430671773</v>
      </c>
      <c r="M43" s="47">
        <f t="shared" si="0"/>
        <v>695.85040033926634</v>
      </c>
      <c r="N43" s="49">
        <v>7.9172195139635022</v>
      </c>
      <c r="O43" s="47">
        <f t="shared" si="1"/>
        <v>1819.3770443088129</v>
      </c>
      <c r="P43" s="66">
        <f t="shared" si="2"/>
        <v>3.3634964159058001</v>
      </c>
      <c r="Q43" s="62">
        <f t="shared" si="3"/>
        <v>20.778257395612954</v>
      </c>
      <c r="R43" s="46">
        <v>22.469688888888889</v>
      </c>
      <c r="S43" s="46">
        <v>9.6274747474747457E-2</v>
      </c>
      <c r="T43" s="49">
        <v>2.344080808080808</v>
      </c>
      <c r="U43" s="46">
        <v>17.915474747474747</v>
      </c>
      <c r="V43" s="73">
        <v>11.765399384240048</v>
      </c>
      <c r="W43" s="48">
        <v>0.84548475408288437</v>
      </c>
      <c r="X43" s="48">
        <v>1.4542337770225611</v>
      </c>
      <c r="Y43" s="48">
        <v>0.25689829115950502</v>
      </c>
      <c r="Z43" s="48">
        <v>8.2165850208527598</v>
      </c>
      <c r="AA43" s="48">
        <v>91.526516687987737</v>
      </c>
    </row>
    <row r="44" spans="1:27" x14ac:dyDescent="0.2">
      <c r="A44" s="7">
        <v>12</v>
      </c>
      <c r="B44" s="7" t="s">
        <v>80</v>
      </c>
      <c r="C44" s="7">
        <v>450176</v>
      </c>
      <c r="D44" s="8">
        <v>5.57</v>
      </c>
      <c r="E44" s="8">
        <v>0.02</v>
      </c>
      <c r="F44" s="45">
        <v>0.96757748776508978</v>
      </c>
      <c r="G44" s="7" t="s">
        <v>31</v>
      </c>
      <c r="H44" s="46">
        <v>13.666730400751792</v>
      </c>
      <c r="I44" s="47">
        <v>2734.0294166703961</v>
      </c>
      <c r="J44" s="46">
        <v>1.4006952665501624</v>
      </c>
      <c r="K44" s="47">
        <v>170.18447488584474</v>
      </c>
      <c r="L44" s="46">
        <v>1.7671010509865446</v>
      </c>
      <c r="M44" s="47">
        <f t="shared" si="0"/>
        <v>690.93651093573897</v>
      </c>
      <c r="N44" s="49">
        <v>9.0507103183855762</v>
      </c>
      <c r="O44" s="47">
        <f t="shared" si="1"/>
        <v>2079.8532311650056</v>
      </c>
      <c r="P44" s="72">
        <f t="shared" si="2"/>
        <v>3.2974493540766638</v>
      </c>
      <c r="Q44" s="63">
        <f t="shared" si="3"/>
        <v>25.885237036674077</v>
      </c>
      <c r="R44" s="49">
        <v>26.623190727081138</v>
      </c>
      <c r="S44" s="49">
        <v>0.16122739726027396</v>
      </c>
      <c r="T44" s="49">
        <v>1.3228914646996839</v>
      </c>
      <c r="U44" s="49">
        <v>28.111443624868279</v>
      </c>
      <c r="V44" s="73">
        <v>10.662430588447762</v>
      </c>
      <c r="W44" s="48">
        <v>0.62433599952729368</v>
      </c>
      <c r="X44" s="48">
        <v>1.0738579191869451</v>
      </c>
      <c r="Y44" s="48">
        <v>6.1310167473898778</v>
      </c>
      <c r="Z44" s="48">
        <v>16.356647614201691</v>
      </c>
      <c r="AA44" s="48">
        <v>77.51233563840843</v>
      </c>
    </row>
    <row r="45" spans="1:27" x14ac:dyDescent="0.2">
      <c r="A45" s="7">
        <v>52</v>
      </c>
      <c r="B45" s="7" t="s">
        <v>80</v>
      </c>
      <c r="C45" s="7">
        <v>450176</v>
      </c>
      <c r="D45" s="8">
        <v>5.35</v>
      </c>
      <c r="E45" s="8">
        <v>2.2600000000000002E-2</v>
      </c>
      <c r="F45" s="45">
        <v>0.99296333002973236</v>
      </c>
      <c r="G45" s="7" t="s">
        <v>31</v>
      </c>
      <c r="H45" s="46">
        <v>15.540742791188531</v>
      </c>
      <c r="I45" s="47">
        <v>3108.9255953772658</v>
      </c>
      <c r="J45" s="46">
        <v>1.3704113076786479</v>
      </c>
      <c r="K45" s="47">
        <v>166.50497388295574</v>
      </c>
      <c r="L45" s="46">
        <v>2.0282144438485741</v>
      </c>
      <c r="M45" s="47">
        <f t="shared" si="0"/>
        <v>793.03184754479253</v>
      </c>
      <c r="N45" s="49">
        <v>17.071610575208986</v>
      </c>
      <c r="O45" s="47">
        <f t="shared" si="1"/>
        <v>3923.0561101830249</v>
      </c>
      <c r="P45" s="72">
        <f t="shared" si="2"/>
        <v>5.8708754875737332</v>
      </c>
      <c r="Q45" s="63">
        <f t="shared" si="3"/>
        <v>36.010979117924741</v>
      </c>
      <c r="R45" s="49">
        <v>22.719872242738795</v>
      </c>
      <c r="S45" s="49">
        <v>0</v>
      </c>
      <c r="T45" s="49">
        <v>2.4170076853977442</v>
      </c>
      <c r="U45" s="49">
        <v>12.568439964068272</v>
      </c>
      <c r="V45" s="73">
        <v>13.867507598746506</v>
      </c>
      <c r="W45" s="48">
        <v>0.57833120808781024</v>
      </c>
      <c r="X45" s="48">
        <v>0.99472967791103362</v>
      </c>
      <c r="Y45" s="48">
        <v>6.2762722243576814</v>
      </c>
      <c r="Z45" s="48">
        <v>4.4630346559800884</v>
      </c>
      <c r="AA45" s="48">
        <v>89.260693119662221</v>
      </c>
    </row>
    <row r="46" spans="1:27" x14ac:dyDescent="0.2">
      <c r="A46" s="7">
        <v>57</v>
      </c>
      <c r="B46" s="7" t="s">
        <v>80</v>
      </c>
      <c r="C46" s="7">
        <v>450203</v>
      </c>
      <c r="D46" s="8">
        <v>5.25</v>
      </c>
      <c r="E46" s="8">
        <v>3.8299999999999994E-2</v>
      </c>
      <c r="F46" s="45">
        <v>0.98598561681725982</v>
      </c>
      <c r="G46" s="7" t="s">
        <v>31</v>
      </c>
      <c r="H46" s="46">
        <v>16.26264046718185</v>
      </c>
      <c r="I46" s="47">
        <v>3253.3412254597288</v>
      </c>
      <c r="J46" s="46">
        <v>1.2948982664429818</v>
      </c>
      <c r="K46" s="47">
        <v>157.33013937282229</v>
      </c>
      <c r="L46" s="46">
        <v>3.0446303876550176</v>
      </c>
      <c r="M46" s="47">
        <f t="shared" si="0"/>
        <v>1190.4504815731118</v>
      </c>
      <c r="N46" s="46">
        <v>12.618863858839877</v>
      </c>
      <c r="O46" s="47">
        <f t="shared" si="1"/>
        <v>2899.814914761404</v>
      </c>
      <c r="P46" s="66">
        <f t="shared" si="2"/>
        <v>4.2589587636715338</v>
      </c>
      <c r="Q46" s="62">
        <f t="shared" si="3"/>
        <v>33.22103298011973</v>
      </c>
      <c r="R46" s="49">
        <v>26.921285206657938</v>
      </c>
      <c r="S46" s="49">
        <v>9.7364503459884039E-2</v>
      </c>
      <c r="T46" s="46">
        <v>2.5963867589302412</v>
      </c>
      <c r="U46" s="49">
        <v>36.673962969889651</v>
      </c>
      <c r="V46" s="73">
        <v>78.507331485339662</v>
      </c>
      <c r="W46" s="73">
        <v>1.5959930260483211</v>
      </c>
      <c r="X46" s="73">
        <v>2.7451080048031122</v>
      </c>
      <c r="Y46" s="48">
        <v>2.9427546371762876</v>
      </c>
      <c r="Z46" s="48">
        <v>15.203004829193487</v>
      </c>
      <c r="AA46" s="48">
        <v>81.854240533630218</v>
      </c>
    </row>
    <row r="47" spans="1:27" x14ac:dyDescent="0.2">
      <c r="A47" s="7">
        <v>58</v>
      </c>
      <c r="B47" s="7" t="s">
        <v>80</v>
      </c>
      <c r="C47" s="7">
        <v>450203</v>
      </c>
      <c r="D47" s="8">
        <v>5.36</v>
      </c>
      <c r="E47" s="8">
        <v>4.6799999999999994E-2</v>
      </c>
      <c r="F47" s="45">
        <v>0.95340918528361429</v>
      </c>
      <c r="G47" s="7" t="s">
        <v>31</v>
      </c>
      <c r="H47" s="46">
        <v>10.445054614064139</v>
      </c>
      <c r="I47" s="47">
        <v>2089.5331755435309</v>
      </c>
      <c r="J47" s="46">
        <v>0.86813343276988542</v>
      </c>
      <c r="K47" s="47">
        <v>105.47821208154107</v>
      </c>
      <c r="L47" s="46">
        <v>3.3907962542186403</v>
      </c>
      <c r="M47" s="47">
        <f t="shared" si="0"/>
        <v>1325.8013353994884</v>
      </c>
      <c r="N47" s="46">
        <v>11.862243773397061</v>
      </c>
      <c r="O47" s="47">
        <f t="shared" si="1"/>
        <v>2725.9436191266445</v>
      </c>
      <c r="P47" s="66">
        <f t="shared" si="2"/>
        <v>4.9875738532278628</v>
      </c>
      <c r="Q47" s="62">
        <f t="shared" si="3"/>
        <v>26.566228074449725</v>
      </c>
      <c r="R47" s="49">
        <v>15.808532404181184</v>
      </c>
      <c r="S47" s="49">
        <v>0.6922526132404182</v>
      </c>
      <c r="T47" s="46">
        <v>2.6851010452961672</v>
      </c>
      <c r="U47" s="49">
        <v>64.945881533101044</v>
      </c>
      <c r="V47" s="73">
        <v>142.99233430665345</v>
      </c>
      <c r="W47" s="73">
        <v>1.901704469989177</v>
      </c>
      <c r="X47" s="73">
        <v>3.2709316883813844</v>
      </c>
      <c r="Y47" s="48">
        <v>4.0538689315782115</v>
      </c>
      <c r="Z47" s="48">
        <v>11.117316669654324</v>
      </c>
      <c r="AA47" s="48">
        <v>84.828814398767463</v>
      </c>
    </row>
    <row r="48" spans="1:27" x14ac:dyDescent="0.2">
      <c r="A48" s="7">
        <v>28</v>
      </c>
      <c r="B48" s="7" t="s">
        <v>80</v>
      </c>
      <c r="C48" s="7">
        <v>450265</v>
      </c>
      <c r="D48" s="8">
        <v>5.7</v>
      </c>
      <c r="E48" s="8">
        <v>2.0899999999999998E-2</v>
      </c>
      <c r="F48" s="45">
        <v>0.98912550974173086</v>
      </c>
      <c r="G48" s="7" t="s">
        <v>31</v>
      </c>
      <c r="H48" s="46">
        <v>10.75948990950671</v>
      </c>
      <c r="I48" s="47">
        <v>2152.4359563968173</v>
      </c>
      <c r="J48" s="46">
        <v>0.7461163793960357</v>
      </c>
      <c r="K48" s="47">
        <v>90.653140096618344</v>
      </c>
      <c r="L48" s="46">
        <v>2.0916823064672307</v>
      </c>
      <c r="M48" s="47">
        <f t="shared" si="0"/>
        <v>817.84778182868718</v>
      </c>
      <c r="N48" s="49">
        <v>9.7221708015180983</v>
      </c>
      <c r="O48" s="47">
        <f t="shared" si="1"/>
        <v>2234.1548501888592</v>
      </c>
      <c r="P48" s="66">
        <f t="shared" si="2"/>
        <v>4.0534375842033894</v>
      </c>
      <c r="Q48" s="62">
        <f t="shared" si="3"/>
        <v>23.319459396888075</v>
      </c>
      <c r="R48" s="49">
        <v>18.877280806229958</v>
      </c>
      <c r="S48" s="49">
        <v>0.24263857077416398</v>
      </c>
      <c r="T48" s="46">
        <v>1.9411085661933118</v>
      </c>
      <c r="U48" s="49">
        <v>23.616820888685293</v>
      </c>
      <c r="V48" s="48">
        <v>19.547113594886774</v>
      </c>
      <c r="W48" s="48">
        <v>1.6474762116781758</v>
      </c>
      <c r="X48" s="48">
        <v>2.8336590840864622</v>
      </c>
      <c r="Y48" s="48">
        <v>2.8585699865749525</v>
      </c>
      <c r="Z48" s="48">
        <v>10.978490483572632</v>
      </c>
      <c r="AA48" s="48">
        <v>86.162939529852409</v>
      </c>
    </row>
    <row r="49" spans="1:27" x14ac:dyDescent="0.2">
      <c r="A49" s="7">
        <v>32</v>
      </c>
      <c r="B49" s="7" t="s">
        <v>80</v>
      </c>
      <c r="C49" s="7">
        <v>450265</v>
      </c>
      <c r="D49" s="8">
        <v>5.22</v>
      </c>
      <c r="E49" s="8">
        <v>2.5700000000000001E-2</v>
      </c>
      <c r="F49" s="45">
        <v>0.9486709440879928</v>
      </c>
      <c r="G49" s="7" t="s">
        <v>31</v>
      </c>
      <c r="H49" s="46">
        <v>17.463861867759238</v>
      </c>
      <c r="I49" s="47">
        <v>3493.6455666452357</v>
      </c>
      <c r="J49" s="46">
        <v>0.95413429751157297</v>
      </c>
      <c r="K49" s="47">
        <v>115.92731714765613</v>
      </c>
      <c r="L49" s="46">
        <v>1.9035481017341813</v>
      </c>
      <c r="M49" s="47">
        <f t="shared" si="0"/>
        <v>744.28730777806493</v>
      </c>
      <c r="N49" s="49">
        <v>7.6344835133878437</v>
      </c>
      <c r="O49" s="47">
        <f t="shared" si="1"/>
        <v>1754.4043113765265</v>
      </c>
      <c r="P49" s="66">
        <f t="shared" si="2"/>
        <v>2.5157846925645679</v>
      </c>
      <c r="Q49" s="62">
        <f t="shared" si="3"/>
        <v>27.956027780392837</v>
      </c>
      <c r="R49" s="49">
        <v>15.48271304347826</v>
      </c>
      <c r="S49" s="49">
        <v>4.2164251207729465E-2</v>
      </c>
      <c r="T49" s="46">
        <v>2.0238840579710144</v>
      </c>
      <c r="U49" s="49">
        <v>41.658280193236713</v>
      </c>
      <c r="V49" s="48">
        <v>18.02387375977375</v>
      </c>
      <c r="W49" s="48">
        <v>1.460536978166588</v>
      </c>
      <c r="X49" s="48">
        <v>2.5121236024465312</v>
      </c>
      <c r="Y49" s="48">
        <v>3.9950605787621543</v>
      </c>
      <c r="Z49" s="48">
        <v>13.411338400963013</v>
      </c>
      <c r="AA49" s="48">
        <v>82.593601020274832</v>
      </c>
    </row>
    <row r="50" spans="1:27" x14ac:dyDescent="0.2">
      <c r="A50" s="75">
        <v>15</v>
      </c>
      <c r="B50" s="75" t="s">
        <v>80</v>
      </c>
      <c r="C50" s="75">
        <v>451383</v>
      </c>
      <c r="D50" s="8">
        <v>6.72</v>
      </c>
      <c r="E50" s="8">
        <v>4.9700000000000001E-2</v>
      </c>
      <c r="F50" s="45">
        <v>0.93103799531425091</v>
      </c>
      <c r="G50" s="44" t="s">
        <v>31</v>
      </c>
      <c r="H50" s="49">
        <v>35.816662746682418</v>
      </c>
      <c r="I50" s="47">
        <v>7165.1233824738174</v>
      </c>
      <c r="J50" s="74">
        <v>1.6180061877998808</v>
      </c>
      <c r="K50" s="47">
        <v>196.5877518176855</v>
      </c>
      <c r="L50" s="74">
        <v>2.0024055795380824</v>
      </c>
      <c r="M50" s="47">
        <f t="shared" si="0"/>
        <v>782.94058159939027</v>
      </c>
      <c r="N50" s="74">
        <v>9.1512253237828567</v>
      </c>
      <c r="O50" s="47">
        <f t="shared" si="1"/>
        <v>2102.9515794053004</v>
      </c>
      <c r="P50" s="72">
        <f t="shared" si="2"/>
        <v>2.1152282997537943</v>
      </c>
      <c r="Q50" s="62">
        <f t="shared" si="3"/>
        <v>48.588299837803234</v>
      </c>
      <c r="R50" s="49">
        <v>16.51490065645514</v>
      </c>
      <c r="S50" s="49">
        <v>1.0396997811816191</v>
      </c>
      <c r="T50" s="49">
        <v>1.7185120350109409</v>
      </c>
      <c r="U50" s="49">
        <v>27.496192560175054</v>
      </c>
      <c r="V50" s="73">
        <v>4.0252555168399233</v>
      </c>
      <c r="W50" s="73">
        <v>2.4070717202704541</v>
      </c>
      <c r="X50" s="73">
        <v>4.1401633588651814</v>
      </c>
      <c r="Y50" s="76">
        <v>5.9604269243695436</v>
      </c>
      <c r="Z50" s="76">
        <v>23.904910445783898</v>
      </c>
      <c r="AA50" s="76">
        <v>70.134662629846559</v>
      </c>
    </row>
    <row r="51" spans="1:27" x14ac:dyDescent="0.2">
      <c r="A51" s="75">
        <v>43</v>
      </c>
      <c r="B51" s="75" t="s">
        <v>80</v>
      </c>
      <c r="C51" s="75">
        <v>451383</v>
      </c>
      <c r="D51" s="8">
        <v>6.16</v>
      </c>
      <c r="E51" s="8">
        <v>0.1368</v>
      </c>
      <c r="F51" s="45">
        <v>0.95292474531712112</v>
      </c>
      <c r="G51" s="44" t="s">
        <v>31</v>
      </c>
      <c r="H51" s="49">
        <v>66.86756674576165</v>
      </c>
      <c r="I51" s="47">
        <v>13376.856727489616</v>
      </c>
      <c r="J51" s="74">
        <v>2.0626859130789752</v>
      </c>
      <c r="K51" s="47">
        <v>250.6163384390955</v>
      </c>
      <c r="L51" s="74">
        <v>2.0494779337752584</v>
      </c>
      <c r="M51" s="47">
        <f t="shared" si="0"/>
        <v>801.34587210612608</v>
      </c>
      <c r="N51" s="74">
        <v>10.950810962688916</v>
      </c>
      <c r="O51" s="47">
        <f t="shared" si="1"/>
        <v>2516.4963592259128</v>
      </c>
      <c r="P51" s="72">
        <f t="shared" si="2"/>
        <v>1.8653328763615695</v>
      </c>
      <c r="Q51" s="62">
        <f t="shared" si="3"/>
        <v>81.930541555304799</v>
      </c>
      <c r="R51" s="49">
        <v>29.735821363910691</v>
      </c>
      <c r="S51" s="49">
        <v>0.12592809724976292</v>
      </c>
      <c r="T51" s="49">
        <v>2.3506578153289084</v>
      </c>
      <c r="U51" s="49">
        <v>21.323824467626523</v>
      </c>
      <c r="V51" s="73">
        <v>5.8656871219418365</v>
      </c>
      <c r="W51" s="73">
        <v>1.630494249826564</v>
      </c>
      <c r="X51" s="73">
        <v>2.8044501097016901</v>
      </c>
      <c r="Y51" s="76">
        <v>7.4400263645358917</v>
      </c>
      <c r="Z51" s="76">
        <v>9.0343988999616176</v>
      </c>
      <c r="AA51" s="76">
        <v>83.525574735502488</v>
      </c>
    </row>
    <row r="52" spans="1:27" x14ac:dyDescent="0.2">
      <c r="A52" s="7">
        <v>48</v>
      </c>
      <c r="B52" s="7" t="s">
        <v>81</v>
      </c>
      <c r="C52" s="7">
        <v>490125</v>
      </c>
      <c r="D52" s="8">
        <v>5.4</v>
      </c>
      <c r="E52" s="8">
        <v>3.39E-2</v>
      </c>
      <c r="F52" s="45">
        <v>0.93044278898468247</v>
      </c>
      <c r="G52" s="7" t="s">
        <v>31</v>
      </c>
      <c r="H52" s="46">
        <v>16.288549572749304</v>
      </c>
      <c r="I52" s="47">
        <v>3258.5243420284978</v>
      </c>
      <c r="J52" s="46">
        <v>1.4801867425246469</v>
      </c>
      <c r="K52" s="47">
        <v>179.84268921674459</v>
      </c>
      <c r="L52" s="46">
        <v>2.1017401393698396</v>
      </c>
      <c r="M52" s="47">
        <f t="shared" si="0"/>
        <v>821.78039449360722</v>
      </c>
      <c r="N52" s="49">
        <v>9.1453750069714737</v>
      </c>
      <c r="O52" s="47">
        <f t="shared" si="1"/>
        <v>2101.6071766020445</v>
      </c>
      <c r="P52" s="72">
        <f t="shared" si="2"/>
        <v>3.0682323528057238</v>
      </c>
      <c r="Q52" s="62">
        <f t="shared" si="3"/>
        <v>29.015851461615263</v>
      </c>
      <c r="R52" s="49">
        <v>87.665787693414885</v>
      </c>
      <c r="S52" s="46">
        <v>0.36111838790931988</v>
      </c>
      <c r="T52" s="46">
        <v>2.5794170564951417</v>
      </c>
      <c r="U52" s="46">
        <v>49.008924073407698</v>
      </c>
      <c r="V52" s="48">
        <v>10.847679820252374</v>
      </c>
      <c r="W52" s="73">
        <v>2.1721946020386538</v>
      </c>
      <c r="X52" s="73">
        <v>3.7361747155064844</v>
      </c>
      <c r="Y52" s="46">
        <v>3.2902234257194927</v>
      </c>
      <c r="Z52" s="46">
        <v>26.137777452509869</v>
      </c>
      <c r="AA52" s="46">
        <v>70.571999121770631</v>
      </c>
    </row>
    <row r="53" spans="1:27" x14ac:dyDescent="0.2">
      <c r="A53" s="7">
        <v>50</v>
      </c>
      <c r="B53" s="7" t="s">
        <v>81</v>
      </c>
      <c r="C53" s="7">
        <v>490125</v>
      </c>
      <c r="D53" s="8">
        <v>5.13</v>
      </c>
      <c r="E53" s="8">
        <v>3.39E-2</v>
      </c>
      <c r="F53" s="45">
        <v>0.98415657036346715</v>
      </c>
      <c r="G53" s="7" t="s">
        <v>31</v>
      </c>
      <c r="H53" s="46">
        <v>19.349352620313155</v>
      </c>
      <c r="I53" s="47">
        <v>3870.8379916936465</v>
      </c>
      <c r="J53" s="46">
        <v>1.7617949037702121</v>
      </c>
      <c r="K53" s="47">
        <v>214.05808080808077</v>
      </c>
      <c r="L53" s="46">
        <v>2.4359182524234506</v>
      </c>
      <c r="M53" s="47">
        <f t="shared" si="0"/>
        <v>952.44403669756923</v>
      </c>
      <c r="N53" s="49">
        <v>13.062995234354974</v>
      </c>
      <c r="O53" s="47">
        <f t="shared" si="1"/>
        <v>3001.876304854773</v>
      </c>
      <c r="P53" s="72">
        <f t="shared" si="2"/>
        <v>4.0207016296500688</v>
      </c>
      <c r="Q53" s="62">
        <f t="shared" si="3"/>
        <v>36.610061010861791</v>
      </c>
      <c r="R53" s="49">
        <v>94.846696969696936</v>
      </c>
      <c r="S53" s="46">
        <v>0.41456818181818172</v>
      </c>
      <c r="T53" s="46">
        <v>2.6012121212121206</v>
      </c>
      <c r="U53" s="46">
        <v>45.683787878787868</v>
      </c>
      <c r="V53" s="48">
        <v>11.099447458359068</v>
      </c>
      <c r="W53" s="73">
        <v>1.5442257774508426</v>
      </c>
      <c r="X53" s="73">
        <v>2.6560683372154492</v>
      </c>
      <c r="Y53" s="48">
        <v>9.533083746229428</v>
      </c>
      <c r="Z53" s="48">
        <v>22.553659545696995</v>
      </c>
      <c r="AA53" s="48">
        <v>67.913256708073575</v>
      </c>
    </row>
    <row r="54" spans="1:27" x14ac:dyDescent="0.2">
      <c r="A54" s="7">
        <v>19</v>
      </c>
      <c r="B54" s="7" t="s">
        <v>81</v>
      </c>
      <c r="C54" s="7">
        <v>490299</v>
      </c>
      <c r="D54" s="8">
        <v>4.7699999999999996</v>
      </c>
      <c r="E54" s="8">
        <v>1.567E-2</v>
      </c>
      <c r="F54" s="45">
        <v>0.94332470414201175</v>
      </c>
      <c r="G54" s="7" t="s">
        <v>31</v>
      </c>
      <c r="H54" s="46">
        <v>4.7531277962207001</v>
      </c>
      <c r="I54" s="47">
        <v>950.86321563395109</v>
      </c>
      <c r="J54" s="46">
        <v>0.41862079041566225</v>
      </c>
      <c r="K54" s="47">
        <v>50.862426035502963</v>
      </c>
      <c r="L54" s="46">
        <v>1.4167847716923987</v>
      </c>
      <c r="M54" s="47">
        <f t="shared" si="0"/>
        <v>553.96284573172795</v>
      </c>
      <c r="N54" s="46">
        <v>9.0479210505440424</v>
      </c>
      <c r="O54" s="47">
        <f t="shared" si="1"/>
        <v>2079.2122574150208</v>
      </c>
      <c r="P54" s="72">
        <f t="shared" si="2"/>
        <v>5.6265877718052959</v>
      </c>
      <c r="Q54" s="62">
        <f t="shared" si="3"/>
        <v>15.636454408872805</v>
      </c>
      <c r="R54" s="46">
        <v>65.250066843085378</v>
      </c>
      <c r="S54" s="49">
        <v>0.18233382338527884</v>
      </c>
      <c r="T54" s="49">
        <v>1.5265157306674508</v>
      </c>
      <c r="U54" s="49">
        <v>56.141856316769591</v>
      </c>
      <c r="V54" s="73">
        <v>5.6093608084862305</v>
      </c>
      <c r="W54" s="48">
        <v>1.1897408654579702</v>
      </c>
      <c r="X54" s="48">
        <v>2.0463542885877088</v>
      </c>
      <c r="Y54" s="48">
        <v>3.3049355196608912</v>
      </c>
      <c r="Z54" s="48">
        <v>12.926603356844272</v>
      </c>
      <c r="AA54" s="48">
        <v>83.768461123494831</v>
      </c>
    </row>
    <row r="55" spans="1:27" x14ac:dyDescent="0.2">
      <c r="A55" s="7">
        <v>33</v>
      </c>
      <c r="B55" s="7" t="s">
        <v>81</v>
      </c>
      <c r="C55" s="7">
        <v>490299</v>
      </c>
      <c r="D55" s="8">
        <v>5.08</v>
      </c>
      <c r="E55" s="8">
        <v>1.78E-2</v>
      </c>
      <c r="F55" s="45">
        <v>0.95682944090587385</v>
      </c>
      <c r="G55" s="7" t="s">
        <v>31</v>
      </c>
      <c r="H55" s="46">
        <v>2.5688543065413389</v>
      </c>
      <c r="I55" s="47">
        <v>513.89930402359482</v>
      </c>
      <c r="J55" s="46">
        <v>0.44206369277063817</v>
      </c>
      <c r="K55" s="47">
        <v>53.710738671632541</v>
      </c>
      <c r="L55" s="46">
        <v>1.3680889195237278</v>
      </c>
      <c r="M55" s="47">
        <f t="shared" si="0"/>
        <v>534.92276753377757</v>
      </c>
      <c r="N55" s="46">
        <v>8.3819760518393522</v>
      </c>
      <c r="O55" s="47">
        <f t="shared" si="1"/>
        <v>1926.1780967126831</v>
      </c>
      <c r="P55" s="72">
        <f t="shared" si="2"/>
        <v>6.8314351432561544</v>
      </c>
      <c r="Q55" s="62">
        <f t="shared" si="3"/>
        <v>12.760982970675059</v>
      </c>
      <c r="R55" s="46">
        <v>62.623491124260369</v>
      </c>
      <c r="S55" s="49">
        <v>6.6887573964497057E-2</v>
      </c>
      <c r="T55" s="49">
        <v>2.0066272189349115</v>
      </c>
      <c r="U55" s="49">
        <v>17.223550295857994</v>
      </c>
      <c r="V55" s="73">
        <v>2.8151671531186855</v>
      </c>
      <c r="W55" s="48">
        <v>1.2708316302364215</v>
      </c>
      <c r="X55" s="48">
        <v>2.1858304040066452</v>
      </c>
      <c r="Y55" s="48">
        <v>4.1850107766337183</v>
      </c>
      <c r="Z55" s="48">
        <v>13.585707427191496</v>
      </c>
      <c r="AA55" s="48">
        <v>82.229281796174789</v>
      </c>
    </row>
    <row r="56" spans="1:27" x14ac:dyDescent="0.2">
      <c r="A56" s="7">
        <v>18</v>
      </c>
      <c r="B56" s="7" t="s">
        <v>81</v>
      </c>
      <c r="C56" s="7">
        <v>490300</v>
      </c>
      <c r="D56" s="8">
        <v>5.1100000000000003</v>
      </c>
      <c r="E56" s="8">
        <v>2.6100000000000002E-2</v>
      </c>
      <c r="F56" s="45">
        <v>0.98246232484357099</v>
      </c>
      <c r="G56" s="7" t="s">
        <v>31</v>
      </c>
      <c r="H56" s="49">
        <v>16.332473183298642</v>
      </c>
      <c r="I56" s="47">
        <v>3267.3112603188933</v>
      </c>
      <c r="J56" s="46">
        <v>1.5873474819384759</v>
      </c>
      <c r="K56" s="47">
        <v>192.86271905552482</v>
      </c>
      <c r="L56" s="46">
        <v>2.5733779521309628</v>
      </c>
      <c r="M56" s="47">
        <f t="shared" si="0"/>
        <v>1006.1907792832064</v>
      </c>
      <c r="N56" s="49">
        <v>9.6566779787933861</v>
      </c>
      <c r="O56" s="47">
        <f t="shared" si="1"/>
        <v>2219.1045995267204</v>
      </c>
      <c r="P56" s="72">
        <f t="shared" si="2"/>
        <v>3.2260858293008705</v>
      </c>
      <c r="Q56" s="63">
        <f t="shared" si="3"/>
        <v>30.149876596161469</v>
      </c>
      <c r="R56" s="49">
        <v>72.650114101184073</v>
      </c>
      <c r="S56" s="49">
        <v>0.35014065303193392</v>
      </c>
      <c r="T56" s="49">
        <v>2.1171295299605313</v>
      </c>
      <c r="U56" s="49">
        <v>79.96235378543237</v>
      </c>
      <c r="V56" s="73">
        <v>3.045149436490354</v>
      </c>
      <c r="W56" s="48">
        <v>2.1203912622781078</v>
      </c>
      <c r="X56" s="48">
        <v>3.6470729711183454</v>
      </c>
      <c r="Y56" s="48">
        <v>7.0236361599621375</v>
      </c>
      <c r="Z56" s="48">
        <v>24.440665193440253</v>
      </c>
      <c r="AA56" s="48">
        <v>68.535698646597609</v>
      </c>
    </row>
    <row r="57" spans="1:27" x14ac:dyDescent="0.2">
      <c r="A57" s="7">
        <v>41</v>
      </c>
      <c r="B57" s="7" t="s">
        <v>81</v>
      </c>
      <c r="C57" s="7">
        <v>490300</v>
      </c>
      <c r="D57" s="8">
        <v>5.16</v>
      </c>
      <c r="E57" s="8">
        <v>2.9899999999999999E-2</v>
      </c>
      <c r="F57" s="45">
        <v>0.95750317931326845</v>
      </c>
      <c r="G57" s="7" t="s">
        <v>31</v>
      </c>
      <c r="H57" s="49">
        <v>9.4375183922629304</v>
      </c>
      <c r="I57" s="47">
        <v>1887.9755543721992</v>
      </c>
      <c r="J57" s="46">
        <v>0.84332214578463705</v>
      </c>
      <c r="K57" s="47">
        <v>102.4636407128334</v>
      </c>
      <c r="L57" s="46">
        <v>2.4044612007946871</v>
      </c>
      <c r="M57" s="47">
        <f t="shared" si="0"/>
        <v>940.14432951072263</v>
      </c>
      <c r="N57" s="49">
        <v>27.379025589647313</v>
      </c>
      <c r="O57" s="47">
        <f t="shared" si="1"/>
        <v>6291.700080500952</v>
      </c>
      <c r="P57" s="72">
        <f t="shared" si="2"/>
        <v>12.075876809981132</v>
      </c>
      <c r="Q57" s="63">
        <f t="shared" si="3"/>
        <v>40.064327328489568</v>
      </c>
      <c r="R57" s="49">
        <v>124.39018749308245</v>
      </c>
      <c r="S57" s="49">
        <v>0.18381140011068064</v>
      </c>
      <c r="T57" s="49">
        <v>3.0078229109020471</v>
      </c>
      <c r="U57" s="49">
        <v>64.166888765910343</v>
      </c>
      <c r="V57" s="73">
        <v>14.577419847420343</v>
      </c>
      <c r="W57" s="48">
        <v>2.0744825939079323</v>
      </c>
      <c r="X57" s="48">
        <v>3.5681100615216437</v>
      </c>
      <c r="Y57" s="48">
        <v>7.6315710167058777</v>
      </c>
      <c r="Z57" s="48">
        <v>23.456256843498796</v>
      </c>
      <c r="AA57" s="48">
        <v>68.912172139795331</v>
      </c>
    </row>
    <row r="58" spans="1:27" x14ac:dyDescent="0.2">
      <c r="A58" s="7">
        <v>56</v>
      </c>
      <c r="B58" s="7" t="s">
        <v>81</v>
      </c>
      <c r="C58" s="7">
        <v>490525</v>
      </c>
      <c r="D58" s="8">
        <v>5.25</v>
      </c>
      <c r="E58" s="8">
        <v>2.1999999999999999E-2</v>
      </c>
      <c r="F58" s="45">
        <v>0.98778061949417451</v>
      </c>
      <c r="G58" s="7" t="s">
        <v>31</v>
      </c>
      <c r="H58" s="46">
        <v>3.8427375720970383</v>
      </c>
      <c r="I58" s="47">
        <v>768.73965129801252</v>
      </c>
      <c r="J58" s="46">
        <v>0.73323956868260665</v>
      </c>
      <c r="K58" s="47">
        <v>89.088607594936704</v>
      </c>
      <c r="L58" s="74">
        <v>1.5191583613050883</v>
      </c>
      <c r="M58" s="47">
        <f t="shared" si="0"/>
        <v>593.99091927028951</v>
      </c>
      <c r="N58" s="46">
        <v>11.703313534026069</v>
      </c>
      <c r="O58" s="47">
        <f t="shared" si="1"/>
        <v>2689.4214501191909</v>
      </c>
      <c r="P58" s="66">
        <f t="shared" si="2"/>
        <v>7.737166000306833</v>
      </c>
      <c r="Q58" s="62">
        <f t="shared" si="3"/>
        <v>17.798449036110803</v>
      </c>
      <c r="R58" s="74">
        <v>44.625293440736478</v>
      </c>
      <c r="S58" s="74">
        <v>8.0989643268124287E-2</v>
      </c>
      <c r="T58" s="46">
        <v>2.5916685845799772</v>
      </c>
      <c r="U58" s="46">
        <v>73.538596087456853</v>
      </c>
      <c r="V58" s="48">
        <v>22.369008257015143</v>
      </c>
      <c r="W58" s="73">
        <v>2.1102816617016011</v>
      </c>
      <c r="X58" s="73">
        <v>3.629684458126754</v>
      </c>
      <c r="Y58" s="48">
        <v>4.7564849400392699</v>
      </c>
      <c r="Z58" s="48">
        <v>16.917234885720529</v>
      </c>
      <c r="AA58" s="48">
        <v>78.32628017424021</v>
      </c>
    </row>
    <row r="59" spans="1:27" x14ac:dyDescent="0.2">
      <c r="A59" s="7">
        <v>47</v>
      </c>
      <c r="B59" s="7" t="s">
        <v>81</v>
      </c>
      <c r="C59" s="7">
        <v>490813</v>
      </c>
      <c r="D59" s="8">
        <v>5.05</v>
      </c>
      <c r="E59" s="8">
        <v>2.4199999999999999E-2</v>
      </c>
      <c r="F59" s="45">
        <v>0.98995026937422292</v>
      </c>
      <c r="G59" s="7" t="s">
        <v>31</v>
      </c>
      <c r="H59" s="46">
        <v>3.584558082621875</v>
      </c>
      <c r="I59" s="47">
        <v>717.0908444285061</v>
      </c>
      <c r="J59" s="46">
        <v>0.59860844622749387</v>
      </c>
      <c r="K59" s="47">
        <v>72.730926216640512</v>
      </c>
      <c r="L59" s="74">
        <v>2.6286744368075539</v>
      </c>
      <c r="M59" s="47">
        <f t="shared" si="0"/>
        <v>1027.8117047917535</v>
      </c>
      <c r="N59" s="46">
        <v>10.435715880181364</v>
      </c>
      <c r="O59" s="47">
        <f t="shared" si="1"/>
        <v>2398.1275092656774</v>
      </c>
      <c r="P59" s="66">
        <f t="shared" si="2"/>
        <v>7.2158029927853971</v>
      </c>
      <c r="Q59" s="62">
        <f t="shared" si="3"/>
        <v>17.24755684583829</v>
      </c>
      <c r="R59" s="74">
        <v>37.609970068027209</v>
      </c>
      <c r="S59" s="74">
        <v>0.18586792255363682</v>
      </c>
      <c r="T59" s="46">
        <v>2.42436420722135</v>
      </c>
      <c r="U59" s="46">
        <v>40.08282155939299</v>
      </c>
      <c r="V59" s="48">
        <v>12.120728772385256</v>
      </c>
      <c r="W59" s="73">
        <v>0.73076454760193066</v>
      </c>
      <c r="X59" s="73">
        <v>1.2569150218753207</v>
      </c>
      <c r="Y59" s="48">
        <v>3.0427322659574285</v>
      </c>
      <c r="Z59" s="48">
        <v>9.9495416104029566</v>
      </c>
      <c r="AA59" s="48">
        <v>87.0077261236396</v>
      </c>
    </row>
    <row r="60" spans="1:27" x14ac:dyDescent="0.2">
      <c r="H60">
        <v>55.679548365637118</v>
      </c>
      <c r="I60">
        <v>11138.693650545703</v>
      </c>
      <c r="J60">
        <v>3.964728407494436</v>
      </c>
      <c r="K60">
        <v>481.714501510574</v>
      </c>
    </row>
    <row r="61" spans="1:27" x14ac:dyDescent="0.2">
      <c r="H61">
        <v>54.744304241317579</v>
      </c>
      <c r="I61">
        <v>10951.59806347558</v>
      </c>
      <c r="J61">
        <v>3.2405969628977385</v>
      </c>
      <c r="K61">
        <v>393.73253099207523</v>
      </c>
    </row>
    <row r="62" spans="1:27" x14ac:dyDescent="0.2">
      <c r="H62">
        <v>57.625799893911093</v>
      </c>
      <c r="I62">
        <v>11528.041268776913</v>
      </c>
      <c r="J62">
        <v>3.2318500494037123</v>
      </c>
      <c r="K62">
        <v>392.66978100255108</v>
      </c>
    </row>
    <row r="63" spans="1:27" x14ac:dyDescent="0.2">
      <c r="H63">
        <v>56.582669615426873</v>
      </c>
      <c r="I63">
        <v>11319.363056566146</v>
      </c>
      <c r="J63">
        <v>3.1333572918428327</v>
      </c>
      <c r="K63">
        <v>380.70291095890417</v>
      </c>
    </row>
    <row r="64" spans="1:27" x14ac:dyDescent="0.2">
      <c r="H64">
        <v>58.79874060717836</v>
      </c>
      <c r="I64">
        <v>11762.68805846603</v>
      </c>
      <c r="J64">
        <v>3.8431327872525469</v>
      </c>
      <c r="K64">
        <v>466.94063365118444</v>
      </c>
    </row>
    <row r="65" spans="8:11" x14ac:dyDescent="0.2">
      <c r="H65">
        <v>55.095261845386531</v>
      </c>
      <c r="I65">
        <v>11021.807132169575</v>
      </c>
      <c r="J65">
        <v>4.2178220079112654</v>
      </c>
      <c r="K65">
        <v>512.46537396121869</v>
      </c>
    </row>
    <row r="66" spans="8:11" x14ac:dyDescent="0.2">
      <c r="H66">
        <v>57.724197461914116</v>
      </c>
      <c r="I66">
        <v>11547.725702255919</v>
      </c>
      <c r="J66">
        <v>5.1235782230317746</v>
      </c>
      <c r="K66">
        <v>622.51475409836064</v>
      </c>
    </row>
    <row r="67" spans="8:11" x14ac:dyDescent="0.2">
      <c r="H67">
        <v>57.750943315997944</v>
      </c>
      <c r="I67">
        <v>11553.076210365389</v>
      </c>
      <c r="J67">
        <v>4.3350554232231069</v>
      </c>
      <c r="K67">
        <v>526.70923392160751</v>
      </c>
    </row>
    <row r="68" spans="8:11" x14ac:dyDescent="0.2">
      <c r="H68">
        <v>55.90189343198918</v>
      </c>
      <c r="I68">
        <v>11183.173781069436</v>
      </c>
      <c r="J68">
        <v>4.7667429569169197</v>
      </c>
      <c r="K68">
        <v>579.15926926540578</v>
      </c>
    </row>
    <row r="69" spans="8:11" x14ac:dyDescent="0.2">
      <c r="H69">
        <v>75.070253967407311</v>
      </c>
      <c r="I69">
        <v>15017.804306179833</v>
      </c>
      <c r="J69">
        <v>4.2237338536981541</v>
      </c>
      <c r="K69">
        <v>513.18366322432576</v>
      </c>
    </row>
    <row r="70" spans="8:11" x14ac:dyDescent="0.2">
      <c r="H70">
        <v>60.999428730770894</v>
      </c>
      <c r="I70">
        <v>12202.935717590717</v>
      </c>
      <c r="J70">
        <v>2.8818247204284391</v>
      </c>
      <c r="K70">
        <v>350.14170353205537</v>
      </c>
    </row>
    <row r="71" spans="8:11" x14ac:dyDescent="0.2">
      <c r="H71">
        <v>47.466441147446837</v>
      </c>
      <c r="I71">
        <v>9495.6615515467383</v>
      </c>
      <c r="J71">
        <v>2.9325079161774652</v>
      </c>
      <c r="K71">
        <v>356.29971181556198</v>
      </c>
    </row>
    <row r="72" spans="8:11" x14ac:dyDescent="0.2">
      <c r="H72">
        <v>68.256390825057494</v>
      </c>
      <c r="I72">
        <v>13654.690984552752</v>
      </c>
      <c r="J72">
        <v>3.39178641000206</v>
      </c>
      <c r="K72">
        <v>412.10204881525033</v>
      </c>
    </row>
    <row r="73" spans="8:11" x14ac:dyDescent="0.2">
      <c r="H73">
        <v>62.838349477041483</v>
      </c>
      <c r="I73">
        <v>12570.811812882148</v>
      </c>
      <c r="J73">
        <v>4.0056093361673692</v>
      </c>
      <c r="K73">
        <v>486.68153434433532</v>
      </c>
    </row>
    <row r="74" spans="8:11" x14ac:dyDescent="0.2">
      <c r="H74">
        <v>56.614546525552754</v>
      </c>
      <c r="I74">
        <v>11325.740032436826</v>
      </c>
      <c r="J74">
        <v>3.8915732274143378</v>
      </c>
      <c r="K74">
        <v>472.82614713084206</v>
      </c>
    </row>
    <row r="75" spans="8:11" x14ac:dyDescent="0.2">
      <c r="H75">
        <v>73.771051330414565</v>
      </c>
      <c r="I75">
        <v>14757.898818649432</v>
      </c>
      <c r="J75">
        <v>4.5765805947301095</v>
      </c>
      <c r="K75">
        <v>556.05454225970834</v>
      </c>
    </row>
    <row r="76" spans="8:11" x14ac:dyDescent="0.2">
      <c r="H76">
        <v>52.473391033004788</v>
      </c>
      <c r="I76">
        <v>10497.301876152607</v>
      </c>
      <c r="J76">
        <v>4.2093821547226877</v>
      </c>
      <c r="K76">
        <v>511.43993179880658</v>
      </c>
    </row>
    <row r="77" spans="8:11" x14ac:dyDescent="0.2">
      <c r="H77">
        <v>111.35549982825688</v>
      </c>
      <c r="I77">
        <v>22276.667740642788</v>
      </c>
      <c r="J77">
        <v>4.2864987022727501</v>
      </c>
      <c r="K77">
        <v>520.80959232613918</v>
      </c>
    </row>
    <row r="78" spans="8:11" x14ac:dyDescent="0.2">
      <c r="H78">
        <v>69.486329664844703</v>
      </c>
      <c r="I78">
        <v>13900.740249452183</v>
      </c>
      <c r="J78">
        <v>3.576877252227558</v>
      </c>
      <c r="K78">
        <v>434.59058614564833</v>
      </c>
    </row>
    <row r="79" spans="8:11" x14ac:dyDescent="0.2">
      <c r="H79">
        <v>65.564247019845268</v>
      </c>
      <c r="I79">
        <v>13116.127616320045</v>
      </c>
      <c r="J79">
        <v>3.7624278155481909</v>
      </c>
      <c r="K79">
        <v>457.13497958910523</v>
      </c>
    </row>
    <row r="80" spans="8:11" x14ac:dyDescent="0.2">
      <c r="H80">
        <v>61.45376861909763</v>
      </c>
      <c r="I80">
        <v>12293.826412250481</v>
      </c>
      <c r="J80">
        <v>2.9724849474418304</v>
      </c>
      <c r="K80">
        <v>361.15692111418241</v>
      </c>
    </row>
    <row r="81" spans="8:11" x14ac:dyDescent="0.2">
      <c r="H81">
        <v>90.162207676152448</v>
      </c>
      <c r="I81">
        <v>18036.949645614299</v>
      </c>
      <c r="J81">
        <v>4.3626102292768962</v>
      </c>
      <c r="K81">
        <v>530.05714285714294</v>
      </c>
    </row>
    <row r="82" spans="8:11" x14ac:dyDescent="0.2">
      <c r="H82">
        <v>57.536506380297034</v>
      </c>
      <c r="I82">
        <v>11510.178101378422</v>
      </c>
      <c r="J82">
        <v>3.5226781512774132</v>
      </c>
      <c r="K82">
        <v>428.00539538020575</v>
      </c>
    </row>
    <row r="83" spans="8:11" x14ac:dyDescent="0.2">
      <c r="H83">
        <v>66.670320114660441</v>
      </c>
      <c r="I83">
        <v>13337.397538937821</v>
      </c>
      <c r="J83">
        <v>3.6070508727117927</v>
      </c>
      <c r="K83">
        <v>438.25668103448277</v>
      </c>
    </row>
    <row r="84" spans="8:11" x14ac:dyDescent="0.2">
      <c r="H84">
        <v>64.304805577045272</v>
      </c>
      <c r="I84">
        <v>12864.176355687905</v>
      </c>
      <c r="J84">
        <v>3.1628151665513773</v>
      </c>
      <c r="K84">
        <v>384.28204273599238</v>
      </c>
    </row>
    <row r="85" spans="8:11" x14ac:dyDescent="0.2">
      <c r="H85">
        <v>52.359928367287026</v>
      </c>
      <c r="I85">
        <v>10474.603669875769</v>
      </c>
      <c r="J85">
        <v>3.2348978859121393</v>
      </c>
      <c r="K85">
        <v>393.04009313832495</v>
      </c>
    </row>
    <row r="86" spans="8:11" x14ac:dyDescent="0.2">
      <c r="H86">
        <v>52.358096883774834</v>
      </c>
      <c r="I86">
        <v>10474.237281599155</v>
      </c>
      <c r="J86">
        <v>3.808121214533537</v>
      </c>
      <c r="K86">
        <v>462.68672756582475</v>
      </c>
    </row>
    <row r="87" spans="8:11" x14ac:dyDescent="0.2">
      <c r="H87">
        <v>64.076170476065485</v>
      </c>
      <c r="I87">
        <v>12818.4379037369</v>
      </c>
      <c r="J87">
        <v>3.6319672980062183</v>
      </c>
      <c r="K87">
        <v>441.28402670775557</v>
      </c>
    </row>
    <row r="88" spans="8:11" x14ac:dyDescent="0.2">
      <c r="H88">
        <v>68.456640913707204</v>
      </c>
      <c r="I88">
        <v>13694.751014787125</v>
      </c>
      <c r="J88">
        <v>3.8046499797247963</v>
      </c>
      <c r="K88">
        <v>462.26497253656277</v>
      </c>
    </row>
    <row r="89" spans="8:11" x14ac:dyDescent="0.2">
      <c r="H89">
        <v>48.913862228855209</v>
      </c>
      <c r="I89">
        <v>9785.2181388824847</v>
      </c>
      <c r="J89">
        <v>3.554978933125819</v>
      </c>
      <c r="K89">
        <v>431.92994037478707</v>
      </c>
    </row>
    <row r="90" spans="8:11" x14ac:dyDescent="0.2">
      <c r="H90">
        <v>91.992078325267528</v>
      </c>
      <c r="I90">
        <v>18403.015268969768</v>
      </c>
      <c r="J90">
        <v>3.9106861028406223</v>
      </c>
      <c r="K90">
        <v>475.14836149513565</v>
      </c>
    </row>
    <row r="91" spans="8:11" x14ac:dyDescent="0.2">
      <c r="H91">
        <v>88.454073172380774</v>
      </c>
      <c r="I91">
        <v>17695.237338134772</v>
      </c>
      <c r="J91">
        <v>3.9991134929313072</v>
      </c>
      <c r="K91">
        <v>485.89228939115389</v>
      </c>
    </row>
    <row r="92" spans="8:11" x14ac:dyDescent="0.2">
      <c r="H92">
        <v>55.764965180409966</v>
      </c>
      <c r="I92">
        <v>11155.781284341012</v>
      </c>
      <c r="J92">
        <v>4.5257820531863153</v>
      </c>
      <c r="K92">
        <v>549.88251946213734</v>
      </c>
    </row>
    <row r="93" spans="8:11" x14ac:dyDescent="0.2">
      <c r="H93">
        <v>79.565530379367416</v>
      </c>
      <c r="I93">
        <v>15917.08435239245</v>
      </c>
      <c r="J93">
        <v>4.623715109131826</v>
      </c>
      <c r="K93">
        <v>561.78138575951687</v>
      </c>
    </row>
    <row r="94" spans="8:11" x14ac:dyDescent="0.2">
      <c r="H94">
        <v>48.478484639465172</v>
      </c>
      <c r="I94">
        <v>9698.1208521250082</v>
      </c>
      <c r="J94">
        <v>4.182286266460709</v>
      </c>
      <c r="K94">
        <v>508.1477813749762</v>
      </c>
    </row>
    <row r="95" spans="8:11" x14ac:dyDescent="0.2">
      <c r="H95">
        <v>73.10107146648383</v>
      </c>
      <c r="I95">
        <v>14623.869346870089</v>
      </c>
      <c r="J95">
        <v>3.9008557886310666</v>
      </c>
      <c r="K95">
        <v>473.95397831867461</v>
      </c>
    </row>
  </sheetData>
  <autoFilter ref="A1:AA59" xr:uid="{F9E920C6-FA44-4737-969C-32B372F42B07}">
    <sortState xmlns:xlrd2="http://schemas.microsoft.com/office/spreadsheetml/2017/richdata2" ref="A2:AA59">
      <sortCondition ref="C1:C59"/>
    </sortState>
  </autoFilter>
  <pageMargins left="0.511811024" right="0.511811024" top="0.78740157499999996" bottom="0.78740157499999996" header="0.31496062000000002" footer="0.31496062000000002"/>
  <pageSetup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035E6-49A5-4FCE-941F-9B4D6EEFF8B4}">
  <dimension ref="A1:BU98"/>
  <sheetViews>
    <sheetView workbookViewId="0">
      <pane xSplit="1" topLeftCell="M1" activePane="topRight" state="frozen"/>
      <selection activeCell="A55" sqref="A55"/>
      <selection pane="topRight" activeCell="O2" sqref="O2"/>
    </sheetView>
  </sheetViews>
  <sheetFormatPr defaultColWidth="11.42578125" defaultRowHeight="12.75" x14ac:dyDescent="0.2"/>
  <cols>
    <col min="1" max="5" width="11.42578125" style="7" customWidth="1"/>
    <col min="6" max="10" width="11.42578125" customWidth="1"/>
    <col min="11" max="11" width="15.5703125" customWidth="1"/>
    <col min="12" max="42" width="11.42578125" customWidth="1"/>
    <col min="43" max="44" width="16" bestFit="1" customWidth="1"/>
    <col min="300" max="301" width="16" bestFit="1" customWidth="1"/>
    <col min="556" max="557" width="16" bestFit="1" customWidth="1"/>
    <col min="812" max="813" width="16" bestFit="1" customWidth="1"/>
    <col min="1068" max="1069" width="16" bestFit="1" customWidth="1"/>
    <col min="1324" max="1325" width="16" bestFit="1" customWidth="1"/>
    <col min="1580" max="1581" width="16" bestFit="1" customWidth="1"/>
    <col min="1836" max="1837" width="16" bestFit="1" customWidth="1"/>
    <col min="2092" max="2093" width="16" bestFit="1" customWidth="1"/>
    <col min="2348" max="2349" width="16" bestFit="1" customWidth="1"/>
    <col min="2604" max="2605" width="16" bestFit="1" customWidth="1"/>
    <col min="2860" max="2861" width="16" bestFit="1" customWidth="1"/>
    <col min="3116" max="3117" width="16" bestFit="1" customWidth="1"/>
    <col min="3372" max="3373" width="16" bestFit="1" customWidth="1"/>
    <col min="3628" max="3629" width="16" bestFit="1" customWidth="1"/>
    <col min="3884" max="3885" width="16" bestFit="1" customWidth="1"/>
    <col min="4140" max="4141" width="16" bestFit="1" customWidth="1"/>
    <col min="4396" max="4397" width="16" bestFit="1" customWidth="1"/>
    <col min="4652" max="4653" width="16" bestFit="1" customWidth="1"/>
    <col min="4908" max="4909" width="16" bestFit="1" customWidth="1"/>
    <col min="5164" max="5165" width="16" bestFit="1" customWidth="1"/>
    <col min="5420" max="5421" width="16" bestFit="1" customWidth="1"/>
    <col min="5676" max="5677" width="16" bestFit="1" customWidth="1"/>
    <col min="5932" max="5933" width="16" bestFit="1" customWidth="1"/>
    <col min="6188" max="6189" width="16" bestFit="1" customWidth="1"/>
    <col min="6444" max="6445" width="16" bestFit="1" customWidth="1"/>
    <col min="6700" max="6701" width="16" bestFit="1" customWidth="1"/>
    <col min="6956" max="6957" width="16" bestFit="1" customWidth="1"/>
    <col min="7212" max="7213" width="16" bestFit="1" customWidth="1"/>
    <col min="7468" max="7469" width="16" bestFit="1" customWidth="1"/>
    <col min="7724" max="7725" width="16" bestFit="1" customWidth="1"/>
    <col min="7980" max="7981" width="16" bestFit="1" customWidth="1"/>
    <col min="8236" max="8237" width="16" bestFit="1" customWidth="1"/>
    <col min="8492" max="8493" width="16" bestFit="1" customWidth="1"/>
    <col min="8748" max="8749" width="16" bestFit="1" customWidth="1"/>
    <col min="9004" max="9005" width="16" bestFit="1" customWidth="1"/>
    <col min="9260" max="9261" width="16" bestFit="1" customWidth="1"/>
    <col min="9516" max="9517" width="16" bestFit="1" customWidth="1"/>
    <col min="9772" max="9773" width="16" bestFit="1" customWidth="1"/>
    <col min="10028" max="10029" width="16" bestFit="1" customWidth="1"/>
    <col min="10284" max="10285" width="16" bestFit="1" customWidth="1"/>
    <col min="10540" max="10541" width="16" bestFit="1" customWidth="1"/>
    <col min="10796" max="10797" width="16" bestFit="1" customWidth="1"/>
    <col min="11052" max="11053" width="16" bestFit="1" customWidth="1"/>
    <col min="11308" max="11309" width="16" bestFit="1" customWidth="1"/>
    <col min="11564" max="11565" width="16" bestFit="1" customWidth="1"/>
    <col min="11820" max="11821" width="16" bestFit="1" customWidth="1"/>
    <col min="12076" max="12077" width="16" bestFit="1" customWidth="1"/>
    <col min="12332" max="12333" width="16" bestFit="1" customWidth="1"/>
    <col min="12588" max="12589" width="16" bestFit="1" customWidth="1"/>
    <col min="12844" max="12845" width="16" bestFit="1" customWidth="1"/>
    <col min="13100" max="13101" width="16" bestFit="1" customWidth="1"/>
    <col min="13356" max="13357" width="16" bestFit="1" customWidth="1"/>
    <col min="13612" max="13613" width="16" bestFit="1" customWidth="1"/>
    <col min="13868" max="13869" width="16" bestFit="1" customWidth="1"/>
    <col min="14124" max="14125" width="16" bestFit="1" customWidth="1"/>
    <col min="14380" max="14381" width="16" bestFit="1" customWidth="1"/>
    <col min="14636" max="14637" width="16" bestFit="1" customWidth="1"/>
    <col min="14892" max="14893" width="16" bestFit="1" customWidth="1"/>
    <col min="15148" max="15149" width="16" bestFit="1" customWidth="1"/>
    <col min="15404" max="15405" width="16" bestFit="1" customWidth="1"/>
    <col min="15660" max="15661" width="16" bestFit="1" customWidth="1"/>
    <col min="15916" max="15917" width="16" bestFit="1" customWidth="1"/>
    <col min="16172" max="16173" width="16" bestFit="1" customWidth="1"/>
  </cols>
  <sheetData>
    <row r="1" spans="1:73" ht="51" x14ac:dyDescent="0.2">
      <c r="A1" s="1" t="s">
        <v>0</v>
      </c>
      <c r="B1" s="1" t="s">
        <v>75</v>
      </c>
      <c r="C1" s="1" t="s">
        <v>74</v>
      </c>
      <c r="D1" s="2" t="s">
        <v>1</v>
      </c>
      <c r="E1" s="2" t="s">
        <v>105</v>
      </c>
      <c r="F1" s="17" t="s">
        <v>33</v>
      </c>
      <c r="G1" s="33" t="s">
        <v>34</v>
      </c>
      <c r="H1" s="17" t="s">
        <v>35</v>
      </c>
      <c r="I1" s="33" t="s">
        <v>36</v>
      </c>
      <c r="J1" s="17"/>
      <c r="K1" s="17" t="s">
        <v>117</v>
      </c>
      <c r="L1" s="17"/>
      <c r="M1" s="3" t="s">
        <v>2</v>
      </c>
      <c r="N1" s="4" t="s">
        <v>85</v>
      </c>
      <c r="O1" s="4" t="s">
        <v>120</v>
      </c>
      <c r="P1" s="4" t="s">
        <v>119</v>
      </c>
      <c r="Q1" s="4" t="s">
        <v>39</v>
      </c>
      <c r="R1" s="5" t="s">
        <v>3</v>
      </c>
      <c r="S1" s="5" t="s">
        <v>27</v>
      </c>
      <c r="T1" s="4" t="s">
        <v>118</v>
      </c>
      <c r="U1" s="4" t="s">
        <v>41</v>
      </c>
      <c r="V1" s="5" t="s">
        <v>4</v>
      </c>
      <c r="W1" s="5" t="s">
        <v>28</v>
      </c>
      <c r="X1" s="4" t="s">
        <v>42</v>
      </c>
      <c r="Y1" s="4" t="s">
        <v>43</v>
      </c>
      <c r="Z1" s="4" t="s">
        <v>44</v>
      </c>
      <c r="AA1" s="4" t="s">
        <v>45</v>
      </c>
      <c r="AB1" s="5" t="s">
        <v>7</v>
      </c>
      <c r="AC1" s="4" t="s">
        <v>46</v>
      </c>
      <c r="AD1" s="4" t="s">
        <v>47</v>
      </c>
      <c r="AE1" s="4" t="s">
        <v>48</v>
      </c>
      <c r="AF1" s="4" t="s">
        <v>49</v>
      </c>
      <c r="AG1" s="5" t="s">
        <v>8</v>
      </c>
      <c r="AH1" s="4" t="s">
        <v>50</v>
      </c>
      <c r="AI1" s="4" t="s">
        <v>51</v>
      </c>
      <c r="AJ1" s="5" t="s">
        <v>9</v>
      </c>
      <c r="AK1" s="4" t="s">
        <v>52</v>
      </c>
      <c r="AL1" s="4" t="s">
        <v>53</v>
      </c>
      <c r="AM1" s="4" t="s">
        <v>54</v>
      </c>
      <c r="AN1" s="4" t="s">
        <v>55</v>
      </c>
      <c r="AO1" s="4" t="s">
        <v>56</v>
      </c>
      <c r="AP1" s="5" t="s">
        <v>10</v>
      </c>
      <c r="AQ1" s="34" t="s">
        <v>57</v>
      </c>
      <c r="AR1" s="6" t="s">
        <v>5</v>
      </c>
      <c r="AS1" s="5" t="s">
        <v>29</v>
      </c>
      <c r="AT1" s="34" t="s">
        <v>58</v>
      </c>
      <c r="AU1" s="6" t="s">
        <v>6</v>
      </c>
      <c r="AV1" s="5" t="s">
        <v>30</v>
      </c>
      <c r="AW1" s="4" t="s">
        <v>59</v>
      </c>
      <c r="AX1" s="35" t="s">
        <v>60</v>
      </c>
      <c r="AY1" s="4" t="s">
        <v>11</v>
      </c>
      <c r="AZ1" t="s">
        <v>71</v>
      </c>
      <c r="BA1" t="s">
        <v>73</v>
      </c>
      <c r="BB1" t="s">
        <v>72</v>
      </c>
      <c r="BC1" t="s">
        <v>96</v>
      </c>
      <c r="BD1" t="s">
        <v>97</v>
      </c>
      <c r="BE1" s="17" t="s">
        <v>84</v>
      </c>
      <c r="BF1" s="38" t="s">
        <v>90</v>
      </c>
      <c r="BG1" s="38" t="s">
        <v>89</v>
      </c>
      <c r="BH1" s="38" t="s">
        <v>88</v>
      </c>
      <c r="BI1" s="39" t="s">
        <v>91</v>
      </c>
      <c r="BJ1" s="39" t="s">
        <v>92</v>
      </c>
      <c r="BK1" s="39" t="s">
        <v>69</v>
      </c>
      <c r="BL1" s="40" t="s">
        <v>93</v>
      </c>
      <c r="BM1" s="40" t="s">
        <v>94</v>
      </c>
      <c r="BN1" s="40" t="s">
        <v>70</v>
      </c>
      <c r="BO1" s="42" t="s">
        <v>100</v>
      </c>
      <c r="BP1" s="42" t="s">
        <v>98</v>
      </c>
      <c r="BQ1" s="42" t="s">
        <v>99</v>
      </c>
      <c r="BR1" s="42" t="s">
        <v>101</v>
      </c>
      <c r="BS1" s="40" t="s">
        <v>102</v>
      </c>
      <c r="BT1" s="40" t="s">
        <v>103</v>
      </c>
      <c r="BU1" s="40" t="s">
        <v>104</v>
      </c>
    </row>
    <row r="2" spans="1:73" x14ac:dyDescent="0.2">
      <c r="A2" s="7">
        <v>2</v>
      </c>
      <c r="B2" s="7" t="s">
        <v>77</v>
      </c>
      <c r="C2" s="7">
        <v>110085</v>
      </c>
      <c r="D2" s="8">
        <v>7.57</v>
      </c>
      <c r="E2" s="8">
        <v>0.1404</v>
      </c>
      <c r="F2" s="69">
        <v>9.3490000000000002</v>
      </c>
      <c r="G2" s="48">
        <v>0.41699999999999982</v>
      </c>
      <c r="H2" s="48">
        <f t="shared" ref="H2:H33" si="0">G2+F2</f>
        <v>9.766</v>
      </c>
      <c r="I2" s="48">
        <v>9.5449999999999999</v>
      </c>
      <c r="J2" s="48">
        <f>H2-I2</f>
        <v>0.22100000000000009</v>
      </c>
      <c r="K2" s="48">
        <f>J2/F2*1000</f>
        <v>23.638891860091995</v>
      </c>
      <c r="L2" s="48">
        <f t="shared" ref="L2:L33" si="1">(H2-I2)/(I2-G2)</f>
        <v>2.4211218229623147E-2</v>
      </c>
      <c r="M2" s="58">
        <f t="shared" ref="M2:M33" si="2">1/(1+L2)</f>
        <v>0.97636110813990795</v>
      </c>
      <c r="N2" s="48"/>
      <c r="O2" s="48">
        <v>4.7270000000000003</v>
      </c>
      <c r="P2" s="48"/>
      <c r="Q2" s="48">
        <f>O2*20</f>
        <v>94.54</v>
      </c>
      <c r="R2" s="46">
        <f t="shared" ref="R2:R33" si="3">Q2*100*0.1/20.05*3*M2</f>
        <v>138.11248752650408</v>
      </c>
      <c r="S2" s="46">
        <f t="shared" ref="S2:S33" si="4">R2*(40.01/2)*10</f>
        <v>27629.403129677139</v>
      </c>
      <c r="T2" s="48">
        <v>0.34799999999999998</v>
      </c>
      <c r="U2" s="48">
        <f>T2*20</f>
        <v>6.9599999999999991</v>
      </c>
      <c r="V2" s="46">
        <f t="shared" ref="V2:V33" si="5">U2*0.1*100/(12.15*3*M2)</f>
        <v>1.955695494891132</v>
      </c>
      <c r="W2" s="46">
        <f t="shared" ref="W2:W33" si="6">V2*(24.3/2)*10</f>
        <v>237.61700262927258</v>
      </c>
      <c r="X2" s="48">
        <v>3</v>
      </c>
      <c r="Y2" s="48"/>
      <c r="Z2" s="48"/>
      <c r="AA2" s="48">
        <f t="shared" ref="AA2:AA8" si="7">X2*8</f>
        <v>24</v>
      </c>
      <c r="AB2" s="46">
        <f t="shared" ref="AB2:AB33" si="8">(AA2*20)/(10*M2)</f>
        <v>49.162138475021912</v>
      </c>
      <c r="AC2">
        <v>0.312</v>
      </c>
      <c r="AD2" s="48">
        <v>8.2000000000000003E-2</v>
      </c>
      <c r="AE2" s="48"/>
      <c r="AF2" s="48">
        <f>AC2*2</f>
        <v>0.624</v>
      </c>
      <c r="AG2" s="46">
        <f t="shared" ref="AG2:AG33" si="9">(AF2*20)/(10*M2)</f>
        <v>1.2782156003505696</v>
      </c>
      <c r="AH2">
        <v>0.08</v>
      </c>
      <c r="AI2">
        <f t="shared" ref="AI2:AI33" si="10">AH2*8</f>
        <v>0.64</v>
      </c>
      <c r="AJ2" s="46">
        <f t="shared" ref="AJ2:AJ33" si="11">(AI2*20)/(10*M2)</f>
        <v>1.3109903593339176</v>
      </c>
      <c r="AK2">
        <v>0.86</v>
      </c>
      <c r="AN2" s="48"/>
      <c r="AO2" s="48">
        <f t="shared" ref="AO2:AO21" si="12">AK2*8</f>
        <v>6.88</v>
      </c>
      <c r="AP2" s="46">
        <f t="shared" ref="AP2:AP33" si="13">(AO2*20)/(10*M2)</f>
        <v>14.093146362839613</v>
      </c>
      <c r="AQ2" s="48">
        <v>4.0245701399981204</v>
      </c>
      <c r="AR2" s="46">
        <f t="shared" ref="AR2:AR33" si="14">AQ2*100*0.1/39.1*3*M2</f>
        <v>3.0149108145846673</v>
      </c>
      <c r="AS2" s="46">
        <f t="shared" ref="AS2:AS33" si="15">AR2*39.1*10</f>
        <v>1178.830128502605</v>
      </c>
      <c r="AT2" s="48">
        <v>7.8019832605531292</v>
      </c>
      <c r="AU2" s="46">
        <f t="shared" ref="AU2:AU33" si="16">AT2*100*0.1/22.98*3*M2</f>
        <v>9.9445861905517816</v>
      </c>
      <c r="AV2" s="46">
        <f t="shared" ref="AV2:AV33" si="17">AU2*22.98*10</f>
        <v>2285.2659065887992</v>
      </c>
      <c r="AW2" s="48">
        <v>8.640956898329552E-2</v>
      </c>
      <c r="AX2" s="48">
        <f t="shared" ref="AX2:AX33" si="18">(AW2/0.3874)*(30/1.5)</f>
        <v>4.4609999475113842</v>
      </c>
      <c r="AY2" s="48">
        <f t="shared" ref="AY2:AY33" si="19">AX2/M2</f>
        <v>4.56900619076292</v>
      </c>
      <c r="AZ2">
        <v>0.52</v>
      </c>
      <c r="BB2">
        <v>5.33</v>
      </c>
      <c r="BC2" s="48">
        <f>(5-$BC$60*BB2)*0.399/(AZ2*M2)</f>
        <v>3.9294257314771119</v>
      </c>
      <c r="BD2" s="48">
        <f t="shared" ref="BD2:BD33" si="20">BC2*1.72</f>
        <v>6.7586122581406327</v>
      </c>
      <c r="BE2" s="48">
        <v>10.039999999999999</v>
      </c>
      <c r="BF2" s="48">
        <v>44.544699999999999</v>
      </c>
      <c r="BG2" s="48">
        <v>44.594200000000001</v>
      </c>
      <c r="BH2" s="48">
        <f t="shared" ref="BH2:BH33" si="21">BG2-BF2</f>
        <v>4.9500000000001876E-2</v>
      </c>
      <c r="BI2" s="48">
        <v>39.716299999999997</v>
      </c>
      <c r="BJ2" s="48">
        <v>39.751800000000003</v>
      </c>
      <c r="BK2" s="48">
        <f t="shared" ref="BK2:BK33" si="22">BJ2-BI2</f>
        <v>3.5500000000006082E-2</v>
      </c>
      <c r="BL2" s="48">
        <v>136.97</v>
      </c>
      <c r="BM2" s="48">
        <v>144.61000000000001</v>
      </c>
      <c r="BN2" s="48">
        <f t="shared" ref="BN2:BN33" si="23">BM2-BL2</f>
        <v>7.6400000000000148</v>
      </c>
      <c r="BO2" s="48">
        <f t="shared" ref="BO2:BO33" si="24">(BK2-0.009206)*50/M2</f>
        <v>1.3465304886067972</v>
      </c>
      <c r="BP2" s="48">
        <f t="shared" ref="BP2:BP33" si="25">(BH2-BK2)*50/M2</f>
        <v>0.71694785276052087</v>
      </c>
      <c r="BQ2" s="48">
        <f t="shared" ref="BQ2:BQ33" si="26">BN2/M2</f>
        <v>7.8249737072743368</v>
      </c>
      <c r="BR2" s="48">
        <f t="shared" ref="BR2:BR33" si="27">SUM(BO2:BQ2)</f>
        <v>9.8884520486416552</v>
      </c>
      <c r="BS2" s="48">
        <f t="shared" ref="BS2:BS33" si="28">BO2/BR2*100</f>
        <v>13.617201984528668</v>
      </c>
      <c r="BT2" s="48">
        <f t="shared" ref="BT2:BT33" si="29">BP2/BR2*100</f>
        <v>7.2503547494979834</v>
      </c>
      <c r="BU2" s="48">
        <f t="shared" ref="BU2:BU33" si="30">BQ2/BR2*100</f>
        <v>79.13244326597335</v>
      </c>
    </row>
    <row r="3" spans="1:73" x14ac:dyDescent="0.2">
      <c r="A3" s="7">
        <v>5</v>
      </c>
      <c r="B3" s="7" t="s">
        <v>77</v>
      </c>
      <c r="C3" s="7">
        <v>110085</v>
      </c>
      <c r="D3" s="8">
        <v>7.14</v>
      </c>
      <c r="E3" s="8">
        <v>0.16300000000000001</v>
      </c>
      <c r="F3" s="48">
        <v>9.4629999999999992</v>
      </c>
      <c r="G3" s="48">
        <v>0.41599999999999998</v>
      </c>
      <c r="H3" s="48">
        <f t="shared" si="0"/>
        <v>9.8789999999999996</v>
      </c>
      <c r="I3" s="48">
        <v>9.25</v>
      </c>
      <c r="J3" s="48">
        <f t="shared" ref="J3:J33" si="31">H3-I3</f>
        <v>0.62899999999999956</v>
      </c>
      <c r="K3" s="48">
        <f t="shared" ref="K3:K66" si="32">J3/F3*1000</f>
        <v>66.469407164746869</v>
      </c>
      <c r="L3" s="48">
        <f t="shared" si="1"/>
        <v>7.1202173420873843E-2</v>
      </c>
      <c r="M3" s="58">
        <f t="shared" si="2"/>
        <v>0.93353059283525308</v>
      </c>
      <c r="N3" s="48"/>
      <c r="O3" s="48">
        <v>4.4939999999999998</v>
      </c>
      <c r="P3" s="48"/>
      <c r="Q3" s="48">
        <f>O3*20</f>
        <v>89.88</v>
      </c>
      <c r="R3" s="46">
        <f t="shared" si="3"/>
        <v>125.54473269431304</v>
      </c>
      <c r="S3" s="46">
        <f t="shared" si="4"/>
        <v>25115.223775497321</v>
      </c>
      <c r="T3" s="48">
        <v>0.36799999999999999</v>
      </c>
      <c r="U3" s="48">
        <f t="shared" ref="U3:U66" si="33">T3*20</f>
        <v>7.3599999999999994</v>
      </c>
      <c r="V3" s="46">
        <f t="shared" si="5"/>
        <v>2.1629761306934516</v>
      </c>
      <c r="W3" s="46">
        <f t="shared" si="6"/>
        <v>262.80159987925435</v>
      </c>
      <c r="X3" s="48">
        <v>2.742</v>
      </c>
      <c r="Y3" s="48"/>
      <c r="Z3" s="48"/>
      <c r="AA3" s="48">
        <f t="shared" si="7"/>
        <v>21.936</v>
      </c>
      <c r="AB3" s="46">
        <f t="shared" si="8"/>
        <v>46.995781752320582</v>
      </c>
      <c r="AC3">
        <v>0.35299999999999998</v>
      </c>
      <c r="AD3" s="48">
        <v>9.9000000000000005E-2</v>
      </c>
      <c r="AE3" s="48"/>
      <c r="AF3" s="48">
        <f>AC3*2</f>
        <v>0.70599999999999996</v>
      </c>
      <c r="AG3" s="46">
        <f t="shared" si="9"/>
        <v>1.512537468870274</v>
      </c>
      <c r="AH3">
        <v>0.08</v>
      </c>
      <c r="AI3">
        <f t="shared" si="10"/>
        <v>0.64</v>
      </c>
      <c r="AJ3" s="46">
        <f t="shared" si="11"/>
        <v>1.3711387819787186</v>
      </c>
      <c r="AK3">
        <v>1.69</v>
      </c>
      <c r="AN3" s="48"/>
      <c r="AO3" s="48">
        <f t="shared" si="12"/>
        <v>13.52</v>
      </c>
      <c r="AP3" s="46">
        <f t="shared" si="13"/>
        <v>28.96530676930043</v>
      </c>
      <c r="AQ3" s="48">
        <v>3.4138400826834538</v>
      </c>
      <c r="AR3" s="46">
        <f t="shared" si="14"/>
        <v>2.4452103500503073</v>
      </c>
      <c r="AS3" s="46">
        <f t="shared" si="15"/>
        <v>956.07724686967015</v>
      </c>
      <c r="AT3" s="48">
        <v>7.9839337700145556</v>
      </c>
      <c r="AU3" s="46">
        <f t="shared" si="16"/>
        <v>9.7300867173356202</v>
      </c>
      <c r="AV3" s="46">
        <f t="shared" si="17"/>
        <v>2235.9739276437258</v>
      </c>
      <c r="AW3" s="48">
        <v>0.30088678077954217</v>
      </c>
      <c r="AX3" s="48">
        <f t="shared" si="18"/>
        <v>15.533648981907184</v>
      </c>
      <c r="AY3" s="48">
        <f t="shared" si="19"/>
        <v>16.639678550575923</v>
      </c>
      <c r="AZ3">
        <v>0.51300000000000001</v>
      </c>
      <c r="BB3">
        <v>4.75</v>
      </c>
      <c r="BC3" s="48">
        <f>(5-$BC$60*BB3)*0.399/(AZ3*M3)</f>
        <v>4.165786229970065</v>
      </c>
      <c r="BD3" s="48">
        <f t="shared" si="20"/>
        <v>7.1651523155485117</v>
      </c>
      <c r="BE3" s="48">
        <v>10.01</v>
      </c>
      <c r="BF3" s="48">
        <v>40.42</v>
      </c>
      <c r="BG3" s="48">
        <v>40.465499999999999</v>
      </c>
      <c r="BH3" s="48">
        <f t="shared" si="21"/>
        <v>4.5499999999996987E-2</v>
      </c>
      <c r="BI3" s="48">
        <v>40.559100000000001</v>
      </c>
      <c r="BJ3" s="48">
        <v>40.586199999999998</v>
      </c>
      <c r="BK3" s="48">
        <f t="shared" si="22"/>
        <v>2.7099999999997237E-2</v>
      </c>
      <c r="BL3" s="48">
        <v>147.41999999999999</v>
      </c>
      <c r="BM3" s="48">
        <v>155.05000000000001</v>
      </c>
      <c r="BN3" s="48">
        <f t="shared" si="23"/>
        <v>7.6300000000000239</v>
      </c>
      <c r="BO3" s="48">
        <f t="shared" si="24"/>
        <v>0.95840458455950794</v>
      </c>
      <c r="BP3" s="48">
        <f t="shared" si="25"/>
        <v>0.98550599954719065</v>
      </c>
      <c r="BQ3" s="48">
        <f t="shared" si="26"/>
        <v>8.1732725832012942</v>
      </c>
      <c r="BR3" s="48">
        <f t="shared" si="27"/>
        <v>10.117183167307992</v>
      </c>
      <c r="BS3" s="48">
        <f t="shared" si="28"/>
        <v>9.47303778838792</v>
      </c>
      <c r="BT3" s="48">
        <f t="shared" si="29"/>
        <v>9.7409128929452482</v>
      </c>
      <c r="BU3" s="48">
        <f t="shared" si="30"/>
        <v>80.786049318666841</v>
      </c>
    </row>
    <row r="4" spans="1:73" x14ac:dyDescent="0.2">
      <c r="A4" s="7">
        <v>9</v>
      </c>
      <c r="B4" s="7" t="s">
        <v>77</v>
      </c>
      <c r="C4" s="7">
        <v>110094</v>
      </c>
      <c r="D4" s="8">
        <v>5.66</v>
      </c>
      <c r="E4" s="8">
        <v>0.1394</v>
      </c>
      <c r="F4" s="48">
        <v>10.311999999999999</v>
      </c>
      <c r="G4" s="48">
        <v>0.5</v>
      </c>
      <c r="H4" s="48">
        <f t="shared" si="0"/>
        <v>10.811999999999999</v>
      </c>
      <c r="I4" s="48">
        <v>9.8209999999999997</v>
      </c>
      <c r="J4" s="48">
        <f t="shared" si="31"/>
        <v>0.99099999999999966</v>
      </c>
      <c r="K4" s="48">
        <f t="shared" si="32"/>
        <v>96.101629169899113</v>
      </c>
      <c r="L4" s="48">
        <f t="shared" si="1"/>
        <v>0.10631906447806026</v>
      </c>
      <c r="M4" s="58">
        <f t="shared" si="2"/>
        <v>0.90389837083010083</v>
      </c>
      <c r="N4" s="60" t="s">
        <v>86</v>
      </c>
      <c r="O4" s="48">
        <v>18.408999999999999</v>
      </c>
      <c r="P4" s="48">
        <v>3.99</v>
      </c>
      <c r="Q4" s="48">
        <f>P4*100</f>
        <v>399</v>
      </c>
      <c r="R4" s="46">
        <f t="shared" si="3"/>
        <v>539.63408971752153</v>
      </c>
      <c r="S4" s="46">
        <f t="shared" si="4"/>
        <v>107953.79964799018</v>
      </c>
      <c r="T4" s="48">
        <v>0.315</v>
      </c>
      <c r="U4" s="48">
        <f t="shared" si="33"/>
        <v>6.3</v>
      </c>
      <c r="V4" s="46">
        <f t="shared" si="5"/>
        <v>1.9121564077398574</v>
      </c>
      <c r="W4" s="46">
        <f t="shared" si="6"/>
        <v>232.32700354039267</v>
      </c>
      <c r="X4" s="48">
        <v>1.3029999999999999</v>
      </c>
      <c r="Y4" s="48"/>
      <c r="Z4" s="48"/>
      <c r="AA4" s="48">
        <f t="shared" si="7"/>
        <v>10.423999999999999</v>
      </c>
      <c r="AB4" s="46">
        <f t="shared" si="8"/>
        <v>23.0645398562386</v>
      </c>
      <c r="AC4">
        <v>0.10100000000000001</v>
      </c>
      <c r="AD4" s="48">
        <v>2.4E-2</v>
      </c>
      <c r="AE4" s="48"/>
      <c r="AF4" s="48">
        <f>AC4*2</f>
        <v>0.20200000000000001</v>
      </c>
      <c r="AG4" s="46">
        <f t="shared" si="9"/>
        <v>0.44695290204913635</v>
      </c>
      <c r="AH4">
        <v>0.18</v>
      </c>
      <c r="AI4">
        <f t="shared" si="10"/>
        <v>1.44</v>
      </c>
      <c r="AJ4" s="46">
        <f t="shared" si="11"/>
        <v>3.1861989056968132</v>
      </c>
      <c r="AK4">
        <v>0.65</v>
      </c>
      <c r="AN4" s="48"/>
      <c r="AO4" s="48">
        <f t="shared" si="12"/>
        <v>5.2</v>
      </c>
      <c r="AP4" s="46">
        <f t="shared" si="13"/>
        <v>11.505718270571826</v>
      </c>
      <c r="AQ4" s="48">
        <v>4.8701963732030444</v>
      </c>
      <c r="AR4" s="46">
        <f t="shared" si="14"/>
        <v>3.3776183381285656</v>
      </c>
      <c r="AS4" s="46">
        <f t="shared" si="15"/>
        <v>1320.6487702082691</v>
      </c>
      <c r="AT4" s="48">
        <v>6.1644286754002904</v>
      </c>
      <c r="AU4" s="46">
        <f t="shared" si="16"/>
        <v>7.2741736772750372</v>
      </c>
      <c r="AV4" s="46">
        <f t="shared" si="17"/>
        <v>1671.6051110378035</v>
      </c>
      <c r="AW4" s="48">
        <v>8.8265621777686126E-2</v>
      </c>
      <c r="AX4" s="48">
        <f t="shared" si="18"/>
        <v>4.5568209487705786</v>
      </c>
      <c r="AY4" s="48">
        <f t="shared" si="19"/>
        <v>5.0412978890378941</v>
      </c>
      <c r="AZ4">
        <v>0.503</v>
      </c>
      <c r="BB4">
        <v>4.12</v>
      </c>
      <c r="BC4" s="48">
        <f>(5-$BC$60*BB4)*0.399/(AZ4*M4)</f>
        <v>4.3878857527509547</v>
      </c>
      <c r="BD4" s="48">
        <f t="shared" si="20"/>
        <v>7.5471634947316417</v>
      </c>
      <c r="BE4" s="48">
        <v>10</v>
      </c>
      <c r="BF4" s="48">
        <v>33.349400000000003</v>
      </c>
      <c r="BG4" s="48">
        <v>33.472900000000003</v>
      </c>
      <c r="BH4" s="48">
        <f t="shared" si="21"/>
        <v>0.12349999999999994</v>
      </c>
      <c r="BI4" s="48">
        <v>41.238599999999998</v>
      </c>
      <c r="BJ4" s="48">
        <v>41.302799999999998</v>
      </c>
      <c r="BK4" s="48">
        <f t="shared" si="22"/>
        <v>6.4199999999999591E-2</v>
      </c>
      <c r="BL4" s="48">
        <v>140.4</v>
      </c>
      <c r="BM4" s="48">
        <v>143.85</v>
      </c>
      <c r="BN4" s="48">
        <f t="shared" si="23"/>
        <v>3.4499999999999886</v>
      </c>
      <c r="BO4" s="48">
        <f t="shared" si="24"/>
        <v>3.0420455315952997</v>
      </c>
      <c r="BP4" s="48">
        <f t="shared" si="25"/>
        <v>3.2802360261774686</v>
      </c>
      <c r="BQ4" s="48">
        <f t="shared" si="26"/>
        <v>3.8168007724492954</v>
      </c>
      <c r="BR4" s="48">
        <f t="shared" si="27"/>
        <v>10.139082330222063</v>
      </c>
      <c r="BS4" s="48">
        <f t="shared" si="28"/>
        <v>30.00316431525291</v>
      </c>
      <c r="BT4" s="48">
        <f t="shared" si="29"/>
        <v>32.352395604875475</v>
      </c>
      <c r="BU4" s="48">
        <f t="shared" si="30"/>
        <v>37.644440079871615</v>
      </c>
    </row>
    <row r="5" spans="1:73" x14ac:dyDescent="0.2">
      <c r="A5" s="7">
        <v>29</v>
      </c>
      <c r="B5" s="7" t="s">
        <v>77</v>
      </c>
      <c r="C5" s="7">
        <v>110094</v>
      </c>
      <c r="D5" s="8">
        <v>7.47</v>
      </c>
      <c r="E5" s="8">
        <v>0.17660000000000001</v>
      </c>
      <c r="F5" s="48">
        <v>11.27</v>
      </c>
      <c r="G5" s="48">
        <v>0.41</v>
      </c>
      <c r="H5" s="48">
        <f t="shared" si="0"/>
        <v>11.68</v>
      </c>
      <c r="I5" s="48">
        <v>10.757</v>
      </c>
      <c r="J5" s="48">
        <f t="shared" si="31"/>
        <v>0.92300000000000004</v>
      </c>
      <c r="K5" s="48">
        <f t="shared" si="32"/>
        <v>81.898846495119784</v>
      </c>
      <c r="L5" s="48">
        <f t="shared" si="1"/>
        <v>8.920460036725622E-2</v>
      </c>
      <c r="M5" s="58">
        <f t="shared" si="2"/>
        <v>0.9181011535048802</v>
      </c>
      <c r="N5" s="59">
        <v>51</v>
      </c>
      <c r="O5" s="59">
        <v>18.379000000000001</v>
      </c>
      <c r="P5" s="59">
        <v>4.07</v>
      </c>
      <c r="Q5" s="48">
        <f t="shared" ref="Q5:Q11" si="34">P5*100</f>
        <v>407</v>
      </c>
      <c r="R5" s="50">
        <f t="shared" si="3"/>
        <v>559.10299672292206</v>
      </c>
      <c r="S5" s="46">
        <f t="shared" si="4"/>
        <v>111848.55449442055</v>
      </c>
      <c r="T5" s="48">
        <v>0.374</v>
      </c>
      <c r="U5" s="48">
        <f t="shared" si="33"/>
        <v>7.48</v>
      </c>
      <c r="V5" s="46">
        <f t="shared" si="5"/>
        <v>2.2351852978729978</v>
      </c>
      <c r="W5" s="46">
        <f t="shared" si="6"/>
        <v>271.57501369156927</v>
      </c>
      <c r="X5" s="48">
        <v>1.9790000000000001</v>
      </c>
      <c r="Y5" s="48"/>
      <c r="Z5" s="48"/>
      <c r="AA5" s="48">
        <f t="shared" si="7"/>
        <v>15.832000000000001</v>
      </c>
      <c r="AB5" s="46">
        <f t="shared" si="8"/>
        <v>34.488574466028801</v>
      </c>
      <c r="AC5">
        <v>0.122</v>
      </c>
      <c r="AD5" s="48">
        <v>0.03</v>
      </c>
      <c r="AE5" s="48"/>
      <c r="AF5" s="48">
        <f>AC5*2</f>
        <v>0.24399999999999999</v>
      </c>
      <c r="AG5" s="46">
        <f t="shared" si="9"/>
        <v>0.53153184497922101</v>
      </c>
      <c r="AH5">
        <v>0.24</v>
      </c>
      <c r="AI5">
        <f t="shared" si="10"/>
        <v>1.92</v>
      </c>
      <c r="AJ5" s="46">
        <f t="shared" si="11"/>
        <v>4.182545665410264</v>
      </c>
      <c r="AK5">
        <v>0.79</v>
      </c>
      <c r="AN5" s="48"/>
      <c r="AO5" s="48">
        <f t="shared" si="12"/>
        <v>6.32</v>
      </c>
      <c r="AP5" s="46">
        <f t="shared" si="13"/>
        <v>13.76754614864212</v>
      </c>
      <c r="AQ5" s="48">
        <v>5.1050925490933006</v>
      </c>
      <c r="AR5" s="46">
        <f t="shared" si="14"/>
        <v>3.5961570522289477</v>
      </c>
      <c r="AS5" s="46">
        <f t="shared" si="15"/>
        <v>1406.0974074215187</v>
      </c>
      <c r="AT5" s="48">
        <v>7.9839337700145556</v>
      </c>
      <c r="AU5" s="46">
        <f t="shared" si="16"/>
        <v>9.5692673678288909</v>
      </c>
      <c r="AV5" s="46">
        <f t="shared" si="17"/>
        <v>2199.0176411270791</v>
      </c>
      <c r="AW5" s="48">
        <v>0.11775623839967005</v>
      </c>
      <c r="AX5" s="48">
        <f t="shared" si="18"/>
        <v>6.0793101910000029</v>
      </c>
      <c r="AY5" s="48">
        <f t="shared" si="19"/>
        <v>6.6216126270967459</v>
      </c>
      <c r="AZ5">
        <v>0.50800000000000001</v>
      </c>
      <c r="BB5">
        <v>4.21</v>
      </c>
      <c r="BC5" s="48">
        <f>(5-$BC$60*BB5)*0.399/(AZ5*M5)</f>
        <v>4.2774865703399136</v>
      </c>
      <c r="BD5" s="48">
        <f t="shared" si="20"/>
        <v>7.357276900984651</v>
      </c>
      <c r="BE5" s="48">
        <v>10.029999999999999</v>
      </c>
      <c r="BF5" s="48">
        <v>41.391500000000001</v>
      </c>
      <c r="BG5" s="48">
        <v>41.525599999999997</v>
      </c>
      <c r="BH5" s="48">
        <f t="shared" si="21"/>
        <v>0.13409999999999656</v>
      </c>
      <c r="BI5" s="48">
        <v>45.942100000000003</v>
      </c>
      <c r="BJ5" s="48">
        <v>46.014499999999998</v>
      </c>
      <c r="BK5" s="48">
        <f t="shared" si="22"/>
        <v>7.2399999999994691E-2</v>
      </c>
      <c r="BL5" s="48">
        <v>147.43</v>
      </c>
      <c r="BM5" s="48">
        <v>150.69</v>
      </c>
      <c r="BN5" s="48">
        <f t="shared" si="23"/>
        <v>3.2599999999999909</v>
      </c>
      <c r="BO5" s="48">
        <f t="shared" si="24"/>
        <v>3.4415597757801302</v>
      </c>
      <c r="BP5" s="48">
        <f t="shared" si="25"/>
        <v>3.360196192133087</v>
      </c>
      <c r="BQ5" s="48">
        <f t="shared" si="26"/>
        <v>3.5508069971972454</v>
      </c>
      <c r="BR5" s="48">
        <f t="shared" si="27"/>
        <v>10.352562965110462</v>
      </c>
      <c r="BS5" s="48">
        <f t="shared" si="28"/>
        <v>33.243553189472522</v>
      </c>
      <c r="BT5" s="48">
        <f t="shared" si="29"/>
        <v>32.457626227026125</v>
      </c>
      <c r="BU5" s="48">
        <f t="shared" si="30"/>
        <v>34.298820583501353</v>
      </c>
    </row>
    <row r="6" spans="1:73" x14ac:dyDescent="0.2">
      <c r="A6" s="7">
        <v>11</v>
      </c>
      <c r="B6" s="7" t="s">
        <v>77</v>
      </c>
      <c r="C6" s="7">
        <v>110158</v>
      </c>
      <c r="D6" s="8">
        <v>7.32</v>
      </c>
      <c r="E6" s="8">
        <v>0.312</v>
      </c>
      <c r="F6" s="48">
        <v>9.5570000000000004</v>
      </c>
      <c r="G6" s="48">
        <v>0.42</v>
      </c>
      <c r="H6" s="48">
        <f t="shared" si="0"/>
        <v>9.9770000000000003</v>
      </c>
      <c r="I6" s="48">
        <v>9.4689999999999994</v>
      </c>
      <c r="J6" s="48">
        <f t="shared" si="31"/>
        <v>0.5080000000000009</v>
      </c>
      <c r="K6" s="48">
        <f t="shared" si="32"/>
        <v>53.154755676467602</v>
      </c>
      <c r="L6" s="48">
        <f t="shared" si="1"/>
        <v>5.6138799867388761E-2</v>
      </c>
      <c r="M6" s="58">
        <f t="shared" si="2"/>
        <v>0.94684524432353234</v>
      </c>
      <c r="N6" s="59">
        <v>33.1</v>
      </c>
      <c r="O6" s="59">
        <v>17.273</v>
      </c>
      <c r="P6" s="59">
        <v>3.96</v>
      </c>
      <c r="Q6" s="48">
        <f t="shared" si="34"/>
        <v>396</v>
      </c>
      <c r="R6" s="50">
        <f t="shared" si="3"/>
        <v>561.02351633733485</v>
      </c>
      <c r="S6" s="46">
        <f t="shared" si="4"/>
        <v>112232.75444328383</v>
      </c>
      <c r="T6" s="48">
        <v>0.68600000000000005</v>
      </c>
      <c r="U6" s="48">
        <f t="shared" si="33"/>
        <v>13.72</v>
      </c>
      <c r="V6" s="46">
        <f t="shared" si="5"/>
        <v>3.9753701877038612</v>
      </c>
      <c r="W6" s="46">
        <f t="shared" si="6"/>
        <v>483.00747780601915</v>
      </c>
      <c r="X6" s="48">
        <v>2.4969999999999999</v>
      </c>
      <c r="Y6" s="48"/>
      <c r="Z6" s="48"/>
      <c r="AA6" s="48">
        <f t="shared" si="7"/>
        <v>19.975999999999999</v>
      </c>
      <c r="AB6" s="46">
        <f t="shared" si="8"/>
        <v>42.194857332301915</v>
      </c>
      <c r="AD6" s="48">
        <v>1.474</v>
      </c>
      <c r="AE6" s="48">
        <v>0.77400000000000002</v>
      </c>
      <c r="AF6" s="48">
        <f>AE6*16</f>
        <v>12.384</v>
      </c>
      <c r="AG6" s="46">
        <f t="shared" si="9"/>
        <v>26.158445795115487</v>
      </c>
      <c r="AH6">
        <v>0.28999999999999998</v>
      </c>
      <c r="AI6">
        <f t="shared" si="10"/>
        <v>2.3199999999999998</v>
      </c>
      <c r="AJ6" s="46">
        <f t="shared" si="11"/>
        <v>4.9004840313846838</v>
      </c>
      <c r="AK6">
        <v>1.1599999999999999</v>
      </c>
      <c r="AN6" s="48"/>
      <c r="AO6" s="48">
        <f t="shared" si="12"/>
        <v>9.2799999999999994</v>
      </c>
      <c r="AP6" s="46">
        <f t="shared" si="13"/>
        <v>19.601936125538735</v>
      </c>
      <c r="AQ6" s="48">
        <v>16.192192051113409</v>
      </c>
      <c r="AR6" s="46">
        <f t="shared" si="14"/>
        <v>11.763299262483402</v>
      </c>
      <c r="AS6" s="46">
        <f t="shared" si="15"/>
        <v>4599.4500116310101</v>
      </c>
      <c r="AT6" s="48">
        <v>7.9839337700145556</v>
      </c>
      <c r="AU6" s="46">
        <f t="shared" si="16"/>
        <v>9.8688638657080059</v>
      </c>
      <c r="AV6" s="46">
        <f t="shared" si="17"/>
        <v>2267.8649163396999</v>
      </c>
      <c r="AW6" s="48">
        <v>0.56094040008249124</v>
      </c>
      <c r="AX6" s="48">
        <f t="shared" si="18"/>
        <v>28.959235936112094</v>
      </c>
      <c r="AY6" s="48">
        <f t="shared" si="19"/>
        <v>30.584972686641986</v>
      </c>
      <c r="BA6">
        <v>0.251</v>
      </c>
      <c r="BB6">
        <v>4.0999999999999996</v>
      </c>
      <c r="BC6" s="48">
        <f>(5-$BC$60*BB6)*0.399/(BA6*M6)</f>
        <v>8.3944099830097247</v>
      </c>
      <c r="BD6" s="48">
        <f t="shared" si="20"/>
        <v>14.438385170776726</v>
      </c>
      <c r="BE6" s="48">
        <v>10</v>
      </c>
      <c r="BF6" s="48">
        <v>32.645099999999999</v>
      </c>
      <c r="BG6" s="48">
        <v>32.772100000000002</v>
      </c>
      <c r="BH6" s="48">
        <f t="shared" si="21"/>
        <v>0.12700000000000244</v>
      </c>
      <c r="BI6" s="48">
        <v>31.9956</v>
      </c>
      <c r="BJ6" s="48">
        <v>32.059899999999999</v>
      </c>
      <c r="BK6" s="48">
        <f t="shared" si="22"/>
        <v>6.4299999999999358E-2</v>
      </c>
      <c r="BL6" s="48">
        <v>151.03</v>
      </c>
      <c r="BM6" s="48">
        <v>154.61000000000001</v>
      </c>
      <c r="BN6" s="48">
        <f t="shared" si="23"/>
        <v>3.5800000000000125</v>
      </c>
      <c r="BO6" s="48">
        <f t="shared" si="24"/>
        <v>2.909345551994662</v>
      </c>
      <c r="BP6" s="48">
        <f t="shared" si="25"/>
        <v>3.3109951375844271</v>
      </c>
      <c r="BQ6" s="48">
        <f t="shared" si="26"/>
        <v>3.7809769035252652</v>
      </c>
      <c r="BR6" s="48">
        <f t="shared" si="27"/>
        <v>10.001317593104353</v>
      </c>
      <c r="BS6" s="48">
        <f t="shared" si="28"/>
        <v>29.089622691319988</v>
      </c>
      <c r="BT6" s="48">
        <f t="shared" si="29"/>
        <v>33.105589406212552</v>
      </c>
      <c r="BU6" s="48">
        <f t="shared" si="30"/>
        <v>37.804787902467467</v>
      </c>
    </row>
    <row r="7" spans="1:73" x14ac:dyDescent="0.2">
      <c r="A7" s="7">
        <v>34</v>
      </c>
      <c r="B7" s="7" t="s">
        <v>77</v>
      </c>
      <c r="C7" s="7">
        <v>110158</v>
      </c>
      <c r="D7" s="8">
        <v>7.31</v>
      </c>
      <c r="E7" s="8">
        <v>0.36699999999999999</v>
      </c>
      <c r="F7" s="48">
        <v>9.0519999999999996</v>
      </c>
      <c r="G7" s="48">
        <v>0.40300000000000047</v>
      </c>
      <c r="H7" s="48">
        <f t="shared" si="0"/>
        <v>9.4550000000000001</v>
      </c>
      <c r="I7" s="48">
        <v>9.2799999999999994</v>
      </c>
      <c r="J7" s="48">
        <f t="shared" si="31"/>
        <v>0.17500000000000071</v>
      </c>
      <c r="K7" s="48">
        <f t="shared" si="32"/>
        <v>19.332744144940424</v>
      </c>
      <c r="L7" s="48">
        <f t="shared" si="1"/>
        <v>1.9713867297510502E-2</v>
      </c>
      <c r="M7" s="58">
        <f t="shared" si="2"/>
        <v>0.98066725585505954</v>
      </c>
      <c r="N7" s="59">
        <v>25.1</v>
      </c>
      <c r="O7" s="59">
        <v>17.446999999999999</v>
      </c>
      <c r="P7" s="59">
        <v>3.94</v>
      </c>
      <c r="Q7" s="48">
        <f t="shared" si="34"/>
        <v>394</v>
      </c>
      <c r="R7" s="50">
        <f t="shared" si="3"/>
        <v>578.1290256462247</v>
      </c>
      <c r="S7" s="46">
        <f t="shared" si="4"/>
        <v>115654.71158052725</v>
      </c>
      <c r="T7" s="48">
        <v>0.61</v>
      </c>
      <c r="U7" s="48">
        <f t="shared" si="33"/>
        <v>12.2</v>
      </c>
      <c r="V7" s="46">
        <f t="shared" si="5"/>
        <v>3.4130340688695822</v>
      </c>
      <c r="W7" s="46">
        <f t="shared" si="6"/>
        <v>414.68363936765428</v>
      </c>
      <c r="X7" s="48">
        <v>2.6309999999999998</v>
      </c>
      <c r="Y7" s="48"/>
      <c r="Z7" s="48"/>
      <c r="AA7" s="48">
        <f t="shared" si="7"/>
        <v>21.047999999999998</v>
      </c>
      <c r="AB7" s="46">
        <f t="shared" si="8"/>
        <v>42.925874957756001</v>
      </c>
      <c r="AD7" s="48">
        <v>0.64300000000000002</v>
      </c>
      <c r="AE7" s="48"/>
      <c r="AF7" s="48">
        <f>AD7*8</f>
        <v>5.1440000000000001</v>
      </c>
      <c r="AG7" s="46">
        <f t="shared" si="9"/>
        <v>10.490816266756788</v>
      </c>
      <c r="AH7">
        <v>0.31</v>
      </c>
      <c r="AI7">
        <f t="shared" si="10"/>
        <v>2.48</v>
      </c>
      <c r="AJ7" s="46">
        <f t="shared" si="11"/>
        <v>5.0577807817956524</v>
      </c>
      <c r="AK7">
        <v>1.1299999999999999</v>
      </c>
      <c r="AN7" s="48"/>
      <c r="AO7" s="48">
        <f t="shared" si="12"/>
        <v>9.0399999999999991</v>
      </c>
      <c r="AP7" s="46">
        <f t="shared" si="13"/>
        <v>18.436426720738989</v>
      </c>
      <c r="AQ7" s="48">
        <v>7.8298881894202754</v>
      </c>
      <c r="AR7" s="46">
        <f t="shared" si="14"/>
        <v>5.8914437066783032</v>
      </c>
      <c r="AS7" s="46">
        <f t="shared" si="15"/>
        <v>2303.5544893112165</v>
      </c>
      <c r="AT7" s="48">
        <v>9.0756368267831142</v>
      </c>
      <c r="AU7" s="46">
        <f t="shared" si="16"/>
        <v>11.619033762478482</v>
      </c>
      <c r="AV7" s="46">
        <f t="shared" si="17"/>
        <v>2670.0539586175551</v>
      </c>
      <c r="AW7" s="48">
        <v>0.2565477418024335</v>
      </c>
      <c r="AX7" s="48">
        <f t="shared" si="18"/>
        <v>13.244591729604206</v>
      </c>
      <c r="AY7" s="48">
        <f t="shared" si="19"/>
        <v>13.50569385337133</v>
      </c>
      <c r="BA7">
        <v>0.253</v>
      </c>
      <c r="BB7">
        <v>3.81</v>
      </c>
      <c r="BC7" s="48">
        <f>(5-$BC$60*BB7)*0.399/(BA7*M7)</f>
        <v>8.0408267401523066</v>
      </c>
      <c r="BD7" s="48">
        <f t="shared" si="20"/>
        <v>13.830221993061967</v>
      </c>
      <c r="BE7" s="48">
        <v>10.029999999999999</v>
      </c>
      <c r="BF7" s="48">
        <v>44.372500000000002</v>
      </c>
      <c r="BG7" s="48">
        <v>44.501300000000001</v>
      </c>
      <c r="BH7" s="48">
        <f t="shared" si="21"/>
        <v>0.12879999999999825</v>
      </c>
      <c r="BI7" s="48">
        <v>45.121099999999998</v>
      </c>
      <c r="BJ7" s="48">
        <v>45.191699999999997</v>
      </c>
      <c r="BK7" s="48">
        <f t="shared" si="22"/>
        <v>7.0599999999998886E-2</v>
      </c>
      <c r="BL7" s="48">
        <v>147.63999999999999</v>
      </c>
      <c r="BM7" s="48">
        <v>151.04</v>
      </c>
      <c r="BN7" s="48">
        <f t="shared" si="23"/>
        <v>3.4000000000000057</v>
      </c>
      <c r="BO7" s="48">
        <f t="shared" si="24"/>
        <v>3.1302156584431113</v>
      </c>
      <c r="BP7" s="48">
        <f t="shared" si="25"/>
        <v>2.9673673538357233</v>
      </c>
      <c r="BQ7" s="48">
        <f t="shared" si="26"/>
        <v>3.4670271488115416</v>
      </c>
      <c r="BR7" s="48">
        <f t="shared" si="27"/>
        <v>9.5646101610903749</v>
      </c>
      <c r="BS7" s="48">
        <f t="shared" si="28"/>
        <v>32.72705950083661</v>
      </c>
      <c r="BT7" s="48">
        <f t="shared" si="29"/>
        <v>31.024446410865952</v>
      </c>
      <c r="BU7" s="48">
        <f t="shared" si="30"/>
        <v>36.248494088297448</v>
      </c>
    </row>
    <row r="8" spans="1:73" x14ac:dyDescent="0.2">
      <c r="A8" s="7">
        <v>4</v>
      </c>
      <c r="B8" s="7" t="s">
        <v>77</v>
      </c>
      <c r="C8" s="7">
        <v>110160</v>
      </c>
      <c r="D8" s="8">
        <v>7.12</v>
      </c>
      <c r="E8" s="8">
        <v>0.18490000000000001</v>
      </c>
      <c r="F8" s="48">
        <v>9.2409999999999997</v>
      </c>
      <c r="G8" s="48">
        <v>0.48399999999999999</v>
      </c>
      <c r="H8" s="48">
        <f t="shared" si="0"/>
        <v>9.7249999999999996</v>
      </c>
      <c r="I8" s="48">
        <v>8.7119999999999997</v>
      </c>
      <c r="J8" s="59">
        <f t="shared" si="31"/>
        <v>1.0129999999999999</v>
      </c>
      <c r="K8" s="48">
        <f t="shared" si="32"/>
        <v>109.62017097716696</v>
      </c>
      <c r="L8" s="48">
        <f t="shared" si="1"/>
        <v>0.12311618862421</v>
      </c>
      <c r="M8" s="58">
        <f t="shared" si="2"/>
        <v>0.89037982902283297</v>
      </c>
      <c r="N8" s="48"/>
      <c r="O8" s="48">
        <v>6.6689999999999996</v>
      </c>
      <c r="P8" s="48">
        <v>1.42</v>
      </c>
      <c r="Q8" s="48">
        <f t="shared" si="34"/>
        <v>142</v>
      </c>
      <c r="R8" s="46">
        <f t="shared" si="3"/>
        <v>189.17795868515051</v>
      </c>
      <c r="S8" s="46">
        <f t="shared" si="4"/>
        <v>37845.050634964362</v>
      </c>
      <c r="T8" s="48">
        <v>0.47099999999999997</v>
      </c>
      <c r="U8" s="48">
        <f t="shared" si="33"/>
        <v>9.42</v>
      </c>
      <c r="V8" s="46">
        <f t="shared" si="5"/>
        <v>2.9025389566090696</v>
      </c>
      <c r="W8" s="46">
        <f t="shared" si="6"/>
        <v>352.65848322800196</v>
      </c>
      <c r="X8" s="48">
        <v>4.3049999999999997</v>
      </c>
      <c r="Y8" s="48"/>
      <c r="Z8" s="48"/>
      <c r="AA8" s="48">
        <f t="shared" si="7"/>
        <v>34.44</v>
      </c>
      <c r="AB8" s="46">
        <f t="shared" si="8"/>
        <v>77.36024307243558</v>
      </c>
      <c r="AC8">
        <v>0.31</v>
      </c>
      <c r="AD8" s="48">
        <v>7.0999999999999994E-2</v>
      </c>
      <c r="AE8" s="48"/>
      <c r="AF8" s="48">
        <f>AC8*2</f>
        <v>0.62</v>
      </c>
      <c r="AG8" s="46">
        <f t="shared" si="9"/>
        <v>1.3926640738940204</v>
      </c>
      <c r="AH8">
        <v>0.21</v>
      </c>
      <c r="AI8">
        <f t="shared" si="10"/>
        <v>1.68</v>
      </c>
      <c r="AJ8" s="46">
        <f t="shared" si="11"/>
        <v>3.7736703937773459</v>
      </c>
      <c r="AK8">
        <v>1.06</v>
      </c>
      <c r="AN8" s="48"/>
      <c r="AO8" s="48">
        <f t="shared" si="12"/>
        <v>8.48</v>
      </c>
      <c r="AP8" s="46">
        <f t="shared" si="13"/>
        <v>19.048050559066603</v>
      </c>
      <c r="AQ8" s="48">
        <v>9.8030160668984312</v>
      </c>
      <c r="AR8" s="46">
        <f t="shared" si="14"/>
        <v>6.6969880584806463</v>
      </c>
      <c r="AS8" s="46">
        <f t="shared" si="15"/>
        <v>2618.5223308659329</v>
      </c>
      <c r="AT8" s="48">
        <v>7.0741812227074226</v>
      </c>
      <c r="AU8" s="46">
        <f t="shared" si="16"/>
        <v>8.2228567461498301</v>
      </c>
      <c r="AV8" s="46">
        <f t="shared" si="17"/>
        <v>1889.6124802652309</v>
      </c>
      <c r="AW8" s="48">
        <v>0.13776036296143535</v>
      </c>
      <c r="AX8" s="48">
        <f t="shared" si="18"/>
        <v>7.1120476490157634</v>
      </c>
      <c r="AY8" s="48">
        <f t="shared" si="19"/>
        <v>7.9876558488763578</v>
      </c>
      <c r="BA8">
        <v>0.25</v>
      </c>
      <c r="BB8">
        <v>2.12</v>
      </c>
      <c r="BC8" s="48">
        <f>(5-$BC$60*BB8)*0.399/(BA8*M8)</f>
        <v>8.9624671852211968</v>
      </c>
      <c r="BD8" s="48">
        <f t="shared" si="20"/>
        <v>15.415443558580458</v>
      </c>
      <c r="BE8" s="48">
        <v>10.09</v>
      </c>
      <c r="BF8" s="48">
        <v>38.5471</v>
      </c>
      <c r="BG8" s="48">
        <v>38.690300000000001</v>
      </c>
      <c r="BH8" s="48">
        <f t="shared" si="21"/>
        <v>0.14320000000000022</v>
      </c>
      <c r="BI8" s="48">
        <v>31.741199999999999</v>
      </c>
      <c r="BJ8" s="48">
        <v>31.8338</v>
      </c>
      <c r="BK8" s="48">
        <f t="shared" si="22"/>
        <v>9.2600000000000904E-2</v>
      </c>
      <c r="BL8" s="48">
        <v>147.44999999999999</v>
      </c>
      <c r="BM8" s="48">
        <v>149.97</v>
      </c>
      <c r="BN8" s="48">
        <f t="shared" si="23"/>
        <v>2.5200000000000102</v>
      </c>
      <c r="BO8" s="48">
        <f t="shared" si="24"/>
        <v>4.6830575717064198</v>
      </c>
      <c r="BP8" s="48">
        <f t="shared" si="25"/>
        <v>2.841483957219213</v>
      </c>
      <c r="BQ8" s="48">
        <f t="shared" si="26"/>
        <v>2.830252795333021</v>
      </c>
      <c r="BR8" s="48">
        <f t="shared" si="27"/>
        <v>10.354794324258654</v>
      </c>
      <c r="BS8" s="48">
        <f t="shared" si="28"/>
        <v>45.225983491871055</v>
      </c>
      <c r="BT8" s="48">
        <f t="shared" si="29"/>
        <v>27.441239953577227</v>
      </c>
      <c r="BU8" s="48">
        <f t="shared" si="30"/>
        <v>27.332776554551714</v>
      </c>
    </row>
    <row r="9" spans="1:73" x14ac:dyDescent="0.2">
      <c r="A9" s="7">
        <v>3</v>
      </c>
      <c r="B9" s="7" t="s">
        <v>77</v>
      </c>
      <c r="C9" s="7">
        <v>110160</v>
      </c>
      <c r="D9" s="8">
        <v>7.09</v>
      </c>
      <c r="E9" s="8">
        <v>0.22800000000000001</v>
      </c>
      <c r="F9" s="48">
        <v>11.252000000000001</v>
      </c>
      <c r="G9" s="48">
        <v>0.43099999999999999</v>
      </c>
      <c r="H9" s="48">
        <f t="shared" si="0"/>
        <v>11.683</v>
      </c>
      <c r="I9" s="48">
        <v>10.625</v>
      </c>
      <c r="J9" s="59">
        <f t="shared" si="31"/>
        <v>1.0579999999999998</v>
      </c>
      <c r="K9" s="48">
        <f t="shared" si="32"/>
        <v>94.027728403839305</v>
      </c>
      <c r="L9" s="48">
        <f t="shared" si="1"/>
        <v>0.10378654110260935</v>
      </c>
      <c r="M9" s="58">
        <f t="shared" si="2"/>
        <v>0.90597227159616078</v>
      </c>
      <c r="N9" s="48"/>
      <c r="O9" s="48">
        <v>6.6319999999999997</v>
      </c>
      <c r="P9" s="48">
        <v>1.36</v>
      </c>
      <c r="Q9" s="48">
        <f t="shared" si="34"/>
        <v>136</v>
      </c>
      <c r="R9" s="46">
        <f t="shared" si="3"/>
        <v>184.35744978116392</v>
      </c>
      <c r="S9" s="46">
        <f t="shared" si="4"/>
        <v>36880.707828721846</v>
      </c>
      <c r="T9" s="48">
        <v>0.503</v>
      </c>
      <c r="U9" s="48">
        <f t="shared" si="33"/>
        <v>10.06</v>
      </c>
      <c r="V9" s="46">
        <f t="shared" si="5"/>
        <v>3.0463902890239365</v>
      </c>
      <c r="W9" s="46">
        <f t="shared" si="6"/>
        <v>370.13642011640826</v>
      </c>
      <c r="X9" s="48">
        <v>5.7629999999999999</v>
      </c>
      <c r="Y9" s="48">
        <v>2.839</v>
      </c>
      <c r="Z9" s="48"/>
      <c r="AA9" s="48">
        <f>Y9*16</f>
        <v>45.423999999999999</v>
      </c>
      <c r="AB9" s="46">
        <f t="shared" si="8"/>
        <v>100.27679968608986</v>
      </c>
      <c r="AC9">
        <v>0.21099999999999999</v>
      </c>
      <c r="AD9" s="48">
        <v>5.2999999999999999E-2</v>
      </c>
      <c r="AE9" s="48"/>
      <c r="AF9" s="48">
        <f>AC9*2</f>
        <v>0.42199999999999999</v>
      </c>
      <c r="AG9" s="46">
        <f t="shared" si="9"/>
        <v>0.93159584069060219</v>
      </c>
      <c r="AH9">
        <v>0.2</v>
      </c>
      <c r="AI9">
        <f t="shared" si="10"/>
        <v>1.6</v>
      </c>
      <c r="AJ9" s="46">
        <f t="shared" si="11"/>
        <v>3.5321169315283498</v>
      </c>
      <c r="AK9">
        <v>1.84</v>
      </c>
      <c r="AN9" s="48"/>
      <c r="AO9" s="48">
        <f t="shared" si="12"/>
        <v>14.72</v>
      </c>
      <c r="AP9" s="46">
        <f t="shared" si="13"/>
        <v>32.495475770060821</v>
      </c>
      <c r="AQ9" s="48">
        <v>10.554683829747251</v>
      </c>
      <c r="AR9" s="46">
        <f t="shared" si="14"/>
        <v>7.3367653850757408</v>
      </c>
      <c r="AS9" s="46">
        <f t="shared" si="15"/>
        <v>2868.6752655646151</v>
      </c>
      <c r="AT9" s="48">
        <v>10.349290393013099</v>
      </c>
      <c r="AU9" s="46">
        <f t="shared" si="16"/>
        <v>12.240430974890863</v>
      </c>
      <c r="AV9" s="46">
        <f t="shared" si="17"/>
        <v>2812.8510380299203</v>
      </c>
      <c r="AW9" s="48">
        <v>8.4141060012373689E-2</v>
      </c>
      <c r="AX9" s="48">
        <f t="shared" si="18"/>
        <v>4.3438853904168138</v>
      </c>
      <c r="AY9" s="48">
        <f t="shared" si="19"/>
        <v>4.7947222300343322</v>
      </c>
      <c r="AZ9">
        <v>0.51</v>
      </c>
      <c r="BB9">
        <v>1.6</v>
      </c>
      <c r="BC9" s="48">
        <f>(5-$BC$60*BB9)*0.399/(AZ9*M9)</f>
        <v>4.3177532343131482</v>
      </c>
      <c r="BD9" s="48">
        <f t="shared" si="20"/>
        <v>7.4265355630186152</v>
      </c>
      <c r="BE9" s="48">
        <v>10.050000000000001</v>
      </c>
      <c r="BF9" s="48">
        <v>31.341699999999999</v>
      </c>
      <c r="BG9" s="48">
        <v>31.486999999999998</v>
      </c>
      <c r="BH9" s="48">
        <f t="shared" si="21"/>
        <v>0.14529999999999887</v>
      </c>
      <c r="BI9" s="48">
        <v>42.1235</v>
      </c>
      <c r="BJ9" s="48">
        <v>42.213200000000001</v>
      </c>
      <c r="BK9" s="48">
        <f t="shared" si="22"/>
        <v>8.9700000000000557E-2</v>
      </c>
      <c r="BL9" s="48">
        <v>165.77</v>
      </c>
      <c r="BM9" s="48">
        <v>168.32</v>
      </c>
      <c r="BN9" s="48">
        <f t="shared" si="23"/>
        <v>2.5499999999999829</v>
      </c>
      <c r="BO9" s="48">
        <f t="shared" si="24"/>
        <v>4.4424096919757021</v>
      </c>
      <c r="BP9" s="48">
        <f t="shared" si="25"/>
        <v>3.068526584265161</v>
      </c>
      <c r="BQ9" s="48">
        <f t="shared" si="26"/>
        <v>2.8146556798116347</v>
      </c>
      <c r="BR9" s="48">
        <f t="shared" si="27"/>
        <v>10.325591956052499</v>
      </c>
      <c r="BS9" s="48">
        <f t="shared" si="28"/>
        <v>43.02329310400183</v>
      </c>
      <c r="BT9" s="48">
        <f t="shared" si="29"/>
        <v>29.717682020801711</v>
      </c>
      <c r="BU9" s="48">
        <f t="shared" si="30"/>
        <v>27.259024875196452</v>
      </c>
    </row>
    <row r="10" spans="1:73" x14ac:dyDescent="0.2">
      <c r="A10" s="7">
        <v>30</v>
      </c>
      <c r="B10" s="7" t="s">
        <v>77</v>
      </c>
      <c r="C10" s="7">
        <v>110397</v>
      </c>
      <c r="D10" s="8">
        <v>7.29</v>
      </c>
      <c r="E10" s="8">
        <v>0.35199999999999998</v>
      </c>
      <c r="F10" s="48">
        <v>10.031000000000001</v>
      </c>
      <c r="G10" s="48">
        <v>0.55400000000000005</v>
      </c>
      <c r="H10" s="48">
        <f t="shared" si="0"/>
        <v>10.585000000000001</v>
      </c>
      <c r="I10" s="48">
        <v>9.2799999999999994</v>
      </c>
      <c r="J10" s="59">
        <f t="shared" si="31"/>
        <v>1.3050000000000015</v>
      </c>
      <c r="K10" s="48">
        <f t="shared" si="32"/>
        <v>130.09670022928935</v>
      </c>
      <c r="L10" s="48">
        <f t="shared" si="1"/>
        <v>0.1495530598212241</v>
      </c>
      <c r="M10" s="58">
        <f t="shared" si="2"/>
        <v>0.86990329977071068</v>
      </c>
      <c r="N10" s="59">
        <v>54</v>
      </c>
      <c r="O10" s="59">
        <v>18.626000000000001</v>
      </c>
      <c r="P10" s="59">
        <v>4.1100000000000003</v>
      </c>
      <c r="Q10" s="48">
        <f t="shared" si="34"/>
        <v>411.00000000000006</v>
      </c>
      <c r="R10" s="50">
        <f t="shared" si="3"/>
        <v>534.957989335305</v>
      </c>
      <c r="S10" s="46">
        <f t="shared" si="4"/>
        <v>107018.34576652777</v>
      </c>
      <c r="T10" s="48">
        <v>0.65</v>
      </c>
      <c r="U10" s="48">
        <f t="shared" si="33"/>
        <v>13</v>
      </c>
      <c r="V10" s="46">
        <f t="shared" si="5"/>
        <v>4.0999148909947634</v>
      </c>
      <c r="W10" s="46">
        <f t="shared" si="6"/>
        <v>498.13965925586376</v>
      </c>
      <c r="X10" s="48">
        <v>4.4740000000000002</v>
      </c>
      <c r="Y10" s="48"/>
      <c r="Z10" s="48"/>
      <c r="AA10" s="48">
        <f t="shared" ref="AA10:AA18" si="35">X10*8</f>
        <v>35.792000000000002</v>
      </c>
      <c r="AB10" s="46">
        <f t="shared" si="8"/>
        <v>82.289606234242513</v>
      </c>
      <c r="AD10" s="48">
        <v>0.106</v>
      </c>
      <c r="AE10" s="48"/>
      <c r="AF10" s="48">
        <f>AD10*8</f>
        <v>0.84799999999999998</v>
      </c>
      <c r="AG10" s="46">
        <f t="shared" si="9"/>
        <v>1.949641989456796</v>
      </c>
      <c r="AH10">
        <v>0.64</v>
      </c>
      <c r="AI10">
        <f t="shared" si="10"/>
        <v>5.12</v>
      </c>
      <c r="AJ10" s="46">
        <f t="shared" si="11"/>
        <v>11.771423332569334</v>
      </c>
      <c r="AK10">
        <v>1.38</v>
      </c>
      <c r="AN10" s="48"/>
      <c r="AO10" s="48">
        <f t="shared" si="12"/>
        <v>11.04</v>
      </c>
      <c r="AP10" s="46">
        <f t="shared" si="13"/>
        <v>25.382131560852624</v>
      </c>
      <c r="AQ10" s="48">
        <v>7.8298881894202754</v>
      </c>
      <c r="AR10" s="46">
        <f t="shared" si="14"/>
        <v>5.2260196210836929</v>
      </c>
      <c r="AS10" s="46">
        <f t="shared" si="15"/>
        <v>2043.373671843724</v>
      </c>
      <c r="AT10" s="48">
        <v>7.3471069868995631</v>
      </c>
      <c r="AU10" s="46">
        <f t="shared" si="16"/>
        <v>8.3436979264652393</v>
      </c>
      <c r="AV10" s="46">
        <f t="shared" si="17"/>
        <v>1917.3817835017121</v>
      </c>
      <c r="AW10" s="48">
        <v>0.37842854196741593</v>
      </c>
      <c r="AX10" s="48">
        <f t="shared" si="18"/>
        <v>19.53683747895797</v>
      </c>
      <c r="AY10" s="48">
        <f t="shared" si="19"/>
        <v>22.458631303166104</v>
      </c>
      <c r="BA10">
        <v>0.26300000000000001</v>
      </c>
      <c r="BB10">
        <v>1.85</v>
      </c>
      <c r="BC10" s="48">
        <f>(5-$BC$60*BB10)*0.399/(BA10*M10)</f>
        <v>8.7199937427503507</v>
      </c>
      <c r="BD10" s="48">
        <f t="shared" si="20"/>
        <v>14.998389237530603</v>
      </c>
      <c r="BE10" s="48">
        <v>10</v>
      </c>
      <c r="BF10" s="48">
        <v>31.341200000000001</v>
      </c>
      <c r="BG10" s="48">
        <v>31.422499999999999</v>
      </c>
      <c r="BH10" s="48">
        <f t="shared" si="21"/>
        <v>8.1299999999998818E-2</v>
      </c>
      <c r="BI10" s="48">
        <v>42.805999999999997</v>
      </c>
      <c r="BJ10" s="48">
        <v>42.8491</v>
      </c>
      <c r="BK10" s="48">
        <f t="shared" si="22"/>
        <v>4.3100000000002581E-2</v>
      </c>
      <c r="BL10" s="48">
        <v>143.37</v>
      </c>
      <c r="BM10" s="48">
        <v>148.91</v>
      </c>
      <c r="BN10" s="48">
        <f t="shared" si="23"/>
        <v>5.539999999999992</v>
      </c>
      <c r="BO10" s="48">
        <f t="shared" si="24"/>
        <v>1.9481475704791769</v>
      </c>
      <c r="BP10" s="48">
        <f t="shared" si="25"/>
        <v>2.1956463442583218</v>
      </c>
      <c r="BQ10" s="48">
        <f t="shared" si="26"/>
        <v>6.3685239514095722</v>
      </c>
      <c r="BR10" s="48">
        <f t="shared" si="27"/>
        <v>10.512317866147072</v>
      </c>
      <c r="BS10" s="48">
        <f t="shared" si="28"/>
        <v>18.532045884502953</v>
      </c>
      <c r="BT10" s="48">
        <f t="shared" si="29"/>
        <v>20.886415081958138</v>
      </c>
      <c r="BU10" s="48">
        <f t="shared" si="30"/>
        <v>60.581539033538903</v>
      </c>
    </row>
    <row r="11" spans="1:73" x14ac:dyDescent="0.2">
      <c r="A11" s="7">
        <v>13</v>
      </c>
      <c r="B11" s="7" t="s">
        <v>77</v>
      </c>
      <c r="C11" s="7">
        <v>110397</v>
      </c>
      <c r="D11" s="8">
        <v>7.29</v>
      </c>
      <c r="E11" s="8">
        <v>0.36499999999999999</v>
      </c>
      <c r="F11" s="48">
        <v>9.7289999999999992</v>
      </c>
      <c r="G11" s="48">
        <v>0.35400000000000098</v>
      </c>
      <c r="H11" s="48">
        <f t="shared" si="0"/>
        <v>10.083</v>
      </c>
      <c r="I11" s="48">
        <v>9.3209999999999997</v>
      </c>
      <c r="J11" s="48">
        <f t="shared" si="31"/>
        <v>0.76200000000000045</v>
      </c>
      <c r="K11" s="48">
        <f t="shared" si="32"/>
        <v>78.322540857231019</v>
      </c>
      <c r="L11" s="48">
        <f t="shared" si="1"/>
        <v>8.4978253596520642E-2</v>
      </c>
      <c r="M11" s="58">
        <f t="shared" si="2"/>
        <v>0.921677459142769</v>
      </c>
      <c r="N11" s="59">
        <v>24.5</v>
      </c>
      <c r="O11" s="59">
        <v>18.504000000000001</v>
      </c>
      <c r="P11" s="59">
        <v>3.94</v>
      </c>
      <c r="Q11" s="48">
        <f t="shared" si="34"/>
        <v>394</v>
      </c>
      <c r="R11" s="50">
        <f t="shared" si="3"/>
        <v>543.35299586371718</v>
      </c>
      <c r="S11" s="46">
        <f t="shared" si="4"/>
        <v>108697.76682253662</v>
      </c>
      <c r="T11" s="48">
        <v>0.63700000000000001</v>
      </c>
      <c r="U11" s="48">
        <f t="shared" si="33"/>
        <v>12.74</v>
      </c>
      <c r="V11" s="46">
        <f t="shared" si="5"/>
        <v>3.792214801322269</v>
      </c>
      <c r="W11" s="46">
        <f t="shared" si="6"/>
        <v>460.75409836065569</v>
      </c>
      <c r="X11" s="48">
        <v>4.0469999999999997</v>
      </c>
      <c r="Y11" s="48"/>
      <c r="Z11" s="48"/>
      <c r="AA11" s="48">
        <f t="shared" si="35"/>
        <v>32.375999999999998</v>
      </c>
      <c r="AB11" s="46">
        <f t="shared" si="8"/>
        <v>70.254511876881907</v>
      </c>
      <c r="AD11" s="48">
        <v>0.16500000000000001</v>
      </c>
      <c r="AE11" s="48"/>
      <c r="AF11" s="48">
        <f>AD11*8</f>
        <v>1.32</v>
      </c>
      <c r="AG11" s="46">
        <f t="shared" si="9"/>
        <v>2.8643425894948149</v>
      </c>
      <c r="AH11">
        <v>0.65</v>
      </c>
      <c r="AI11">
        <f t="shared" si="10"/>
        <v>5.2</v>
      </c>
      <c r="AJ11" s="46">
        <f t="shared" si="11"/>
        <v>11.283773837403814</v>
      </c>
      <c r="AK11">
        <v>1.7</v>
      </c>
      <c r="AN11" s="48"/>
      <c r="AO11" s="48">
        <f t="shared" si="12"/>
        <v>13.6</v>
      </c>
      <c r="AP11" s="46">
        <f t="shared" si="13"/>
        <v>29.511408497825361</v>
      </c>
      <c r="AQ11" s="48">
        <v>6.0446772526543269</v>
      </c>
      <c r="AR11" s="46">
        <f t="shared" si="14"/>
        <v>4.2746108221722769</v>
      </c>
      <c r="AS11" s="46">
        <f t="shared" si="15"/>
        <v>1671.3728314693603</v>
      </c>
      <c r="AT11" s="48">
        <v>7.4380822416302763</v>
      </c>
      <c r="AU11" s="46">
        <f t="shared" si="16"/>
        <v>8.9497555370244708</v>
      </c>
      <c r="AV11" s="46">
        <f t="shared" si="17"/>
        <v>2056.6538224082233</v>
      </c>
      <c r="AW11" s="48">
        <v>0.37719117343782227</v>
      </c>
      <c r="AX11" s="48">
        <f t="shared" si="18"/>
        <v>19.472956811451844</v>
      </c>
      <c r="AY11" s="48">
        <f t="shared" si="19"/>
        <v>21.127734673649492</v>
      </c>
      <c r="BA11">
        <v>0.25700000000000001</v>
      </c>
      <c r="BB11">
        <v>2.68</v>
      </c>
      <c r="BC11" s="48">
        <f>(5-$BC$60*BB11)*0.399/(BA11*M11)</f>
        <v>8.4223020074905008</v>
      </c>
      <c r="BD11" s="48">
        <f t="shared" si="20"/>
        <v>14.486359452883661</v>
      </c>
      <c r="BE11" s="48">
        <v>10.01</v>
      </c>
      <c r="BF11" s="48">
        <v>39.716099999999997</v>
      </c>
      <c r="BG11" s="48">
        <v>39.801600000000001</v>
      </c>
      <c r="BH11" s="48">
        <f t="shared" si="21"/>
        <v>8.550000000000324E-2</v>
      </c>
      <c r="BI11" s="48">
        <v>40.351900000000001</v>
      </c>
      <c r="BJ11" s="48">
        <v>40.401699999999998</v>
      </c>
      <c r="BK11" s="48">
        <f t="shared" si="22"/>
        <v>4.9799999999997624E-2</v>
      </c>
      <c r="BL11" s="48">
        <v>136.96</v>
      </c>
      <c r="BM11" s="48">
        <v>141.77000000000001</v>
      </c>
      <c r="BN11" s="48">
        <f t="shared" si="23"/>
        <v>4.8100000000000023</v>
      </c>
      <c r="BO11" s="48">
        <f t="shared" si="24"/>
        <v>2.2021803613247291</v>
      </c>
      <c r="BP11" s="48">
        <f t="shared" si="25"/>
        <v>1.9366861826700941</v>
      </c>
      <c r="BQ11" s="48">
        <f t="shared" si="26"/>
        <v>5.2187453997992668</v>
      </c>
      <c r="BR11" s="48">
        <f t="shared" si="27"/>
        <v>9.3576119437940903</v>
      </c>
      <c r="BS11" s="48">
        <f t="shared" si="28"/>
        <v>23.533572182219004</v>
      </c>
      <c r="BT11" s="48">
        <f t="shared" si="29"/>
        <v>20.69637204772626</v>
      </c>
      <c r="BU11" s="48">
        <f t="shared" si="30"/>
        <v>55.770055770054725</v>
      </c>
    </row>
    <row r="12" spans="1:73" x14ac:dyDescent="0.2">
      <c r="A12" s="7">
        <v>37</v>
      </c>
      <c r="B12" s="7" t="s">
        <v>76</v>
      </c>
      <c r="C12" s="7">
        <v>140897</v>
      </c>
      <c r="D12" s="8">
        <v>5.74</v>
      </c>
      <c r="E12" s="8">
        <v>2.3699999999999999E-2</v>
      </c>
      <c r="F12" s="48">
        <v>9.6519999999999992</v>
      </c>
      <c r="G12" s="48">
        <v>0.45400000000000063</v>
      </c>
      <c r="H12" s="48">
        <f t="shared" si="0"/>
        <v>10.106</v>
      </c>
      <c r="I12" s="48">
        <v>9.9380000000000006</v>
      </c>
      <c r="J12" s="48">
        <f t="shared" si="31"/>
        <v>0.16799999999999926</v>
      </c>
      <c r="K12" s="48">
        <f t="shared" si="32"/>
        <v>17.405719021964284</v>
      </c>
      <c r="L12" s="48">
        <f t="shared" si="1"/>
        <v>1.7714044706874658E-2</v>
      </c>
      <c r="M12" s="58">
        <f t="shared" si="2"/>
        <v>0.98259428097803569</v>
      </c>
      <c r="N12" s="48"/>
      <c r="O12" s="48">
        <v>1.319</v>
      </c>
      <c r="P12" s="48"/>
      <c r="Q12" s="48">
        <f t="shared" ref="Q12:Q75" si="36">O12*20</f>
        <v>26.38</v>
      </c>
      <c r="R12" s="46">
        <f t="shared" si="3"/>
        <v>38.784294960898627</v>
      </c>
      <c r="S12" s="46">
        <f t="shared" si="4"/>
        <v>7758.7982069277696</v>
      </c>
      <c r="T12" s="48">
        <v>0.55600000000000005</v>
      </c>
      <c r="U12" s="48">
        <f t="shared" si="33"/>
        <v>11.120000000000001</v>
      </c>
      <c r="V12" s="46">
        <f t="shared" si="5"/>
        <v>3.1047956590234427</v>
      </c>
      <c r="W12" s="46">
        <f t="shared" si="6"/>
        <v>377.2326725713483</v>
      </c>
      <c r="X12" s="48">
        <v>2.6509999999999998</v>
      </c>
      <c r="Y12" s="48"/>
      <c r="Z12" s="48"/>
      <c r="AA12" s="48">
        <f t="shared" si="35"/>
        <v>21.207999999999998</v>
      </c>
      <c r="AB12" s="46">
        <f t="shared" si="8"/>
        <v>43.167358920286787</v>
      </c>
      <c r="AC12">
        <v>2.8000000000000001E-2</v>
      </c>
      <c r="AD12" s="48">
        <v>0</v>
      </c>
      <c r="AE12" s="48"/>
      <c r="AF12" s="48">
        <f>AC12*2</f>
        <v>5.6000000000000001E-2</v>
      </c>
      <c r="AG12" s="46">
        <f t="shared" si="9"/>
        <v>0.11398397300716996</v>
      </c>
      <c r="AH12">
        <v>0.15</v>
      </c>
      <c r="AI12">
        <f t="shared" si="10"/>
        <v>1.2</v>
      </c>
      <c r="AJ12" s="46">
        <f t="shared" si="11"/>
        <v>2.4425137072964991</v>
      </c>
      <c r="AK12">
        <v>2.44</v>
      </c>
      <c r="AN12" s="48"/>
      <c r="AO12" s="48">
        <f t="shared" si="12"/>
        <v>19.52</v>
      </c>
      <c r="AP12" s="46">
        <f t="shared" si="13"/>
        <v>39.731556305356385</v>
      </c>
      <c r="AQ12" s="48">
        <v>2.4272761439443764</v>
      </c>
      <c r="AR12" s="46">
        <f t="shared" si="14"/>
        <v>1.8299444941643201</v>
      </c>
      <c r="AS12" s="46">
        <f t="shared" si="15"/>
        <v>715.50829721824925</v>
      </c>
      <c r="AT12" s="48">
        <v>10.07636462882096</v>
      </c>
      <c r="AU12" s="46">
        <f t="shared" si="16"/>
        <v>12.925559082674727</v>
      </c>
      <c r="AV12" s="46">
        <f t="shared" si="17"/>
        <v>2970.2934771986525</v>
      </c>
      <c r="AW12" s="48">
        <v>0.20416580738296555</v>
      </c>
      <c r="AX12" s="48">
        <f t="shared" si="18"/>
        <v>10.540310138511387</v>
      </c>
      <c r="AY12" s="48">
        <f t="shared" si="19"/>
        <v>10.727021663529301</v>
      </c>
      <c r="AZ12">
        <v>0.502</v>
      </c>
      <c r="BB12">
        <v>7.74</v>
      </c>
      <c r="BC12" s="48">
        <f t="shared" ref="BC12:BC23" si="37">(5-$BC$60*BB12)*0.399/(AZ12*M12)</f>
        <v>4.0445010342434564</v>
      </c>
      <c r="BD12" s="48">
        <f t="shared" si="20"/>
        <v>6.9565417788987451</v>
      </c>
      <c r="BE12" s="48">
        <v>10.06</v>
      </c>
      <c r="BF12" s="48">
        <v>33.296799999999998</v>
      </c>
      <c r="BG12" s="48">
        <v>33.358199999999997</v>
      </c>
      <c r="BH12" s="48">
        <f t="shared" si="21"/>
        <v>6.1399999999999011E-2</v>
      </c>
      <c r="BI12" s="48">
        <v>33.844000000000001</v>
      </c>
      <c r="BJ12" s="48">
        <v>33.864699999999999</v>
      </c>
      <c r="BK12" s="48">
        <f t="shared" si="22"/>
        <v>2.0699999999997942E-2</v>
      </c>
      <c r="BL12" s="48">
        <v>141.54</v>
      </c>
      <c r="BM12" s="48">
        <v>148.63999999999999</v>
      </c>
      <c r="BN12" s="48">
        <f t="shared" si="23"/>
        <v>7.0999999999999943</v>
      </c>
      <c r="BO12" s="48">
        <f t="shared" si="24"/>
        <v>0.58488026149293615</v>
      </c>
      <c r="BP12" s="48">
        <f t="shared" si="25"/>
        <v>2.0710480809785445</v>
      </c>
      <c r="BQ12" s="48">
        <f t="shared" si="26"/>
        <v>7.225769717418804</v>
      </c>
      <c r="BR12" s="48">
        <f t="shared" si="27"/>
        <v>9.8816980598902848</v>
      </c>
      <c r="BS12" s="48">
        <f t="shared" si="28"/>
        <v>5.9188234445956143</v>
      </c>
      <c r="BT12" s="48">
        <f t="shared" si="29"/>
        <v>20.958423020279362</v>
      </c>
      <c r="BU12" s="48">
        <f t="shared" si="30"/>
        <v>73.122753535125014</v>
      </c>
    </row>
    <row r="13" spans="1:73" x14ac:dyDescent="0.2">
      <c r="A13" s="7">
        <v>14</v>
      </c>
      <c r="B13" s="7" t="s">
        <v>76</v>
      </c>
      <c r="C13" s="7">
        <v>140897</v>
      </c>
      <c r="D13" s="8">
        <v>6.07</v>
      </c>
      <c r="E13" s="8">
        <v>2.6499999999999999E-2</v>
      </c>
      <c r="F13" s="48">
        <v>10.455</v>
      </c>
      <c r="G13" s="48">
        <v>0.41300000000000026</v>
      </c>
      <c r="H13" s="48">
        <f t="shared" si="0"/>
        <v>10.868</v>
      </c>
      <c r="I13" s="48">
        <v>10.689</v>
      </c>
      <c r="J13" s="48">
        <f t="shared" si="31"/>
        <v>0.17900000000000027</v>
      </c>
      <c r="K13" s="48">
        <f t="shared" si="32"/>
        <v>17.120994739359187</v>
      </c>
      <c r="L13" s="48">
        <f t="shared" si="1"/>
        <v>1.7419229272090334E-2</v>
      </c>
      <c r="M13" s="58">
        <f t="shared" si="2"/>
        <v>0.98287900526064087</v>
      </c>
      <c r="N13" s="48"/>
      <c r="O13" s="48">
        <v>1.1930000000000001</v>
      </c>
      <c r="P13" s="48"/>
      <c r="Q13" s="48">
        <f t="shared" si="36"/>
        <v>23.86</v>
      </c>
      <c r="R13" s="46">
        <f t="shared" si="3"/>
        <v>35.089515808756445</v>
      </c>
      <c r="S13" s="46">
        <f t="shared" si="4"/>
        <v>7019.6576375417262</v>
      </c>
      <c r="T13" s="48">
        <v>0.53</v>
      </c>
      <c r="U13" s="48">
        <f t="shared" si="33"/>
        <v>10.600000000000001</v>
      </c>
      <c r="V13" s="46">
        <f t="shared" si="5"/>
        <v>2.9587500220258325</v>
      </c>
      <c r="W13" s="46">
        <f t="shared" si="6"/>
        <v>359.48812767613867</v>
      </c>
      <c r="X13" s="48">
        <v>1.506</v>
      </c>
      <c r="Y13" s="48"/>
      <c r="Z13" s="48"/>
      <c r="AA13" s="48">
        <f t="shared" si="35"/>
        <v>12.048</v>
      </c>
      <c r="AB13" s="46">
        <f t="shared" si="8"/>
        <v>24.515733748540292</v>
      </c>
      <c r="AC13">
        <v>1.2999999999999999E-2</v>
      </c>
      <c r="AD13" s="48">
        <v>2E-3</v>
      </c>
      <c r="AE13" s="48"/>
      <c r="AF13" s="48">
        <f>AC13*2</f>
        <v>2.5999999999999999E-2</v>
      </c>
      <c r="AG13" s="46">
        <f t="shared" si="9"/>
        <v>5.2905799922148701E-2</v>
      </c>
      <c r="AH13">
        <v>0.1</v>
      </c>
      <c r="AI13">
        <f t="shared" si="10"/>
        <v>0.8</v>
      </c>
      <c r="AJ13" s="46">
        <f t="shared" si="11"/>
        <v>1.6278707668353445</v>
      </c>
      <c r="AK13">
        <v>1.91</v>
      </c>
      <c r="AN13" s="48"/>
      <c r="AO13" s="48">
        <f t="shared" si="12"/>
        <v>15.28</v>
      </c>
      <c r="AP13" s="46">
        <f t="shared" si="13"/>
        <v>31.092331646555078</v>
      </c>
      <c r="AQ13" s="48">
        <v>2.5682138494785303</v>
      </c>
      <c r="AR13" s="46">
        <f t="shared" si="14"/>
        <v>1.9367596984696107</v>
      </c>
      <c r="AS13" s="46">
        <f t="shared" si="15"/>
        <v>757.27304210161776</v>
      </c>
      <c r="AT13" s="48">
        <v>7.3471069868995631</v>
      </c>
      <c r="AU13" s="46">
        <f t="shared" si="16"/>
        <v>9.4273070585213397</v>
      </c>
      <c r="AV13" s="46">
        <f t="shared" si="17"/>
        <v>2166.3951620482039</v>
      </c>
      <c r="AW13" s="48">
        <v>0.43575995050525879</v>
      </c>
      <c r="AX13" s="48">
        <f t="shared" si="18"/>
        <v>22.496641740075312</v>
      </c>
      <c r="AY13" s="48">
        <f t="shared" si="19"/>
        <v>22.88851590039776</v>
      </c>
      <c r="AZ13">
        <v>0.51</v>
      </c>
      <c r="BB13">
        <v>7.72</v>
      </c>
      <c r="BC13" s="48">
        <f t="shared" si="37"/>
        <v>3.9799046321525888</v>
      </c>
      <c r="BD13" s="48">
        <f t="shared" si="20"/>
        <v>6.8454359673024525</v>
      </c>
      <c r="BE13" s="48">
        <v>10.029999999999999</v>
      </c>
      <c r="BF13" s="48">
        <v>33.8444</v>
      </c>
      <c r="BG13" s="48">
        <v>33.908200000000001</v>
      </c>
      <c r="BH13" s="48">
        <f t="shared" si="21"/>
        <v>6.3800000000000523E-2</v>
      </c>
      <c r="BI13" s="48">
        <v>43.971899999999998</v>
      </c>
      <c r="BJ13" s="48">
        <v>43.996099999999998</v>
      </c>
      <c r="BK13" s="48">
        <f t="shared" si="22"/>
        <v>2.4200000000000443E-2</v>
      </c>
      <c r="BL13" s="48">
        <v>143.4</v>
      </c>
      <c r="BM13" s="48">
        <v>150.36000000000001</v>
      </c>
      <c r="BN13" s="48">
        <f t="shared" si="23"/>
        <v>6.960000000000008</v>
      </c>
      <c r="BO13" s="48">
        <f t="shared" si="24"/>
        <v>0.76275919618530863</v>
      </c>
      <c r="BP13" s="48">
        <f t="shared" si="25"/>
        <v>2.0144900739587426</v>
      </c>
      <c r="BQ13" s="48">
        <f t="shared" si="26"/>
        <v>7.0812378357337566</v>
      </c>
      <c r="BR13" s="48">
        <f t="shared" si="27"/>
        <v>9.8584871058778081</v>
      </c>
      <c r="BS13" s="48">
        <f t="shared" si="28"/>
        <v>7.7370816433947329</v>
      </c>
      <c r="BT13" s="48">
        <f t="shared" si="29"/>
        <v>20.434069166228021</v>
      </c>
      <c r="BU13" s="48">
        <f t="shared" si="30"/>
        <v>71.828849190377241</v>
      </c>
    </row>
    <row r="14" spans="1:73" x14ac:dyDescent="0.2">
      <c r="A14" s="7">
        <v>40</v>
      </c>
      <c r="B14" s="7" t="s">
        <v>76</v>
      </c>
      <c r="C14" s="7">
        <v>140933</v>
      </c>
      <c r="D14" s="8">
        <v>6.41</v>
      </c>
      <c r="E14" s="8">
        <v>3.27E-2</v>
      </c>
      <c r="F14" s="48">
        <v>9.2159999999999993</v>
      </c>
      <c r="G14" s="48">
        <v>0.40600000000000058</v>
      </c>
      <c r="H14" s="48">
        <f t="shared" si="0"/>
        <v>9.6219999999999999</v>
      </c>
      <c r="I14" s="48">
        <v>9.4329999999999998</v>
      </c>
      <c r="J14" s="48">
        <f t="shared" si="31"/>
        <v>0.18900000000000006</v>
      </c>
      <c r="K14" s="48">
        <f t="shared" si="32"/>
        <v>20.507812500000007</v>
      </c>
      <c r="L14" s="48">
        <f t="shared" si="1"/>
        <v>2.0937188434695921E-2</v>
      </c>
      <c r="M14" s="58">
        <f t="shared" si="2"/>
        <v>0.97949218750000011</v>
      </c>
      <c r="N14" s="48"/>
      <c r="O14" s="48">
        <v>1.091</v>
      </c>
      <c r="P14" s="48"/>
      <c r="Q14" s="48">
        <f t="shared" si="36"/>
        <v>21.82</v>
      </c>
      <c r="R14" s="46">
        <f t="shared" si="3"/>
        <v>31.978832216334173</v>
      </c>
      <c r="S14" s="46">
        <f t="shared" si="4"/>
        <v>6397.3653848776503</v>
      </c>
      <c r="T14" s="48">
        <v>1.145</v>
      </c>
      <c r="U14" s="48">
        <f t="shared" si="33"/>
        <v>22.9</v>
      </c>
      <c r="V14" s="46">
        <f t="shared" si="5"/>
        <v>6.4141184129367712</v>
      </c>
      <c r="W14" s="46">
        <f t="shared" si="6"/>
        <v>779.31538717181763</v>
      </c>
      <c r="X14" s="48">
        <v>3.7709999999999999</v>
      </c>
      <c r="Y14" s="48"/>
      <c r="Z14" s="48"/>
      <c r="AA14" s="48">
        <f t="shared" si="35"/>
        <v>30.167999999999999</v>
      </c>
      <c r="AB14" s="46">
        <f t="shared" si="8"/>
        <v>61.5992662013958</v>
      </c>
      <c r="AC14">
        <v>0.15</v>
      </c>
      <c r="AD14" s="48">
        <v>6.8000000000000005E-2</v>
      </c>
      <c r="AE14" s="48"/>
      <c r="AF14" s="48">
        <f>AC14*2</f>
        <v>0.3</v>
      </c>
      <c r="AG14" s="46">
        <f t="shared" si="9"/>
        <v>0.61256231306081743</v>
      </c>
      <c r="AH14">
        <v>0.15</v>
      </c>
      <c r="AI14">
        <f t="shared" si="10"/>
        <v>1.2</v>
      </c>
      <c r="AJ14" s="46">
        <f t="shared" si="11"/>
        <v>2.4502492522432697</v>
      </c>
      <c r="AK14">
        <v>3.11</v>
      </c>
      <c r="AN14" s="48"/>
      <c r="AO14" s="48">
        <f t="shared" si="12"/>
        <v>24.88</v>
      </c>
      <c r="AP14" s="46">
        <f t="shared" si="13"/>
        <v>50.801834496510459</v>
      </c>
      <c r="AQ14" s="48">
        <v>2.9910269660809923</v>
      </c>
      <c r="AR14" s="46">
        <f t="shared" si="14"/>
        <v>2.2478421068118872</v>
      </c>
      <c r="AS14" s="46">
        <f t="shared" si="15"/>
        <v>878.90626376344801</v>
      </c>
      <c r="AT14" s="48">
        <v>13.169523289665211</v>
      </c>
      <c r="AU14" s="46">
        <f t="shared" si="16"/>
        <v>16.840006756300749</v>
      </c>
      <c r="AV14" s="46">
        <f t="shared" si="17"/>
        <v>3869.8335525979119</v>
      </c>
      <c r="AW14" s="48">
        <v>0.10641369354506083</v>
      </c>
      <c r="AX14" s="48">
        <f t="shared" si="18"/>
        <v>5.4937374055271455</v>
      </c>
      <c r="AY14" s="48">
        <f t="shared" si="19"/>
        <v>5.6087608207974045</v>
      </c>
      <c r="AZ14">
        <v>0.503</v>
      </c>
      <c r="BB14">
        <v>7.35</v>
      </c>
      <c r="BC14" s="48">
        <f t="shared" si="37"/>
        <v>4.04924391834437</v>
      </c>
      <c r="BD14" s="48">
        <f t="shared" si="20"/>
        <v>6.9646995395523161</v>
      </c>
      <c r="BE14" s="48">
        <v>10</v>
      </c>
      <c r="BF14" s="48">
        <v>31.996300000000002</v>
      </c>
      <c r="BG14" s="48">
        <v>32.067599999999999</v>
      </c>
      <c r="BH14" s="48">
        <f t="shared" si="21"/>
        <v>7.1299999999997254E-2</v>
      </c>
      <c r="BI14" s="48">
        <v>43.569600000000001</v>
      </c>
      <c r="BJ14" s="48">
        <v>43.593600000000002</v>
      </c>
      <c r="BK14" s="48">
        <f t="shared" si="22"/>
        <v>2.4000000000000909E-2</v>
      </c>
      <c r="BL14" s="48">
        <v>165.77</v>
      </c>
      <c r="BM14" s="48">
        <v>172.3</v>
      </c>
      <c r="BN14" s="48">
        <f t="shared" si="23"/>
        <v>6.5300000000000011</v>
      </c>
      <c r="BO14" s="48">
        <f t="shared" si="24"/>
        <v>0.75518723828519085</v>
      </c>
      <c r="BP14" s="48">
        <f t="shared" si="25"/>
        <v>2.4145164506478691</v>
      </c>
      <c r="BQ14" s="48">
        <f t="shared" si="26"/>
        <v>6.6667198404785646</v>
      </c>
      <c r="BR14" s="48">
        <f t="shared" si="27"/>
        <v>9.8364235294116256</v>
      </c>
      <c r="BS14" s="48">
        <f t="shared" si="28"/>
        <v>7.6774575233277202</v>
      </c>
      <c r="BT14" s="48">
        <f t="shared" si="29"/>
        <v>24.546690607905287</v>
      </c>
      <c r="BU14" s="48">
        <f t="shared" si="30"/>
        <v>67.775851868766992</v>
      </c>
    </row>
    <row r="15" spans="1:73" x14ac:dyDescent="0.2">
      <c r="A15" s="7">
        <v>55</v>
      </c>
      <c r="B15" s="7" t="s">
        <v>76</v>
      </c>
      <c r="C15" s="7">
        <v>140933</v>
      </c>
      <c r="D15" s="77">
        <v>5.76</v>
      </c>
      <c r="E15" s="77">
        <v>3.3700000000000001E-2</v>
      </c>
      <c r="F15" s="48">
        <v>9.3610000000000007</v>
      </c>
      <c r="G15" s="48">
        <v>0.46800000000000003</v>
      </c>
      <c r="H15" s="48">
        <f t="shared" si="0"/>
        <v>9.8290000000000006</v>
      </c>
      <c r="I15" s="48">
        <v>9.641</v>
      </c>
      <c r="J15" s="48">
        <f t="shared" si="31"/>
        <v>0.18800000000000061</v>
      </c>
      <c r="K15" s="48">
        <f t="shared" si="32"/>
        <v>20.083324431150583</v>
      </c>
      <c r="L15" s="48">
        <f t="shared" si="1"/>
        <v>2.0494930775100905E-2</v>
      </c>
      <c r="M15" s="58">
        <f t="shared" si="2"/>
        <v>0.97991667556884932</v>
      </c>
      <c r="N15" s="48"/>
      <c r="O15" s="48">
        <v>1.2050000000000001</v>
      </c>
      <c r="P15" s="48"/>
      <c r="Q15" s="48">
        <f t="shared" si="36"/>
        <v>24.1</v>
      </c>
      <c r="R15" s="46">
        <f t="shared" si="3"/>
        <v>35.335648700063743</v>
      </c>
      <c r="S15" s="46">
        <f t="shared" si="4"/>
        <v>7068.8965224477506</v>
      </c>
      <c r="T15" s="48">
        <v>1.0820000000000001</v>
      </c>
      <c r="U15" s="48">
        <f t="shared" si="33"/>
        <v>21.64</v>
      </c>
      <c r="V15" s="46">
        <f t="shared" si="5"/>
        <v>6.0585762145331099</v>
      </c>
      <c r="W15" s="46">
        <f t="shared" si="6"/>
        <v>736.11701006577289</v>
      </c>
      <c r="X15" s="48">
        <v>3.6960000000000002</v>
      </c>
      <c r="Y15" s="48"/>
      <c r="Z15" s="48"/>
      <c r="AA15" s="48">
        <f t="shared" si="35"/>
        <v>29.568000000000001</v>
      </c>
      <c r="AB15" s="46">
        <f t="shared" si="8"/>
        <v>60.347988226316374</v>
      </c>
      <c r="AC15">
        <v>0.156</v>
      </c>
      <c r="AD15" s="48">
        <v>5.5E-2</v>
      </c>
      <c r="AE15" s="48"/>
      <c r="AF15" s="48">
        <f>AC15*2</f>
        <v>0.312</v>
      </c>
      <c r="AG15" s="46">
        <f t="shared" si="9"/>
        <v>0.63678883680366305</v>
      </c>
      <c r="AH15">
        <v>0.17</v>
      </c>
      <c r="AI15">
        <f t="shared" si="10"/>
        <v>1.36</v>
      </c>
      <c r="AJ15" s="46">
        <f t="shared" si="11"/>
        <v>2.7757462117082752</v>
      </c>
      <c r="AK15">
        <v>2.95</v>
      </c>
      <c r="AN15" s="48"/>
      <c r="AO15" s="48">
        <f t="shared" si="12"/>
        <v>23.6</v>
      </c>
      <c r="AP15" s="46">
        <f t="shared" si="13"/>
        <v>48.167360732584768</v>
      </c>
      <c r="AQ15" s="48">
        <v>2.662172319834633</v>
      </c>
      <c r="AR15" s="46">
        <f t="shared" si="14"/>
        <v>2.0015655110821728</v>
      </c>
      <c r="AS15" s="46">
        <f t="shared" si="15"/>
        <v>782.61211483312968</v>
      </c>
      <c r="AT15" s="48">
        <v>9.3485625909752539</v>
      </c>
      <c r="AU15" s="46">
        <f t="shared" si="16"/>
        <v>11.959285085503627</v>
      </c>
      <c r="AV15" s="46">
        <f t="shared" si="17"/>
        <v>2748.243712648733</v>
      </c>
      <c r="AW15" s="48">
        <v>0.17106945036216448</v>
      </c>
      <c r="AX15" s="48">
        <f t="shared" si="18"/>
        <v>8.8316701271122593</v>
      </c>
      <c r="AY15" s="48">
        <f t="shared" si="19"/>
        <v>9.0126745949959535</v>
      </c>
      <c r="AZ15">
        <v>0.51</v>
      </c>
      <c r="BB15">
        <v>7.18</v>
      </c>
      <c r="BC15" s="48">
        <f t="shared" si="37"/>
        <v>3.9919360527378953</v>
      </c>
      <c r="BD15" s="48">
        <f t="shared" si="20"/>
        <v>6.8661300107091794</v>
      </c>
      <c r="BE15" s="48">
        <v>10</v>
      </c>
      <c r="BF15" s="48">
        <v>32.645600000000002</v>
      </c>
      <c r="BG15" s="48">
        <v>32.7164</v>
      </c>
      <c r="BH15" s="48">
        <f t="shared" si="21"/>
        <v>7.079999999999842E-2</v>
      </c>
      <c r="BI15" s="48">
        <v>44.057099999999998</v>
      </c>
      <c r="BJ15" s="48">
        <v>44.077199999999998</v>
      </c>
      <c r="BK15" s="48">
        <f t="shared" si="22"/>
        <v>2.0099999999999341E-2</v>
      </c>
      <c r="BL15" s="48">
        <v>147.44</v>
      </c>
      <c r="BM15" s="48">
        <v>153.96</v>
      </c>
      <c r="BN15" s="48">
        <f t="shared" si="23"/>
        <v>6.5200000000000102</v>
      </c>
      <c r="BO15" s="48">
        <f t="shared" si="24"/>
        <v>0.55586358879316389</v>
      </c>
      <c r="BP15" s="48">
        <f t="shared" si="25"/>
        <v>2.5869546495148339</v>
      </c>
      <c r="BQ15" s="48">
        <f t="shared" si="26"/>
        <v>6.6536269486536694</v>
      </c>
      <c r="BR15" s="48">
        <f t="shared" si="27"/>
        <v>9.7964451869616678</v>
      </c>
      <c r="BS15" s="48">
        <f t="shared" si="28"/>
        <v>5.6741356500720954</v>
      </c>
      <c r="BT15" s="48">
        <f t="shared" si="29"/>
        <v>26.407075221100364</v>
      </c>
      <c r="BU15" s="48">
        <f t="shared" si="30"/>
        <v>67.918789128827541</v>
      </c>
    </row>
    <row r="16" spans="1:73" x14ac:dyDescent="0.2">
      <c r="A16" s="7">
        <v>6</v>
      </c>
      <c r="B16" s="7" t="s">
        <v>76</v>
      </c>
      <c r="C16" s="7">
        <v>141353</v>
      </c>
      <c r="D16" s="8">
        <v>7.04</v>
      </c>
      <c r="E16" s="8">
        <v>0.1231</v>
      </c>
      <c r="F16" s="48">
        <v>11.724</v>
      </c>
      <c r="G16" s="48">
        <v>0.42899999999999999</v>
      </c>
      <c r="H16" s="48">
        <f t="shared" si="0"/>
        <v>12.153</v>
      </c>
      <c r="I16" s="48">
        <v>11.419</v>
      </c>
      <c r="J16" s="48">
        <f t="shared" si="31"/>
        <v>0.73399999999999999</v>
      </c>
      <c r="K16" s="48">
        <f t="shared" si="32"/>
        <v>62.606618901398832</v>
      </c>
      <c r="L16" s="48">
        <f t="shared" si="1"/>
        <v>6.6787989080982713E-2</v>
      </c>
      <c r="M16" s="58">
        <f t="shared" si="2"/>
        <v>0.93739338109860126</v>
      </c>
      <c r="N16" s="48"/>
      <c r="O16" s="48">
        <v>3.9449999999999998</v>
      </c>
      <c r="P16" s="48"/>
      <c r="Q16" s="48">
        <f t="shared" si="36"/>
        <v>78.899999999999991</v>
      </c>
      <c r="R16" s="46">
        <f t="shared" si="3"/>
        <v>110.66384703543088</v>
      </c>
      <c r="S16" s="46">
        <f t="shared" si="4"/>
        <v>22138.30259943795</v>
      </c>
      <c r="T16" s="48">
        <v>0.24299999999999999</v>
      </c>
      <c r="U16" s="48">
        <f t="shared" si="33"/>
        <v>4.8599999999999994</v>
      </c>
      <c r="V16" s="46">
        <f t="shared" si="5"/>
        <v>1.4223839854413101</v>
      </c>
      <c r="W16" s="46">
        <f t="shared" si="6"/>
        <v>172.81965423111916</v>
      </c>
      <c r="X16" s="48">
        <v>3.218</v>
      </c>
      <c r="Y16" s="48"/>
      <c r="Z16" s="48"/>
      <c r="AA16" s="48">
        <f t="shared" si="35"/>
        <v>25.744</v>
      </c>
      <c r="AB16" s="46">
        <f t="shared" si="8"/>
        <v>54.926779981801623</v>
      </c>
      <c r="AC16">
        <v>0.157</v>
      </c>
      <c r="AD16" s="48">
        <v>4.2999999999999997E-2</v>
      </c>
      <c r="AE16" s="48"/>
      <c r="AF16" s="48">
        <f>AC16*2</f>
        <v>0.314</v>
      </c>
      <c r="AG16" s="46">
        <f t="shared" si="9"/>
        <v>0.66994285714285706</v>
      </c>
      <c r="AH16">
        <v>0.14000000000000001</v>
      </c>
      <c r="AI16">
        <f t="shared" si="10"/>
        <v>1.1200000000000001</v>
      </c>
      <c r="AJ16" s="46">
        <f t="shared" si="11"/>
        <v>2.389605095541401</v>
      </c>
      <c r="AK16">
        <v>1.36</v>
      </c>
      <c r="AN16" s="48"/>
      <c r="AO16" s="48">
        <f t="shared" si="12"/>
        <v>10.88</v>
      </c>
      <c r="AP16" s="46">
        <f t="shared" si="13"/>
        <v>23.213306642402181</v>
      </c>
      <c r="AQ16" s="48">
        <v>3.3198816123273511</v>
      </c>
      <c r="AR16" s="46">
        <f t="shared" si="14"/>
        <v>2.387750677309421</v>
      </c>
      <c r="AS16" s="46">
        <f t="shared" si="15"/>
        <v>933.61051482798359</v>
      </c>
      <c r="AT16" s="48">
        <v>7.5290574963609895</v>
      </c>
      <c r="AU16" s="46">
        <f t="shared" si="16"/>
        <v>9.2136927715399448</v>
      </c>
      <c r="AV16" s="46">
        <f t="shared" si="17"/>
        <v>2117.3065988998796</v>
      </c>
      <c r="AW16" s="48">
        <v>4.1245617653124358E-2</v>
      </c>
      <c r="AX16" s="48">
        <f t="shared" si="18"/>
        <v>2.1293555835376541</v>
      </c>
      <c r="AY16" s="48">
        <f t="shared" si="19"/>
        <v>2.2715709610004962</v>
      </c>
      <c r="AZ16">
        <v>0.51</v>
      </c>
      <c r="BB16">
        <v>7.6</v>
      </c>
      <c r="BC16" s="48">
        <f t="shared" si="37"/>
        <v>4.1730236043461968</v>
      </c>
      <c r="BD16" s="48">
        <f t="shared" si="20"/>
        <v>7.1776005994754586</v>
      </c>
      <c r="BE16" s="48">
        <v>10.09</v>
      </c>
      <c r="BF16" s="48">
        <v>43.210700000000003</v>
      </c>
      <c r="BG16" s="48">
        <v>43.283499999999997</v>
      </c>
      <c r="BH16" s="48">
        <f t="shared" si="21"/>
        <v>7.2799999999993759E-2</v>
      </c>
      <c r="BI16" s="48">
        <v>42.806399999999996</v>
      </c>
      <c r="BJ16" s="48">
        <v>42.8399</v>
      </c>
      <c r="BK16" s="48">
        <f t="shared" si="22"/>
        <v>3.3500000000003638E-2</v>
      </c>
      <c r="BL16" s="48">
        <v>147.65</v>
      </c>
      <c r="BM16" s="48">
        <v>153.94999999999999</v>
      </c>
      <c r="BN16" s="48">
        <f t="shared" si="23"/>
        <v>6.2999999999999829</v>
      </c>
      <c r="BO16" s="48">
        <f t="shared" si="24"/>
        <v>1.2958273703368637</v>
      </c>
      <c r="BP16" s="48">
        <f t="shared" si="25"/>
        <v>2.0962383985436039</v>
      </c>
      <c r="BQ16" s="48">
        <f t="shared" si="26"/>
        <v>6.7207643312101721</v>
      </c>
      <c r="BR16" s="48">
        <f t="shared" si="27"/>
        <v>10.11283010009064</v>
      </c>
      <c r="BS16" s="48">
        <f t="shared" si="28"/>
        <v>12.813696635971855</v>
      </c>
      <c r="BT16" s="48">
        <f t="shared" si="29"/>
        <v>20.728504066579895</v>
      </c>
      <c r="BU16" s="48">
        <f t="shared" si="30"/>
        <v>66.457799297448233</v>
      </c>
    </row>
    <row r="17" spans="1:73" x14ac:dyDescent="0.2">
      <c r="A17" s="7">
        <v>1</v>
      </c>
      <c r="B17" s="7" t="s">
        <v>76</v>
      </c>
      <c r="C17" s="7">
        <v>141353</v>
      </c>
      <c r="D17" s="8">
        <v>7.35</v>
      </c>
      <c r="E17" s="8">
        <v>0.13900000000000001</v>
      </c>
      <c r="F17" s="70">
        <v>11.95</v>
      </c>
      <c r="G17" s="48">
        <v>0.48099999999999998</v>
      </c>
      <c r="H17" s="48">
        <f t="shared" si="0"/>
        <v>12.430999999999999</v>
      </c>
      <c r="I17" s="48">
        <v>11.615</v>
      </c>
      <c r="J17" s="48">
        <f t="shared" si="31"/>
        <v>0.81599999999999895</v>
      </c>
      <c r="K17" s="48">
        <f t="shared" si="32"/>
        <v>68.284518828451795</v>
      </c>
      <c r="L17" s="48">
        <f t="shared" si="1"/>
        <v>7.328902460930474E-2</v>
      </c>
      <c r="M17" s="58">
        <f t="shared" si="2"/>
        <v>0.93171548117154823</v>
      </c>
      <c r="N17" s="48"/>
      <c r="O17" s="48">
        <v>4.1719999999999997</v>
      </c>
      <c r="P17" s="48"/>
      <c r="Q17" s="48">
        <f t="shared" si="36"/>
        <v>83.44</v>
      </c>
      <c r="R17" s="46">
        <f t="shared" si="3"/>
        <v>116.32270286626532</v>
      </c>
      <c r="S17" s="46">
        <f t="shared" si="4"/>
        <v>23270.356708396375</v>
      </c>
      <c r="T17" s="48">
        <v>0.30299999999999999</v>
      </c>
      <c r="U17" s="48">
        <f t="shared" si="33"/>
        <v>6.06</v>
      </c>
      <c r="V17" s="46">
        <f t="shared" si="5"/>
        <v>1.7843982137537409</v>
      </c>
      <c r="W17" s="46">
        <f t="shared" si="6"/>
        <v>216.80438297107952</v>
      </c>
      <c r="X17" s="48">
        <v>3.9830000000000001</v>
      </c>
      <c r="Y17" s="48"/>
      <c r="Z17" s="48"/>
      <c r="AA17" s="48">
        <f t="shared" si="35"/>
        <v>31.864000000000001</v>
      </c>
      <c r="AB17" s="46">
        <f t="shared" si="8"/>
        <v>68.39856296030176</v>
      </c>
      <c r="AD17" s="48">
        <v>0.13100000000000001</v>
      </c>
      <c r="AE17" s="48"/>
      <c r="AF17" s="48">
        <f>AD17*8</f>
        <v>1.048</v>
      </c>
      <c r="AG17" s="46">
        <f t="shared" si="9"/>
        <v>2.2496137955811024</v>
      </c>
      <c r="AH17">
        <v>0.25</v>
      </c>
      <c r="AI17">
        <f t="shared" si="10"/>
        <v>2</v>
      </c>
      <c r="AJ17" s="46">
        <f t="shared" si="11"/>
        <v>4.293156098437219</v>
      </c>
      <c r="AK17">
        <v>1.69</v>
      </c>
      <c r="AN17" s="48"/>
      <c r="AO17" s="48">
        <f t="shared" si="12"/>
        <v>13.52</v>
      </c>
      <c r="AP17" s="46">
        <f t="shared" si="13"/>
        <v>29.021735225435595</v>
      </c>
      <c r="AQ17" s="48">
        <v>4.6353001973127874</v>
      </c>
      <c r="AR17" s="46">
        <f t="shared" si="14"/>
        <v>3.3136426754837771</v>
      </c>
      <c r="AS17" s="46">
        <f t="shared" si="15"/>
        <v>1295.634286114157</v>
      </c>
      <c r="AT17" s="48">
        <v>8.1658842794759821</v>
      </c>
      <c r="AU17" s="46">
        <f t="shared" si="16"/>
        <v>9.9324814629806095</v>
      </c>
      <c r="AV17" s="46">
        <f t="shared" si="17"/>
        <v>2282.4842401929441</v>
      </c>
      <c r="AW17" s="48">
        <v>0.19076098164570016</v>
      </c>
      <c r="AX17" s="48">
        <f t="shared" si="18"/>
        <v>9.8482695738616481</v>
      </c>
      <c r="AY17" s="48">
        <f t="shared" si="19"/>
        <v>10.570039645019461</v>
      </c>
      <c r="AZ17">
        <v>0.51700000000000002</v>
      </c>
      <c r="BB17">
        <v>6.26</v>
      </c>
      <c r="BC17" s="48">
        <f t="shared" si="37"/>
        <v>4.1416085185600826</v>
      </c>
      <c r="BD17" s="48">
        <f t="shared" si="20"/>
        <v>7.1235666519233423</v>
      </c>
      <c r="BE17" s="48">
        <v>10.050000000000001</v>
      </c>
      <c r="BF17" s="48">
        <v>43.702399999999997</v>
      </c>
      <c r="BG17" s="48">
        <v>43.7881</v>
      </c>
      <c r="BH17" s="48">
        <f t="shared" si="21"/>
        <v>8.5700000000002774E-2</v>
      </c>
      <c r="BI17" s="48">
        <v>41.392299999999999</v>
      </c>
      <c r="BJ17" s="48">
        <v>41.437100000000001</v>
      </c>
      <c r="BK17" s="48">
        <f t="shared" si="22"/>
        <v>4.4800000000002171E-2</v>
      </c>
      <c r="BL17" s="48">
        <v>142.26</v>
      </c>
      <c r="BM17" s="48">
        <v>147.96</v>
      </c>
      <c r="BN17" s="48">
        <f t="shared" si="23"/>
        <v>5.7000000000000171</v>
      </c>
      <c r="BO17" s="48">
        <f t="shared" si="24"/>
        <v>1.9101324770972963</v>
      </c>
      <c r="BP17" s="48">
        <f t="shared" si="25"/>
        <v>2.1948760553260604</v>
      </c>
      <c r="BQ17" s="48">
        <f t="shared" si="26"/>
        <v>6.1177474402730549</v>
      </c>
      <c r="BR17" s="48">
        <f t="shared" si="27"/>
        <v>10.222755972696412</v>
      </c>
      <c r="BS17" s="48">
        <f t="shared" si="28"/>
        <v>18.685102942875677</v>
      </c>
      <c r="BT17" s="48">
        <f t="shared" si="29"/>
        <v>21.470492508950379</v>
      </c>
      <c r="BU17" s="48">
        <f t="shared" si="30"/>
        <v>59.844404548173948</v>
      </c>
    </row>
    <row r="18" spans="1:73" x14ac:dyDescent="0.2">
      <c r="A18" s="7">
        <v>21</v>
      </c>
      <c r="B18" s="7" t="s">
        <v>76</v>
      </c>
      <c r="C18" s="7">
        <v>141364</v>
      </c>
      <c r="D18" s="8">
        <v>6.45</v>
      </c>
      <c r="E18" s="8">
        <v>8.2200000000000009E-2</v>
      </c>
      <c r="F18" s="48">
        <v>10.004</v>
      </c>
      <c r="G18" s="48">
        <v>0.47700000000000031</v>
      </c>
      <c r="H18" s="48">
        <f t="shared" si="0"/>
        <v>10.481</v>
      </c>
      <c r="I18" s="48">
        <v>10.295999999999999</v>
      </c>
      <c r="J18" s="48">
        <f t="shared" si="31"/>
        <v>0.1850000000000005</v>
      </c>
      <c r="K18" s="48">
        <f t="shared" si="32"/>
        <v>18.492602958816523</v>
      </c>
      <c r="L18" s="48">
        <f t="shared" si="1"/>
        <v>1.8841022507383696E-2</v>
      </c>
      <c r="M18" s="58">
        <f t="shared" si="2"/>
        <v>0.9815073970411835</v>
      </c>
      <c r="N18" s="48"/>
      <c r="O18" s="48">
        <v>2.0270000000000001</v>
      </c>
      <c r="P18" s="48"/>
      <c r="Q18" s="48">
        <f t="shared" si="36"/>
        <v>40.540000000000006</v>
      </c>
      <c r="R18" s="46">
        <f t="shared" si="3"/>
        <v>59.536623255934543</v>
      </c>
      <c r="S18" s="46">
        <f t="shared" si="4"/>
        <v>11910.301482349705</v>
      </c>
      <c r="T18" s="48">
        <v>0.48399999999999999</v>
      </c>
      <c r="U18" s="48">
        <f t="shared" si="33"/>
        <v>9.68</v>
      </c>
      <c r="V18" s="46">
        <f t="shared" si="5"/>
        <v>2.7057286962610347</v>
      </c>
      <c r="W18" s="46">
        <f t="shared" si="6"/>
        <v>328.74603659571574</v>
      </c>
      <c r="X18" s="48">
        <v>3.74</v>
      </c>
      <c r="Y18" s="48"/>
      <c r="Z18" s="48"/>
      <c r="AA18" s="48">
        <f t="shared" si="35"/>
        <v>29.92</v>
      </c>
      <c r="AB18" s="46">
        <f t="shared" si="8"/>
        <v>60.967446786841855</v>
      </c>
      <c r="AD18" s="48">
        <v>0.27700000000000002</v>
      </c>
      <c r="AE18" s="48"/>
      <c r="AF18" s="48">
        <f>AD18*8</f>
        <v>2.2160000000000002</v>
      </c>
      <c r="AG18" s="46">
        <f t="shared" si="9"/>
        <v>4.5155034117527251</v>
      </c>
      <c r="AH18">
        <v>0.27</v>
      </c>
      <c r="AI18">
        <f t="shared" si="10"/>
        <v>2.16</v>
      </c>
      <c r="AJ18" s="46">
        <f t="shared" si="11"/>
        <v>4.4013932172318979</v>
      </c>
      <c r="AK18">
        <v>1.23</v>
      </c>
      <c r="AN18" s="48"/>
      <c r="AO18" s="48">
        <f t="shared" si="12"/>
        <v>9.84</v>
      </c>
      <c r="AP18" s="46">
        <f t="shared" si="13"/>
        <v>20.050791322945312</v>
      </c>
      <c r="AQ18" s="48">
        <v>2.9910269660809923</v>
      </c>
      <c r="AR18" s="46">
        <f t="shared" si="14"/>
        <v>2.2524668224742785</v>
      </c>
      <c r="AS18" s="46">
        <f t="shared" si="15"/>
        <v>880.71452758744294</v>
      </c>
      <c r="AT18" s="48">
        <v>7.9839337700145556</v>
      </c>
      <c r="AU18" s="46">
        <f t="shared" si="16"/>
        <v>10.230143672005468</v>
      </c>
      <c r="AV18" s="46">
        <f t="shared" si="17"/>
        <v>2350.8870158268569</v>
      </c>
      <c r="AW18" s="48">
        <v>5.4856671478655396E-2</v>
      </c>
      <c r="AX18" s="48">
        <f t="shared" si="18"/>
        <v>2.8320429261050792</v>
      </c>
      <c r="AY18" s="48">
        <f t="shared" si="19"/>
        <v>2.8854015106177018</v>
      </c>
      <c r="AZ18">
        <v>0.50800000000000001</v>
      </c>
      <c r="BB18">
        <v>4.71</v>
      </c>
      <c r="BC18" s="48">
        <f t="shared" si="37"/>
        <v>4.0011571651618709</v>
      </c>
      <c r="BD18" s="48">
        <f t="shared" si="20"/>
        <v>6.8819903240784175</v>
      </c>
      <c r="BE18" s="48">
        <v>10.06</v>
      </c>
      <c r="BF18" s="48">
        <v>42.124000000000002</v>
      </c>
      <c r="BG18" s="48">
        <v>42.190399999999997</v>
      </c>
      <c r="BH18" s="48">
        <f t="shared" si="21"/>
        <v>6.6399999999994463E-2</v>
      </c>
      <c r="BI18" s="48">
        <v>32.187899999999999</v>
      </c>
      <c r="BJ18" s="48">
        <v>32.214100000000002</v>
      </c>
      <c r="BK18" s="48">
        <f t="shared" si="22"/>
        <v>2.6200000000002888E-2</v>
      </c>
      <c r="BL18" s="48">
        <v>141.51</v>
      </c>
      <c r="BM18" s="48">
        <v>148.33000000000001</v>
      </c>
      <c r="BN18" s="48">
        <f t="shared" si="23"/>
        <v>6.8200000000000216</v>
      </c>
      <c r="BO18" s="48">
        <f t="shared" si="24"/>
        <v>0.86570921682467106</v>
      </c>
      <c r="BP18" s="48">
        <f t="shared" si="25"/>
        <v>2.047870455239412</v>
      </c>
      <c r="BQ18" s="48">
        <f t="shared" si="26"/>
        <v>6.9484957735003787</v>
      </c>
      <c r="BR18" s="48">
        <f t="shared" si="27"/>
        <v>9.8620754455644608</v>
      </c>
      <c r="BS18" s="48">
        <f t="shared" si="28"/>
        <v>8.778164612541369</v>
      </c>
      <c r="BT18" s="48">
        <f t="shared" si="29"/>
        <v>20.76510635659816</v>
      </c>
      <c r="BU18" s="48">
        <f t="shared" si="30"/>
        <v>70.456729030860487</v>
      </c>
    </row>
    <row r="19" spans="1:73" x14ac:dyDescent="0.2">
      <c r="A19" s="7">
        <v>7</v>
      </c>
      <c r="B19" s="7" t="s">
        <v>76</v>
      </c>
      <c r="C19" s="7">
        <v>141364</v>
      </c>
      <c r="D19" s="8">
        <v>6.27</v>
      </c>
      <c r="E19" s="8">
        <v>0.10979999999999999</v>
      </c>
      <c r="F19" s="48">
        <v>9.4570000000000007</v>
      </c>
      <c r="G19" s="48">
        <v>0.39899999999999913</v>
      </c>
      <c r="H19" s="48">
        <f t="shared" si="0"/>
        <v>9.8559999999999999</v>
      </c>
      <c r="I19" s="48">
        <v>9.6539999999999999</v>
      </c>
      <c r="J19" s="48">
        <f t="shared" si="31"/>
        <v>0.20199999999999996</v>
      </c>
      <c r="K19" s="48">
        <f t="shared" si="32"/>
        <v>21.359839272496558</v>
      </c>
      <c r="L19" s="48">
        <f t="shared" si="1"/>
        <v>2.1826039978390051E-2</v>
      </c>
      <c r="M19" s="58">
        <f t="shared" si="2"/>
        <v>0.97864016072750348</v>
      </c>
      <c r="N19" s="48"/>
      <c r="O19" s="48">
        <v>1.9670000000000001</v>
      </c>
      <c r="P19" s="48"/>
      <c r="Q19" s="48">
        <f t="shared" si="36"/>
        <v>39.340000000000003</v>
      </c>
      <c r="R19" s="46">
        <f t="shared" si="3"/>
        <v>57.605542029456345</v>
      </c>
      <c r="S19" s="46">
        <f t="shared" si="4"/>
        <v>11523.988682992742</v>
      </c>
      <c r="T19" s="48">
        <v>0.315</v>
      </c>
      <c r="U19" s="48">
        <f t="shared" si="33"/>
        <v>6.3</v>
      </c>
      <c r="V19" s="46">
        <f t="shared" si="5"/>
        <v>1.7661190814441308</v>
      </c>
      <c r="W19" s="46">
        <f t="shared" si="6"/>
        <v>214.58346839546186</v>
      </c>
      <c r="X19" s="48">
        <v>7.1970000000000001</v>
      </c>
      <c r="Y19" s="48">
        <v>3.1970000000000001</v>
      </c>
      <c r="Z19" s="48"/>
      <c r="AA19" s="48">
        <f>Y19*16</f>
        <v>51.152000000000001</v>
      </c>
      <c r="AB19" s="46">
        <f t="shared" si="8"/>
        <v>104.5368911939492</v>
      </c>
      <c r="AC19">
        <v>0.83299999999999996</v>
      </c>
      <c r="AD19" s="48">
        <v>0.22800000000000001</v>
      </c>
      <c r="AE19" s="48"/>
      <c r="AF19" s="48">
        <f>AC19*2</f>
        <v>1.6659999999999999</v>
      </c>
      <c r="AG19" s="46">
        <f t="shared" si="9"/>
        <v>3.4047243652079953</v>
      </c>
      <c r="AH19">
        <v>0.22</v>
      </c>
      <c r="AI19">
        <f t="shared" si="10"/>
        <v>1.76</v>
      </c>
      <c r="AJ19" s="46">
        <f t="shared" si="11"/>
        <v>3.5968276607239331</v>
      </c>
      <c r="AK19">
        <v>2</v>
      </c>
      <c r="AN19" s="48"/>
      <c r="AO19" s="48">
        <f t="shared" si="12"/>
        <v>16</v>
      </c>
      <c r="AP19" s="46">
        <f t="shared" si="13"/>
        <v>32.698433279308482</v>
      </c>
      <c r="AQ19" s="48">
        <v>3.6017570233956588</v>
      </c>
      <c r="AR19" s="46">
        <f t="shared" si="14"/>
        <v>2.7044685976552501</v>
      </c>
      <c r="AS19" s="46">
        <f t="shared" si="15"/>
        <v>1057.4472216832028</v>
      </c>
      <c r="AT19" s="48">
        <v>6.8012554585152829</v>
      </c>
      <c r="AU19" s="46">
        <f t="shared" si="16"/>
        <v>8.6892711946086241</v>
      </c>
      <c r="AV19" s="46">
        <f t="shared" si="17"/>
        <v>1996.7945205210617</v>
      </c>
      <c r="AW19" s="48">
        <v>0.1004330789853578</v>
      </c>
      <c r="AX19" s="48">
        <f t="shared" si="18"/>
        <v>5.1849808459141862</v>
      </c>
      <c r="AY19" s="48">
        <f t="shared" si="19"/>
        <v>5.2981484451442959</v>
      </c>
      <c r="AZ19">
        <v>0.503</v>
      </c>
      <c r="BB19">
        <v>4.2300000000000004</v>
      </c>
      <c r="BC19" s="48">
        <f t="shared" si="37"/>
        <v>4.0527692838109113</v>
      </c>
      <c r="BD19" s="48">
        <f t="shared" si="20"/>
        <v>6.9707631681547673</v>
      </c>
      <c r="BE19" s="48">
        <v>10.039999999999999</v>
      </c>
      <c r="BF19" s="48">
        <v>32.238900000000001</v>
      </c>
      <c r="BG19" s="48">
        <v>32.312100000000001</v>
      </c>
      <c r="BH19" s="48">
        <f t="shared" si="21"/>
        <v>7.3199999999999932E-2</v>
      </c>
      <c r="BI19" s="48">
        <v>43.211300000000001</v>
      </c>
      <c r="BJ19" s="48">
        <v>43.2378</v>
      </c>
      <c r="BK19" s="48">
        <f t="shared" si="22"/>
        <v>2.6499999999998636E-2</v>
      </c>
      <c r="BL19" s="48">
        <v>136.97</v>
      </c>
      <c r="BM19" s="48">
        <v>143.19999999999999</v>
      </c>
      <c r="BN19" s="48">
        <f t="shared" si="23"/>
        <v>6.2299999999999898</v>
      </c>
      <c r="BO19" s="48">
        <f t="shared" si="24"/>
        <v>0.88357297676924418</v>
      </c>
      <c r="BP19" s="48">
        <f t="shared" si="25"/>
        <v>2.3859638033496067</v>
      </c>
      <c r="BQ19" s="48">
        <f t="shared" si="26"/>
        <v>6.3659762290653594</v>
      </c>
      <c r="BR19" s="48">
        <f t="shared" si="27"/>
        <v>9.6355130091842103</v>
      </c>
      <c r="BS19" s="48">
        <f t="shared" si="28"/>
        <v>9.1699629892778471</v>
      </c>
      <c r="BT19" s="48">
        <f t="shared" si="29"/>
        <v>24.762187556338674</v>
      </c>
      <c r="BU19" s="48">
        <f t="shared" si="30"/>
        <v>66.067849454383477</v>
      </c>
    </row>
    <row r="20" spans="1:73" x14ac:dyDescent="0.2">
      <c r="A20" s="7">
        <v>39</v>
      </c>
      <c r="B20" s="7" t="s">
        <v>76</v>
      </c>
      <c r="C20" s="7">
        <v>141372</v>
      </c>
      <c r="D20" s="8">
        <v>6.77</v>
      </c>
      <c r="E20" s="8">
        <v>8.6300000000000002E-2</v>
      </c>
      <c r="F20" s="48">
        <v>9.5960000000000001</v>
      </c>
      <c r="G20" s="48">
        <v>0.42500000000000071</v>
      </c>
      <c r="H20" s="48">
        <f t="shared" si="0"/>
        <v>10.021000000000001</v>
      </c>
      <c r="I20" s="48">
        <v>9.8480000000000008</v>
      </c>
      <c r="J20" s="48">
        <f t="shared" si="31"/>
        <v>0.17300000000000004</v>
      </c>
      <c r="K20" s="48">
        <f t="shared" si="32"/>
        <v>18.028345143809922</v>
      </c>
      <c r="L20" s="48">
        <f t="shared" si="1"/>
        <v>1.8359333545579969E-2</v>
      </c>
      <c r="M20" s="58">
        <f t="shared" si="2"/>
        <v>0.98197165485618998</v>
      </c>
      <c r="N20" s="48"/>
      <c r="O20" s="48">
        <v>1.724</v>
      </c>
      <c r="P20" s="48"/>
      <c r="Q20" s="48">
        <f t="shared" si="36"/>
        <v>34.479999999999997</v>
      </c>
      <c r="R20" s="46">
        <f t="shared" si="3"/>
        <v>50.660921684949763</v>
      </c>
      <c r="S20" s="46">
        <f t="shared" si="4"/>
        <v>10134.717383074199</v>
      </c>
      <c r="T20" s="48">
        <v>0.58199999999999996</v>
      </c>
      <c r="U20" s="48">
        <f t="shared" si="33"/>
        <v>11.639999999999999</v>
      </c>
      <c r="V20" s="46">
        <f t="shared" si="5"/>
        <v>3.2520446207052265</v>
      </c>
      <c r="W20" s="46">
        <f t="shared" si="6"/>
        <v>395.12342141568502</v>
      </c>
      <c r="X20" s="48">
        <v>5.7880000000000003</v>
      </c>
      <c r="Y20" s="48">
        <v>2.407</v>
      </c>
      <c r="Z20" s="48"/>
      <c r="AA20" s="48">
        <f>Y20*16</f>
        <v>38.512</v>
      </c>
      <c r="AB20" s="46">
        <f t="shared" si="8"/>
        <v>78.438109307014756</v>
      </c>
      <c r="AD20" s="48">
        <v>0.20899999999999999</v>
      </c>
      <c r="AE20" s="48"/>
      <c r="AF20" s="48">
        <f t="shared" ref="AF20:AF25" si="38">AD20*8</f>
        <v>1.6719999999999999</v>
      </c>
      <c r="AG20" s="46">
        <f t="shared" si="9"/>
        <v>3.4053936113764194</v>
      </c>
      <c r="AH20">
        <v>0.26</v>
      </c>
      <c r="AI20">
        <f t="shared" si="10"/>
        <v>2.08</v>
      </c>
      <c r="AJ20" s="46">
        <f t="shared" si="11"/>
        <v>4.2363748275496134</v>
      </c>
      <c r="AK20">
        <v>0.76</v>
      </c>
      <c r="AN20" s="48"/>
      <c r="AO20" s="48">
        <f t="shared" si="12"/>
        <v>6.08</v>
      </c>
      <c r="AP20" s="46">
        <f t="shared" si="13"/>
        <v>12.383249495914253</v>
      </c>
      <c r="AQ20" s="48">
        <v>3.3198816123273511</v>
      </c>
      <c r="AR20" s="46">
        <f t="shared" si="14"/>
        <v>2.5013015146678201</v>
      </c>
      <c r="AS20" s="46">
        <f t="shared" si="15"/>
        <v>978.00889223511774</v>
      </c>
      <c r="AT20" s="48">
        <v>11.531968704512371</v>
      </c>
      <c r="AU20" s="46">
        <f t="shared" si="16"/>
        <v>14.783376491540217</v>
      </c>
      <c r="AV20" s="46">
        <f t="shared" si="17"/>
        <v>3397.2199177559419</v>
      </c>
      <c r="AW20" s="48">
        <v>0.10971334295731079</v>
      </c>
      <c r="AX20" s="48">
        <f t="shared" si="18"/>
        <v>5.6640858522101585</v>
      </c>
      <c r="AY20" s="48">
        <f t="shared" si="19"/>
        <v>5.7680746936016858</v>
      </c>
      <c r="AZ20">
        <v>0.53</v>
      </c>
      <c r="BB20">
        <v>2.34</v>
      </c>
      <c r="BC20" s="48">
        <f t="shared" si="37"/>
        <v>3.833258246081948</v>
      </c>
      <c r="BD20" s="48">
        <f t="shared" si="20"/>
        <v>6.5932041832609505</v>
      </c>
      <c r="BE20" s="48">
        <v>10.02</v>
      </c>
      <c r="BF20" s="48">
        <v>43.861699999999999</v>
      </c>
      <c r="BG20" s="48">
        <v>43.932200000000002</v>
      </c>
      <c r="BH20" s="48">
        <f t="shared" si="21"/>
        <v>7.0500000000002672E-2</v>
      </c>
      <c r="BI20" s="48">
        <v>32.749000000000002</v>
      </c>
      <c r="BJ20" s="48">
        <v>32.779000000000003</v>
      </c>
      <c r="BK20" s="48">
        <f t="shared" si="22"/>
        <v>3.0000000000001137E-2</v>
      </c>
      <c r="BL20" s="48">
        <v>147.63</v>
      </c>
      <c r="BM20" s="48">
        <v>154.13999999999999</v>
      </c>
      <c r="BN20" s="48">
        <f t="shared" si="23"/>
        <v>6.5099999999999909</v>
      </c>
      <c r="BO20" s="48">
        <f t="shared" si="24"/>
        <v>1.0587881990873975</v>
      </c>
      <c r="BP20" s="48">
        <f t="shared" si="25"/>
        <v>2.0621776504298777</v>
      </c>
      <c r="BQ20" s="48">
        <f t="shared" si="26"/>
        <v>6.6295192613817173</v>
      </c>
      <c r="BR20" s="48">
        <f t="shared" si="27"/>
        <v>9.7504851108989925</v>
      </c>
      <c r="BS20" s="48">
        <f t="shared" si="28"/>
        <v>10.858825863996191</v>
      </c>
      <c r="BT20" s="48">
        <f t="shared" si="29"/>
        <v>21.149487712409268</v>
      </c>
      <c r="BU20" s="48">
        <f t="shared" si="30"/>
        <v>67.991686423594544</v>
      </c>
    </row>
    <row r="21" spans="1:73" x14ac:dyDescent="0.2">
      <c r="A21" s="7">
        <v>20</v>
      </c>
      <c r="B21" s="7" t="s">
        <v>76</v>
      </c>
      <c r="C21" s="7">
        <v>141372</v>
      </c>
      <c r="D21" s="8">
        <v>6.53</v>
      </c>
      <c r="E21" s="8">
        <v>0.1176</v>
      </c>
      <c r="F21" s="48">
        <v>9.2249999999999996</v>
      </c>
      <c r="G21" s="48">
        <v>0.42100000000000115</v>
      </c>
      <c r="H21" s="48">
        <f t="shared" si="0"/>
        <v>9.6460000000000008</v>
      </c>
      <c r="I21" s="48">
        <v>9.4429999999999996</v>
      </c>
      <c r="J21" s="48">
        <f t="shared" si="31"/>
        <v>0.20300000000000118</v>
      </c>
      <c r="K21" s="48">
        <f t="shared" si="32"/>
        <v>22.00542005420067</v>
      </c>
      <c r="L21" s="48">
        <f t="shared" si="1"/>
        <v>2.2500554200842519E-2</v>
      </c>
      <c r="M21" s="58">
        <f t="shared" si="2"/>
        <v>0.9779945799457993</v>
      </c>
      <c r="N21" s="48"/>
      <c r="O21" s="48">
        <v>2.597</v>
      </c>
      <c r="P21" s="48"/>
      <c r="Q21" s="48">
        <f t="shared" si="36"/>
        <v>51.94</v>
      </c>
      <c r="R21" s="46">
        <f t="shared" si="3"/>
        <v>76.005543863917424</v>
      </c>
      <c r="S21" s="46">
        <f t="shared" si="4"/>
        <v>15204.909049976679</v>
      </c>
      <c r="T21" s="46">
        <v>0.60399999999999998</v>
      </c>
      <c r="U21" s="48">
        <f t="shared" si="33"/>
        <v>12.08</v>
      </c>
      <c r="V21" s="46">
        <f t="shared" si="5"/>
        <v>3.3886986816861944</v>
      </c>
      <c r="W21" s="46">
        <f t="shared" si="6"/>
        <v>411.72688982487267</v>
      </c>
      <c r="X21" s="48">
        <v>3.1840000000000002</v>
      </c>
      <c r="Y21" s="48"/>
      <c r="Z21" s="48"/>
      <c r="AA21" s="48">
        <f t="shared" ref="AA21:AA27" si="39">X21*8</f>
        <v>25.472000000000001</v>
      </c>
      <c r="AB21" s="46">
        <f t="shared" si="8"/>
        <v>52.09026823320773</v>
      </c>
      <c r="AD21" s="48">
        <v>0.52500000000000002</v>
      </c>
      <c r="AE21" s="48"/>
      <c r="AF21" s="48">
        <f t="shared" si="38"/>
        <v>4.2</v>
      </c>
      <c r="AG21" s="46">
        <f t="shared" si="9"/>
        <v>8.5890046552870771</v>
      </c>
      <c r="AH21">
        <v>0.26</v>
      </c>
      <c r="AI21">
        <f t="shared" si="10"/>
        <v>2.08</v>
      </c>
      <c r="AJ21" s="46">
        <f t="shared" si="11"/>
        <v>4.2536023054755052</v>
      </c>
      <c r="AK21">
        <v>1.18</v>
      </c>
      <c r="AN21" s="48"/>
      <c r="AO21" s="48">
        <f t="shared" si="12"/>
        <v>9.44</v>
      </c>
      <c r="AP21" s="46">
        <f t="shared" si="13"/>
        <v>19.304810463311906</v>
      </c>
      <c r="AQ21" s="48">
        <v>3.0849854364370946</v>
      </c>
      <c r="AR21" s="46">
        <f t="shared" si="14"/>
        <v>2.3149097463277788</v>
      </c>
      <c r="AS21" s="46">
        <f t="shared" si="15"/>
        <v>905.12971081416151</v>
      </c>
      <c r="AT21" s="48">
        <v>7.4380822416302763</v>
      </c>
      <c r="AU21" s="46">
        <f t="shared" si="16"/>
        <v>9.4966111194588922</v>
      </c>
      <c r="AV21" s="46">
        <f t="shared" si="17"/>
        <v>2182.3212352516534</v>
      </c>
      <c r="AW21" s="48">
        <v>7.2386058981233237E-2</v>
      </c>
      <c r="AX21" s="48">
        <f t="shared" si="18"/>
        <v>3.7370190491085822</v>
      </c>
      <c r="AY21" s="48">
        <f t="shared" si="19"/>
        <v>3.8211040487726309</v>
      </c>
      <c r="AZ21">
        <v>0.52</v>
      </c>
      <c r="BB21">
        <v>3.62</v>
      </c>
      <c r="BC21" s="48">
        <f t="shared" si="37"/>
        <v>3.9228627031359253</v>
      </c>
      <c r="BD21" s="48">
        <f t="shared" si="20"/>
        <v>6.7473238493937915</v>
      </c>
      <c r="BE21" s="48">
        <v>10.02</v>
      </c>
      <c r="BF21" s="48">
        <v>41.080800000000004</v>
      </c>
      <c r="BG21" s="48">
        <v>41.151600000000002</v>
      </c>
      <c r="BH21" s="48">
        <f t="shared" si="21"/>
        <v>7.079999999999842E-2</v>
      </c>
      <c r="BI21" s="48">
        <v>45.5214</v>
      </c>
      <c r="BJ21" s="48">
        <v>45.548099999999998</v>
      </c>
      <c r="BK21" s="48">
        <f t="shared" si="22"/>
        <v>2.669999999999817E-2</v>
      </c>
      <c r="BL21" s="48">
        <v>155.19</v>
      </c>
      <c r="BM21" s="48">
        <v>161.54</v>
      </c>
      <c r="BN21" s="48">
        <f t="shared" si="23"/>
        <v>6.3499999999999943</v>
      </c>
      <c r="BO21" s="48">
        <f t="shared" si="24"/>
        <v>0.89438123475938347</v>
      </c>
      <c r="BP21" s="48">
        <f t="shared" si="25"/>
        <v>2.2546137220128708</v>
      </c>
      <c r="BQ21" s="48">
        <f t="shared" si="26"/>
        <v>6.4928785191753446</v>
      </c>
      <c r="BR21" s="48">
        <f t="shared" si="27"/>
        <v>9.6418734759475981</v>
      </c>
      <c r="BS21" s="48">
        <f t="shared" si="28"/>
        <v>9.2760109017245131</v>
      </c>
      <c r="BT21" s="48">
        <f t="shared" si="29"/>
        <v>23.383564694529333</v>
      </c>
      <c r="BU21" s="48">
        <f t="shared" si="30"/>
        <v>67.340424403746155</v>
      </c>
    </row>
    <row r="22" spans="1:73" x14ac:dyDescent="0.2">
      <c r="A22" s="7">
        <v>16</v>
      </c>
      <c r="B22" s="7" t="s">
        <v>78</v>
      </c>
      <c r="C22" s="7">
        <v>272850</v>
      </c>
      <c r="D22" s="8">
        <v>3.87</v>
      </c>
      <c r="E22" s="8">
        <v>4.1700000000000001E-2</v>
      </c>
      <c r="F22" s="48">
        <v>9.5980000000000008</v>
      </c>
      <c r="G22" s="48">
        <v>0.41499999999999915</v>
      </c>
      <c r="H22" s="48">
        <f t="shared" si="0"/>
        <v>10.013</v>
      </c>
      <c r="I22" s="48">
        <v>9.7870000000000008</v>
      </c>
      <c r="J22" s="48">
        <f t="shared" si="31"/>
        <v>0.22599999999999909</v>
      </c>
      <c r="K22" s="48">
        <f t="shared" si="32"/>
        <v>23.546572202542098</v>
      </c>
      <c r="L22" s="48">
        <f t="shared" si="1"/>
        <v>2.4114383269312745E-2</v>
      </c>
      <c r="M22" s="58">
        <f t="shared" si="2"/>
        <v>0.97645342779745792</v>
      </c>
      <c r="N22" s="48"/>
      <c r="O22" s="48">
        <v>0.14299999999999999</v>
      </c>
      <c r="P22" s="48"/>
      <c r="Q22" s="48">
        <f t="shared" si="36"/>
        <v>2.86</v>
      </c>
      <c r="R22" s="46">
        <f t="shared" si="3"/>
        <v>4.1785388581058305</v>
      </c>
      <c r="S22" s="46">
        <f t="shared" si="4"/>
        <v>835.91669856407134</v>
      </c>
      <c r="T22" s="48">
        <v>0.16600000000000001</v>
      </c>
      <c r="U22" s="48">
        <f t="shared" si="33"/>
        <v>3.3200000000000003</v>
      </c>
      <c r="V22" s="46">
        <f t="shared" si="5"/>
        <v>0.93280102947986798</v>
      </c>
      <c r="W22" s="46">
        <f t="shared" si="6"/>
        <v>113.33532508180396</v>
      </c>
      <c r="X22" s="48">
        <v>0.55900000000000005</v>
      </c>
      <c r="Y22" s="48"/>
      <c r="Z22" s="48"/>
      <c r="AA22" s="48">
        <f t="shared" si="39"/>
        <v>4.4720000000000004</v>
      </c>
      <c r="AB22" s="46">
        <f t="shared" si="8"/>
        <v>9.1596790439607343</v>
      </c>
      <c r="AD22" s="48">
        <v>0.14899999999999999</v>
      </c>
      <c r="AE22" s="48"/>
      <c r="AF22" s="48">
        <f t="shared" si="38"/>
        <v>1.1919999999999999</v>
      </c>
      <c r="AG22" s="46">
        <f t="shared" si="9"/>
        <v>2.4414886897140415</v>
      </c>
      <c r="AH22">
        <v>0.15</v>
      </c>
      <c r="AI22">
        <f t="shared" si="10"/>
        <v>1.2</v>
      </c>
      <c r="AJ22" s="46">
        <f t="shared" si="11"/>
        <v>2.4578745198463503</v>
      </c>
      <c r="AK22">
        <v>14.32</v>
      </c>
      <c r="AM22">
        <v>3.84</v>
      </c>
      <c r="AN22" s="48"/>
      <c r="AO22" s="48">
        <f>AM22*32</f>
        <v>122.88</v>
      </c>
      <c r="AP22" s="46">
        <f t="shared" si="13"/>
        <v>251.68635083226627</v>
      </c>
      <c r="AQ22" s="48">
        <v>1.7695668514516583</v>
      </c>
      <c r="AR22" s="46">
        <f t="shared" si="14"/>
        <v>1.3257541824680767</v>
      </c>
      <c r="AS22" s="46">
        <f t="shared" si="15"/>
        <v>518.36988534501802</v>
      </c>
      <c r="AT22" s="48">
        <v>5.8915029112081507</v>
      </c>
      <c r="AU22" s="46">
        <f t="shared" si="16"/>
        <v>7.5101543244489566</v>
      </c>
      <c r="AV22" s="46">
        <f t="shared" si="17"/>
        <v>1725.8334637583703</v>
      </c>
      <c r="AW22" s="48">
        <v>0.43493503815219636</v>
      </c>
      <c r="AX22" s="48">
        <f t="shared" si="18"/>
        <v>22.45405462840456</v>
      </c>
      <c r="AY22" s="48">
        <f t="shared" si="19"/>
        <v>22.995520307663991</v>
      </c>
      <c r="AZ22">
        <v>0.5</v>
      </c>
      <c r="BB22">
        <v>1.58</v>
      </c>
      <c r="BC22" s="48">
        <f t="shared" si="37"/>
        <v>4.0862163892445578</v>
      </c>
      <c r="BD22" s="48">
        <f t="shared" si="20"/>
        <v>7.0282921895006396</v>
      </c>
      <c r="BE22" s="48">
        <v>10.02</v>
      </c>
      <c r="BF22" s="48">
        <v>43.2774</v>
      </c>
      <c r="BG22" s="48">
        <v>43.3324</v>
      </c>
      <c r="BH22" s="48">
        <f t="shared" si="21"/>
        <v>5.4999999999999716E-2</v>
      </c>
      <c r="BI22" s="48">
        <v>44.735199999999999</v>
      </c>
      <c r="BJ22" s="48">
        <v>44.749600000000001</v>
      </c>
      <c r="BK22" s="48">
        <f t="shared" si="22"/>
        <v>1.4400000000001967E-2</v>
      </c>
      <c r="BL22" s="48">
        <v>143.35</v>
      </c>
      <c r="BM22" s="48">
        <v>150.19</v>
      </c>
      <c r="BN22" s="48">
        <f t="shared" si="23"/>
        <v>6.8400000000000034</v>
      </c>
      <c r="BO22" s="48">
        <f t="shared" si="24"/>
        <v>0.26596250533514121</v>
      </c>
      <c r="BP22" s="48">
        <f t="shared" si="25"/>
        <v>2.0789521980365895</v>
      </c>
      <c r="BQ22" s="48">
        <f t="shared" si="26"/>
        <v>7.0049423815621026</v>
      </c>
      <c r="BR22" s="48">
        <f t="shared" si="27"/>
        <v>9.3498570849338343</v>
      </c>
      <c r="BS22" s="48">
        <f t="shared" si="28"/>
        <v>2.8445622528680965</v>
      </c>
      <c r="BT22" s="48">
        <f t="shared" si="29"/>
        <v>22.235122731304312</v>
      </c>
      <c r="BU22" s="48">
        <f t="shared" si="30"/>
        <v>74.920315015827583</v>
      </c>
    </row>
    <row r="23" spans="1:73" x14ac:dyDescent="0.2">
      <c r="A23" s="7">
        <v>35</v>
      </c>
      <c r="B23" s="7" t="s">
        <v>78</v>
      </c>
      <c r="C23" s="7">
        <v>272850</v>
      </c>
      <c r="D23" s="8">
        <v>4.1500000000000004</v>
      </c>
      <c r="E23" s="8">
        <v>4.9500000000000002E-2</v>
      </c>
      <c r="F23" s="48">
        <v>9.7629999999999999</v>
      </c>
      <c r="G23" s="48">
        <v>0.42</v>
      </c>
      <c r="H23" s="48">
        <f t="shared" si="0"/>
        <v>10.183</v>
      </c>
      <c r="I23" s="48">
        <v>9.5310000000000006</v>
      </c>
      <c r="J23" s="48">
        <f t="shared" si="31"/>
        <v>0.65199999999999925</v>
      </c>
      <c r="K23" s="48">
        <f t="shared" si="32"/>
        <v>66.782751203523432</v>
      </c>
      <c r="L23" s="48">
        <f t="shared" si="1"/>
        <v>7.1561848315223275E-2</v>
      </c>
      <c r="M23" s="58">
        <f t="shared" si="2"/>
        <v>0.9332172487964765</v>
      </c>
      <c r="N23" s="48"/>
      <c r="O23" s="48">
        <v>0.13300000000000001</v>
      </c>
      <c r="P23" s="48"/>
      <c r="Q23" s="48">
        <f t="shared" si="36"/>
        <v>2.66</v>
      </c>
      <c r="R23" s="46">
        <f t="shared" si="3"/>
        <v>3.7142511947111632</v>
      </c>
      <c r="S23" s="46">
        <f t="shared" si="4"/>
        <v>743.03595150196816</v>
      </c>
      <c r="T23" s="48">
        <v>0.18</v>
      </c>
      <c r="U23" s="48">
        <f t="shared" si="33"/>
        <v>3.5999999999999996</v>
      </c>
      <c r="V23" s="46">
        <f t="shared" si="5"/>
        <v>1.0583326896940477</v>
      </c>
      <c r="W23" s="46">
        <f t="shared" si="6"/>
        <v>128.58742179782681</v>
      </c>
      <c r="X23" s="48">
        <v>1.37</v>
      </c>
      <c r="Y23" s="48"/>
      <c r="Z23" s="48"/>
      <c r="AA23" s="48">
        <f t="shared" si="39"/>
        <v>10.96</v>
      </c>
      <c r="AB23" s="46">
        <f t="shared" si="8"/>
        <v>23.488635715069698</v>
      </c>
      <c r="AD23" s="48">
        <v>0.10100000000000001</v>
      </c>
      <c r="AE23" s="48"/>
      <c r="AF23" s="48">
        <f t="shared" si="38"/>
        <v>0.80800000000000005</v>
      </c>
      <c r="AG23" s="46">
        <f t="shared" si="9"/>
        <v>1.731643946877401</v>
      </c>
      <c r="AH23">
        <v>0.19</v>
      </c>
      <c r="AI23">
        <f t="shared" si="10"/>
        <v>1.52</v>
      </c>
      <c r="AJ23" s="46">
        <f t="shared" si="11"/>
        <v>3.2575480188782788</v>
      </c>
      <c r="AK23">
        <v>13.81</v>
      </c>
      <c r="AM23">
        <v>3.52</v>
      </c>
      <c r="AN23" s="48"/>
      <c r="AO23" s="48">
        <f>AM23*32</f>
        <v>112.64</v>
      </c>
      <c r="AP23" s="46">
        <f t="shared" si="13"/>
        <v>241.40145318845353</v>
      </c>
      <c r="AQ23" s="48">
        <v>2.051442262519966</v>
      </c>
      <c r="AR23" s="46">
        <f t="shared" si="14"/>
        <v>1.468880796133275</v>
      </c>
      <c r="AS23" s="46">
        <f t="shared" si="15"/>
        <v>574.33239128811056</v>
      </c>
      <c r="AT23" s="48">
        <v>9.0756368267831142</v>
      </c>
      <c r="AU23" s="46">
        <f t="shared" si="16"/>
        <v>11.056841815360995</v>
      </c>
      <c r="AV23" s="46">
        <f t="shared" si="17"/>
        <v>2540.8622491699566</v>
      </c>
      <c r="AW23" s="48">
        <v>0.69168900804289546</v>
      </c>
      <c r="AX23" s="48">
        <f t="shared" si="18"/>
        <v>35.709293135926458</v>
      </c>
      <c r="AY23" s="48">
        <f t="shared" si="19"/>
        <v>38.264716154763477</v>
      </c>
      <c r="AZ23">
        <v>0.51400000000000001</v>
      </c>
      <c r="BB23">
        <v>2.5</v>
      </c>
      <c r="BC23" s="48">
        <f t="shared" si="37"/>
        <v>4.1590776019238724</v>
      </c>
      <c r="BD23" s="48">
        <f t="shared" si="20"/>
        <v>7.1536134753090606</v>
      </c>
      <c r="BE23" s="48">
        <v>10</v>
      </c>
      <c r="BF23" s="48">
        <v>32.661900000000003</v>
      </c>
      <c r="BG23" s="48">
        <v>32.715200000000003</v>
      </c>
      <c r="BH23" s="48">
        <f t="shared" si="21"/>
        <v>5.3300000000000125E-2</v>
      </c>
      <c r="BI23" s="48">
        <v>43.347999999999999</v>
      </c>
      <c r="BJ23" s="48">
        <v>43.368000000000002</v>
      </c>
      <c r="BK23" s="48">
        <f t="shared" si="22"/>
        <v>2.0000000000003126E-2</v>
      </c>
      <c r="BL23" s="48">
        <v>136.96</v>
      </c>
      <c r="BM23" s="48">
        <v>144.22</v>
      </c>
      <c r="BN23" s="48">
        <f t="shared" si="23"/>
        <v>7.2599999999999909</v>
      </c>
      <c r="BO23" s="48">
        <f t="shared" si="24"/>
        <v>0.57832192953589345</v>
      </c>
      <c r="BP23" s="48">
        <f t="shared" si="25"/>
        <v>1.7841504774446861</v>
      </c>
      <c r="BQ23" s="48">
        <f t="shared" si="26"/>
        <v>7.7795390187685118</v>
      </c>
      <c r="BR23" s="48">
        <f t="shared" si="27"/>
        <v>10.142011425749091</v>
      </c>
      <c r="BS23" s="48">
        <f t="shared" si="28"/>
        <v>5.7022409585106386</v>
      </c>
      <c r="BT23" s="48">
        <f t="shared" si="29"/>
        <v>17.591682779167332</v>
      </c>
      <c r="BU23" s="48">
        <f t="shared" si="30"/>
        <v>76.706076262322028</v>
      </c>
    </row>
    <row r="24" spans="1:73" x14ac:dyDescent="0.2">
      <c r="A24" s="7">
        <v>8</v>
      </c>
      <c r="B24" s="7" t="s">
        <v>78</v>
      </c>
      <c r="C24" s="7">
        <v>272894</v>
      </c>
      <c r="D24" s="8">
        <v>4.6399999999999997</v>
      </c>
      <c r="E24" s="8">
        <v>9.6000000000000002E-2</v>
      </c>
      <c r="F24" s="48">
        <v>9.1189999999999998</v>
      </c>
      <c r="G24" s="48">
        <v>0.50600000000000023</v>
      </c>
      <c r="H24" s="48">
        <f t="shared" si="0"/>
        <v>9.625</v>
      </c>
      <c r="I24" s="48">
        <v>9.3239999999999998</v>
      </c>
      <c r="J24" s="48">
        <f t="shared" si="31"/>
        <v>0.30100000000000016</v>
      </c>
      <c r="K24" s="48">
        <f t="shared" si="32"/>
        <v>33.008005263735079</v>
      </c>
      <c r="L24" s="48">
        <f t="shared" si="1"/>
        <v>3.4134724427307798E-2</v>
      </c>
      <c r="M24" s="58">
        <f t="shared" si="2"/>
        <v>0.96699199473626496</v>
      </c>
      <c r="N24" s="48"/>
      <c r="O24" s="48">
        <v>0.84499999999999997</v>
      </c>
      <c r="P24" s="48"/>
      <c r="Q24" s="48">
        <f t="shared" si="36"/>
        <v>16.899999999999999</v>
      </c>
      <c r="R24" s="46">
        <f t="shared" si="3"/>
        <v>24.452116774627747</v>
      </c>
      <c r="S24" s="46">
        <f t="shared" si="4"/>
        <v>4891.6459607642801</v>
      </c>
      <c r="T24" s="48">
        <v>0.443</v>
      </c>
      <c r="U24" s="48">
        <f t="shared" si="33"/>
        <v>8.86</v>
      </c>
      <c r="V24" s="46">
        <f t="shared" si="5"/>
        <v>2.5136992204186406</v>
      </c>
      <c r="W24" s="46">
        <f t="shared" si="6"/>
        <v>305.41445528086484</v>
      </c>
      <c r="X24" s="48">
        <v>2.4009999999999998</v>
      </c>
      <c r="Y24" s="48"/>
      <c r="Z24" s="48"/>
      <c r="AA24" s="48">
        <f t="shared" si="39"/>
        <v>19.207999999999998</v>
      </c>
      <c r="AB24" s="46">
        <f t="shared" si="8"/>
        <v>39.727319573599452</v>
      </c>
      <c r="AD24" s="48">
        <v>0.23599999999999999</v>
      </c>
      <c r="AE24" s="48"/>
      <c r="AF24" s="48">
        <f t="shared" si="38"/>
        <v>1.8879999999999999</v>
      </c>
      <c r="AG24" s="46">
        <f t="shared" si="9"/>
        <v>3.9048927194375143</v>
      </c>
      <c r="AH24">
        <v>0.11</v>
      </c>
      <c r="AI24">
        <f t="shared" si="10"/>
        <v>0.88</v>
      </c>
      <c r="AJ24" s="46">
        <f t="shared" si="11"/>
        <v>1.820077114992062</v>
      </c>
      <c r="AK24">
        <v>16.34</v>
      </c>
      <c r="AM24">
        <v>4.3899999999999997</v>
      </c>
      <c r="AN24" s="48"/>
      <c r="AO24" s="48">
        <f>AM24*32</f>
        <v>140.47999999999999</v>
      </c>
      <c r="AP24" s="46">
        <f t="shared" si="13"/>
        <v>290.55049217509639</v>
      </c>
      <c r="AQ24" s="48">
        <v>2.5682138494785303</v>
      </c>
      <c r="AR24" s="46">
        <f t="shared" si="14"/>
        <v>1.9054543988873753</v>
      </c>
      <c r="AS24" s="46">
        <f t="shared" si="15"/>
        <v>745.03266996496382</v>
      </c>
      <c r="AT24" s="48">
        <v>7.711008005822416</v>
      </c>
      <c r="AU24" s="46">
        <f t="shared" si="16"/>
        <v>9.7343120273858066</v>
      </c>
      <c r="AV24" s="46">
        <f t="shared" si="17"/>
        <v>2236.9449038932585</v>
      </c>
      <c r="AW24" s="48">
        <v>0.54258610022685094</v>
      </c>
      <c r="AX24" s="48">
        <f t="shared" si="18"/>
        <v>28.011672701437838</v>
      </c>
      <c r="AY24" s="48">
        <f t="shared" si="19"/>
        <v>28.96784342984936</v>
      </c>
      <c r="BA24">
        <v>0.253</v>
      </c>
      <c r="BB24">
        <v>4.3600000000000003</v>
      </c>
      <c r="BC24" s="48">
        <f>(5-$BC$60*BB24)*0.399/(BA24*M24)</f>
        <v>8.1545406135671108</v>
      </c>
      <c r="BD24" s="48">
        <f t="shared" si="20"/>
        <v>14.02580985533543</v>
      </c>
      <c r="BE24" s="48">
        <v>10.029999999999999</v>
      </c>
      <c r="BF24" s="48">
        <v>45.185200000000002</v>
      </c>
      <c r="BG24" s="48">
        <v>45.242100000000001</v>
      </c>
      <c r="BH24" s="48">
        <f t="shared" si="21"/>
        <v>5.689999999999884E-2</v>
      </c>
      <c r="BI24" s="48">
        <v>33.3491</v>
      </c>
      <c r="BJ24" s="48">
        <v>33.365499999999997</v>
      </c>
      <c r="BK24" s="48">
        <f t="shared" si="22"/>
        <v>1.6399999999997306E-2</v>
      </c>
      <c r="BL24" s="48">
        <v>147.63999999999999</v>
      </c>
      <c r="BM24" s="48">
        <v>155.06</v>
      </c>
      <c r="BN24" s="48">
        <f t="shared" si="23"/>
        <v>7.4200000000000159</v>
      </c>
      <c r="BO24" s="48">
        <f t="shared" si="24"/>
        <v>0.37197826037636322</v>
      </c>
      <c r="BP24" s="48">
        <f t="shared" si="25"/>
        <v>2.0941228169653776</v>
      </c>
      <c r="BQ24" s="48">
        <f t="shared" si="26"/>
        <v>7.6732796552506404</v>
      </c>
      <c r="BR24" s="48">
        <f t="shared" si="27"/>
        <v>10.139380732592381</v>
      </c>
      <c r="BS24" s="48">
        <f t="shared" si="28"/>
        <v>3.6686487092911233</v>
      </c>
      <c r="BT24" s="48">
        <f t="shared" si="29"/>
        <v>20.65336012320709</v>
      </c>
      <c r="BU24" s="48">
        <f t="shared" si="30"/>
        <v>75.677991167501787</v>
      </c>
    </row>
    <row r="25" spans="1:73" x14ac:dyDescent="0.2">
      <c r="A25" s="7">
        <v>24</v>
      </c>
      <c r="B25" s="7" t="s">
        <v>78</v>
      </c>
      <c r="C25" s="7">
        <v>272894</v>
      </c>
      <c r="D25" s="8">
        <v>3.73</v>
      </c>
      <c r="E25" s="8">
        <v>0.121</v>
      </c>
      <c r="F25" s="48">
        <v>9.2409999999999997</v>
      </c>
      <c r="G25" s="48">
        <v>0.41099999999999959</v>
      </c>
      <c r="H25" s="48">
        <f t="shared" si="0"/>
        <v>9.6519999999999992</v>
      </c>
      <c r="I25" s="48">
        <v>9.1850000000000005</v>
      </c>
      <c r="J25" s="48">
        <f t="shared" si="31"/>
        <v>0.46699999999999875</v>
      </c>
      <c r="K25" s="48">
        <f t="shared" si="32"/>
        <v>50.535656314251568</v>
      </c>
      <c r="L25" s="48">
        <f t="shared" si="1"/>
        <v>5.322543879644389E-2</v>
      </c>
      <c r="M25" s="58">
        <f t="shared" si="2"/>
        <v>0.94946434368574839</v>
      </c>
      <c r="N25" s="48"/>
      <c r="O25" s="48">
        <v>0.50600000000000001</v>
      </c>
      <c r="P25" s="48"/>
      <c r="Q25" s="48">
        <f t="shared" si="36"/>
        <v>10.120000000000001</v>
      </c>
      <c r="R25" s="46">
        <f t="shared" si="3"/>
        <v>14.37692642109692</v>
      </c>
      <c r="S25" s="46">
        <f t="shared" si="4"/>
        <v>2876.1041305404387</v>
      </c>
      <c r="T25" s="48">
        <v>0.80600000000000005</v>
      </c>
      <c r="U25" s="48">
        <f t="shared" si="33"/>
        <v>16.12</v>
      </c>
      <c r="V25" s="46">
        <f t="shared" si="5"/>
        <v>4.657885891193053</v>
      </c>
      <c r="W25" s="46">
        <f t="shared" si="6"/>
        <v>565.93313577995593</v>
      </c>
      <c r="X25" s="48">
        <v>0.56399999999999995</v>
      </c>
      <c r="Y25" s="48"/>
      <c r="Z25" s="48"/>
      <c r="AA25" s="48">
        <f t="shared" si="39"/>
        <v>4.5119999999999996</v>
      </c>
      <c r="AB25" s="46">
        <f t="shared" si="8"/>
        <v>9.5043063596991093</v>
      </c>
      <c r="AD25" s="48">
        <v>0.27100000000000002</v>
      </c>
      <c r="AE25" s="48"/>
      <c r="AF25" s="48">
        <f t="shared" si="38"/>
        <v>2.1680000000000001</v>
      </c>
      <c r="AG25" s="46">
        <f t="shared" si="9"/>
        <v>4.5667855026213813</v>
      </c>
      <c r="AH25">
        <v>0.12</v>
      </c>
      <c r="AI25">
        <f t="shared" si="10"/>
        <v>0.96</v>
      </c>
      <c r="AJ25" s="46">
        <f t="shared" si="11"/>
        <v>2.0221928424891722</v>
      </c>
      <c r="AK25">
        <v>24.23</v>
      </c>
      <c r="AN25" s="48">
        <v>5.63</v>
      </c>
      <c r="AO25" s="48">
        <f>AN25*48</f>
        <v>270.24</v>
      </c>
      <c r="AP25" s="46">
        <f t="shared" si="13"/>
        <v>569.24728516070206</v>
      </c>
      <c r="AQ25" s="48">
        <v>3.0849854364370946</v>
      </c>
      <c r="AR25" s="46">
        <f t="shared" si="14"/>
        <v>2.2473787769975742</v>
      </c>
      <c r="AS25" s="46">
        <f t="shared" si="15"/>
        <v>878.7251018060515</v>
      </c>
      <c r="AT25" s="48">
        <v>12.07782023289665</v>
      </c>
      <c r="AU25" s="46">
        <f t="shared" si="16"/>
        <v>14.970573969427768</v>
      </c>
      <c r="AV25" s="46">
        <f t="shared" si="17"/>
        <v>3440.237898174501</v>
      </c>
      <c r="AW25" s="48">
        <v>1.0449577232419054</v>
      </c>
      <c r="AX25" s="48">
        <f t="shared" si="18"/>
        <v>53.947223708926451</v>
      </c>
      <c r="AY25" s="48">
        <f t="shared" si="19"/>
        <v>56.818588362683982</v>
      </c>
      <c r="BA25">
        <v>0.253</v>
      </c>
      <c r="BB25">
        <v>0.74</v>
      </c>
      <c r="BC25" s="48">
        <f>(5-$BC$60*BB25)*0.399/(BA25*M25)</f>
        <v>8.3050780648178097</v>
      </c>
      <c r="BD25" s="48">
        <f t="shared" si="20"/>
        <v>14.284734271486633</v>
      </c>
      <c r="BE25" s="48">
        <v>10.029999999999999</v>
      </c>
      <c r="BF25" s="48">
        <v>33.278100000000002</v>
      </c>
      <c r="BG25" s="48">
        <v>33.321300000000001</v>
      </c>
      <c r="BH25" s="48">
        <f t="shared" si="21"/>
        <v>4.3199999999998795E-2</v>
      </c>
      <c r="BI25" s="48">
        <v>33.058100000000003</v>
      </c>
      <c r="BJ25" s="48">
        <v>33.072299999999998</v>
      </c>
      <c r="BK25" s="48">
        <f t="shared" si="22"/>
        <v>1.4199999999995327E-2</v>
      </c>
      <c r="BL25" s="48">
        <v>140.41999999999999</v>
      </c>
      <c r="BM25" s="48">
        <v>148.08000000000001</v>
      </c>
      <c r="BN25" s="48">
        <f t="shared" si="23"/>
        <v>7.660000000000025</v>
      </c>
      <c r="BO25" s="48">
        <f t="shared" si="24"/>
        <v>0.26299039206722596</v>
      </c>
      <c r="BP25" s="48">
        <f t="shared" si="25"/>
        <v>1.5271768862550263</v>
      </c>
      <c r="BQ25" s="48">
        <f t="shared" si="26"/>
        <v>8.0677068611807865</v>
      </c>
      <c r="BR25" s="48">
        <f t="shared" si="27"/>
        <v>9.8578741395030391</v>
      </c>
      <c r="BS25" s="48">
        <f t="shared" si="28"/>
        <v>2.6678205498014607</v>
      </c>
      <c r="BT25" s="48">
        <f t="shared" si="29"/>
        <v>15.491949528298759</v>
      </c>
      <c r="BU25" s="48">
        <f t="shared" si="30"/>
        <v>81.840229921899777</v>
      </c>
    </row>
    <row r="26" spans="1:73" x14ac:dyDescent="0.2">
      <c r="A26" s="7">
        <v>25</v>
      </c>
      <c r="B26" s="7" t="s">
        <v>82</v>
      </c>
      <c r="C26" s="7">
        <v>320550</v>
      </c>
      <c r="D26" s="8">
        <v>5.24</v>
      </c>
      <c r="E26" s="8">
        <v>4.1299999999999996E-2</v>
      </c>
      <c r="F26" s="48">
        <v>9.4480000000000004</v>
      </c>
      <c r="G26" s="48">
        <v>0.40899999999999892</v>
      </c>
      <c r="H26" s="48">
        <f t="shared" si="0"/>
        <v>9.8569999999999993</v>
      </c>
      <c r="I26" s="48">
        <v>9.6549999999999994</v>
      </c>
      <c r="J26" s="48">
        <f t="shared" si="31"/>
        <v>0.20199999999999996</v>
      </c>
      <c r="K26" s="48">
        <f t="shared" si="32"/>
        <v>21.380186282811174</v>
      </c>
      <c r="L26" s="48">
        <f t="shared" si="1"/>
        <v>2.1847285312567591E-2</v>
      </c>
      <c r="M26" s="58">
        <f t="shared" si="2"/>
        <v>0.97861981371718887</v>
      </c>
      <c r="N26" s="48"/>
      <c r="O26" s="48">
        <v>0.83099999999999996</v>
      </c>
      <c r="P26" s="48"/>
      <c r="Q26" s="48">
        <f t="shared" si="36"/>
        <v>16.619999999999997</v>
      </c>
      <c r="R26" s="46">
        <f t="shared" si="3"/>
        <v>24.336151577026946</v>
      </c>
      <c r="S26" s="46">
        <f t="shared" si="4"/>
        <v>4868.4471229842402</v>
      </c>
      <c r="T26" s="48">
        <v>0.379</v>
      </c>
      <c r="U26" s="48">
        <f t="shared" si="33"/>
        <v>7.58</v>
      </c>
      <c r="V26" s="46">
        <f t="shared" si="5"/>
        <v>2.1249938059449276</v>
      </c>
      <c r="W26" s="46">
        <f t="shared" si="6"/>
        <v>258.18674742230871</v>
      </c>
      <c r="X26" s="48">
        <v>3.44</v>
      </c>
      <c r="Y26" s="48"/>
      <c r="Z26" s="48"/>
      <c r="AA26" s="48">
        <f t="shared" si="39"/>
        <v>27.52</v>
      </c>
      <c r="AB26" s="46">
        <f t="shared" si="8"/>
        <v>56.242474583603716</v>
      </c>
      <c r="AC26">
        <v>4.2999999999999997E-2</v>
      </c>
      <c r="AD26" s="48">
        <v>2.5999999999999999E-2</v>
      </c>
      <c r="AE26" s="48"/>
      <c r="AF26" s="48">
        <f>AC26*2</f>
        <v>8.5999999999999993E-2</v>
      </c>
      <c r="AG26" s="46">
        <f t="shared" si="9"/>
        <v>0.17575773307376158</v>
      </c>
      <c r="AH26">
        <v>0.14000000000000001</v>
      </c>
      <c r="AI26">
        <f t="shared" si="10"/>
        <v>1.1200000000000001</v>
      </c>
      <c r="AJ26" s="46">
        <f t="shared" si="11"/>
        <v>2.2889379191001513</v>
      </c>
      <c r="AK26">
        <v>4.57</v>
      </c>
      <c r="AN26" s="48"/>
      <c r="AO26" s="48">
        <f>AK26*8</f>
        <v>36.56</v>
      </c>
      <c r="AP26" s="46">
        <f t="shared" si="13"/>
        <v>74.717473502054943</v>
      </c>
      <c r="AQ26" s="48">
        <v>2.5682138494785303</v>
      </c>
      <c r="AR26" s="46">
        <f t="shared" si="14"/>
        <v>1.9283669761861257</v>
      </c>
      <c r="AS26" s="46">
        <f t="shared" si="15"/>
        <v>753.99148768877524</v>
      </c>
      <c r="AT26" s="48">
        <v>5.6185771470160111</v>
      </c>
      <c r="AU26" s="46">
        <f t="shared" si="16"/>
        <v>7.1781343615776301</v>
      </c>
      <c r="AV26" s="46">
        <f t="shared" si="17"/>
        <v>1649.5352762905395</v>
      </c>
      <c r="AW26" s="48">
        <v>6.8055269127655194E-2</v>
      </c>
      <c r="AX26" s="48">
        <f t="shared" si="18"/>
        <v>3.5134367128371293</v>
      </c>
      <c r="AY26" s="48">
        <f t="shared" si="19"/>
        <v>3.5901957671301314</v>
      </c>
      <c r="AZ26">
        <v>0.51</v>
      </c>
      <c r="BB26">
        <v>3.94</v>
      </c>
      <c r="BC26" s="48">
        <f t="shared" ref="BC26:BC59" si="40">(5-$BC$60*BB26)*0.399/(AZ26*M26)</f>
        <v>3.9972261454873967</v>
      </c>
      <c r="BD26" s="48">
        <f t="shared" si="20"/>
        <v>6.8752289702383225</v>
      </c>
      <c r="BE26" s="48">
        <v>10.039999999999999</v>
      </c>
      <c r="BF26" s="48">
        <v>32.514200000000002</v>
      </c>
      <c r="BG26" s="48">
        <v>32.588900000000002</v>
      </c>
      <c r="BH26" s="48">
        <f t="shared" si="21"/>
        <v>7.4699999999999989E-2</v>
      </c>
      <c r="BI26" s="48">
        <v>33.587800000000001</v>
      </c>
      <c r="BJ26" s="48">
        <v>33.603099999999998</v>
      </c>
      <c r="BK26" s="48">
        <f t="shared" si="22"/>
        <v>1.5299999999996317E-2</v>
      </c>
      <c r="BL26" s="48">
        <v>165.78</v>
      </c>
      <c r="BM26" s="48">
        <v>171.98</v>
      </c>
      <c r="BN26" s="48">
        <f t="shared" si="23"/>
        <v>6.1999999999999886</v>
      </c>
      <c r="BO26" s="48">
        <f t="shared" si="24"/>
        <v>0.31135686783455108</v>
      </c>
      <c r="BP26" s="48">
        <f t="shared" si="25"/>
        <v>3.0348864373785132</v>
      </c>
      <c r="BQ26" s="48">
        <f t="shared" si="26"/>
        <v>6.3354531689379074</v>
      </c>
      <c r="BR26" s="48">
        <f t="shared" si="27"/>
        <v>9.6816964741509715</v>
      </c>
      <c r="BS26" s="48">
        <f t="shared" si="28"/>
        <v>3.2159329582975307</v>
      </c>
      <c r="BT26" s="48">
        <f t="shared" si="29"/>
        <v>31.346638943715234</v>
      </c>
      <c r="BU26" s="48">
        <f t="shared" si="30"/>
        <v>65.437428097987237</v>
      </c>
    </row>
    <row r="27" spans="1:73" x14ac:dyDescent="0.2">
      <c r="A27" s="7">
        <v>49</v>
      </c>
      <c r="B27" s="7" t="s">
        <v>82</v>
      </c>
      <c r="C27" s="7">
        <v>320550</v>
      </c>
      <c r="D27" s="77">
        <v>5.9</v>
      </c>
      <c r="E27" s="77">
        <v>4.1799999999999997E-2</v>
      </c>
      <c r="F27" s="48">
        <v>10.073</v>
      </c>
      <c r="G27" s="48">
        <v>0.45300000000000001</v>
      </c>
      <c r="H27" s="48">
        <f t="shared" si="0"/>
        <v>10.526</v>
      </c>
      <c r="I27" s="48">
        <v>9.8529999999999998</v>
      </c>
      <c r="J27" s="48">
        <f t="shared" si="31"/>
        <v>0.67300000000000004</v>
      </c>
      <c r="K27" s="48">
        <f t="shared" si="32"/>
        <v>66.812270425891001</v>
      </c>
      <c r="L27" s="48">
        <f t="shared" si="1"/>
        <v>7.1595744680851059E-2</v>
      </c>
      <c r="M27" s="58">
        <f t="shared" si="2"/>
        <v>0.933187729574109</v>
      </c>
      <c r="N27" s="48"/>
      <c r="O27" s="48">
        <v>0.79600000000000004</v>
      </c>
      <c r="P27" s="48"/>
      <c r="Q27" s="48">
        <f t="shared" si="36"/>
        <v>15.920000000000002</v>
      </c>
      <c r="R27" s="46">
        <f t="shared" si="3"/>
        <v>22.22895060571544</v>
      </c>
      <c r="S27" s="46">
        <f t="shared" si="4"/>
        <v>4446.9015686733737</v>
      </c>
      <c r="T27" s="48">
        <v>0.40899999999999997</v>
      </c>
      <c r="U27" s="48">
        <f t="shared" si="33"/>
        <v>8.18</v>
      </c>
      <c r="V27" s="46">
        <f t="shared" si="5"/>
        <v>2.4048431252371367</v>
      </c>
      <c r="W27" s="46">
        <f t="shared" si="6"/>
        <v>292.18843971631213</v>
      </c>
      <c r="X27" s="48">
        <v>4.1109999999999998</v>
      </c>
      <c r="Y27" s="48"/>
      <c r="Z27" s="48"/>
      <c r="AA27" s="48">
        <f t="shared" si="39"/>
        <v>32.887999999999998</v>
      </c>
      <c r="AB27" s="46">
        <f t="shared" si="8"/>
        <v>70.485281702127651</v>
      </c>
      <c r="AC27">
        <v>8.5999999999999993E-2</v>
      </c>
      <c r="AD27" s="48">
        <v>5.6000000000000001E-2</v>
      </c>
      <c r="AE27" s="48"/>
      <c r="AF27" s="48">
        <f>AC27*2</f>
        <v>0.17199999999999999</v>
      </c>
      <c r="AG27" s="46">
        <f t="shared" si="9"/>
        <v>0.3686289361702127</v>
      </c>
      <c r="AH27">
        <v>0.18</v>
      </c>
      <c r="AI27">
        <f t="shared" si="10"/>
        <v>1.44</v>
      </c>
      <c r="AJ27" s="46">
        <f t="shared" si="11"/>
        <v>3.0861957446808503</v>
      </c>
      <c r="AK27">
        <v>5.42</v>
      </c>
      <c r="AN27" s="48"/>
      <c r="AO27" s="48">
        <f>AK27*8</f>
        <v>43.36</v>
      </c>
      <c r="AP27" s="46">
        <f t="shared" si="13"/>
        <v>92.928782978723405</v>
      </c>
      <c r="AQ27" s="48">
        <v>2.2863384384102226</v>
      </c>
      <c r="AR27" s="46">
        <f t="shared" si="14"/>
        <v>1.6370201864793221</v>
      </c>
      <c r="AS27" s="46">
        <f t="shared" si="15"/>
        <v>640.07489291341494</v>
      </c>
      <c r="AT27" s="48">
        <v>9.1666120815138274</v>
      </c>
      <c r="AU27" s="46">
        <f t="shared" si="16"/>
        <v>11.167323650436666</v>
      </c>
      <c r="AV27" s="46">
        <f t="shared" si="17"/>
        <v>2566.2509748703455</v>
      </c>
      <c r="AW27" s="48">
        <v>0.46504433903897713</v>
      </c>
      <c r="AX27" s="48">
        <f t="shared" si="18"/>
        <v>24.008484204387045</v>
      </c>
      <c r="AY27" s="48">
        <f t="shared" si="19"/>
        <v>25.727389509658586</v>
      </c>
      <c r="AZ27">
        <v>0.50900000000000001</v>
      </c>
      <c r="BB27">
        <v>1.93</v>
      </c>
      <c r="BC27" s="48">
        <f t="shared" si="40"/>
        <v>4.200065836224554</v>
      </c>
      <c r="BD27" s="48">
        <f t="shared" si="20"/>
        <v>7.2241132383062325</v>
      </c>
      <c r="BE27" s="48">
        <v>10</v>
      </c>
      <c r="BF27" s="48">
        <v>43.8611</v>
      </c>
      <c r="BG27" s="48">
        <v>43.932099999999998</v>
      </c>
      <c r="BH27" s="48">
        <f t="shared" si="21"/>
        <v>7.0999999999997954E-2</v>
      </c>
      <c r="BI27" s="48">
        <v>44.0563</v>
      </c>
      <c r="BJ27" s="48">
        <v>44.071599999999997</v>
      </c>
      <c r="BK27" s="48">
        <f t="shared" si="22"/>
        <v>1.5299999999996317E-2</v>
      </c>
      <c r="BL27" s="48">
        <v>140.41</v>
      </c>
      <c r="BM27" s="48">
        <v>146.99</v>
      </c>
      <c r="BN27" s="48">
        <f t="shared" si="23"/>
        <v>6.5800000000000125</v>
      </c>
      <c r="BO27" s="48">
        <f t="shared" si="24"/>
        <v>0.32651522340405792</v>
      </c>
      <c r="BP27" s="48">
        <f t="shared" si="25"/>
        <v>2.984394148936258</v>
      </c>
      <c r="BQ27" s="48">
        <f t="shared" si="26"/>
        <v>7.0511000000000132</v>
      </c>
      <c r="BR27" s="48">
        <f t="shared" si="27"/>
        <v>10.36200937234033</v>
      </c>
      <c r="BS27" s="48">
        <f t="shared" si="28"/>
        <v>3.1510801782870059</v>
      </c>
      <c r="BT27" s="48">
        <f t="shared" si="29"/>
        <v>28.801307176025187</v>
      </c>
      <c r="BU27" s="48">
        <f t="shared" si="30"/>
        <v>68.047612645687806</v>
      </c>
    </row>
    <row r="28" spans="1:73" x14ac:dyDescent="0.2">
      <c r="A28" s="7">
        <v>51</v>
      </c>
      <c r="B28" s="7" t="s">
        <v>82</v>
      </c>
      <c r="C28" s="7">
        <v>320575</v>
      </c>
      <c r="D28" s="8">
        <v>5.09</v>
      </c>
      <c r="E28" s="8">
        <v>6.1799999999999994E-2</v>
      </c>
      <c r="F28" s="48">
        <v>9.8119999999999994</v>
      </c>
      <c r="G28" s="48">
        <v>0.47699999999999998</v>
      </c>
      <c r="H28" s="48">
        <f t="shared" si="0"/>
        <v>10.289</v>
      </c>
      <c r="I28" s="48">
        <v>9.5749999999999993</v>
      </c>
      <c r="J28" s="48">
        <f t="shared" si="31"/>
        <v>0.71400000000000041</v>
      </c>
      <c r="K28" s="48">
        <f t="shared" si="32"/>
        <v>72.768039135752176</v>
      </c>
      <c r="L28" s="48">
        <f t="shared" si="1"/>
        <v>7.8478786546493789E-2</v>
      </c>
      <c r="M28" s="58">
        <f t="shared" si="2"/>
        <v>0.92723196086424786</v>
      </c>
      <c r="N28" s="48"/>
      <c r="O28" s="48">
        <v>0.88100000000000001</v>
      </c>
      <c r="P28" s="48"/>
      <c r="Q28" s="48">
        <f t="shared" si="36"/>
        <v>17.62</v>
      </c>
      <c r="R28" s="46">
        <f t="shared" si="3"/>
        <v>24.445626658994584</v>
      </c>
      <c r="S28" s="46">
        <f t="shared" si="4"/>
        <v>4890.3476131318657</v>
      </c>
      <c r="T28" s="48">
        <v>0.36299999999999999</v>
      </c>
      <c r="U28" s="48">
        <f t="shared" si="33"/>
        <v>7.26</v>
      </c>
      <c r="V28" s="46">
        <f t="shared" si="5"/>
        <v>2.1480812044794355</v>
      </c>
      <c r="W28" s="46">
        <f t="shared" si="6"/>
        <v>260.99186634425143</v>
      </c>
      <c r="X28" s="48">
        <v>5.665</v>
      </c>
      <c r="Y28" s="48">
        <v>3.3279999999999998</v>
      </c>
      <c r="Z28" s="48"/>
      <c r="AA28" s="48">
        <f>Y28*16</f>
        <v>53.247999999999998</v>
      </c>
      <c r="AB28" s="46">
        <f t="shared" si="8"/>
        <v>114.8536768520554</v>
      </c>
      <c r="AC28">
        <v>0.217</v>
      </c>
      <c r="AD28" s="48">
        <v>7.0000000000000007E-2</v>
      </c>
      <c r="AE28" s="48"/>
      <c r="AF28" s="48">
        <f>AC28*2</f>
        <v>0.434</v>
      </c>
      <c r="AG28" s="46">
        <f t="shared" si="9"/>
        <v>0.93611958672235662</v>
      </c>
      <c r="AH28">
        <v>0.24</v>
      </c>
      <c r="AI28">
        <f t="shared" si="10"/>
        <v>1.92</v>
      </c>
      <c r="AJ28" s="46">
        <f t="shared" si="11"/>
        <v>4.141358540338536</v>
      </c>
      <c r="AK28">
        <v>9.56</v>
      </c>
      <c r="AL28">
        <v>4.6100000000000003</v>
      </c>
      <c r="AN28" s="48"/>
      <c r="AO28" s="48">
        <f>AL28*16</f>
        <v>73.760000000000005</v>
      </c>
      <c r="AP28" s="46">
        <f t="shared" si="13"/>
        <v>159.09719059133877</v>
      </c>
      <c r="AQ28" s="48">
        <v>3.6957154937517616</v>
      </c>
      <c r="AR28" s="46">
        <f t="shared" si="14"/>
        <v>2.6292472051671316</v>
      </c>
      <c r="AS28" s="46">
        <f t="shared" si="15"/>
        <v>1028.0356572203484</v>
      </c>
      <c r="AT28" s="48">
        <v>20.265593158660842</v>
      </c>
      <c r="AU28" s="46">
        <f t="shared" si="16"/>
        <v>24.531208462901017</v>
      </c>
      <c r="AV28" s="46">
        <f t="shared" si="17"/>
        <v>5637.2717047746537</v>
      </c>
      <c r="AW28" s="48">
        <v>0.62198391420911536</v>
      </c>
      <c r="AX28" s="48">
        <f t="shared" si="18"/>
        <v>32.110682199747828</v>
      </c>
      <c r="AY28" s="48">
        <f t="shared" si="19"/>
        <v>34.630689573964133</v>
      </c>
      <c r="AZ28">
        <v>0.52</v>
      </c>
      <c r="BB28">
        <v>1.88</v>
      </c>
      <c r="BC28" s="48">
        <f t="shared" si="40"/>
        <v>4.1376253445389519</v>
      </c>
      <c r="BD28" s="48">
        <f t="shared" si="20"/>
        <v>7.1167155926069974</v>
      </c>
      <c r="BE28" s="48">
        <v>10.039999999999999</v>
      </c>
      <c r="BF28" s="48">
        <v>32.902000000000001</v>
      </c>
      <c r="BG28" s="48">
        <v>32.968299999999999</v>
      </c>
      <c r="BH28" s="48">
        <f t="shared" si="21"/>
        <v>6.6299999999998249E-2</v>
      </c>
      <c r="BI28" s="48">
        <v>43.972000000000001</v>
      </c>
      <c r="BJ28" s="48">
        <v>43.989600000000003</v>
      </c>
      <c r="BK28" s="48">
        <f t="shared" si="22"/>
        <v>1.7600000000001614E-2</v>
      </c>
      <c r="BL28" s="48">
        <v>136.97</v>
      </c>
      <c r="BM28" s="48">
        <v>143.72</v>
      </c>
      <c r="BN28" s="48">
        <f t="shared" si="23"/>
        <v>6.75</v>
      </c>
      <c r="BO28" s="48">
        <f t="shared" si="24"/>
        <v>0.45263754671365042</v>
      </c>
      <c r="BP28" s="48">
        <f t="shared" si="25"/>
        <v>2.6260958452405307</v>
      </c>
      <c r="BQ28" s="48">
        <f t="shared" si="26"/>
        <v>7.2797318091888323</v>
      </c>
      <c r="BR28" s="48">
        <f t="shared" si="27"/>
        <v>10.358465201143014</v>
      </c>
      <c r="BS28" s="48">
        <f t="shared" si="28"/>
        <v>4.3697356502554427</v>
      </c>
      <c r="BT28" s="48">
        <f t="shared" si="29"/>
        <v>25.35217133278347</v>
      </c>
      <c r="BU28" s="48">
        <f t="shared" si="30"/>
        <v>70.27809301696108</v>
      </c>
    </row>
    <row r="29" spans="1:73" x14ac:dyDescent="0.2">
      <c r="A29" s="7">
        <v>45</v>
      </c>
      <c r="B29" s="7" t="s">
        <v>82</v>
      </c>
      <c r="C29" s="7">
        <v>320575</v>
      </c>
      <c r="D29" s="8">
        <v>4.83</v>
      </c>
      <c r="E29" s="8">
        <v>8.0099999999999991E-2</v>
      </c>
      <c r="F29" s="48">
        <v>9.2010000000000005</v>
      </c>
      <c r="G29" s="48">
        <v>0.38900000000000001</v>
      </c>
      <c r="H29" s="48">
        <f t="shared" si="0"/>
        <v>9.59</v>
      </c>
      <c r="I29" s="48">
        <v>8.9740000000000002</v>
      </c>
      <c r="J29" s="48">
        <f t="shared" si="31"/>
        <v>0.61599999999999966</v>
      </c>
      <c r="K29" s="48">
        <f t="shared" si="32"/>
        <v>66.949244647320896</v>
      </c>
      <c r="L29" s="48">
        <f t="shared" si="1"/>
        <v>7.1753057658707001E-2</v>
      </c>
      <c r="M29" s="58">
        <f t="shared" si="2"/>
        <v>0.93305075535267901</v>
      </c>
      <c r="N29" s="48"/>
      <c r="O29" s="48">
        <v>0.877</v>
      </c>
      <c r="P29" s="48"/>
      <c r="Q29" s="48">
        <f t="shared" si="36"/>
        <v>17.54</v>
      </c>
      <c r="R29" s="46">
        <f t="shared" si="3"/>
        <v>24.487347005814446</v>
      </c>
      <c r="S29" s="46">
        <f t="shared" si="4"/>
        <v>4898.6937685131797</v>
      </c>
      <c r="T29" s="48">
        <v>0.317</v>
      </c>
      <c r="U29" s="48">
        <f t="shared" si="33"/>
        <v>6.34</v>
      </c>
      <c r="V29" s="46">
        <f t="shared" si="5"/>
        <v>1.8641740426765987</v>
      </c>
      <c r="W29" s="46">
        <f t="shared" si="6"/>
        <v>226.49714618520676</v>
      </c>
      <c r="X29" s="48">
        <v>6.7190000000000003</v>
      </c>
      <c r="Y29" s="48">
        <v>3.8460000000000001</v>
      </c>
      <c r="Z29" s="48"/>
      <c r="AA29" s="48">
        <f>Y29*16</f>
        <v>61.536000000000001</v>
      </c>
      <c r="AB29" s="46">
        <f t="shared" si="8"/>
        <v>131.90279231217241</v>
      </c>
      <c r="AD29" s="48">
        <v>0.153</v>
      </c>
      <c r="AE29" s="48"/>
      <c r="AF29" s="48">
        <f>AD29*8</f>
        <v>1.224</v>
      </c>
      <c r="AG29" s="46">
        <f t="shared" si="9"/>
        <v>2.6236514851485153</v>
      </c>
      <c r="AH29">
        <v>0.19</v>
      </c>
      <c r="AI29">
        <f t="shared" si="10"/>
        <v>1.52</v>
      </c>
      <c r="AJ29" s="46">
        <f t="shared" si="11"/>
        <v>3.2581292952824694</v>
      </c>
      <c r="AK29">
        <v>9.3800000000000008</v>
      </c>
      <c r="AL29">
        <v>4.75</v>
      </c>
      <c r="AN29" s="48"/>
      <c r="AO29" s="48">
        <f>AL29*16</f>
        <v>76</v>
      </c>
      <c r="AP29" s="46">
        <f t="shared" si="13"/>
        <v>162.90646476412348</v>
      </c>
      <c r="AQ29" s="48">
        <v>4.4943624917786336</v>
      </c>
      <c r="AR29" s="46">
        <f t="shared" si="14"/>
        <v>3.2174948729791324</v>
      </c>
      <c r="AS29" s="46">
        <f t="shared" si="15"/>
        <v>1258.0404953348407</v>
      </c>
      <c r="AT29" s="48">
        <v>6.8012554585152829</v>
      </c>
      <c r="AU29" s="46">
        <f t="shared" si="16"/>
        <v>8.2844863484519777</v>
      </c>
      <c r="AV29" s="46">
        <f t="shared" si="17"/>
        <v>1903.7749628742645</v>
      </c>
      <c r="AW29" s="48">
        <v>1.0558878119199835</v>
      </c>
      <c r="AX29" s="48">
        <f t="shared" si="18"/>
        <v>54.511502938563936</v>
      </c>
      <c r="AY29" s="48">
        <f t="shared" si="19"/>
        <v>58.422869951977496</v>
      </c>
      <c r="AZ29">
        <v>0.52</v>
      </c>
      <c r="BB29">
        <v>2.91</v>
      </c>
      <c r="BC29" s="48">
        <f t="shared" si="40"/>
        <v>4.1118218269790781</v>
      </c>
      <c r="BD29" s="48">
        <f t="shared" si="20"/>
        <v>7.0723335424040146</v>
      </c>
      <c r="BE29" s="48">
        <v>10</v>
      </c>
      <c r="BF29" s="48">
        <v>33.5884</v>
      </c>
      <c r="BG29" s="48">
        <v>33.645099999999999</v>
      </c>
      <c r="BH29" s="48">
        <f t="shared" si="21"/>
        <v>5.6699999999999307E-2</v>
      </c>
      <c r="BI29" s="48">
        <v>32.379899999999999</v>
      </c>
      <c r="BJ29" s="48">
        <v>32.396799999999999</v>
      </c>
      <c r="BK29" s="48">
        <f t="shared" si="22"/>
        <v>1.6899999999999693E-2</v>
      </c>
      <c r="BL29" s="48">
        <v>147.49</v>
      </c>
      <c r="BM29" s="48">
        <v>154.69999999999999</v>
      </c>
      <c r="BN29" s="48">
        <f t="shared" si="23"/>
        <v>7.2099999999999795</v>
      </c>
      <c r="BO29" s="48">
        <f t="shared" si="24"/>
        <v>0.41230340128128812</v>
      </c>
      <c r="BP29" s="48">
        <f t="shared" si="25"/>
        <v>2.1327885847408066</v>
      </c>
      <c r="BQ29" s="48">
        <f t="shared" si="26"/>
        <v>7.7273395457192562</v>
      </c>
      <c r="BR29" s="48">
        <f t="shared" si="27"/>
        <v>10.272431531741351</v>
      </c>
      <c r="BS29" s="48">
        <f t="shared" si="28"/>
        <v>4.0136884826858097</v>
      </c>
      <c r="BT29" s="48">
        <f t="shared" si="29"/>
        <v>20.762256512984155</v>
      </c>
      <c r="BU29" s="48">
        <f t="shared" si="30"/>
        <v>75.22405500433004</v>
      </c>
    </row>
    <row r="30" spans="1:73" x14ac:dyDescent="0.2">
      <c r="A30" s="7">
        <v>46</v>
      </c>
      <c r="B30" s="7" t="s">
        <v>82</v>
      </c>
      <c r="C30" s="7">
        <v>320602</v>
      </c>
      <c r="D30" s="8">
        <v>4.9000000000000004</v>
      </c>
      <c r="E30" s="8">
        <v>2.7600000000000003E-2</v>
      </c>
      <c r="F30" s="48">
        <v>11.69</v>
      </c>
      <c r="G30" s="48">
        <v>0.5</v>
      </c>
      <c r="H30" s="48">
        <f t="shared" si="0"/>
        <v>12.19</v>
      </c>
      <c r="I30" s="48">
        <v>11.475</v>
      </c>
      <c r="J30" s="48">
        <f t="shared" si="31"/>
        <v>0.71499999999999986</v>
      </c>
      <c r="K30" s="48">
        <f t="shared" si="32"/>
        <v>61.163387510692893</v>
      </c>
      <c r="L30" s="48">
        <f t="shared" si="1"/>
        <v>6.514806378132118E-2</v>
      </c>
      <c r="M30" s="58">
        <f t="shared" si="2"/>
        <v>0.93883661248930717</v>
      </c>
      <c r="N30" s="48"/>
      <c r="O30" s="48">
        <v>0.28799999999999998</v>
      </c>
      <c r="P30" s="48"/>
      <c r="Q30" s="48">
        <f t="shared" si="36"/>
        <v>5.76</v>
      </c>
      <c r="R30" s="46">
        <f t="shared" si="3"/>
        <v>8.0913200318280438</v>
      </c>
      <c r="S30" s="46">
        <f t="shared" si="4"/>
        <v>1618.6685723672003</v>
      </c>
      <c r="T30" s="48">
        <v>0.17100000000000001</v>
      </c>
      <c r="U30" s="48">
        <f t="shared" si="33"/>
        <v>3.4200000000000004</v>
      </c>
      <c r="V30" s="46">
        <f t="shared" si="5"/>
        <v>0.99939818330099284</v>
      </c>
      <c r="W30" s="46">
        <f t="shared" si="6"/>
        <v>121.42687927107063</v>
      </c>
      <c r="X30" s="48">
        <v>1.371</v>
      </c>
      <c r="Y30" s="48"/>
      <c r="Z30" s="48"/>
      <c r="AA30" s="48">
        <f>X30*8</f>
        <v>10.968</v>
      </c>
      <c r="AB30" s="46">
        <f t="shared" si="8"/>
        <v>23.365087927107062</v>
      </c>
      <c r="AC30">
        <v>0.06</v>
      </c>
      <c r="AD30" s="48">
        <v>1.4E-2</v>
      </c>
      <c r="AE30" s="48"/>
      <c r="AF30" s="48">
        <f t="shared" ref="AF30:AF36" si="41">AC30*2</f>
        <v>0.12</v>
      </c>
      <c r="AG30" s="46">
        <f t="shared" si="9"/>
        <v>0.25563553530751704</v>
      </c>
      <c r="AH30">
        <v>0.16</v>
      </c>
      <c r="AI30">
        <f t="shared" si="10"/>
        <v>1.28</v>
      </c>
      <c r="AJ30" s="46">
        <f t="shared" si="11"/>
        <v>2.7267790432801822</v>
      </c>
      <c r="AK30">
        <v>5.05</v>
      </c>
      <c r="AN30" s="48"/>
      <c r="AO30" s="48">
        <f>AK30*8</f>
        <v>40.4</v>
      </c>
      <c r="AP30" s="46">
        <f t="shared" si="13"/>
        <v>86.063963553530755</v>
      </c>
      <c r="AQ30" s="48">
        <v>2.1923799680541198</v>
      </c>
      <c r="AR30" s="46">
        <f t="shared" si="14"/>
        <v>1.5792480172613905</v>
      </c>
      <c r="AS30" s="46">
        <f t="shared" si="15"/>
        <v>617.48597474920371</v>
      </c>
      <c r="AT30" s="48">
        <v>8.2568595342066953</v>
      </c>
      <c r="AU30" s="46">
        <f t="shared" si="16"/>
        <v>10.119898217878136</v>
      </c>
      <c r="AV30" s="46">
        <f t="shared" si="17"/>
        <v>2325.5526104683959</v>
      </c>
      <c r="AW30" s="48">
        <v>0.41575582594349353</v>
      </c>
      <c r="AX30" s="48">
        <f t="shared" si="18"/>
        <v>21.463904282059548</v>
      </c>
      <c r="AY30" s="48">
        <f t="shared" si="19"/>
        <v>22.862236087223334</v>
      </c>
      <c r="AZ30">
        <v>0.5</v>
      </c>
      <c r="BB30">
        <v>4.29</v>
      </c>
      <c r="BC30" s="48">
        <f t="shared" si="40"/>
        <v>4.2499407744874711</v>
      </c>
      <c r="BD30" s="48">
        <f t="shared" si="20"/>
        <v>7.30989813211845</v>
      </c>
      <c r="BE30" s="48">
        <v>10.07</v>
      </c>
      <c r="BF30" s="48">
        <v>31.903600000000001</v>
      </c>
      <c r="BG30" s="48">
        <v>31.942299999999999</v>
      </c>
      <c r="BH30" s="48">
        <f t="shared" si="21"/>
        <v>3.8699999999998624E-2</v>
      </c>
      <c r="BI30" s="48">
        <v>46.582900000000002</v>
      </c>
      <c r="BJ30" s="48">
        <v>46.5991</v>
      </c>
      <c r="BK30" s="48">
        <f t="shared" si="22"/>
        <v>1.6199999999997772E-2</v>
      </c>
      <c r="BL30" s="48">
        <v>147.44999999999999</v>
      </c>
      <c r="BM30" s="48">
        <v>155.4</v>
      </c>
      <c r="BN30" s="48">
        <f t="shared" si="23"/>
        <v>7.9500000000000171</v>
      </c>
      <c r="BO30" s="48">
        <f t="shared" si="24"/>
        <v>0.37248227790420929</v>
      </c>
      <c r="BP30" s="48">
        <f t="shared" si="25"/>
        <v>1.1982915717540317</v>
      </c>
      <c r="BQ30" s="48">
        <f t="shared" si="26"/>
        <v>8.4679271070615219</v>
      </c>
      <c r="BR30" s="48">
        <f t="shared" si="27"/>
        <v>10.038700956719763</v>
      </c>
      <c r="BS30" s="48">
        <f t="shared" si="28"/>
        <v>3.710462932505973</v>
      </c>
      <c r="BT30" s="48">
        <f t="shared" si="29"/>
        <v>11.936719471177318</v>
      </c>
      <c r="BU30" s="48">
        <f t="shared" si="30"/>
        <v>84.352817596316712</v>
      </c>
    </row>
    <row r="31" spans="1:73" x14ac:dyDescent="0.2">
      <c r="A31" s="7">
        <v>27</v>
      </c>
      <c r="B31" s="7" t="s">
        <v>82</v>
      </c>
      <c r="C31" s="7">
        <v>320602</v>
      </c>
      <c r="D31" s="8">
        <v>4.93</v>
      </c>
      <c r="E31" s="8">
        <v>3.27E-2</v>
      </c>
      <c r="F31" s="48">
        <v>10.651999999999999</v>
      </c>
      <c r="G31" s="48">
        <v>0.46200000000000002</v>
      </c>
      <c r="H31" s="48">
        <f t="shared" si="0"/>
        <v>11.113999999999999</v>
      </c>
      <c r="I31" s="48">
        <v>10.427</v>
      </c>
      <c r="J31" s="48">
        <f t="shared" si="31"/>
        <v>0.68699999999999939</v>
      </c>
      <c r="K31" s="48">
        <f t="shared" si="32"/>
        <v>64.494930529477983</v>
      </c>
      <c r="L31" s="48">
        <f t="shared" si="1"/>
        <v>6.8941294530857941E-2</v>
      </c>
      <c r="M31" s="58">
        <f t="shared" si="2"/>
        <v>0.93550506947052214</v>
      </c>
      <c r="N31" s="48"/>
      <c r="O31" s="48">
        <v>0.27300000000000002</v>
      </c>
      <c r="P31" s="48"/>
      <c r="Q31" s="48">
        <f t="shared" si="36"/>
        <v>5.4600000000000009</v>
      </c>
      <c r="R31" s="46">
        <f t="shared" si="3"/>
        <v>7.6426798194150392</v>
      </c>
      <c r="S31" s="46">
        <f t="shared" si="4"/>
        <v>1528.9180978739785</v>
      </c>
      <c r="T31" s="48">
        <v>0.13400000000000001</v>
      </c>
      <c r="U31" s="48">
        <f t="shared" si="33"/>
        <v>2.68</v>
      </c>
      <c r="V31" s="46">
        <f t="shared" si="5"/>
        <v>0.78594311916123416</v>
      </c>
      <c r="W31" s="46">
        <f t="shared" si="6"/>
        <v>95.492088978089953</v>
      </c>
      <c r="X31" s="48">
        <v>1.621</v>
      </c>
      <c r="Y31" s="48"/>
      <c r="Z31" s="48"/>
      <c r="AA31" s="48">
        <f>X31*8</f>
        <v>12.968</v>
      </c>
      <c r="AB31" s="46">
        <f t="shared" si="8"/>
        <v>27.724061414952327</v>
      </c>
      <c r="AC31">
        <v>0.108</v>
      </c>
      <c r="AD31" s="48">
        <v>3.2000000000000001E-2</v>
      </c>
      <c r="AE31" s="48"/>
      <c r="AF31" s="48">
        <f t="shared" si="41"/>
        <v>0.216</v>
      </c>
      <c r="AG31" s="46">
        <f t="shared" si="9"/>
        <v>0.46178263923733059</v>
      </c>
      <c r="AH31">
        <v>0.11</v>
      </c>
      <c r="AI31">
        <f t="shared" si="10"/>
        <v>0.88</v>
      </c>
      <c r="AJ31" s="46">
        <f t="shared" si="11"/>
        <v>1.8813366783743097</v>
      </c>
      <c r="AK31">
        <v>6.03</v>
      </c>
      <c r="AL31">
        <v>2.89</v>
      </c>
      <c r="AN31" s="48"/>
      <c r="AO31" s="48">
        <f>AL31*16</f>
        <v>46.24</v>
      </c>
      <c r="AP31" s="46">
        <f t="shared" si="13"/>
        <v>98.855690918213739</v>
      </c>
      <c r="AQ31" s="48">
        <v>2.3802969087663253</v>
      </c>
      <c r="AR31" s="46">
        <f t="shared" si="14"/>
        <v>1.708526719945711</v>
      </c>
      <c r="AS31" s="46">
        <f t="shared" si="15"/>
        <v>668.03394749877293</v>
      </c>
      <c r="AT31" s="48">
        <v>7.5290574963609895</v>
      </c>
      <c r="AU31" s="46">
        <f t="shared" si="16"/>
        <v>9.1951324493221183</v>
      </c>
      <c r="AV31" s="46">
        <f t="shared" si="17"/>
        <v>2113.0414368542229</v>
      </c>
      <c r="AW31" s="48">
        <v>0.36089915446483811</v>
      </c>
      <c r="AX31" s="48">
        <f t="shared" si="18"/>
        <v>18.63186135595447</v>
      </c>
      <c r="AY31" s="48">
        <f t="shared" si="19"/>
        <v>19.916365997353434</v>
      </c>
      <c r="AZ31">
        <v>0.50700000000000001</v>
      </c>
      <c r="BB31">
        <v>2.72</v>
      </c>
      <c r="BC31" s="48">
        <f t="shared" si="40"/>
        <v>4.2061891175326656</v>
      </c>
      <c r="BD31" s="48">
        <f t="shared" si="20"/>
        <v>7.2346452821561851</v>
      </c>
      <c r="BE31" s="48">
        <v>10.01</v>
      </c>
      <c r="BF31" s="48">
        <v>33.057699999999997</v>
      </c>
      <c r="BG31" s="48">
        <v>33.093800000000002</v>
      </c>
      <c r="BH31" s="48">
        <f t="shared" si="21"/>
        <v>3.6100000000004684E-2</v>
      </c>
      <c r="BI31" s="48">
        <v>32.232500000000002</v>
      </c>
      <c r="BJ31" s="48">
        <v>32.244799999999998</v>
      </c>
      <c r="BK31" s="48">
        <f t="shared" si="22"/>
        <v>1.2299999999996203E-2</v>
      </c>
      <c r="BL31" s="48">
        <v>165.74</v>
      </c>
      <c r="BM31" s="48">
        <v>173.29</v>
      </c>
      <c r="BN31" s="48">
        <f t="shared" si="23"/>
        <v>7.5499999999999829</v>
      </c>
      <c r="BO31" s="48">
        <f t="shared" si="24"/>
        <v>0.16536521826372072</v>
      </c>
      <c r="BP31" s="48">
        <f t="shared" si="25"/>
        <v>1.2720401404921742</v>
      </c>
      <c r="BQ31" s="48">
        <f t="shared" si="26"/>
        <v>8.0705067737079581</v>
      </c>
      <c r="BR31" s="48">
        <f t="shared" si="27"/>
        <v>9.5079121324638525</v>
      </c>
      <c r="BS31" s="48">
        <f t="shared" si="28"/>
        <v>1.7392379731728598</v>
      </c>
      <c r="BT31" s="48">
        <f t="shared" si="29"/>
        <v>13.378753639812418</v>
      </c>
      <c r="BU31" s="48">
        <f t="shared" si="30"/>
        <v>84.882008387014736</v>
      </c>
    </row>
    <row r="32" spans="1:73" x14ac:dyDescent="0.2">
      <c r="A32" s="7">
        <v>53</v>
      </c>
      <c r="B32" s="7" t="s">
        <v>79</v>
      </c>
      <c r="C32" s="7">
        <v>410143</v>
      </c>
      <c r="D32" s="77">
        <v>6.34</v>
      </c>
      <c r="E32" s="77">
        <v>2.8000000000000001E-2</v>
      </c>
      <c r="F32" s="48">
        <v>9.2759999999999998</v>
      </c>
      <c r="G32" s="48">
        <v>0.41300000000000026</v>
      </c>
      <c r="H32" s="48">
        <f t="shared" si="0"/>
        <v>9.6890000000000001</v>
      </c>
      <c r="I32" s="48">
        <v>9.48</v>
      </c>
      <c r="J32" s="48">
        <f t="shared" si="31"/>
        <v>0.20899999999999963</v>
      </c>
      <c r="K32" s="48">
        <f t="shared" si="32"/>
        <v>22.53126347563601</v>
      </c>
      <c r="L32" s="48">
        <f t="shared" si="1"/>
        <v>2.3050623138855149E-2</v>
      </c>
      <c r="M32" s="58">
        <f t="shared" si="2"/>
        <v>0.97746873652436395</v>
      </c>
      <c r="N32" s="48"/>
      <c r="O32" s="48">
        <v>0.876</v>
      </c>
      <c r="P32" s="48"/>
      <c r="Q32" s="48">
        <f t="shared" si="36"/>
        <v>17.52</v>
      </c>
      <c r="R32" s="46">
        <f t="shared" si="3"/>
        <v>25.623818848738441</v>
      </c>
      <c r="S32" s="46">
        <f t="shared" si="4"/>
        <v>5126.0449606901248</v>
      </c>
      <c r="T32" s="48">
        <v>0.26800000000000002</v>
      </c>
      <c r="U32" s="48">
        <f t="shared" si="33"/>
        <v>5.36</v>
      </c>
      <c r="V32" s="46">
        <f t="shared" si="5"/>
        <v>1.5044036598146129</v>
      </c>
      <c r="W32" s="46">
        <f t="shared" si="6"/>
        <v>182.78504466747546</v>
      </c>
      <c r="X32" s="48">
        <v>1.3380000000000001</v>
      </c>
      <c r="Y32" s="48"/>
      <c r="Z32" s="48"/>
      <c r="AA32" s="48">
        <f>X32*8</f>
        <v>10.704000000000001</v>
      </c>
      <c r="AB32" s="46">
        <f t="shared" si="8"/>
        <v>21.901467740156612</v>
      </c>
      <c r="AC32">
        <v>1.2999999999999999E-2</v>
      </c>
      <c r="AD32" s="48">
        <v>6.0000000000000001E-3</v>
      </c>
      <c r="AE32" s="48"/>
      <c r="AF32" s="48">
        <f t="shared" si="41"/>
        <v>2.5999999999999999E-2</v>
      </c>
      <c r="AG32" s="46">
        <f t="shared" si="9"/>
        <v>5.3198632403220467E-2</v>
      </c>
      <c r="AH32">
        <v>0.18</v>
      </c>
      <c r="AI32">
        <f t="shared" si="10"/>
        <v>1.44</v>
      </c>
      <c r="AJ32" s="46">
        <f t="shared" si="11"/>
        <v>2.9463857946399026</v>
      </c>
      <c r="AK32">
        <v>1.71</v>
      </c>
      <c r="AN32" s="48"/>
      <c r="AO32" s="48">
        <f t="shared" ref="AO32:AO40" si="42">AK32*8</f>
        <v>13.68</v>
      </c>
      <c r="AP32" s="46">
        <f t="shared" si="13"/>
        <v>27.99066504907908</v>
      </c>
      <c r="AQ32" s="48">
        <v>4.9171756083810951</v>
      </c>
      <c r="AR32" s="46">
        <f t="shared" si="14"/>
        <v>3.6877637564138288</v>
      </c>
      <c r="AS32" s="46">
        <f t="shared" si="15"/>
        <v>1441.9156287578071</v>
      </c>
      <c r="AT32" s="48">
        <v>12.07782023289665</v>
      </c>
      <c r="AU32" s="46">
        <f t="shared" si="16"/>
        <v>15.412130134488104</v>
      </c>
      <c r="AV32" s="46">
        <f t="shared" si="17"/>
        <v>3541.7075049053665</v>
      </c>
      <c r="AW32" s="48">
        <v>0.20558159352364722</v>
      </c>
      <c r="AX32" s="48">
        <f t="shared" si="18"/>
        <v>10.613401833951844</v>
      </c>
      <c r="AY32" s="48">
        <f t="shared" si="19"/>
        <v>10.858047359847502</v>
      </c>
      <c r="AZ32">
        <v>0.51100000000000001</v>
      </c>
      <c r="BB32">
        <v>5.35</v>
      </c>
      <c r="BC32" s="48">
        <f t="shared" si="40"/>
        <v>3.9941017478708734</v>
      </c>
      <c r="BD32" s="48">
        <f t="shared" si="20"/>
        <v>6.869855006337902</v>
      </c>
      <c r="BE32" s="48">
        <v>10.02</v>
      </c>
      <c r="BF32" s="48">
        <v>33.348700000000001</v>
      </c>
      <c r="BG32" s="48">
        <v>33.415300000000002</v>
      </c>
      <c r="BH32" s="48">
        <f t="shared" si="21"/>
        <v>6.6600000000001103E-2</v>
      </c>
      <c r="BI32" s="48">
        <v>43.702100000000002</v>
      </c>
      <c r="BJ32" s="48">
        <v>43.718499999999999</v>
      </c>
      <c r="BK32" s="48">
        <f t="shared" si="22"/>
        <v>1.6399999999997306E-2</v>
      </c>
      <c r="BL32" s="48">
        <v>142.25</v>
      </c>
      <c r="BM32" s="48">
        <v>148.85</v>
      </c>
      <c r="BN32" s="48">
        <f t="shared" si="23"/>
        <v>6.5999999999999943</v>
      </c>
      <c r="BO32" s="48">
        <f t="shared" si="24"/>
        <v>0.36799130914290834</v>
      </c>
      <c r="BP32" s="48">
        <f t="shared" si="25"/>
        <v>2.5678570640787206</v>
      </c>
      <c r="BQ32" s="48">
        <f t="shared" si="26"/>
        <v>6.7521341127164387</v>
      </c>
      <c r="BR32" s="48">
        <f t="shared" si="27"/>
        <v>9.6879824859380683</v>
      </c>
      <c r="BS32" s="48">
        <f t="shared" si="28"/>
        <v>3.7984307845007059</v>
      </c>
      <c r="BT32" s="48">
        <f t="shared" si="29"/>
        <v>26.505591518212579</v>
      </c>
      <c r="BU32" s="48">
        <f t="shared" si="30"/>
        <v>69.695977697286722</v>
      </c>
    </row>
    <row r="33" spans="1:73" x14ac:dyDescent="0.2">
      <c r="A33" s="7">
        <v>42</v>
      </c>
      <c r="B33" s="7" t="s">
        <v>79</v>
      </c>
      <c r="C33" s="7">
        <v>410143</v>
      </c>
      <c r="D33" s="8">
        <v>5.48</v>
      </c>
      <c r="E33" s="8">
        <v>3.5000000000000003E-2</v>
      </c>
      <c r="F33" s="48">
        <v>9.9269999999999996</v>
      </c>
      <c r="G33" s="48">
        <v>0.47000000000000064</v>
      </c>
      <c r="H33" s="48">
        <f t="shared" si="0"/>
        <v>10.397</v>
      </c>
      <c r="I33" s="48">
        <v>10.201000000000001</v>
      </c>
      <c r="J33" s="48">
        <f t="shared" si="31"/>
        <v>0.19599999999999973</v>
      </c>
      <c r="K33" s="48">
        <f t="shared" si="32"/>
        <v>19.744132164803037</v>
      </c>
      <c r="L33" s="48">
        <f t="shared" si="1"/>
        <v>2.0141814818620873E-2</v>
      </c>
      <c r="M33" s="58">
        <f t="shared" si="2"/>
        <v>0.98025586783519703</v>
      </c>
      <c r="N33" s="48"/>
      <c r="O33" s="48">
        <v>0.73299999999999998</v>
      </c>
      <c r="P33" s="48"/>
      <c r="Q33" s="48">
        <f t="shared" si="36"/>
        <v>14.66</v>
      </c>
      <c r="R33" s="46">
        <f t="shared" si="3"/>
        <v>21.502071355307713</v>
      </c>
      <c r="S33" s="46">
        <f t="shared" si="4"/>
        <v>4301.4893746293083</v>
      </c>
      <c r="T33" s="48">
        <v>0.26800000000000002</v>
      </c>
      <c r="U33" s="48">
        <f t="shared" si="33"/>
        <v>5.36</v>
      </c>
      <c r="V33" s="46">
        <f t="shared" si="5"/>
        <v>1.5001262352339664</v>
      </c>
      <c r="W33" s="46">
        <f t="shared" si="6"/>
        <v>182.26533758092694</v>
      </c>
      <c r="X33" s="48">
        <v>1.899</v>
      </c>
      <c r="Y33" s="48"/>
      <c r="Z33" s="48"/>
      <c r="AA33" s="48">
        <f>X33*8</f>
        <v>15.192</v>
      </c>
      <c r="AB33" s="46">
        <f t="shared" si="8"/>
        <v>30.995988901448982</v>
      </c>
      <c r="AC33">
        <v>1.9E-2</v>
      </c>
      <c r="AD33" s="48">
        <v>1.2E-2</v>
      </c>
      <c r="AE33" s="48"/>
      <c r="AF33" s="48">
        <f t="shared" si="41"/>
        <v>3.7999999999999999E-2</v>
      </c>
      <c r="AG33" s="46">
        <f t="shared" si="9"/>
        <v>7.7530777926215183E-2</v>
      </c>
      <c r="AH33">
        <v>0.16</v>
      </c>
      <c r="AI33">
        <f t="shared" si="10"/>
        <v>1.28</v>
      </c>
      <c r="AJ33" s="46">
        <f t="shared" si="11"/>
        <v>2.6115630459356698</v>
      </c>
      <c r="AK33">
        <v>2.1</v>
      </c>
      <c r="AN33" s="48"/>
      <c r="AO33" s="48">
        <f t="shared" si="42"/>
        <v>16.8</v>
      </c>
      <c r="AP33" s="46">
        <f t="shared" si="13"/>
        <v>34.276764977905664</v>
      </c>
      <c r="AQ33" s="48">
        <v>5.7158226064079676</v>
      </c>
      <c r="AR33" s="46">
        <f t="shared" si="14"/>
        <v>4.2989529279563783</v>
      </c>
      <c r="AS33" s="46">
        <f t="shared" si="15"/>
        <v>1680.8905948309439</v>
      </c>
      <c r="AT33" s="48">
        <v>12.07782023289665</v>
      </c>
      <c r="AU33" s="46">
        <f t="shared" si="16"/>
        <v>15.456075919002098</v>
      </c>
      <c r="AV33" s="46">
        <f t="shared" si="17"/>
        <v>3551.8062461866821</v>
      </c>
      <c r="AW33" s="48">
        <v>0.14539080222726333</v>
      </c>
      <c r="AX33" s="48">
        <f t="shared" si="18"/>
        <v>7.5059784319702283</v>
      </c>
      <c r="AY33" s="48">
        <f t="shared" si="19"/>
        <v>7.657162459579534</v>
      </c>
      <c r="AZ33">
        <v>0.51300000000000001</v>
      </c>
      <c r="BB33">
        <v>6.52</v>
      </c>
      <c r="BC33" s="48">
        <f t="shared" si="40"/>
        <v>3.9672181687390813</v>
      </c>
      <c r="BD33" s="48">
        <f t="shared" si="20"/>
        <v>6.82361525023122</v>
      </c>
      <c r="BE33" s="48">
        <v>10.029999999999999</v>
      </c>
      <c r="BF33" s="48">
        <v>44.373600000000003</v>
      </c>
      <c r="BG33" s="48">
        <v>44.4512</v>
      </c>
      <c r="BH33" s="48">
        <f t="shared" si="21"/>
        <v>7.7599999999996783E-2</v>
      </c>
      <c r="BI33" s="48">
        <v>31.995799999999999</v>
      </c>
      <c r="BJ33" s="48">
        <v>32.012700000000002</v>
      </c>
      <c r="BK33" s="48">
        <f t="shared" si="22"/>
        <v>1.6900000000003246E-2</v>
      </c>
      <c r="BL33" s="48">
        <v>147.44</v>
      </c>
      <c r="BM33" s="48">
        <v>154.11000000000001</v>
      </c>
      <c r="BN33" s="48">
        <f t="shared" si="23"/>
        <v>6.6700000000000159</v>
      </c>
      <c r="BO33" s="48">
        <f t="shared" si="24"/>
        <v>0.39244855616088892</v>
      </c>
      <c r="BP33" s="48">
        <f t="shared" si="25"/>
        <v>3.0961304079741847</v>
      </c>
      <c r="BQ33" s="48">
        <f t="shared" si="26"/>
        <v>6.8043459048402166</v>
      </c>
      <c r="BR33" s="48">
        <f t="shared" si="27"/>
        <v>10.292924868975291</v>
      </c>
      <c r="BS33" s="48">
        <f t="shared" si="28"/>
        <v>3.8127991912561101</v>
      </c>
      <c r="BT33" s="48">
        <f t="shared" si="29"/>
        <v>30.080180778414821</v>
      </c>
      <c r="BU33" s="48">
        <f t="shared" si="30"/>
        <v>66.107020030329053</v>
      </c>
    </row>
    <row r="34" spans="1:73" x14ac:dyDescent="0.2">
      <c r="A34" s="7">
        <v>17</v>
      </c>
      <c r="B34" s="7" t="s">
        <v>79</v>
      </c>
      <c r="C34" s="7">
        <v>410162</v>
      </c>
      <c r="D34" s="8">
        <v>6.75</v>
      </c>
      <c r="E34" s="8">
        <v>7.7200000000000005E-2</v>
      </c>
      <c r="F34" s="48">
        <v>11.417</v>
      </c>
      <c r="G34" s="48">
        <v>0.499</v>
      </c>
      <c r="H34" s="48">
        <f t="shared" ref="H34:H59" si="43">G34+F34</f>
        <v>11.916</v>
      </c>
      <c r="I34" s="48">
        <v>11.14</v>
      </c>
      <c r="J34" s="48">
        <f t="shared" ref="J34:J65" si="44">H34-I34</f>
        <v>0.7759999999999998</v>
      </c>
      <c r="K34" s="48">
        <f t="shared" si="32"/>
        <v>67.968818428658992</v>
      </c>
      <c r="L34" s="48">
        <f t="shared" ref="L34:L65" si="45">(H34-I34)/(I34-G34)</f>
        <v>7.2925476928860047E-2</v>
      </c>
      <c r="M34" s="58">
        <f t="shared" ref="M34:M65" si="46">1/(1+L34)</f>
        <v>0.93203118157134102</v>
      </c>
      <c r="N34" s="48"/>
      <c r="O34" s="48">
        <v>2.113</v>
      </c>
      <c r="P34" s="48"/>
      <c r="Q34" s="48">
        <f t="shared" si="36"/>
        <v>42.26</v>
      </c>
      <c r="R34" s="46">
        <f t="shared" ref="R34:R65" si="47">Q34*100*0.1/20.05*3*M34</f>
        <v>58.934121296565891</v>
      </c>
      <c r="S34" s="46">
        <f t="shared" ref="S34:S65" si="48">R34*(40.01/2)*10</f>
        <v>11789.770965378008</v>
      </c>
      <c r="T34" s="48">
        <v>0.504</v>
      </c>
      <c r="U34" s="48">
        <f t="shared" si="33"/>
        <v>10.08</v>
      </c>
      <c r="V34" s="46">
        <f t="shared" ref="V34:V65" si="49">U34*0.1*100/(12.15*3*M34)</f>
        <v>2.9671025534822797</v>
      </c>
      <c r="W34" s="46">
        <f t="shared" ref="W34:W65" si="50">V34*(24.3/2)*10</f>
        <v>360.502960248097</v>
      </c>
      <c r="X34" s="48">
        <v>4.2889999999999997</v>
      </c>
      <c r="Y34" s="48"/>
      <c r="Z34" s="48"/>
      <c r="AA34" s="48">
        <f>X34*8</f>
        <v>34.311999999999998</v>
      </c>
      <c r="AB34" s="46">
        <f t="shared" ref="AB34:AB65" si="51">(AA34*20)/(10*M34)</f>
        <v>73.62843792876609</v>
      </c>
      <c r="AC34">
        <v>8.6999999999999994E-2</v>
      </c>
      <c r="AD34" s="48">
        <v>0.02</v>
      </c>
      <c r="AE34" s="48"/>
      <c r="AF34" s="48">
        <f t="shared" si="41"/>
        <v>0.17399999999999999</v>
      </c>
      <c r="AG34" s="46">
        <f t="shared" ref="AG34:AG65" si="52">(AF34*20)/(10*M34)</f>
        <v>0.37337806597124323</v>
      </c>
      <c r="AH34">
        <v>0.4</v>
      </c>
      <c r="AI34">
        <f t="shared" ref="AI34:AI65" si="53">AH34*8</f>
        <v>3.2</v>
      </c>
      <c r="AJ34" s="46">
        <f t="shared" ref="AJ34:AJ65" si="54">(AI34*20)/(10*M34)</f>
        <v>6.866723052344704</v>
      </c>
      <c r="AK34">
        <v>1.27</v>
      </c>
      <c r="AN34" s="48"/>
      <c r="AO34" s="48">
        <f t="shared" si="42"/>
        <v>10.16</v>
      </c>
      <c r="AP34" s="46">
        <f t="shared" ref="AP34:AP59" si="55">(AO34*20)/(10*M34)</f>
        <v>21.801845691194433</v>
      </c>
      <c r="AQ34" s="48">
        <v>3.0380062012590434</v>
      </c>
      <c r="AR34" s="46">
        <f t="shared" ref="AR34:AR65" si="56">AQ34*100*0.1/39.1*3*M34</f>
        <v>2.1725190609057754</v>
      </c>
      <c r="AS34" s="46">
        <f t="shared" ref="AS34:AS65" si="57">AR34*39.1*10</f>
        <v>849.4549528141581</v>
      </c>
      <c r="AT34" s="48">
        <v>6.5283296943231433</v>
      </c>
      <c r="AU34" s="46">
        <f t="shared" ref="AU34:AU65" si="58">AT34*100*0.1/22.98*3*M34</f>
        <v>7.9433509643436961</v>
      </c>
      <c r="AV34" s="46">
        <f t="shared" ref="AV34:AV65" si="59">AU34*22.98*10</f>
        <v>1825.3820516061814</v>
      </c>
      <c r="AW34" s="48">
        <v>6.2899566921014644E-2</v>
      </c>
      <c r="AX34" s="48">
        <f t="shared" ref="AX34:AX65" si="60">(AW34/0.3874)*(30/1.5)</f>
        <v>3.2472672648949219</v>
      </c>
      <c r="AY34" s="48">
        <f t="shared" ref="AY34:AY65" si="61">AX34/M34</f>
        <v>3.4840757789028589</v>
      </c>
      <c r="AZ34">
        <v>0.51400000000000001</v>
      </c>
      <c r="BB34">
        <v>6.74</v>
      </c>
      <c r="BC34" s="48">
        <f t="shared" si="40"/>
        <v>4.1643702849670738</v>
      </c>
      <c r="BD34" s="48">
        <f t="shared" ref="BD34:BD59" si="62">BC34*1.72</f>
        <v>7.1627168901433667</v>
      </c>
      <c r="BE34" s="48">
        <v>10.06</v>
      </c>
      <c r="BF34" s="48">
        <v>39.716000000000001</v>
      </c>
      <c r="BG34" s="48">
        <v>39.780999999999999</v>
      </c>
      <c r="BH34" s="48">
        <f t="shared" ref="BH34:BH59" si="63">BG34-BF34</f>
        <v>6.4999999999997726E-2</v>
      </c>
      <c r="BI34" s="48">
        <v>43.347999999999999</v>
      </c>
      <c r="BJ34" s="48">
        <v>43.369300000000003</v>
      </c>
      <c r="BK34" s="48">
        <f t="shared" ref="BK34:BK59" si="64">BJ34-BI34</f>
        <v>2.1300000000003649E-2</v>
      </c>
      <c r="BL34" s="48">
        <v>147.52000000000001</v>
      </c>
      <c r="BM34" s="48">
        <v>154.16</v>
      </c>
      <c r="BN34" s="48">
        <f t="shared" ref="BN34:BN59" si="65">BM34-BL34</f>
        <v>6.6399999999999864</v>
      </c>
      <c r="BO34" s="48">
        <f t="shared" ref="BO34:BO59" si="66">(BK34-0.009206)*50/M34</f>
        <v>0.64879803589907736</v>
      </c>
      <c r="BP34" s="48">
        <f t="shared" ref="BP34:BP59" si="67">(BH34-BK34)*50/M34</f>
        <v>2.3443421670892413</v>
      </c>
      <c r="BQ34" s="48">
        <f t="shared" ref="BQ34:BQ59" si="68">BN34/M34</f>
        <v>7.1242251668076158</v>
      </c>
      <c r="BR34" s="48">
        <f t="shared" ref="BR34:BR59" si="69">SUM(BO34:BQ34)</f>
        <v>10.117365369795934</v>
      </c>
      <c r="BS34" s="48">
        <f t="shared" ref="BS34:BS59" si="70">BO34/BR34*100</f>
        <v>6.4127172656626472</v>
      </c>
      <c r="BT34" s="48">
        <f t="shared" ref="BT34:BT59" si="71">BP34/BR34*100</f>
        <v>23.171468869632474</v>
      </c>
      <c r="BU34" s="48">
        <f t="shared" ref="BU34:BU59" si="72">BQ34/BR34*100</f>
        <v>70.415813864704873</v>
      </c>
    </row>
    <row r="35" spans="1:73" x14ac:dyDescent="0.2">
      <c r="A35" s="7">
        <v>26</v>
      </c>
      <c r="B35" s="7" t="s">
        <v>79</v>
      </c>
      <c r="C35" s="7">
        <v>410162</v>
      </c>
      <c r="D35" s="8">
        <v>6.44</v>
      </c>
      <c r="E35" s="8">
        <v>8.3500000000000005E-2</v>
      </c>
      <c r="F35" s="48">
        <v>9.9809999999999999</v>
      </c>
      <c r="G35" s="48">
        <v>0.44599999999999973</v>
      </c>
      <c r="H35" s="48">
        <f t="shared" si="43"/>
        <v>10.427</v>
      </c>
      <c r="I35" s="48">
        <v>10.17</v>
      </c>
      <c r="J35" s="48">
        <f t="shared" si="44"/>
        <v>0.25699999999999967</v>
      </c>
      <c r="K35" s="48">
        <f t="shared" si="32"/>
        <v>25.748922953611828</v>
      </c>
      <c r="L35" s="48">
        <f t="shared" si="45"/>
        <v>2.64294529000411E-2</v>
      </c>
      <c r="M35" s="58">
        <f t="shared" si="46"/>
        <v>0.97425107704638825</v>
      </c>
      <c r="N35" s="48"/>
      <c r="O35" s="48">
        <v>2.5059999999999998</v>
      </c>
      <c r="P35" s="48"/>
      <c r="Q35" s="48">
        <f t="shared" si="36"/>
        <v>50.12</v>
      </c>
      <c r="R35" s="46">
        <f t="shared" si="47"/>
        <v>73.061542117054842</v>
      </c>
      <c r="S35" s="46">
        <f t="shared" si="48"/>
        <v>14615.961500516822</v>
      </c>
      <c r="T35" s="48">
        <v>0.495</v>
      </c>
      <c r="U35" s="48">
        <f t="shared" si="33"/>
        <v>9.9</v>
      </c>
      <c r="V35" s="46">
        <f t="shared" si="49"/>
        <v>2.7878330819507289</v>
      </c>
      <c r="W35" s="46">
        <f t="shared" si="50"/>
        <v>338.72171945701353</v>
      </c>
      <c r="X35" s="48">
        <v>6.1589999999999998</v>
      </c>
      <c r="Y35" s="48">
        <v>3.556</v>
      </c>
      <c r="Z35" s="48"/>
      <c r="AA35" s="48">
        <f>Y35*16</f>
        <v>56.896000000000001</v>
      </c>
      <c r="AB35" s="46">
        <f t="shared" si="51"/>
        <v>116.79946030440148</v>
      </c>
      <c r="AC35">
        <v>0.123</v>
      </c>
      <c r="AD35" s="48">
        <v>3.6999999999999998E-2</v>
      </c>
      <c r="AE35" s="48"/>
      <c r="AF35" s="48">
        <f t="shared" si="41"/>
        <v>0.246</v>
      </c>
      <c r="AG35" s="46">
        <f t="shared" si="52"/>
        <v>0.50500329082682016</v>
      </c>
      <c r="AH35">
        <v>0.42</v>
      </c>
      <c r="AI35">
        <f t="shared" si="53"/>
        <v>3.36</v>
      </c>
      <c r="AJ35" s="46">
        <f t="shared" si="54"/>
        <v>6.8976059234882765</v>
      </c>
      <c r="AK35">
        <v>1.08</v>
      </c>
      <c r="AN35" s="48"/>
      <c r="AO35" s="48">
        <f t="shared" si="42"/>
        <v>8.64</v>
      </c>
      <c r="AP35" s="46">
        <f t="shared" si="55"/>
        <v>17.736700946112709</v>
      </c>
      <c r="AQ35" s="48">
        <v>2.850089260546838</v>
      </c>
      <c r="AR35" s="46">
        <f t="shared" si="56"/>
        <v>2.1304623005878014</v>
      </c>
      <c r="AS35" s="46">
        <f t="shared" si="57"/>
        <v>833.01075952983047</v>
      </c>
      <c r="AT35" s="48">
        <v>8.0749090247452688</v>
      </c>
      <c r="AU35" s="46">
        <f t="shared" si="58"/>
        <v>10.270220384346841</v>
      </c>
      <c r="AV35" s="46">
        <f t="shared" si="59"/>
        <v>2360.096644322904</v>
      </c>
      <c r="AW35" s="48">
        <v>6.2487110744483397E-2</v>
      </c>
      <c r="AX35" s="48">
        <f t="shared" si="60"/>
        <v>3.2259737090595451</v>
      </c>
      <c r="AY35" s="48">
        <f t="shared" si="61"/>
        <v>3.3112344292599047</v>
      </c>
      <c r="AZ35">
        <v>0.51900000000000002</v>
      </c>
      <c r="BB35">
        <v>4.1900000000000004</v>
      </c>
      <c r="BC35" s="48">
        <f t="shared" si="40"/>
        <v>3.9455236195290593</v>
      </c>
      <c r="BD35" s="48">
        <f t="shared" si="62"/>
        <v>6.7863006255899823</v>
      </c>
      <c r="BE35" s="48">
        <v>10.02</v>
      </c>
      <c r="BF35" s="48">
        <v>45.650300000000001</v>
      </c>
      <c r="BG35" s="48">
        <v>45.714500000000001</v>
      </c>
      <c r="BH35" s="48">
        <f t="shared" si="63"/>
        <v>6.4199999999999591E-2</v>
      </c>
      <c r="BI35" s="48">
        <v>45.942100000000003</v>
      </c>
      <c r="BJ35" s="48">
        <v>45.962499999999999</v>
      </c>
      <c r="BK35" s="48">
        <f t="shared" si="64"/>
        <v>2.0399999999995089E-2</v>
      </c>
      <c r="BL35" s="48">
        <v>142.24</v>
      </c>
      <c r="BM35" s="48">
        <v>149.04</v>
      </c>
      <c r="BN35" s="48">
        <f t="shared" si="65"/>
        <v>6.7999999999999829</v>
      </c>
      <c r="BO35" s="48">
        <f t="shared" si="66"/>
        <v>0.57449256478790089</v>
      </c>
      <c r="BP35" s="48">
        <f t="shared" si="67"/>
        <v>2.2478805018513208</v>
      </c>
      <c r="BQ35" s="48">
        <f t="shared" si="68"/>
        <v>6.9797202797202615</v>
      </c>
      <c r="BR35" s="48">
        <f t="shared" si="69"/>
        <v>9.8020933463594844</v>
      </c>
      <c r="BS35" s="48">
        <f t="shared" si="70"/>
        <v>5.8609170968696036</v>
      </c>
      <c r="BT35" s="48">
        <f t="shared" si="71"/>
        <v>22.932657570397325</v>
      </c>
      <c r="BU35" s="48">
        <f t="shared" si="72"/>
        <v>71.206425332733062</v>
      </c>
    </row>
    <row r="36" spans="1:73" x14ac:dyDescent="0.2">
      <c r="A36" s="7">
        <v>22</v>
      </c>
      <c r="B36" s="7" t="s">
        <v>79</v>
      </c>
      <c r="C36" s="7">
        <v>410273</v>
      </c>
      <c r="D36" s="8">
        <v>5.66</v>
      </c>
      <c r="E36" s="8">
        <v>3.1300000000000001E-2</v>
      </c>
      <c r="F36" s="48">
        <v>9.6479999999999997</v>
      </c>
      <c r="G36" s="48">
        <v>0.46499999999999986</v>
      </c>
      <c r="H36" s="48">
        <f t="shared" si="43"/>
        <v>10.113</v>
      </c>
      <c r="I36" s="48">
        <v>9.94</v>
      </c>
      <c r="J36" s="48">
        <f t="shared" si="44"/>
        <v>0.17300000000000004</v>
      </c>
      <c r="K36" s="48">
        <f t="shared" si="32"/>
        <v>17.931177446102826</v>
      </c>
      <c r="L36" s="48">
        <f t="shared" si="45"/>
        <v>1.8258575197889187E-2</v>
      </c>
      <c r="M36" s="58">
        <f t="shared" si="46"/>
        <v>0.98206882255389716</v>
      </c>
      <c r="N36" s="48"/>
      <c r="O36" s="48">
        <v>0.92900000000000005</v>
      </c>
      <c r="P36" s="48"/>
      <c r="Q36" s="48">
        <f t="shared" si="36"/>
        <v>18.580000000000002</v>
      </c>
      <c r="R36" s="46">
        <f t="shared" si="47"/>
        <v>27.302003076884908</v>
      </c>
      <c r="S36" s="46">
        <f t="shared" si="48"/>
        <v>5461.7657155308261</v>
      </c>
      <c r="T36" s="48">
        <v>0.25900000000000001</v>
      </c>
      <c r="U36" s="48">
        <f t="shared" si="33"/>
        <v>5.18</v>
      </c>
      <c r="V36" s="46">
        <f t="shared" si="49"/>
        <v>1.4470725430795792</v>
      </c>
      <c r="W36" s="46">
        <f t="shared" si="50"/>
        <v>175.81931398416887</v>
      </c>
      <c r="X36" s="48">
        <v>9.9139999999999997</v>
      </c>
      <c r="Y36" s="48"/>
      <c r="Z36" s="48">
        <v>3.7959999999999998</v>
      </c>
      <c r="AA36" s="48">
        <f>Z36*32</f>
        <v>121.47199999999999</v>
      </c>
      <c r="AB36" s="46">
        <f t="shared" si="51"/>
        <v>247.37981129287601</v>
      </c>
      <c r="AC36">
        <v>0.10100000000000001</v>
      </c>
      <c r="AD36" s="48">
        <v>3.7999999999999999E-2</v>
      </c>
      <c r="AE36" s="48"/>
      <c r="AF36" s="48">
        <f t="shared" si="41"/>
        <v>0.20200000000000001</v>
      </c>
      <c r="AG36" s="46">
        <f t="shared" si="52"/>
        <v>0.41137646437994724</v>
      </c>
      <c r="AH36">
        <v>0.51</v>
      </c>
      <c r="AI36">
        <f t="shared" si="53"/>
        <v>4.08</v>
      </c>
      <c r="AJ36" s="46">
        <f t="shared" si="54"/>
        <v>8.308989973614775</v>
      </c>
      <c r="AK36">
        <v>1.42</v>
      </c>
      <c r="AN36" s="48"/>
      <c r="AO36" s="48">
        <f t="shared" si="42"/>
        <v>11.36</v>
      </c>
      <c r="AP36" s="46">
        <f t="shared" si="55"/>
        <v>23.134834828496043</v>
      </c>
      <c r="AQ36" s="48">
        <v>3.6017570233956588</v>
      </c>
      <c r="AR36" s="46">
        <f t="shared" si="56"/>
        <v>2.7139436923974971</v>
      </c>
      <c r="AS36" s="46">
        <f t="shared" si="57"/>
        <v>1061.1519837274213</v>
      </c>
      <c r="AT36" s="48">
        <v>7.3471069868995631</v>
      </c>
      <c r="AU36" s="46">
        <f t="shared" si="58"/>
        <v>9.4195361720652269</v>
      </c>
      <c r="AV36" s="46">
        <f t="shared" si="59"/>
        <v>2164.6094123405892</v>
      </c>
      <c r="AW36" s="48">
        <v>4.2895442359249338E-2</v>
      </c>
      <c r="AX36" s="48">
        <f t="shared" si="60"/>
        <v>2.2145298068791601</v>
      </c>
      <c r="AY36" s="48">
        <f t="shared" si="61"/>
        <v>2.2549639658860303</v>
      </c>
      <c r="AZ36">
        <v>0.52</v>
      </c>
      <c r="BB36">
        <v>6.76</v>
      </c>
      <c r="BC36" s="48">
        <f t="shared" si="40"/>
        <v>3.9065881875380555</v>
      </c>
      <c r="BD36" s="48">
        <f t="shared" si="62"/>
        <v>6.7193316825654552</v>
      </c>
      <c r="BE36" s="48">
        <v>10.01</v>
      </c>
      <c r="BF36" s="48">
        <v>32.3795</v>
      </c>
      <c r="BG36" s="48">
        <v>32.479700000000001</v>
      </c>
      <c r="BH36" s="48">
        <f t="shared" si="63"/>
        <v>0.10020000000000095</v>
      </c>
      <c r="BI36" s="48">
        <v>41.392400000000002</v>
      </c>
      <c r="BJ36" s="48">
        <v>41.425600000000003</v>
      </c>
      <c r="BK36" s="48">
        <f t="shared" si="64"/>
        <v>3.3200000000000784E-2</v>
      </c>
      <c r="BL36" s="48">
        <v>141.76</v>
      </c>
      <c r="BM36" s="48">
        <v>147.13999999999999</v>
      </c>
      <c r="BN36" s="48">
        <f t="shared" si="65"/>
        <v>5.3799999999999955</v>
      </c>
      <c r="BO36" s="48">
        <f t="shared" si="66"/>
        <v>1.2216048126649477</v>
      </c>
      <c r="BP36" s="48">
        <f t="shared" si="67"/>
        <v>3.4111662269129375</v>
      </c>
      <c r="BQ36" s="48">
        <f t="shared" si="68"/>
        <v>5.4782311345646395</v>
      </c>
      <c r="BR36" s="48">
        <f t="shared" si="69"/>
        <v>10.111002174142524</v>
      </c>
      <c r="BS36" s="48">
        <f t="shared" si="70"/>
        <v>12.081936010151709</v>
      </c>
      <c r="BT36" s="48">
        <f t="shared" si="71"/>
        <v>33.737172321419521</v>
      </c>
      <c r="BU36" s="48">
        <f t="shared" si="72"/>
        <v>54.180891668428778</v>
      </c>
    </row>
    <row r="37" spans="1:73" x14ac:dyDescent="0.2">
      <c r="A37" s="7">
        <v>31</v>
      </c>
      <c r="B37" s="7" t="s">
        <v>79</v>
      </c>
      <c r="C37" s="7">
        <v>410273</v>
      </c>
      <c r="D37" s="8">
        <v>5.97</v>
      </c>
      <c r="E37" s="8">
        <v>0.10440000000000001</v>
      </c>
      <c r="F37" s="48">
        <v>10.09</v>
      </c>
      <c r="G37" s="48">
        <v>0.46700000000000003</v>
      </c>
      <c r="H37" s="48">
        <f t="shared" si="43"/>
        <v>10.557</v>
      </c>
      <c r="I37" s="48">
        <v>9.8420000000000005</v>
      </c>
      <c r="J37" s="48">
        <f t="shared" si="44"/>
        <v>0.71499999999999986</v>
      </c>
      <c r="K37" s="48">
        <f t="shared" si="32"/>
        <v>70.86223984142714</v>
      </c>
      <c r="L37" s="48">
        <f t="shared" si="45"/>
        <v>7.6266666666666649E-2</v>
      </c>
      <c r="M37" s="58">
        <f t="shared" si="46"/>
        <v>0.92913776015857286</v>
      </c>
      <c r="N37" s="48"/>
      <c r="O37" s="48">
        <v>2.1680000000000001</v>
      </c>
      <c r="P37" s="48"/>
      <c r="Q37" s="48">
        <f t="shared" si="36"/>
        <v>43.36</v>
      </c>
      <c r="R37" s="46">
        <f t="shared" si="47"/>
        <v>60.280418873529754</v>
      </c>
      <c r="S37" s="46">
        <f t="shared" si="48"/>
        <v>12059.097795649628</v>
      </c>
      <c r="T37" s="48">
        <v>0.318</v>
      </c>
      <c r="U37" s="48">
        <f t="shared" si="33"/>
        <v>6.36</v>
      </c>
      <c r="V37" s="46">
        <f t="shared" si="49"/>
        <v>1.8779303155006859</v>
      </c>
      <c r="W37" s="46">
        <f t="shared" si="50"/>
        <v>228.16853333333336</v>
      </c>
      <c r="X37" s="48">
        <v>9.8689999999999998</v>
      </c>
      <c r="Y37" s="48"/>
      <c r="Z37" s="48">
        <v>3.7909999999999999</v>
      </c>
      <c r="AA37" s="48">
        <f>Z37*32</f>
        <v>121.312</v>
      </c>
      <c r="AB37" s="46">
        <f t="shared" si="51"/>
        <v>261.12812373333327</v>
      </c>
      <c r="AD37" s="48">
        <v>0.124</v>
      </c>
      <c r="AE37" s="48"/>
      <c r="AF37" s="48">
        <f>AD37*8</f>
        <v>0.99199999999999999</v>
      </c>
      <c r="AG37" s="46">
        <f t="shared" si="52"/>
        <v>2.1353130666666664</v>
      </c>
      <c r="AH37">
        <v>0.71</v>
      </c>
      <c r="AI37">
        <f t="shared" si="53"/>
        <v>5.68</v>
      </c>
      <c r="AJ37" s="46">
        <f t="shared" si="54"/>
        <v>12.226389333333332</v>
      </c>
      <c r="AK37">
        <v>3.23</v>
      </c>
      <c r="AN37" s="48"/>
      <c r="AO37" s="48">
        <f t="shared" si="42"/>
        <v>25.84</v>
      </c>
      <c r="AP37" s="46">
        <f t="shared" si="55"/>
        <v>55.621461333333322</v>
      </c>
      <c r="AQ37" s="48">
        <v>4.071549375176172</v>
      </c>
      <c r="AR37" s="46">
        <f t="shared" si="56"/>
        <v>2.9025807673858512</v>
      </c>
      <c r="AS37" s="46">
        <f t="shared" si="57"/>
        <v>1134.909080047868</v>
      </c>
      <c r="AT37" s="48">
        <v>7.3471069868995631</v>
      </c>
      <c r="AU37" s="46">
        <f t="shared" si="58"/>
        <v>8.9118466441948563</v>
      </c>
      <c r="AV37" s="46">
        <f t="shared" si="59"/>
        <v>2047.942358835978</v>
      </c>
      <c r="AW37" s="48">
        <v>6.3518251185811517E-2</v>
      </c>
      <c r="AX37" s="48">
        <f t="shared" si="60"/>
        <v>3.2792075986479876</v>
      </c>
      <c r="AY37" s="48">
        <f t="shared" si="61"/>
        <v>3.5293018315048741</v>
      </c>
      <c r="AZ37">
        <v>0.53</v>
      </c>
      <c r="BB37">
        <v>6.92</v>
      </c>
      <c r="BC37" s="48">
        <f t="shared" si="40"/>
        <v>4.051230188679245</v>
      </c>
      <c r="BD37" s="48">
        <f t="shared" si="62"/>
        <v>6.9681159245283011</v>
      </c>
      <c r="BE37" s="48">
        <v>10.050000000000001</v>
      </c>
      <c r="BF37" s="48">
        <v>31.341699999999999</v>
      </c>
      <c r="BG37" s="48">
        <v>31.4161</v>
      </c>
      <c r="BH37" s="48">
        <f t="shared" si="63"/>
        <v>7.4400000000000688E-2</v>
      </c>
      <c r="BI37" s="48">
        <v>44.0578</v>
      </c>
      <c r="BJ37" s="48">
        <v>44.078800000000001</v>
      </c>
      <c r="BK37" s="48">
        <f t="shared" si="64"/>
        <v>2.1000000000000796E-2</v>
      </c>
      <c r="BL37" s="48">
        <v>141.51</v>
      </c>
      <c r="BM37" s="48">
        <v>147.46</v>
      </c>
      <c r="BN37" s="48">
        <f t="shared" si="65"/>
        <v>5.9500000000000171</v>
      </c>
      <c r="BO37" s="48">
        <f t="shared" si="66"/>
        <v>0.63467445333337613</v>
      </c>
      <c r="BP37" s="48">
        <f t="shared" si="67"/>
        <v>2.873631999999994</v>
      </c>
      <c r="BQ37" s="48">
        <f t="shared" si="68"/>
        <v>6.4037866666666847</v>
      </c>
      <c r="BR37" s="48">
        <f t="shared" si="69"/>
        <v>9.9120931200000548</v>
      </c>
      <c r="BS37" s="48">
        <f t="shared" si="70"/>
        <v>6.4030315862627072</v>
      </c>
      <c r="BT37" s="48">
        <f t="shared" si="71"/>
        <v>28.991172350890686</v>
      </c>
      <c r="BU37" s="48">
        <f t="shared" si="72"/>
        <v>64.605796062846608</v>
      </c>
    </row>
    <row r="38" spans="1:73" x14ac:dyDescent="0.2">
      <c r="A38" s="7">
        <v>10</v>
      </c>
      <c r="B38" s="7" t="s">
        <v>79</v>
      </c>
      <c r="C38" s="7">
        <v>410283</v>
      </c>
      <c r="D38" s="8">
        <v>6.86</v>
      </c>
      <c r="E38" s="8">
        <v>8.8200000000000001E-2</v>
      </c>
      <c r="F38" s="48">
        <v>9.5640000000000001</v>
      </c>
      <c r="G38" s="48">
        <v>0.36800000000000033</v>
      </c>
      <c r="H38" s="48">
        <f t="shared" si="43"/>
        <v>9.9320000000000004</v>
      </c>
      <c r="I38" s="48">
        <v>9.7289999999999992</v>
      </c>
      <c r="J38" s="48">
        <f t="shared" si="44"/>
        <v>0.20300000000000118</v>
      </c>
      <c r="K38" s="48">
        <f t="shared" si="32"/>
        <v>21.225428690924424</v>
      </c>
      <c r="L38" s="48">
        <f t="shared" si="45"/>
        <v>2.1685717337891378E-2</v>
      </c>
      <c r="M38" s="58">
        <f t="shared" si="46"/>
        <v>0.97877457130907553</v>
      </c>
      <c r="N38" s="48"/>
      <c r="O38" s="48">
        <v>2.5190000000000001</v>
      </c>
      <c r="P38" s="48"/>
      <c r="Q38" s="48">
        <f t="shared" si="36"/>
        <v>50.38</v>
      </c>
      <c r="R38" s="46">
        <f t="shared" si="47"/>
        <v>73.781540502570422</v>
      </c>
      <c r="S38" s="46">
        <f t="shared" si="48"/>
        <v>14759.997177539211</v>
      </c>
      <c r="T38" s="48">
        <v>0.252</v>
      </c>
      <c r="U38" s="48">
        <f t="shared" si="33"/>
        <v>5.04</v>
      </c>
      <c r="V38" s="46">
        <f t="shared" si="49"/>
        <v>1.4127012387881952</v>
      </c>
      <c r="W38" s="46">
        <f t="shared" si="50"/>
        <v>171.64320051276573</v>
      </c>
      <c r="X38" s="48">
        <v>5.5069999999999997</v>
      </c>
      <c r="Y38" s="48">
        <v>3.282</v>
      </c>
      <c r="Z38" s="48"/>
      <c r="AA38" s="48">
        <f>Y38*16</f>
        <v>52.512</v>
      </c>
      <c r="AB38" s="46">
        <f t="shared" si="51"/>
        <v>107.30152077769471</v>
      </c>
      <c r="AC38">
        <v>7.5999999999999998E-2</v>
      </c>
      <c r="AD38" s="48">
        <v>1.2999999999999999E-2</v>
      </c>
      <c r="AE38" s="48"/>
      <c r="AF38" s="48">
        <f>AC38*2</f>
        <v>0.152</v>
      </c>
      <c r="AG38" s="46">
        <f t="shared" si="52"/>
        <v>0.310592458070719</v>
      </c>
      <c r="AH38">
        <v>0.16</v>
      </c>
      <c r="AI38">
        <f t="shared" si="53"/>
        <v>1.28</v>
      </c>
      <c r="AJ38" s="46">
        <f t="shared" si="54"/>
        <v>2.6155154363850022</v>
      </c>
      <c r="AK38">
        <v>0.93</v>
      </c>
      <c r="AN38" s="48"/>
      <c r="AO38" s="48">
        <f t="shared" si="42"/>
        <v>7.44</v>
      </c>
      <c r="AP38" s="46">
        <f t="shared" si="55"/>
        <v>15.202683473987825</v>
      </c>
      <c r="AQ38" s="48">
        <v>3.7426947289298127</v>
      </c>
      <c r="AR38" s="46">
        <f t="shared" si="56"/>
        <v>2.810681147454487</v>
      </c>
      <c r="AS38" s="46">
        <f t="shared" si="57"/>
        <v>1098.9763286547045</v>
      </c>
      <c r="AT38" s="48">
        <v>6.9832059679767093</v>
      </c>
      <c r="AU38" s="46">
        <f t="shared" si="58"/>
        <v>8.9229561718921442</v>
      </c>
      <c r="AV38" s="46">
        <f t="shared" si="59"/>
        <v>2050.4953283008149</v>
      </c>
      <c r="AW38" s="48">
        <v>7.8985357805733139E-2</v>
      </c>
      <c r="AX38" s="48">
        <f t="shared" si="60"/>
        <v>4.0777159424746063</v>
      </c>
      <c r="AY38" s="48">
        <f t="shared" si="61"/>
        <v>4.1661441377873238</v>
      </c>
      <c r="AZ38">
        <v>0.5</v>
      </c>
      <c r="BB38">
        <v>6.41</v>
      </c>
      <c r="BC38" s="48">
        <f t="shared" si="40"/>
        <v>4.0765260121781868</v>
      </c>
      <c r="BD38" s="48">
        <f t="shared" si="62"/>
        <v>7.0116247409464814</v>
      </c>
      <c r="BE38" s="48">
        <v>10.02</v>
      </c>
      <c r="BF38" s="48">
        <v>32.645200000000003</v>
      </c>
      <c r="BG38" s="48">
        <v>32.750399999999999</v>
      </c>
      <c r="BH38" s="48">
        <f t="shared" si="63"/>
        <v>0.10519999999999641</v>
      </c>
      <c r="BI38" s="48">
        <v>33.278599999999997</v>
      </c>
      <c r="BJ38" s="48">
        <v>33.3337</v>
      </c>
      <c r="BK38" s="48">
        <f t="shared" si="64"/>
        <v>5.5100000000003035E-2</v>
      </c>
      <c r="BL38" s="48">
        <v>141.74</v>
      </c>
      <c r="BM38" s="48">
        <v>146.54</v>
      </c>
      <c r="BN38" s="48">
        <f t="shared" si="65"/>
        <v>4.7999999999999829</v>
      </c>
      <c r="BO38" s="48">
        <f t="shared" si="66"/>
        <v>2.3444622155754145</v>
      </c>
      <c r="BP38" s="48">
        <f t="shared" si="67"/>
        <v>2.5593227219310797</v>
      </c>
      <c r="BQ38" s="48">
        <f t="shared" si="68"/>
        <v>4.9040914432218612</v>
      </c>
      <c r="BR38" s="48">
        <f t="shared" si="69"/>
        <v>9.8078763807283558</v>
      </c>
      <c r="BS38" s="48">
        <f t="shared" si="70"/>
        <v>23.903871996001943</v>
      </c>
      <c r="BT38" s="48">
        <f t="shared" si="71"/>
        <v>26.094565455167558</v>
      </c>
      <c r="BU38" s="48">
        <f t="shared" si="72"/>
        <v>50.001562548830492</v>
      </c>
    </row>
    <row r="39" spans="1:73" x14ac:dyDescent="0.2">
      <c r="A39" s="7">
        <v>38</v>
      </c>
      <c r="B39" s="7" t="s">
        <v>79</v>
      </c>
      <c r="C39" s="7">
        <v>410283</v>
      </c>
      <c r="D39" s="8">
        <v>7.24</v>
      </c>
      <c r="E39" s="8">
        <v>0.11650000000000001</v>
      </c>
      <c r="F39" s="48">
        <v>9.7249999999999996</v>
      </c>
      <c r="G39" s="48">
        <v>0.41200000000000081</v>
      </c>
      <c r="H39" s="48">
        <f t="shared" si="43"/>
        <v>10.137</v>
      </c>
      <c r="I39" s="48">
        <v>9.9169999999999998</v>
      </c>
      <c r="J39" s="48">
        <f t="shared" si="44"/>
        <v>0.22000000000000064</v>
      </c>
      <c r="K39" s="48">
        <f t="shared" si="32"/>
        <v>22.622107969151738</v>
      </c>
      <c r="L39" s="48">
        <f t="shared" si="45"/>
        <v>2.3145712782745992E-2</v>
      </c>
      <c r="M39" s="58">
        <f t="shared" si="46"/>
        <v>0.97737789203084835</v>
      </c>
      <c r="N39" s="48"/>
      <c r="O39" s="48">
        <v>2.5790000000000002</v>
      </c>
      <c r="P39" s="48"/>
      <c r="Q39" s="48">
        <f t="shared" si="36"/>
        <v>51.580000000000005</v>
      </c>
      <c r="R39" s="46">
        <f t="shared" si="47"/>
        <v>75.431149632345878</v>
      </c>
      <c r="S39" s="46">
        <f t="shared" si="48"/>
        <v>15090.001483950791</v>
      </c>
      <c r="T39" s="48">
        <v>0.246</v>
      </c>
      <c r="U39" s="48">
        <f t="shared" si="33"/>
        <v>4.92</v>
      </c>
      <c r="V39" s="46">
        <f t="shared" si="49"/>
        <v>1.3810361884474924</v>
      </c>
      <c r="W39" s="46">
        <f t="shared" si="50"/>
        <v>167.79589689637035</v>
      </c>
      <c r="X39" s="48">
        <v>6.8490000000000002</v>
      </c>
      <c r="Y39" s="48">
        <v>3.851</v>
      </c>
      <c r="Z39" s="48"/>
      <c r="AA39" s="48">
        <f>Y39*16</f>
        <v>61.616</v>
      </c>
      <c r="AB39" s="46">
        <f t="shared" si="51"/>
        <v>126.08429247764333</v>
      </c>
      <c r="AC39">
        <v>0.17799999999999999</v>
      </c>
      <c r="AD39" s="48">
        <v>4.4999999999999998E-2</v>
      </c>
      <c r="AE39" s="48"/>
      <c r="AF39" s="48">
        <f>AC39*2</f>
        <v>0.35599999999999998</v>
      </c>
      <c r="AG39" s="46">
        <f t="shared" si="52"/>
        <v>0.72847974750131494</v>
      </c>
      <c r="AH39">
        <v>0.2</v>
      </c>
      <c r="AI39">
        <f t="shared" si="53"/>
        <v>1.6</v>
      </c>
      <c r="AJ39" s="46">
        <f t="shared" si="54"/>
        <v>3.2740662809047869</v>
      </c>
      <c r="AK39">
        <v>1.59</v>
      </c>
      <c r="AN39" s="48"/>
      <c r="AO39" s="48">
        <f t="shared" si="42"/>
        <v>12.72</v>
      </c>
      <c r="AP39" s="46">
        <f t="shared" si="55"/>
        <v>26.028826933193056</v>
      </c>
      <c r="AQ39" s="48">
        <v>4.7292586676688897</v>
      </c>
      <c r="AR39" s="46">
        <f t="shared" si="56"/>
        <v>3.5465009213361927</v>
      </c>
      <c r="AS39" s="46">
        <f t="shared" si="57"/>
        <v>1386.6818602424514</v>
      </c>
      <c r="AT39" s="48">
        <v>8.7117358078602614</v>
      </c>
      <c r="AU39" s="46">
        <f t="shared" si="58"/>
        <v>11.115741488010602</v>
      </c>
      <c r="AV39" s="46">
        <f t="shared" si="59"/>
        <v>2554.3973939448365</v>
      </c>
      <c r="AW39" s="48">
        <v>0.26562177768612083</v>
      </c>
      <c r="AX39" s="48">
        <f t="shared" si="60"/>
        <v>13.713049957982488</v>
      </c>
      <c r="AY39" s="48">
        <f t="shared" si="61"/>
        <v>14.030448273685396</v>
      </c>
      <c r="AZ39">
        <v>0.50600000000000001</v>
      </c>
      <c r="BB39">
        <v>4.58</v>
      </c>
      <c r="BC39" s="48">
        <f t="shared" si="40"/>
        <v>4.0339440652205099</v>
      </c>
      <c r="BD39" s="48">
        <f t="shared" si="62"/>
        <v>6.9383837921792768</v>
      </c>
      <c r="BE39" s="48">
        <v>10.07</v>
      </c>
      <c r="BF39" s="48">
        <v>45.942</v>
      </c>
      <c r="BG39" s="48">
        <v>46.037599999999998</v>
      </c>
      <c r="BH39" s="48">
        <f t="shared" si="63"/>
        <v>9.5599999999997465E-2</v>
      </c>
      <c r="BI39" s="48">
        <v>33.287500000000001</v>
      </c>
      <c r="BJ39" s="48">
        <v>33.323099999999997</v>
      </c>
      <c r="BK39" s="48">
        <f t="shared" si="64"/>
        <v>3.5599999999995191E-2</v>
      </c>
      <c r="BL39" s="48">
        <v>151.03</v>
      </c>
      <c r="BM39" s="48">
        <v>156.36000000000001</v>
      </c>
      <c r="BN39" s="48">
        <f t="shared" si="65"/>
        <v>5.3300000000000125</v>
      </c>
      <c r="BO39" s="48">
        <f t="shared" si="66"/>
        <v>1.3502453971591439</v>
      </c>
      <c r="BP39" s="48">
        <f t="shared" si="67"/>
        <v>3.0694371383483539</v>
      </c>
      <c r="BQ39" s="48">
        <f t="shared" si="68"/>
        <v>5.4533666491320485</v>
      </c>
      <c r="BR39" s="48">
        <f t="shared" si="69"/>
        <v>9.8730491846395463</v>
      </c>
      <c r="BS39" s="48">
        <f t="shared" si="70"/>
        <v>13.6760728312774</v>
      </c>
      <c r="BT39" s="48">
        <f t="shared" si="71"/>
        <v>31.08904940050104</v>
      </c>
      <c r="BU39" s="48">
        <f t="shared" si="72"/>
        <v>55.234877768221558</v>
      </c>
    </row>
    <row r="40" spans="1:73" x14ac:dyDescent="0.2">
      <c r="A40" s="7">
        <v>54</v>
      </c>
      <c r="B40" s="7" t="s">
        <v>79</v>
      </c>
      <c r="C40" s="7">
        <v>410296</v>
      </c>
      <c r="D40" s="8">
        <v>5.91</v>
      </c>
      <c r="E40" s="8">
        <v>3.7499999999999999E-2</v>
      </c>
      <c r="F40" s="48">
        <v>11.718</v>
      </c>
      <c r="G40" s="48">
        <v>0.46500000000000002</v>
      </c>
      <c r="H40" s="48">
        <f t="shared" si="43"/>
        <v>12.183</v>
      </c>
      <c r="I40" s="48">
        <v>11.391999999999999</v>
      </c>
      <c r="J40" s="48">
        <f t="shared" si="44"/>
        <v>0.79100000000000037</v>
      </c>
      <c r="K40" s="48">
        <f t="shared" si="32"/>
        <v>67.502986857825604</v>
      </c>
      <c r="L40" s="48">
        <f t="shared" si="45"/>
        <v>7.2389493914157624E-2</v>
      </c>
      <c r="M40" s="58">
        <f t="shared" si="46"/>
        <v>0.93249701314217437</v>
      </c>
      <c r="N40" s="48"/>
      <c r="O40" s="48">
        <v>1.714</v>
      </c>
      <c r="P40" s="48"/>
      <c r="Q40" s="48">
        <f t="shared" si="36"/>
        <v>34.28</v>
      </c>
      <c r="R40" s="46">
        <f t="shared" si="47"/>
        <v>47.829422858624042</v>
      </c>
      <c r="S40" s="46">
        <f t="shared" si="48"/>
        <v>9568.2760428677393</v>
      </c>
      <c r="T40" s="48">
        <v>0.88600000000000001</v>
      </c>
      <c r="U40" s="48">
        <f t="shared" si="33"/>
        <v>17.72</v>
      </c>
      <c r="V40" s="46">
        <f t="shared" si="49"/>
        <v>5.2133722447623789</v>
      </c>
      <c r="W40" s="46">
        <f t="shared" si="50"/>
        <v>633.42472773862914</v>
      </c>
      <c r="X40" s="48">
        <v>4.5750000000000002</v>
      </c>
      <c r="Y40" s="48"/>
      <c r="Z40" s="48"/>
      <c r="AA40" s="48">
        <f>X40*8</f>
        <v>36.6</v>
      </c>
      <c r="AB40" s="46">
        <f t="shared" si="51"/>
        <v>78.498910954516347</v>
      </c>
      <c r="AC40">
        <v>0.13100000000000001</v>
      </c>
      <c r="AD40" s="48">
        <v>6.5000000000000002E-2</v>
      </c>
      <c r="AE40" s="48"/>
      <c r="AF40" s="48">
        <f>AC40*2</f>
        <v>0.26200000000000001</v>
      </c>
      <c r="AG40" s="46">
        <f t="shared" si="52"/>
        <v>0.56193209481101869</v>
      </c>
      <c r="AH40">
        <v>0.2</v>
      </c>
      <c r="AI40">
        <f t="shared" si="53"/>
        <v>1.6</v>
      </c>
      <c r="AJ40" s="46">
        <f t="shared" si="54"/>
        <v>3.4316463805253048</v>
      </c>
      <c r="AK40">
        <v>2.54</v>
      </c>
      <c r="AN40" s="48"/>
      <c r="AO40" s="48">
        <f t="shared" si="42"/>
        <v>20.32</v>
      </c>
      <c r="AP40" s="46">
        <f t="shared" si="55"/>
        <v>43.581909032671369</v>
      </c>
      <c r="AQ40" s="48">
        <v>3.1319646716151461</v>
      </c>
      <c r="AR40" s="46">
        <f t="shared" si="56"/>
        <v>2.2408294385278267</v>
      </c>
      <c r="AS40" s="46">
        <f t="shared" si="57"/>
        <v>876.16431046438026</v>
      </c>
      <c r="AT40" s="48">
        <v>10.167339883551673</v>
      </c>
      <c r="AU40" s="46">
        <f t="shared" si="58"/>
        <v>12.377302967380208</v>
      </c>
      <c r="AV40" s="46">
        <f t="shared" si="59"/>
        <v>2844.3042219039717</v>
      </c>
      <c r="AW40" s="48">
        <v>0.13506604175543246</v>
      </c>
      <c r="AX40" s="48">
        <f t="shared" si="60"/>
        <v>6.9729500131870132</v>
      </c>
      <c r="AY40" s="48">
        <f t="shared" si="61"/>
        <v>7.4777183357303398</v>
      </c>
      <c r="AZ40">
        <v>0.50900000000000001</v>
      </c>
      <c r="BB40">
        <v>7.12</v>
      </c>
      <c r="BC40" s="48">
        <f t="shared" si="40"/>
        <v>4.2031768965790661</v>
      </c>
      <c r="BD40" s="48">
        <f t="shared" si="62"/>
        <v>7.2294642621159939</v>
      </c>
      <c r="BE40" s="48">
        <v>10.07</v>
      </c>
      <c r="BF40" s="48">
        <v>43.276699999999998</v>
      </c>
      <c r="BG40" s="48">
        <v>43.382899999999999</v>
      </c>
      <c r="BH40" s="48">
        <f t="shared" si="63"/>
        <v>0.10620000000000118</v>
      </c>
      <c r="BI40" s="48">
        <v>44.256799999999998</v>
      </c>
      <c r="BJ40" s="48">
        <v>44.294800000000002</v>
      </c>
      <c r="BK40" s="48">
        <f t="shared" si="64"/>
        <v>3.8000000000003809E-2</v>
      </c>
      <c r="BL40" s="48">
        <v>143.38</v>
      </c>
      <c r="BM40" s="48">
        <v>148.09</v>
      </c>
      <c r="BN40" s="48">
        <f t="shared" si="65"/>
        <v>4.710000000000008</v>
      </c>
      <c r="BO40" s="48">
        <f t="shared" si="66"/>
        <v>1.543919154388417</v>
      </c>
      <c r="BP40" s="48">
        <f t="shared" si="67"/>
        <v>3.6568481742471368</v>
      </c>
      <c r="BQ40" s="48">
        <f t="shared" si="68"/>
        <v>5.0509545163356915</v>
      </c>
      <c r="BR40" s="48">
        <f t="shared" si="69"/>
        <v>10.251721844971245</v>
      </c>
      <c r="BS40" s="48">
        <f t="shared" si="70"/>
        <v>15.060096028119924</v>
      </c>
      <c r="BT40" s="48">
        <f t="shared" si="71"/>
        <v>35.670575436466045</v>
      </c>
      <c r="BU40" s="48">
        <f t="shared" si="72"/>
        <v>49.269328535414033</v>
      </c>
    </row>
    <row r="41" spans="1:73" x14ac:dyDescent="0.2">
      <c r="A41" s="7">
        <v>36</v>
      </c>
      <c r="B41" s="7" t="s">
        <v>79</v>
      </c>
      <c r="C41" s="7">
        <v>410296</v>
      </c>
      <c r="D41" s="8">
        <v>5.07</v>
      </c>
      <c r="E41" s="8">
        <v>4.19E-2</v>
      </c>
      <c r="F41" s="48">
        <v>10.81</v>
      </c>
      <c r="G41" s="48">
        <v>0.46600000000000003</v>
      </c>
      <c r="H41" s="48">
        <f t="shared" si="43"/>
        <v>11.276</v>
      </c>
      <c r="I41" s="48">
        <v>10.542999999999999</v>
      </c>
      <c r="J41" s="48">
        <f t="shared" si="44"/>
        <v>0.73300000000000054</v>
      </c>
      <c r="K41" s="48">
        <f t="shared" si="32"/>
        <v>67.807585568917716</v>
      </c>
      <c r="L41" s="48">
        <f t="shared" si="45"/>
        <v>7.2739902748834032E-2</v>
      </c>
      <c r="M41" s="58">
        <f t="shared" si="46"/>
        <v>0.93219241443108225</v>
      </c>
      <c r="N41" s="48"/>
      <c r="O41" s="48">
        <v>1.2270000000000001</v>
      </c>
      <c r="P41" s="48"/>
      <c r="Q41" s="48">
        <f t="shared" si="36"/>
        <v>24.540000000000003</v>
      </c>
      <c r="R41" s="46">
        <f t="shared" si="47"/>
        <v>34.228431695968226</v>
      </c>
      <c r="S41" s="46">
        <f t="shared" si="48"/>
        <v>6847.3977607784436</v>
      </c>
      <c r="T41" s="48">
        <v>0.65</v>
      </c>
      <c r="U41" s="48">
        <f t="shared" si="33"/>
        <v>13</v>
      </c>
      <c r="V41" s="46">
        <f t="shared" si="49"/>
        <v>3.8259585008874741</v>
      </c>
      <c r="W41" s="46">
        <f t="shared" si="50"/>
        <v>464.85395785782816</v>
      </c>
      <c r="X41" s="48">
        <v>7.6440000000000001</v>
      </c>
      <c r="Y41" s="48">
        <v>4.4550000000000001</v>
      </c>
      <c r="Z41" s="48"/>
      <c r="AA41" s="48">
        <f>Y41*16</f>
        <v>71.28</v>
      </c>
      <c r="AB41" s="46">
        <f t="shared" si="51"/>
        <v>152.9298005358738</v>
      </c>
      <c r="AD41" s="48">
        <v>0.11700000000000001</v>
      </c>
      <c r="AE41" s="48"/>
      <c r="AF41" s="48">
        <f>AD41*8</f>
        <v>0.93600000000000005</v>
      </c>
      <c r="AG41" s="46">
        <f t="shared" si="52"/>
        <v>2.0081690979458178</v>
      </c>
      <c r="AH41">
        <v>0.2</v>
      </c>
      <c r="AI41">
        <f t="shared" si="53"/>
        <v>1.6</v>
      </c>
      <c r="AJ41" s="46">
        <f t="shared" si="54"/>
        <v>3.432767688796269</v>
      </c>
      <c r="AK41">
        <v>7.35</v>
      </c>
      <c r="AL41">
        <v>3.7</v>
      </c>
      <c r="AN41" s="48"/>
      <c r="AO41" s="48">
        <f>AL41*16</f>
        <v>59.2</v>
      </c>
      <c r="AP41" s="46">
        <f t="shared" si="55"/>
        <v>127.01240448546196</v>
      </c>
      <c r="AQ41" s="48">
        <v>3.6487362585737104</v>
      </c>
      <c r="AR41" s="46">
        <f t="shared" si="56"/>
        <v>2.6097117103596381</v>
      </c>
      <c r="AS41" s="46">
        <f t="shared" si="57"/>
        <v>1020.3972787506186</v>
      </c>
      <c r="AT41" s="48">
        <v>6.3463791848617168</v>
      </c>
      <c r="AU41" s="46">
        <f t="shared" si="58"/>
        <v>7.7232983488660674</v>
      </c>
      <c r="AV41" s="46">
        <f t="shared" si="59"/>
        <v>1774.8139605694223</v>
      </c>
      <c r="AW41" s="48">
        <v>6.3312023097545883E-2</v>
      </c>
      <c r="AX41" s="48">
        <f t="shared" si="60"/>
        <v>3.2685608207302987</v>
      </c>
      <c r="AY41" s="48">
        <f t="shared" si="61"/>
        <v>3.5063156169588701</v>
      </c>
      <c r="AZ41">
        <v>0.501</v>
      </c>
      <c r="BB41">
        <v>5.34</v>
      </c>
      <c r="BC41" s="48">
        <f t="shared" si="40"/>
        <v>4.2716888342992494</v>
      </c>
      <c r="BD41" s="48">
        <f t="shared" si="62"/>
        <v>7.3473047949947086</v>
      </c>
      <c r="BE41" s="48">
        <v>10</v>
      </c>
      <c r="BF41" s="48">
        <v>46.585799999999999</v>
      </c>
      <c r="BG41" s="48">
        <v>46.683500000000002</v>
      </c>
      <c r="BH41" s="48">
        <f t="shared" si="63"/>
        <v>9.7700000000003229E-2</v>
      </c>
      <c r="BI41" s="48">
        <v>43.386699999999998</v>
      </c>
      <c r="BJ41" s="48">
        <v>43.419699999999999</v>
      </c>
      <c r="BK41" s="48">
        <f t="shared" si="64"/>
        <v>3.3000000000001251E-2</v>
      </c>
      <c r="BL41" s="48">
        <v>147.63999999999999</v>
      </c>
      <c r="BM41" s="48">
        <v>152.35</v>
      </c>
      <c r="BN41" s="48">
        <f t="shared" si="65"/>
        <v>4.710000000000008</v>
      </c>
      <c r="BO41" s="48">
        <f t="shared" si="66"/>
        <v>1.276238662300355</v>
      </c>
      <c r="BP41" s="48">
        <f t="shared" si="67"/>
        <v>3.4703135853925842</v>
      </c>
      <c r="BQ41" s="48">
        <f t="shared" si="68"/>
        <v>5.0526049419470169</v>
      </c>
      <c r="BR41" s="48">
        <f t="shared" si="69"/>
        <v>9.7991571896399563</v>
      </c>
      <c r="BS41" s="48">
        <f t="shared" si="70"/>
        <v>13.023963567495819</v>
      </c>
      <c r="BT41" s="48">
        <f t="shared" si="71"/>
        <v>35.414408792845293</v>
      </c>
      <c r="BU41" s="48">
        <f t="shared" si="72"/>
        <v>51.561627639658894</v>
      </c>
    </row>
    <row r="42" spans="1:73" x14ac:dyDescent="0.2">
      <c r="A42" s="7">
        <v>23</v>
      </c>
      <c r="B42" s="7" t="s">
        <v>80</v>
      </c>
      <c r="C42" s="7">
        <v>450101</v>
      </c>
      <c r="D42" s="8">
        <v>5.32</v>
      </c>
      <c r="E42" s="8">
        <v>1.9910000000000001E-2</v>
      </c>
      <c r="F42" s="48">
        <v>9.1210000000000004</v>
      </c>
      <c r="G42" s="48">
        <v>0.46899999999999942</v>
      </c>
      <c r="H42" s="48">
        <f t="shared" si="43"/>
        <v>9.59</v>
      </c>
      <c r="I42" s="48">
        <v>9.5229999999999997</v>
      </c>
      <c r="J42" s="48">
        <f t="shared" si="44"/>
        <v>6.7000000000000171E-2</v>
      </c>
      <c r="K42" s="48">
        <f t="shared" si="32"/>
        <v>7.3456857800679929</v>
      </c>
      <c r="L42" s="48">
        <f t="shared" si="45"/>
        <v>7.4000441793682535E-3</v>
      </c>
      <c r="M42" s="58">
        <f t="shared" si="46"/>
        <v>0.992654314219932</v>
      </c>
      <c r="N42" s="48"/>
      <c r="O42" s="48">
        <v>0.29299999999999998</v>
      </c>
      <c r="P42" s="48"/>
      <c r="Q42" s="48">
        <f t="shared" si="36"/>
        <v>5.8599999999999994</v>
      </c>
      <c r="R42" s="46">
        <f t="shared" si="47"/>
        <v>8.7036722413897287</v>
      </c>
      <c r="S42" s="46">
        <f t="shared" si="48"/>
        <v>1741.1696318900154</v>
      </c>
      <c r="T42" s="48">
        <v>0.109</v>
      </c>
      <c r="U42" s="48">
        <f t="shared" si="33"/>
        <v>2.1800000000000002</v>
      </c>
      <c r="V42" s="46">
        <f t="shared" si="49"/>
        <v>0.60250537621701594</v>
      </c>
      <c r="W42" s="46">
        <f t="shared" si="50"/>
        <v>73.204403210367431</v>
      </c>
      <c r="X42" s="48">
        <v>1.3520000000000001</v>
      </c>
      <c r="Y42" s="48"/>
      <c r="Z42" s="48"/>
      <c r="AA42" s="48">
        <f t="shared" ref="AA42:AA52" si="73">X42*8</f>
        <v>10.816000000000001</v>
      </c>
      <c r="AB42" s="46">
        <f t="shared" si="51"/>
        <v>21.792077755688098</v>
      </c>
      <c r="AC42">
        <v>0.03</v>
      </c>
      <c r="AD42" s="48">
        <v>1.2E-2</v>
      </c>
      <c r="AE42" s="48"/>
      <c r="AF42" s="48">
        <f>AC42*2</f>
        <v>0.06</v>
      </c>
      <c r="AG42" s="46">
        <f t="shared" si="52"/>
        <v>0.12088800530152419</v>
      </c>
      <c r="AH42">
        <v>0.1</v>
      </c>
      <c r="AI42">
        <f t="shared" si="53"/>
        <v>0.8</v>
      </c>
      <c r="AJ42" s="46">
        <f t="shared" si="54"/>
        <v>1.6118400706869893</v>
      </c>
      <c r="AK42">
        <v>1.01</v>
      </c>
      <c r="AN42" s="48"/>
      <c r="AO42" s="48">
        <f t="shared" ref="AO42:AO59" si="74">AK42*8</f>
        <v>8.08</v>
      </c>
      <c r="AP42" s="46">
        <f t="shared" si="55"/>
        <v>16.27958471393859</v>
      </c>
      <c r="AQ42" s="48">
        <v>2.1454007328760687</v>
      </c>
      <c r="AR42" s="46">
        <f t="shared" si="56"/>
        <v>1.6339958771509209</v>
      </c>
      <c r="AS42" s="46">
        <f t="shared" si="57"/>
        <v>638.89238796601012</v>
      </c>
      <c r="AT42" s="48">
        <v>8.0749090247452688</v>
      </c>
      <c r="AU42" s="46">
        <f t="shared" si="58"/>
        <v>10.464220992619918</v>
      </c>
      <c r="AV42" s="46">
        <f t="shared" si="59"/>
        <v>2404.677984104057</v>
      </c>
      <c r="AW42" s="48">
        <v>5.1969478242936691E-2</v>
      </c>
      <c r="AX42" s="48">
        <f t="shared" si="60"/>
        <v>2.6829880352574436</v>
      </c>
      <c r="AY42" s="48">
        <f t="shared" si="61"/>
        <v>2.7028422652510651</v>
      </c>
      <c r="AZ42">
        <v>0.50700000000000001</v>
      </c>
      <c r="BB42">
        <v>8.4</v>
      </c>
      <c r="BC42" s="48">
        <f t="shared" si="40"/>
        <v>3.9640297596407099</v>
      </c>
      <c r="BD42" s="48">
        <f t="shared" si="62"/>
        <v>6.8181311865820211</v>
      </c>
      <c r="BE42" s="48">
        <v>10.039999999999999</v>
      </c>
      <c r="BF42" s="48">
        <v>31.741299999999999</v>
      </c>
      <c r="BG42" s="48">
        <v>31.776</v>
      </c>
      <c r="BH42" s="48">
        <f t="shared" si="63"/>
        <v>3.4700000000000841E-2</v>
      </c>
      <c r="BI42" s="48">
        <v>33.302900000000001</v>
      </c>
      <c r="BJ42" s="48">
        <v>33.3157</v>
      </c>
      <c r="BK42" s="48">
        <f t="shared" si="64"/>
        <v>1.279999999999859E-2</v>
      </c>
      <c r="BL42" s="48">
        <v>155.18</v>
      </c>
      <c r="BM42" s="48">
        <v>163.78</v>
      </c>
      <c r="BN42" s="48">
        <f t="shared" si="65"/>
        <v>8.5999999999999943</v>
      </c>
      <c r="BO42" s="48">
        <f t="shared" si="66"/>
        <v>0.18102978793896143</v>
      </c>
      <c r="BP42" s="48">
        <f t="shared" si="67"/>
        <v>1.1031030483765216</v>
      </c>
      <c r="BQ42" s="48">
        <f t="shared" si="68"/>
        <v>8.6636403799425619</v>
      </c>
      <c r="BR42" s="48">
        <f t="shared" si="69"/>
        <v>9.9477732162580459</v>
      </c>
      <c r="BS42" s="48">
        <f t="shared" si="70"/>
        <v>1.8198021205700303</v>
      </c>
      <c r="BT42" s="48">
        <f t="shared" si="71"/>
        <v>11.088944474263606</v>
      </c>
      <c r="BU42" s="48">
        <f t="shared" si="72"/>
        <v>87.091253405166356</v>
      </c>
    </row>
    <row r="43" spans="1:73" x14ac:dyDescent="0.2">
      <c r="A43" s="7">
        <v>44</v>
      </c>
      <c r="B43" s="7" t="s">
        <v>80</v>
      </c>
      <c r="C43" s="7">
        <v>450101</v>
      </c>
      <c r="D43" s="8">
        <v>6.29</v>
      </c>
      <c r="E43" s="8">
        <v>2.6199999999999998E-2</v>
      </c>
      <c r="F43" s="48">
        <v>12.95</v>
      </c>
      <c r="G43" s="48">
        <v>0.49399999999999999</v>
      </c>
      <c r="H43" s="48">
        <f t="shared" si="43"/>
        <v>13.443999999999999</v>
      </c>
      <c r="I43" s="48">
        <v>12.869</v>
      </c>
      <c r="J43" s="48">
        <f t="shared" si="44"/>
        <v>0.57499999999999929</v>
      </c>
      <c r="K43" s="48">
        <f t="shared" si="32"/>
        <v>44.401544401544349</v>
      </c>
      <c r="L43" s="48">
        <f t="shared" si="45"/>
        <v>4.646464646464641E-2</v>
      </c>
      <c r="M43" s="58">
        <f t="shared" si="46"/>
        <v>0.95559845559845569</v>
      </c>
      <c r="N43" s="48"/>
      <c r="O43" s="48">
        <v>0.36</v>
      </c>
      <c r="P43" s="48"/>
      <c r="Q43" s="48">
        <f t="shared" si="36"/>
        <v>7.1999999999999993</v>
      </c>
      <c r="R43" s="46">
        <f t="shared" si="47"/>
        <v>10.294726504202812</v>
      </c>
      <c r="S43" s="46">
        <f t="shared" si="48"/>
        <v>2059.4600371657725</v>
      </c>
      <c r="T43" s="48">
        <v>0.13700000000000001</v>
      </c>
      <c r="U43" s="48">
        <f t="shared" si="33"/>
        <v>2.74</v>
      </c>
      <c r="V43" s="46">
        <f t="shared" si="49"/>
        <v>0.78664283437945981</v>
      </c>
      <c r="W43" s="46">
        <f t="shared" si="50"/>
        <v>95.577104377104376</v>
      </c>
      <c r="X43" s="48">
        <v>1.3420000000000001</v>
      </c>
      <c r="Y43" s="48"/>
      <c r="Z43" s="48"/>
      <c r="AA43" s="48">
        <f t="shared" si="73"/>
        <v>10.736000000000001</v>
      </c>
      <c r="AB43" s="46">
        <f t="shared" si="51"/>
        <v>22.469688888888889</v>
      </c>
      <c r="AC43">
        <v>2.3E-2</v>
      </c>
      <c r="AD43" s="48">
        <v>0</v>
      </c>
      <c r="AE43" s="48"/>
      <c r="AF43" s="48">
        <f>AC43*2</f>
        <v>4.5999999999999999E-2</v>
      </c>
      <c r="AG43" s="46">
        <f t="shared" si="52"/>
        <v>9.6274747474747457E-2</v>
      </c>
      <c r="AH43">
        <v>0.14000000000000001</v>
      </c>
      <c r="AI43">
        <f t="shared" si="53"/>
        <v>1.1200000000000001</v>
      </c>
      <c r="AJ43" s="46">
        <f t="shared" si="54"/>
        <v>2.344080808080808</v>
      </c>
      <c r="AK43">
        <v>1.07</v>
      </c>
      <c r="AN43" s="48"/>
      <c r="AO43" s="48">
        <f t="shared" si="74"/>
        <v>8.56</v>
      </c>
      <c r="AP43" s="46">
        <f t="shared" si="55"/>
        <v>17.915474747474747</v>
      </c>
      <c r="AQ43" s="48">
        <v>2.4272761439443764</v>
      </c>
      <c r="AR43" s="46">
        <f t="shared" si="56"/>
        <v>1.7796685430671773</v>
      </c>
      <c r="AS43" s="46">
        <f t="shared" si="57"/>
        <v>695.85040033926634</v>
      </c>
      <c r="AT43" s="48">
        <v>6.3463791848617168</v>
      </c>
      <c r="AU43" s="46">
        <f t="shared" si="58"/>
        <v>7.9172195139635022</v>
      </c>
      <c r="AV43" s="46">
        <f t="shared" si="59"/>
        <v>1819.3770443088129</v>
      </c>
      <c r="AW43" s="48">
        <v>0.2177768612084966</v>
      </c>
      <c r="AX43" s="48">
        <f t="shared" si="60"/>
        <v>11.242997481078811</v>
      </c>
      <c r="AY43" s="48">
        <f t="shared" si="61"/>
        <v>11.765399384240048</v>
      </c>
      <c r="AZ43">
        <v>0.51</v>
      </c>
      <c r="BB43">
        <v>8.49</v>
      </c>
      <c r="BC43" s="48">
        <f t="shared" si="40"/>
        <v>4.0935234699940581</v>
      </c>
      <c r="BD43" s="48">
        <f t="shared" si="62"/>
        <v>7.0408603683897795</v>
      </c>
      <c r="BE43" s="48">
        <v>10.050000000000001</v>
      </c>
      <c r="BF43" s="48">
        <v>32.192999999999998</v>
      </c>
      <c r="BG43" s="48">
        <v>32.218499999999999</v>
      </c>
      <c r="BH43" s="48">
        <f t="shared" si="63"/>
        <v>2.5500000000000966E-2</v>
      </c>
      <c r="BI43" s="48">
        <v>43.376100000000001</v>
      </c>
      <c r="BJ43" s="48">
        <v>43.385800000000003</v>
      </c>
      <c r="BK43" s="48">
        <f t="shared" si="64"/>
        <v>9.7000000000022624E-3</v>
      </c>
      <c r="BL43" s="48">
        <v>147.51</v>
      </c>
      <c r="BM43" s="48">
        <v>156.31</v>
      </c>
      <c r="BN43" s="48">
        <f t="shared" si="65"/>
        <v>8.8000000000000114</v>
      </c>
      <c r="BO43" s="48">
        <f t="shared" si="66"/>
        <v>2.5847676767795105E-2</v>
      </c>
      <c r="BP43" s="48">
        <f t="shared" si="67"/>
        <v>0.82670707070700278</v>
      </c>
      <c r="BQ43" s="48">
        <f t="shared" si="68"/>
        <v>9.2088888888889002</v>
      </c>
      <c r="BR43" s="48">
        <f t="shared" si="69"/>
        <v>10.061443636363698</v>
      </c>
      <c r="BS43" s="48">
        <f t="shared" si="70"/>
        <v>0.25689829115950502</v>
      </c>
      <c r="BT43" s="48">
        <f t="shared" si="71"/>
        <v>8.2165850208527598</v>
      </c>
      <c r="BU43" s="48">
        <f t="shared" si="72"/>
        <v>91.526516687987737</v>
      </c>
    </row>
    <row r="44" spans="1:73" x14ac:dyDescent="0.2">
      <c r="A44" s="7">
        <v>12</v>
      </c>
      <c r="B44" s="7" t="s">
        <v>80</v>
      </c>
      <c r="C44" s="7">
        <v>450176</v>
      </c>
      <c r="D44" s="8">
        <v>5.57</v>
      </c>
      <c r="E44" s="8">
        <v>0.02</v>
      </c>
      <c r="F44" s="48">
        <v>9.8079999999999998</v>
      </c>
      <c r="G44" s="48">
        <v>0.23400000000000001</v>
      </c>
      <c r="H44" s="48">
        <f t="shared" si="43"/>
        <v>10.042</v>
      </c>
      <c r="I44" s="48">
        <v>9.7240000000000002</v>
      </c>
      <c r="J44" s="48">
        <f t="shared" si="44"/>
        <v>0.31799999999999962</v>
      </c>
      <c r="K44" s="48">
        <f t="shared" si="32"/>
        <v>32.422512234910236</v>
      </c>
      <c r="L44" s="48">
        <f t="shared" si="45"/>
        <v>3.3508956796627985E-2</v>
      </c>
      <c r="M44" s="58">
        <f t="shared" si="46"/>
        <v>0.96757748776508978</v>
      </c>
      <c r="N44" s="48"/>
      <c r="O44" s="48">
        <v>0.47199999999999998</v>
      </c>
      <c r="P44" s="48"/>
      <c r="Q44" s="48">
        <f t="shared" si="36"/>
        <v>9.44</v>
      </c>
      <c r="R44" s="46">
        <f t="shared" si="47"/>
        <v>13.666730400751792</v>
      </c>
      <c r="S44" s="46">
        <f t="shared" si="48"/>
        <v>2734.0294166703961</v>
      </c>
      <c r="T44" s="48">
        <v>0.247</v>
      </c>
      <c r="U44" s="48">
        <f t="shared" si="33"/>
        <v>4.9399999999999995</v>
      </c>
      <c r="V44" s="46">
        <f t="shared" si="49"/>
        <v>1.4006952665501624</v>
      </c>
      <c r="W44" s="46">
        <f t="shared" si="50"/>
        <v>170.18447488584474</v>
      </c>
      <c r="X44" s="48">
        <v>1.61</v>
      </c>
      <c r="Y44" s="48"/>
      <c r="Z44" s="48"/>
      <c r="AA44" s="48">
        <f t="shared" si="73"/>
        <v>12.88</v>
      </c>
      <c r="AB44" s="46">
        <f t="shared" si="51"/>
        <v>26.623190727081138</v>
      </c>
      <c r="AC44">
        <v>3.9E-2</v>
      </c>
      <c r="AD44" s="48">
        <v>1.6E-2</v>
      </c>
      <c r="AE44" s="48"/>
      <c r="AF44" s="48">
        <f>AC44*2</f>
        <v>7.8E-2</v>
      </c>
      <c r="AG44" s="46">
        <f t="shared" si="52"/>
        <v>0.16122739726027396</v>
      </c>
      <c r="AH44">
        <v>0.08</v>
      </c>
      <c r="AI44">
        <f t="shared" si="53"/>
        <v>0.64</v>
      </c>
      <c r="AJ44" s="46">
        <f t="shared" si="54"/>
        <v>1.3228914646996839</v>
      </c>
      <c r="AK44">
        <v>1.7</v>
      </c>
      <c r="AN44" s="48"/>
      <c r="AO44" s="48">
        <f t="shared" si="74"/>
        <v>13.6</v>
      </c>
      <c r="AP44" s="46">
        <f t="shared" si="55"/>
        <v>28.111443624868279</v>
      </c>
      <c r="AQ44" s="48">
        <v>2.3802969087663253</v>
      </c>
      <c r="AR44" s="46">
        <f t="shared" si="56"/>
        <v>1.7671010509865446</v>
      </c>
      <c r="AS44" s="46">
        <f t="shared" si="57"/>
        <v>690.93651093573897</v>
      </c>
      <c r="AT44" s="48">
        <v>7.1651564774381358</v>
      </c>
      <c r="AU44" s="46">
        <f t="shared" si="58"/>
        <v>9.0507103183855762</v>
      </c>
      <c r="AV44" s="46">
        <f t="shared" si="59"/>
        <v>2079.8532311650056</v>
      </c>
      <c r="AW44" s="48">
        <v>0.19983501752938751</v>
      </c>
      <c r="AX44" s="48">
        <f t="shared" si="60"/>
        <v>10.316727802239933</v>
      </c>
      <c r="AY44" s="48">
        <f t="shared" si="61"/>
        <v>10.662430588447762</v>
      </c>
      <c r="AZ44">
        <v>0.5</v>
      </c>
      <c r="BB44">
        <v>9.08</v>
      </c>
      <c r="BC44" s="48">
        <f t="shared" si="40"/>
        <v>4.1237007376185462</v>
      </c>
      <c r="BD44" s="48">
        <f t="shared" si="62"/>
        <v>7.0927652687038991</v>
      </c>
      <c r="BE44" s="48">
        <v>10.01</v>
      </c>
      <c r="BF44" s="48">
        <v>32.793599999999998</v>
      </c>
      <c r="BG44" s="48">
        <v>32.8523</v>
      </c>
      <c r="BH44" s="48">
        <f t="shared" si="63"/>
        <v>5.8700000000001751E-2</v>
      </c>
      <c r="BI44" s="48">
        <v>33.303100000000001</v>
      </c>
      <c r="BJ44" s="48">
        <v>33.325800000000001</v>
      </c>
      <c r="BK44" s="48">
        <f t="shared" si="64"/>
        <v>2.2700000000000387E-2</v>
      </c>
      <c r="BL44" s="48">
        <v>165.78</v>
      </c>
      <c r="BM44" s="48">
        <v>174.31</v>
      </c>
      <c r="BN44" s="48">
        <f t="shared" si="65"/>
        <v>8.5300000000000011</v>
      </c>
      <c r="BO44" s="48">
        <f t="shared" si="66"/>
        <v>0.69730849315070487</v>
      </c>
      <c r="BP44" s="48">
        <f t="shared" si="67"/>
        <v>1.8603161222340008</v>
      </c>
      <c r="BQ44" s="48">
        <f t="shared" si="68"/>
        <v>8.8158314014752381</v>
      </c>
      <c r="BR44" s="48">
        <f t="shared" si="69"/>
        <v>11.373456016859944</v>
      </c>
      <c r="BS44" s="48">
        <f t="shared" si="70"/>
        <v>6.1310167473898778</v>
      </c>
      <c r="BT44" s="48">
        <f t="shared" si="71"/>
        <v>16.356647614201691</v>
      </c>
      <c r="BU44" s="48">
        <f t="shared" si="72"/>
        <v>77.51233563840843</v>
      </c>
    </row>
    <row r="45" spans="1:73" x14ac:dyDescent="0.2">
      <c r="A45" s="7">
        <v>52</v>
      </c>
      <c r="B45" s="7" t="s">
        <v>80</v>
      </c>
      <c r="C45" s="7">
        <v>450176</v>
      </c>
      <c r="D45" s="77">
        <v>5.35</v>
      </c>
      <c r="E45" s="77">
        <v>2.2600000000000002E-2</v>
      </c>
      <c r="F45" s="48">
        <v>10.09</v>
      </c>
      <c r="G45" s="48">
        <v>0.41799999999999998</v>
      </c>
      <c r="H45" s="48">
        <f t="shared" si="43"/>
        <v>10.507999999999999</v>
      </c>
      <c r="I45" s="48">
        <v>10.436999999999999</v>
      </c>
      <c r="J45" s="48">
        <f t="shared" si="44"/>
        <v>7.099999999999973E-2</v>
      </c>
      <c r="K45" s="48">
        <f t="shared" si="32"/>
        <v>7.0366699702675648</v>
      </c>
      <c r="L45" s="48">
        <f t="shared" si="45"/>
        <v>7.0865355823934257E-3</v>
      </c>
      <c r="M45" s="58">
        <f t="shared" si="46"/>
        <v>0.99296333002973236</v>
      </c>
      <c r="N45" s="48"/>
      <c r="O45" s="48">
        <v>0.52300000000000002</v>
      </c>
      <c r="P45" s="48"/>
      <c r="Q45" s="48">
        <f t="shared" si="36"/>
        <v>10.46</v>
      </c>
      <c r="R45" s="46">
        <f t="shared" si="47"/>
        <v>15.540742791188531</v>
      </c>
      <c r="S45" s="46">
        <f t="shared" si="48"/>
        <v>3108.9255953772658</v>
      </c>
      <c r="T45" s="48">
        <v>0.248</v>
      </c>
      <c r="U45" s="48">
        <f t="shared" si="33"/>
        <v>4.96</v>
      </c>
      <c r="V45" s="46">
        <f t="shared" si="49"/>
        <v>1.3704113076786479</v>
      </c>
      <c r="W45" s="46">
        <f t="shared" si="50"/>
        <v>166.50497388295574</v>
      </c>
      <c r="X45" s="48">
        <v>1.41</v>
      </c>
      <c r="Y45" s="48"/>
      <c r="Z45" s="48"/>
      <c r="AA45" s="48">
        <f t="shared" si="73"/>
        <v>11.28</v>
      </c>
      <c r="AB45" s="46">
        <f t="shared" si="51"/>
        <v>22.719872242738795</v>
      </c>
      <c r="AC45">
        <v>0</v>
      </c>
      <c r="AD45" s="48">
        <v>0</v>
      </c>
      <c r="AE45" s="48"/>
      <c r="AF45" s="48">
        <f>AD45*8</f>
        <v>0</v>
      </c>
      <c r="AG45" s="46">
        <f t="shared" si="52"/>
        <v>0</v>
      </c>
      <c r="AH45">
        <v>0.15</v>
      </c>
      <c r="AI45">
        <f t="shared" si="53"/>
        <v>1.2</v>
      </c>
      <c r="AJ45" s="46">
        <f t="shared" si="54"/>
        <v>2.4170076853977442</v>
      </c>
      <c r="AK45">
        <v>0.78</v>
      </c>
      <c r="AN45" s="48"/>
      <c r="AO45" s="48">
        <f t="shared" si="74"/>
        <v>6.24</v>
      </c>
      <c r="AP45" s="46">
        <f t="shared" si="55"/>
        <v>12.568439964068272</v>
      </c>
      <c r="AQ45" s="48">
        <v>2.662172319834633</v>
      </c>
      <c r="AR45" s="46">
        <f t="shared" si="56"/>
        <v>2.0282144438485741</v>
      </c>
      <c r="AS45" s="46">
        <f t="shared" si="57"/>
        <v>793.03184754479253</v>
      </c>
      <c r="AT45" s="48">
        <v>13.169523289665211</v>
      </c>
      <c r="AU45" s="46">
        <f t="shared" si="58"/>
        <v>17.071610575208986</v>
      </c>
      <c r="AV45" s="46">
        <f t="shared" si="59"/>
        <v>3923.0561101830249</v>
      </c>
      <c r="AW45" s="48">
        <v>0.26672347677886665</v>
      </c>
      <c r="AX45" s="48">
        <f t="shared" si="60"/>
        <v>13.769926524463948</v>
      </c>
      <c r="AY45" s="48">
        <f t="shared" si="61"/>
        <v>13.867507598746506</v>
      </c>
      <c r="AZ45">
        <v>0.5</v>
      </c>
      <c r="BB45">
        <v>9.16</v>
      </c>
      <c r="BC45" s="48">
        <f t="shared" si="40"/>
        <v>4.0182752769737506</v>
      </c>
      <c r="BD45" s="48">
        <f t="shared" si="62"/>
        <v>6.9114334763948513</v>
      </c>
      <c r="BE45" s="48">
        <v>10.02</v>
      </c>
      <c r="BF45" s="48">
        <v>45.6509</v>
      </c>
      <c r="BG45" s="48">
        <v>45.680799999999998</v>
      </c>
      <c r="BH45" s="48">
        <f t="shared" si="63"/>
        <v>2.9899999999997817E-2</v>
      </c>
      <c r="BI45" s="48">
        <v>44.545099999999998</v>
      </c>
      <c r="BJ45" s="48">
        <v>44.566400000000002</v>
      </c>
      <c r="BK45" s="48">
        <f t="shared" si="64"/>
        <v>2.1300000000003649E-2</v>
      </c>
      <c r="BL45" s="48">
        <v>141.75</v>
      </c>
      <c r="BM45" s="48">
        <v>150.35</v>
      </c>
      <c r="BN45" s="48">
        <f t="shared" si="65"/>
        <v>8.5999999999999943</v>
      </c>
      <c r="BO45" s="48">
        <f t="shared" si="66"/>
        <v>0.60898522806685706</v>
      </c>
      <c r="BP45" s="48">
        <f t="shared" si="67"/>
        <v>0.43304721030013554</v>
      </c>
      <c r="BQ45" s="48">
        <f t="shared" si="68"/>
        <v>8.660944206008578</v>
      </c>
      <c r="BR45" s="48">
        <f t="shared" si="69"/>
        <v>9.7029766443755712</v>
      </c>
      <c r="BS45" s="48">
        <f t="shared" si="70"/>
        <v>6.2762722243576814</v>
      </c>
      <c r="BT45" s="48">
        <f t="shared" si="71"/>
        <v>4.4630346559800884</v>
      </c>
      <c r="BU45" s="48">
        <f t="shared" si="72"/>
        <v>89.260693119662221</v>
      </c>
    </row>
    <row r="46" spans="1:73" x14ac:dyDescent="0.2">
      <c r="A46" s="7">
        <v>58</v>
      </c>
      <c r="B46" s="7" t="s">
        <v>80</v>
      </c>
      <c r="C46" s="7">
        <v>450203</v>
      </c>
      <c r="D46" s="77">
        <v>5.36</v>
      </c>
      <c r="E46" s="77">
        <v>3.8299999999999994E-2</v>
      </c>
      <c r="F46" s="48">
        <v>12.041</v>
      </c>
      <c r="G46" s="48">
        <v>0.38400000000000001</v>
      </c>
      <c r="H46" s="48">
        <f t="shared" si="43"/>
        <v>12.425000000000001</v>
      </c>
      <c r="I46" s="48">
        <v>11.864000000000001</v>
      </c>
      <c r="J46" s="48">
        <f t="shared" si="44"/>
        <v>0.56099999999999994</v>
      </c>
      <c r="K46" s="48">
        <f t="shared" si="32"/>
        <v>46.590814716385673</v>
      </c>
      <c r="L46" s="48">
        <f t="shared" si="45"/>
        <v>4.8867595818815321E-2</v>
      </c>
      <c r="M46" s="58">
        <f t="shared" si="46"/>
        <v>0.95340918528361429</v>
      </c>
      <c r="N46" s="48"/>
      <c r="O46" s="48">
        <v>0.56999999999999995</v>
      </c>
      <c r="P46" s="48"/>
      <c r="Q46" s="48">
        <f t="shared" si="36"/>
        <v>11.399999999999999</v>
      </c>
      <c r="R46" s="46">
        <f t="shared" si="47"/>
        <v>16.26264046718185</v>
      </c>
      <c r="S46" s="46">
        <f t="shared" si="48"/>
        <v>3253.3412254597288</v>
      </c>
      <c r="T46" s="48">
        <v>0.22500000000000001</v>
      </c>
      <c r="U46" s="48">
        <f t="shared" si="33"/>
        <v>4.5</v>
      </c>
      <c r="V46" s="46">
        <f t="shared" si="49"/>
        <v>1.2948982664429818</v>
      </c>
      <c r="W46" s="46">
        <f t="shared" si="50"/>
        <v>157.33013937282229</v>
      </c>
      <c r="X46" s="48">
        <v>0.94199999999999995</v>
      </c>
      <c r="Y46" s="48"/>
      <c r="Z46" s="48"/>
      <c r="AA46" s="48">
        <f t="shared" si="73"/>
        <v>7.5359999999999996</v>
      </c>
      <c r="AB46" s="46">
        <f t="shared" si="51"/>
        <v>15.808532404181184</v>
      </c>
      <c r="AC46">
        <v>0.16500000000000001</v>
      </c>
      <c r="AD46" s="48">
        <v>7.6999999999999999E-2</v>
      </c>
      <c r="AE46" s="48"/>
      <c r="AF46" s="48">
        <f t="shared" ref="AF46:AF59" si="75">AC46*2</f>
        <v>0.33</v>
      </c>
      <c r="AG46" s="46">
        <f t="shared" si="52"/>
        <v>0.6922526132404182</v>
      </c>
      <c r="AH46">
        <v>0.16</v>
      </c>
      <c r="AI46">
        <f t="shared" si="53"/>
        <v>1.28</v>
      </c>
      <c r="AJ46" s="46">
        <f t="shared" si="54"/>
        <v>2.6851010452961672</v>
      </c>
      <c r="AK46">
        <v>3.87</v>
      </c>
      <c r="AN46" s="48"/>
      <c r="AO46" s="48">
        <f t="shared" si="74"/>
        <v>30.96</v>
      </c>
      <c r="AP46" s="46">
        <f t="shared" si="55"/>
        <v>64.945881533101044</v>
      </c>
      <c r="AQ46" s="48">
        <v>4.6353001973127874</v>
      </c>
      <c r="AR46" s="46">
        <f t="shared" si="56"/>
        <v>3.3907962542186403</v>
      </c>
      <c r="AS46" s="46">
        <f t="shared" si="57"/>
        <v>1325.8013353994884</v>
      </c>
      <c r="AT46" s="48">
        <v>9.5305131004366803</v>
      </c>
      <c r="AU46" s="46">
        <f t="shared" si="58"/>
        <v>11.862243773397061</v>
      </c>
      <c r="AV46" s="46">
        <f t="shared" si="59"/>
        <v>2725.9436191266445</v>
      </c>
      <c r="AW46" s="48">
        <v>2.6407160699417154</v>
      </c>
      <c r="AX46" s="48">
        <f t="shared" si="60"/>
        <v>136.33020495310868</v>
      </c>
      <c r="AY46" s="48">
        <f t="shared" si="61"/>
        <v>142.99233430665345</v>
      </c>
      <c r="AZ46">
        <v>0.50800000000000001</v>
      </c>
      <c r="BB46">
        <v>5.76</v>
      </c>
      <c r="BC46" s="48">
        <f t="shared" si="40"/>
        <v>4.1190764835797964</v>
      </c>
      <c r="BD46" s="48">
        <f t="shared" si="62"/>
        <v>7.0848115517572499</v>
      </c>
      <c r="BE46" s="48">
        <v>10.029999999999999</v>
      </c>
      <c r="BF46" s="48">
        <v>41.8782</v>
      </c>
      <c r="BG46" s="48">
        <v>41.916200000000003</v>
      </c>
      <c r="BH46" s="48">
        <f t="shared" si="63"/>
        <v>3.8000000000003809E-2</v>
      </c>
      <c r="BI46" s="48">
        <v>31.791599999999999</v>
      </c>
      <c r="BJ46" s="48">
        <v>31.808499999999999</v>
      </c>
      <c r="BK46" s="48">
        <f t="shared" si="64"/>
        <v>1.6899999999999693E-2</v>
      </c>
      <c r="BL46" s="48">
        <v>136.96</v>
      </c>
      <c r="BM46" s="48">
        <v>145.01</v>
      </c>
      <c r="BN46" s="48">
        <f t="shared" si="65"/>
        <v>8.0499999999999829</v>
      </c>
      <c r="BO46" s="48">
        <f t="shared" si="66"/>
        <v>0.40349936411148213</v>
      </c>
      <c r="BP46" s="48">
        <f t="shared" si="67"/>
        <v>1.106555313589066</v>
      </c>
      <c r="BQ46" s="48">
        <f t="shared" si="68"/>
        <v>8.4433841463414456</v>
      </c>
      <c r="BR46" s="48">
        <f t="shared" si="69"/>
        <v>9.953438824041994</v>
      </c>
      <c r="BS46" s="48">
        <f t="shared" si="70"/>
        <v>4.0538689315782115</v>
      </c>
      <c r="BT46" s="48">
        <f t="shared" si="71"/>
        <v>11.117316669654324</v>
      </c>
      <c r="BU46" s="48">
        <f t="shared" si="72"/>
        <v>84.828814398767463</v>
      </c>
    </row>
    <row r="47" spans="1:73" x14ac:dyDescent="0.2">
      <c r="A47" s="7">
        <v>57</v>
      </c>
      <c r="B47" s="7" t="s">
        <v>80</v>
      </c>
      <c r="C47" s="7">
        <v>450203</v>
      </c>
      <c r="D47" s="8">
        <v>5.25</v>
      </c>
      <c r="E47" s="8">
        <v>4.6799999999999994E-2</v>
      </c>
      <c r="F47" s="48">
        <v>10.846</v>
      </c>
      <c r="G47" s="48">
        <v>0.42799999999999905</v>
      </c>
      <c r="H47" s="48">
        <f t="shared" si="43"/>
        <v>11.273999999999999</v>
      </c>
      <c r="I47" s="48">
        <v>11.122</v>
      </c>
      <c r="J47" s="48">
        <f t="shared" si="44"/>
        <v>0.15199999999999925</v>
      </c>
      <c r="K47" s="48">
        <f t="shared" si="32"/>
        <v>14.014383182740112</v>
      </c>
      <c r="L47" s="48">
        <f t="shared" si="45"/>
        <v>1.4213577707125419E-2</v>
      </c>
      <c r="M47" s="58">
        <f t="shared" si="46"/>
        <v>0.98598561681725982</v>
      </c>
      <c r="N47" s="48"/>
      <c r="O47" s="48">
        <v>0.35399999999999998</v>
      </c>
      <c r="P47" s="48"/>
      <c r="Q47" s="48">
        <f t="shared" si="36"/>
        <v>7.08</v>
      </c>
      <c r="R47" s="46">
        <f t="shared" si="47"/>
        <v>10.445054614064139</v>
      </c>
      <c r="S47" s="46">
        <f t="shared" si="48"/>
        <v>2089.5331755435309</v>
      </c>
      <c r="T47" s="48">
        <v>0.156</v>
      </c>
      <c r="U47" s="48">
        <f t="shared" si="33"/>
        <v>3.12</v>
      </c>
      <c r="V47" s="46">
        <f t="shared" si="49"/>
        <v>0.86813343276988542</v>
      </c>
      <c r="W47" s="46">
        <f t="shared" si="50"/>
        <v>105.47821208154107</v>
      </c>
      <c r="X47" s="48">
        <v>1.659</v>
      </c>
      <c r="Y47" s="48"/>
      <c r="Z47" s="48"/>
      <c r="AA47" s="48">
        <f t="shared" si="73"/>
        <v>13.272</v>
      </c>
      <c r="AB47" s="46">
        <f t="shared" si="51"/>
        <v>26.921285206657938</v>
      </c>
      <c r="AC47">
        <v>2.4E-2</v>
      </c>
      <c r="AD47" s="48">
        <v>3.4000000000000002E-2</v>
      </c>
      <c r="AE47" s="48"/>
      <c r="AF47" s="48">
        <f t="shared" si="75"/>
        <v>4.8000000000000001E-2</v>
      </c>
      <c r="AG47" s="46">
        <f t="shared" si="52"/>
        <v>9.7364503459884039E-2</v>
      </c>
      <c r="AH47">
        <v>0.16</v>
      </c>
      <c r="AI47">
        <f t="shared" si="53"/>
        <v>1.28</v>
      </c>
      <c r="AJ47" s="46">
        <f t="shared" si="54"/>
        <v>2.5963867589302412</v>
      </c>
      <c r="AK47">
        <v>2.2599999999999998</v>
      </c>
      <c r="AN47" s="48"/>
      <c r="AO47" s="48">
        <f t="shared" si="74"/>
        <v>18.079999999999998</v>
      </c>
      <c r="AP47" s="46">
        <f t="shared" si="55"/>
        <v>36.673962969889651</v>
      </c>
      <c r="AQ47" s="48">
        <v>4.0245701399981204</v>
      </c>
      <c r="AR47" s="46">
        <f t="shared" si="56"/>
        <v>3.0446303876550176</v>
      </c>
      <c r="AS47" s="46">
        <f t="shared" si="57"/>
        <v>1190.4504815731118</v>
      </c>
      <c r="AT47" s="48">
        <v>9.80343886462882</v>
      </c>
      <c r="AU47" s="46">
        <f t="shared" si="58"/>
        <v>12.618863858839877</v>
      </c>
      <c r="AV47" s="46">
        <f t="shared" si="59"/>
        <v>2899.814914761404</v>
      </c>
      <c r="AW47" s="48">
        <v>1.499375520399667</v>
      </c>
      <c r="AX47" s="48">
        <f t="shared" si="60"/>
        <v>77.40709965924971</v>
      </c>
      <c r="AY47" s="48">
        <f t="shared" si="61"/>
        <v>78.507331485339662</v>
      </c>
      <c r="AZ47">
        <v>0.5</v>
      </c>
      <c r="BB47">
        <v>6.48</v>
      </c>
      <c r="BC47" s="48">
        <f t="shared" si="40"/>
        <v>4.0467121750514305</v>
      </c>
      <c r="BD47" s="48">
        <f t="shared" si="62"/>
        <v>6.9603449410884606</v>
      </c>
      <c r="BE47" s="48">
        <v>10.01</v>
      </c>
      <c r="BF47" s="48">
        <v>32.748399999999997</v>
      </c>
      <c r="BG47" s="48">
        <v>32.792099999999998</v>
      </c>
      <c r="BH47" s="48">
        <f t="shared" si="63"/>
        <v>4.3700000000001182E-2</v>
      </c>
      <c r="BI47" s="48">
        <v>32.600700000000003</v>
      </c>
      <c r="BJ47" s="48">
        <v>32.615499999999997</v>
      </c>
      <c r="BK47" s="48">
        <f t="shared" si="64"/>
        <v>1.4799999999993929E-2</v>
      </c>
      <c r="BL47" s="48">
        <v>141.74</v>
      </c>
      <c r="BM47" s="48">
        <v>149.52000000000001</v>
      </c>
      <c r="BN47" s="48">
        <f t="shared" si="65"/>
        <v>7.7800000000000011</v>
      </c>
      <c r="BO47" s="48">
        <f t="shared" si="66"/>
        <v>0.28367553768437509</v>
      </c>
      <c r="BP47" s="48">
        <f t="shared" si="67"/>
        <v>1.465538619787164</v>
      </c>
      <c r="BQ47" s="48">
        <f t="shared" si="68"/>
        <v>7.8905816345614372</v>
      </c>
      <c r="BR47" s="48">
        <f t="shared" si="69"/>
        <v>9.6397957920329773</v>
      </c>
      <c r="BS47" s="48">
        <f t="shared" si="70"/>
        <v>2.9427546371762876</v>
      </c>
      <c r="BT47" s="48">
        <f t="shared" si="71"/>
        <v>15.203004829193487</v>
      </c>
      <c r="BU47" s="48">
        <f t="shared" si="72"/>
        <v>81.854240533630218</v>
      </c>
    </row>
    <row r="48" spans="1:73" x14ac:dyDescent="0.2">
      <c r="A48" s="7">
        <v>32</v>
      </c>
      <c r="B48" s="7" t="s">
        <v>80</v>
      </c>
      <c r="C48" s="7">
        <v>450265</v>
      </c>
      <c r="D48" s="8">
        <v>5.22</v>
      </c>
      <c r="E48" s="8">
        <v>2.0899999999999998E-2</v>
      </c>
      <c r="F48" s="48">
        <v>12.000999999999999</v>
      </c>
      <c r="G48" s="48">
        <v>0.48299999999999998</v>
      </c>
      <c r="H48" s="48">
        <f t="shared" si="43"/>
        <v>12.484</v>
      </c>
      <c r="I48" s="48">
        <v>11.868</v>
      </c>
      <c r="J48" s="48">
        <f t="shared" si="44"/>
        <v>0.61599999999999966</v>
      </c>
      <c r="K48" s="48">
        <f t="shared" si="32"/>
        <v>51.329055912007306</v>
      </c>
      <c r="L48" s="48">
        <f t="shared" si="45"/>
        <v>5.4106280193236683E-2</v>
      </c>
      <c r="M48" s="58">
        <f t="shared" si="46"/>
        <v>0.9486709440879928</v>
      </c>
      <c r="N48" s="48"/>
      <c r="O48" s="48">
        <v>0.379</v>
      </c>
      <c r="P48" s="48"/>
      <c r="Q48" s="48">
        <f t="shared" si="36"/>
        <v>7.58</v>
      </c>
      <c r="R48" s="46">
        <f t="shared" si="47"/>
        <v>10.75948990950671</v>
      </c>
      <c r="S48" s="46">
        <f t="shared" si="48"/>
        <v>2152.4359563968173</v>
      </c>
      <c r="T48" s="48">
        <v>0.129</v>
      </c>
      <c r="U48" s="48">
        <f t="shared" si="33"/>
        <v>2.58</v>
      </c>
      <c r="V48" s="46">
        <f t="shared" si="49"/>
        <v>0.7461163793960357</v>
      </c>
      <c r="W48" s="46">
        <f t="shared" si="50"/>
        <v>90.653140096618344</v>
      </c>
      <c r="X48" s="48">
        <v>0.91800000000000004</v>
      </c>
      <c r="Y48" s="48"/>
      <c r="Z48" s="48"/>
      <c r="AA48" s="48">
        <f t="shared" si="73"/>
        <v>7.3440000000000003</v>
      </c>
      <c r="AB48" s="46">
        <f t="shared" si="51"/>
        <v>15.48271304347826</v>
      </c>
      <c r="AC48">
        <v>0.01</v>
      </c>
      <c r="AD48" s="48">
        <v>0.01</v>
      </c>
      <c r="AE48" s="48"/>
      <c r="AF48" s="48">
        <f t="shared" si="75"/>
        <v>0.02</v>
      </c>
      <c r="AG48" s="46">
        <f t="shared" si="52"/>
        <v>4.2164251207729465E-2</v>
      </c>
      <c r="AH48">
        <v>0.12</v>
      </c>
      <c r="AI48">
        <f t="shared" si="53"/>
        <v>0.96</v>
      </c>
      <c r="AJ48" s="46">
        <f t="shared" si="54"/>
        <v>2.0238840579710144</v>
      </c>
      <c r="AK48">
        <v>2.4700000000000002</v>
      </c>
      <c r="AN48" s="48"/>
      <c r="AO48" s="48">
        <f t="shared" si="74"/>
        <v>19.760000000000002</v>
      </c>
      <c r="AP48" s="46">
        <f t="shared" si="55"/>
        <v>41.658280193236713</v>
      </c>
      <c r="AQ48" s="48">
        <v>2.6151930846565818</v>
      </c>
      <c r="AR48" s="46">
        <f t="shared" si="56"/>
        <v>1.9035481017341813</v>
      </c>
      <c r="AS48" s="46">
        <f t="shared" si="57"/>
        <v>744.28730777806493</v>
      </c>
      <c r="AT48" s="48">
        <v>6.1644286754002904</v>
      </c>
      <c r="AU48" s="46">
        <f t="shared" si="58"/>
        <v>7.6344835133878437</v>
      </c>
      <c r="AV48" s="46">
        <f t="shared" si="59"/>
        <v>1754.4043113765265</v>
      </c>
      <c r="AW48" s="48">
        <v>0.33120230975458859</v>
      </c>
      <c r="AX48" s="48">
        <f t="shared" si="60"/>
        <v>17.098725335807362</v>
      </c>
      <c r="AY48" s="48">
        <f t="shared" si="61"/>
        <v>18.02387375977375</v>
      </c>
      <c r="AZ48">
        <v>0.51</v>
      </c>
      <c r="BB48">
        <v>6.91</v>
      </c>
      <c r="BC48" s="48">
        <f t="shared" si="40"/>
        <v>4.1234157431088372</v>
      </c>
      <c r="BD48" s="48">
        <f t="shared" si="62"/>
        <v>7.0922750781471997</v>
      </c>
      <c r="BE48" s="48">
        <v>10.039999999999999</v>
      </c>
      <c r="BF48" s="48">
        <v>40.351900000000001</v>
      </c>
      <c r="BG48" s="48">
        <v>40.395499999999998</v>
      </c>
      <c r="BH48" s="48">
        <f t="shared" si="63"/>
        <v>4.3599999999997863E-2</v>
      </c>
      <c r="BI48" s="48">
        <v>33.287500000000001</v>
      </c>
      <c r="BJ48" s="48">
        <v>33.304600000000001</v>
      </c>
      <c r="BK48" s="48">
        <f t="shared" si="64"/>
        <v>1.7099999999999227E-2</v>
      </c>
      <c r="BL48" s="48">
        <v>155.16999999999999</v>
      </c>
      <c r="BM48" s="48">
        <v>163.33000000000001</v>
      </c>
      <c r="BN48" s="48">
        <f t="shared" si="65"/>
        <v>8.160000000000025</v>
      </c>
      <c r="BO48" s="48">
        <f t="shared" si="66"/>
        <v>0.41605574879222967</v>
      </c>
      <c r="BP48" s="48">
        <f t="shared" si="67"/>
        <v>1.3966908212559666</v>
      </c>
      <c r="BQ48" s="48">
        <f t="shared" si="68"/>
        <v>8.6015072463768369</v>
      </c>
      <c r="BR48" s="48">
        <f t="shared" si="69"/>
        <v>10.414253816425033</v>
      </c>
      <c r="BS48" s="48">
        <f t="shared" si="70"/>
        <v>3.9950605787621543</v>
      </c>
      <c r="BT48" s="48">
        <f t="shared" si="71"/>
        <v>13.411338400963013</v>
      </c>
      <c r="BU48" s="48">
        <f t="shared" si="72"/>
        <v>82.593601020274832</v>
      </c>
    </row>
    <row r="49" spans="1:73" x14ac:dyDescent="0.2">
      <c r="A49" s="7">
        <v>28</v>
      </c>
      <c r="B49" s="7" t="s">
        <v>80</v>
      </c>
      <c r="C49" s="7">
        <v>450265</v>
      </c>
      <c r="D49" s="8">
        <v>5.7</v>
      </c>
      <c r="E49" s="8">
        <v>2.5700000000000001E-2</v>
      </c>
      <c r="F49" s="48">
        <v>11.035</v>
      </c>
      <c r="G49" s="48">
        <v>0.35199999999999998</v>
      </c>
      <c r="H49" s="48">
        <f t="shared" si="43"/>
        <v>11.387</v>
      </c>
      <c r="I49" s="48">
        <v>11.266999999999999</v>
      </c>
      <c r="J49" s="48">
        <f t="shared" si="44"/>
        <v>0.12000000000000099</v>
      </c>
      <c r="K49" s="48">
        <f t="shared" si="32"/>
        <v>10.874490258269233</v>
      </c>
      <c r="L49" s="48">
        <f t="shared" si="45"/>
        <v>1.0994044892350069E-2</v>
      </c>
      <c r="M49" s="58">
        <f t="shared" si="46"/>
        <v>0.98912550974173086</v>
      </c>
      <c r="N49" s="48"/>
      <c r="O49" s="48">
        <v>0.59</v>
      </c>
      <c r="P49" s="48"/>
      <c r="Q49" s="48">
        <f t="shared" si="36"/>
        <v>11.799999999999999</v>
      </c>
      <c r="R49" s="46">
        <f t="shared" si="47"/>
        <v>17.463861867759238</v>
      </c>
      <c r="S49" s="46">
        <f t="shared" si="48"/>
        <v>3493.6455666452357</v>
      </c>
      <c r="T49" s="48">
        <v>0.17199999999999999</v>
      </c>
      <c r="U49" s="48">
        <f t="shared" si="33"/>
        <v>3.4399999999999995</v>
      </c>
      <c r="V49" s="46">
        <f t="shared" si="49"/>
        <v>0.95413429751157297</v>
      </c>
      <c r="W49" s="46">
        <f t="shared" si="50"/>
        <v>115.92731714765613</v>
      </c>
      <c r="X49" s="48">
        <v>1.167</v>
      </c>
      <c r="Y49" s="48"/>
      <c r="Z49" s="48"/>
      <c r="AA49" s="48">
        <f t="shared" si="73"/>
        <v>9.3360000000000003</v>
      </c>
      <c r="AB49" s="46">
        <f t="shared" si="51"/>
        <v>18.877280806229958</v>
      </c>
      <c r="AC49">
        <v>0.06</v>
      </c>
      <c r="AD49" s="48">
        <v>2.9000000000000001E-2</v>
      </c>
      <c r="AE49" s="48"/>
      <c r="AF49" s="48">
        <f t="shared" si="75"/>
        <v>0.12</v>
      </c>
      <c r="AG49" s="46">
        <f t="shared" si="52"/>
        <v>0.24263857077416398</v>
      </c>
      <c r="AH49">
        <v>0.12</v>
      </c>
      <c r="AI49">
        <f t="shared" si="53"/>
        <v>0.96</v>
      </c>
      <c r="AJ49" s="46">
        <f t="shared" si="54"/>
        <v>1.9411085661933118</v>
      </c>
      <c r="AK49">
        <v>1.46</v>
      </c>
      <c r="AN49" s="48"/>
      <c r="AO49" s="48">
        <f t="shared" si="74"/>
        <v>11.68</v>
      </c>
      <c r="AP49" s="46">
        <f t="shared" si="55"/>
        <v>23.616820888685293</v>
      </c>
      <c r="AQ49" s="48">
        <v>2.7561307901907357</v>
      </c>
      <c r="AR49" s="46">
        <f t="shared" si="56"/>
        <v>2.0916823064672307</v>
      </c>
      <c r="AS49" s="46">
        <f t="shared" si="57"/>
        <v>817.84778182868718</v>
      </c>
      <c r="AT49" s="48">
        <v>7.5290574963609895</v>
      </c>
      <c r="AU49" s="46">
        <f t="shared" si="58"/>
        <v>9.7221708015180983</v>
      </c>
      <c r="AV49" s="46">
        <f t="shared" si="59"/>
        <v>2234.1548501888592</v>
      </c>
      <c r="AW49" s="48">
        <v>0.37451020829036913</v>
      </c>
      <c r="AX49" s="48">
        <f t="shared" si="60"/>
        <v>19.334548698521896</v>
      </c>
      <c r="AY49" s="48">
        <f t="shared" si="61"/>
        <v>19.547113594886774</v>
      </c>
      <c r="AZ49">
        <v>0.5</v>
      </c>
      <c r="BB49">
        <v>6.33</v>
      </c>
      <c r="BC49" s="48">
        <f t="shared" si="40"/>
        <v>4.0338662391204769</v>
      </c>
      <c r="BD49" s="48">
        <f t="shared" si="62"/>
        <v>6.9382499312872206</v>
      </c>
      <c r="BE49" s="48">
        <v>10</v>
      </c>
      <c r="BF49" s="48">
        <v>33.488100000000003</v>
      </c>
      <c r="BG49" s="48">
        <v>33.523899999999998</v>
      </c>
      <c r="BH49" s="48">
        <f t="shared" si="63"/>
        <v>3.5799999999994725E-2</v>
      </c>
      <c r="BI49" s="48">
        <v>40.352400000000003</v>
      </c>
      <c r="BJ49" s="48">
        <v>40.367100000000001</v>
      </c>
      <c r="BK49" s="48">
        <f t="shared" si="64"/>
        <v>1.4699999999997715E-2</v>
      </c>
      <c r="BL49" s="48">
        <v>140.41</v>
      </c>
      <c r="BM49" s="48">
        <v>148.69</v>
      </c>
      <c r="BN49" s="48">
        <f t="shared" si="65"/>
        <v>8.2800000000000011</v>
      </c>
      <c r="BO49" s="48">
        <f t="shared" si="66"/>
        <v>0.27772006413181299</v>
      </c>
      <c r="BP49" s="48">
        <f t="shared" si="67"/>
        <v>1.0665987173612781</v>
      </c>
      <c r="BQ49" s="48">
        <f t="shared" si="68"/>
        <v>8.3710306917086594</v>
      </c>
      <c r="BR49" s="48">
        <f t="shared" si="69"/>
        <v>9.7153494732017514</v>
      </c>
      <c r="BS49" s="48">
        <f t="shared" si="70"/>
        <v>2.8585699865749525</v>
      </c>
      <c r="BT49" s="48">
        <f t="shared" si="71"/>
        <v>10.978490483572632</v>
      </c>
      <c r="BU49" s="48">
        <f t="shared" si="72"/>
        <v>86.162939529852409</v>
      </c>
    </row>
    <row r="50" spans="1:73" x14ac:dyDescent="0.2">
      <c r="A50" s="7">
        <v>43</v>
      </c>
      <c r="B50" s="7" t="s">
        <v>80</v>
      </c>
      <c r="C50" s="7">
        <v>451383</v>
      </c>
      <c r="D50" s="8">
        <v>6.16</v>
      </c>
      <c r="E50" s="8">
        <v>4.9700000000000001E-2</v>
      </c>
      <c r="F50" s="48">
        <v>12.172000000000001</v>
      </c>
      <c r="G50" s="48">
        <v>0.43099999999999999</v>
      </c>
      <c r="H50" s="48">
        <f t="shared" si="43"/>
        <v>12.603</v>
      </c>
      <c r="I50" s="48">
        <v>12.03</v>
      </c>
      <c r="J50" s="48">
        <f t="shared" si="44"/>
        <v>0.5730000000000004</v>
      </c>
      <c r="K50" s="48">
        <f t="shared" si="32"/>
        <v>47.075254682878771</v>
      </c>
      <c r="L50" s="48">
        <f t="shared" si="45"/>
        <v>4.9400810414690959E-2</v>
      </c>
      <c r="M50" s="58">
        <f t="shared" si="46"/>
        <v>0.95292474531712112</v>
      </c>
      <c r="N50" s="48"/>
      <c r="O50" s="48">
        <v>1.256</v>
      </c>
      <c r="P50" s="48"/>
      <c r="Q50" s="48">
        <f t="shared" si="36"/>
        <v>25.12</v>
      </c>
      <c r="R50" s="46">
        <f t="shared" si="47"/>
        <v>35.816662746682418</v>
      </c>
      <c r="S50" s="46">
        <f t="shared" si="48"/>
        <v>7165.1233824738174</v>
      </c>
      <c r="T50" s="48">
        <v>0.28100000000000003</v>
      </c>
      <c r="U50" s="48">
        <f t="shared" si="33"/>
        <v>5.620000000000001</v>
      </c>
      <c r="V50" s="46">
        <f t="shared" si="49"/>
        <v>1.6180061877998808</v>
      </c>
      <c r="W50" s="46">
        <f t="shared" si="50"/>
        <v>196.5877518176855</v>
      </c>
      <c r="X50" s="48">
        <v>1.7709999999999999</v>
      </c>
      <c r="Y50" s="48"/>
      <c r="Z50" s="48"/>
      <c r="AA50" s="48">
        <f t="shared" si="73"/>
        <v>14.167999999999999</v>
      </c>
      <c r="AB50" s="46">
        <f t="shared" si="51"/>
        <v>29.735821363910691</v>
      </c>
      <c r="AC50">
        <v>0.03</v>
      </c>
      <c r="AD50" s="48">
        <v>2.5000000000000001E-2</v>
      </c>
      <c r="AE50" s="48"/>
      <c r="AF50" s="48">
        <f t="shared" si="75"/>
        <v>0.06</v>
      </c>
      <c r="AG50" s="46">
        <f t="shared" si="52"/>
        <v>0.12592809724976292</v>
      </c>
      <c r="AH50">
        <v>0.14000000000000001</v>
      </c>
      <c r="AI50">
        <f t="shared" si="53"/>
        <v>1.1200000000000001</v>
      </c>
      <c r="AJ50" s="46">
        <f t="shared" si="54"/>
        <v>2.3506578153289084</v>
      </c>
      <c r="AK50">
        <v>1.27</v>
      </c>
      <c r="AN50" s="48"/>
      <c r="AO50" s="48">
        <f t="shared" si="74"/>
        <v>10.16</v>
      </c>
      <c r="AP50" s="46">
        <f t="shared" si="55"/>
        <v>21.323824467626523</v>
      </c>
      <c r="AQ50" s="48">
        <v>2.8031100253687868</v>
      </c>
      <c r="AR50" s="46">
        <f t="shared" si="56"/>
        <v>2.0494779337752584</v>
      </c>
      <c r="AS50" s="46">
        <f t="shared" si="57"/>
        <v>801.34587210612608</v>
      </c>
      <c r="AT50" s="48">
        <v>8.8027110625909746</v>
      </c>
      <c r="AU50" s="46">
        <f t="shared" si="58"/>
        <v>10.950810962688916</v>
      </c>
      <c r="AV50" s="46">
        <f t="shared" si="59"/>
        <v>2516.4963592259128</v>
      </c>
      <c r="AW50" s="48">
        <v>0.10826974633945144</v>
      </c>
      <c r="AX50" s="48">
        <f t="shared" si="60"/>
        <v>5.5895584067863417</v>
      </c>
      <c r="AY50" s="48">
        <f t="shared" si="61"/>
        <v>5.8656871219418365</v>
      </c>
      <c r="AZ50">
        <v>0.51</v>
      </c>
      <c r="BB50">
        <v>6.45</v>
      </c>
      <c r="BC50" s="48">
        <f t="shared" si="40"/>
        <v>4.1050090525045269</v>
      </c>
      <c r="BD50" s="48">
        <f t="shared" si="62"/>
        <v>7.0606155703077862</v>
      </c>
      <c r="BE50" s="48">
        <v>10.039999999999999</v>
      </c>
      <c r="BF50" s="48">
        <v>31.485800000000001</v>
      </c>
      <c r="BG50" s="48">
        <v>31.524000000000001</v>
      </c>
      <c r="BH50" s="48">
        <f t="shared" si="63"/>
        <v>3.819999999999979E-2</v>
      </c>
      <c r="BI50" s="48">
        <v>41.879100000000001</v>
      </c>
      <c r="BJ50" s="48">
        <v>41.901400000000002</v>
      </c>
      <c r="BK50" s="48">
        <f t="shared" si="64"/>
        <v>2.2300000000001319E-2</v>
      </c>
      <c r="BL50" s="48">
        <v>147.63999999999999</v>
      </c>
      <c r="BM50" s="48">
        <v>154.99</v>
      </c>
      <c r="BN50" s="48">
        <f t="shared" si="65"/>
        <v>7.3500000000000227</v>
      </c>
      <c r="BO50" s="48">
        <f t="shared" si="66"/>
        <v>0.68704271057856736</v>
      </c>
      <c r="BP50" s="48">
        <f t="shared" si="67"/>
        <v>0.83427364427959916</v>
      </c>
      <c r="BQ50" s="48">
        <f t="shared" si="68"/>
        <v>7.7130959565480035</v>
      </c>
      <c r="BR50" s="48">
        <f t="shared" si="69"/>
        <v>9.2344123114061709</v>
      </c>
      <c r="BS50" s="48">
        <f t="shared" si="70"/>
        <v>7.4400263645358917</v>
      </c>
      <c r="BT50" s="48">
        <f t="shared" si="71"/>
        <v>9.0343988999616176</v>
      </c>
      <c r="BU50" s="48">
        <f t="shared" si="72"/>
        <v>83.525574735502488</v>
      </c>
    </row>
    <row r="51" spans="1:73" x14ac:dyDescent="0.2">
      <c r="A51" s="7">
        <v>15</v>
      </c>
      <c r="B51" s="7" t="s">
        <v>80</v>
      </c>
      <c r="C51" s="7">
        <v>451383</v>
      </c>
      <c r="D51" s="8">
        <v>6.72</v>
      </c>
      <c r="E51" s="8">
        <v>0.1368</v>
      </c>
      <c r="F51" s="48">
        <v>9.8170000000000002</v>
      </c>
      <c r="G51" s="48">
        <v>0.54500000000000004</v>
      </c>
      <c r="H51" s="48">
        <f t="shared" si="43"/>
        <v>10.362</v>
      </c>
      <c r="I51" s="48">
        <v>9.6850000000000005</v>
      </c>
      <c r="J51" s="48">
        <f t="shared" si="44"/>
        <v>0.6769999999999996</v>
      </c>
      <c r="K51" s="48">
        <f t="shared" si="32"/>
        <v>68.962004685749179</v>
      </c>
      <c r="L51" s="48">
        <f t="shared" si="45"/>
        <v>7.4070021881838033E-2</v>
      </c>
      <c r="M51" s="58">
        <f t="shared" si="46"/>
        <v>0.93103799531425091</v>
      </c>
      <c r="N51" s="48"/>
      <c r="O51" s="48">
        <v>2.4</v>
      </c>
      <c r="P51" s="48"/>
      <c r="Q51" s="48">
        <f t="shared" si="36"/>
        <v>48</v>
      </c>
      <c r="R51" s="46">
        <f t="shared" si="47"/>
        <v>66.86756674576165</v>
      </c>
      <c r="S51" s="46">
        <f t="shared" si="48"/>
        <v>13376.856727489616</v>
      </c>
      <c r="T51" s="48">
        <v>0.35</v>
      </c>
      <c r="U51" s="48">
        <f t="shared" si="33"/>
        <v>7</v>
      </c>
      <c r="V51" s="46">
        <f t="shared" si="49"/>
        <v>2.0626859130789752</v>
      </c>
      <c r="W51" s="46">
        <f t="shared" si="50"/>
        <v>250.6163384390955</v>
      </c>
      <c r="X51" s="48">
        <v>0.96099999999999997</v>
      </c>
      <c r="Y51" s="48"/>
      <c r="Z51" s="48"/>
      <c r="AA51" s="48">
        <f t="shared" si="73"/>
        <v>7.6879999999999997</v>
      </c>
      <c r="AB51" s="46">
        <f t="shared" si="51"/>
        <v>16.51490065645514</v>
      </c>
      <c r="AC51">
        <v>0.24199999999999999</v>
      </c>
      <c r="AD51" s="48">
        <v>7.8E-2</v>
      </c>
      <c r="AE51" s="48"/>
      <c r="AF51" s="48">
        <f t="shared" si="75"/>
        <v>0.48399999999999999</v>
      </c>
      <c r="AG51" s="46">
        <f t="shared" si="52"/>
        <v>1.0396997811816191</v>
      </c>
      <c r="AH51">
        <v>0.1</v>
      </c>
      <c r="AI51">
        <f t="shared" si="53"/>
        <v>0.8</v>
      </c>
      <c r="AJ51" s="46">
        <f t="shared" si="54"/>
        <v>1.7185120350109409</v>
      </c>
      <c r="AK51">
        <v>1.6</v>
      </c>
      <c r="AN51" s="48"/>
      <c r="AO51" s="48">
        <f t="shared" si="74"/>
        <v>12.8</v>
      </c>
      <c r="AP51" s="46">
        <f t="shared" si="55"/>
        <v>27.496192560175054</v>
      </c>
      <c r="AQ51" s="48">
        <v>2.8031100253687868</v>
      </c>
      <c r="AR51" s="46">
        <f t="shared" si="56"/>
        <v>2.0024055795380824</v>
      </c>
      <c r="AS51" s="46">
        <f t="shared" si="57"/>
        <v>782.94058159939027</v>
      </c>
      <c r="AT51" s="48">
        <v>7.5290574963609895</v>
      </c>
      <c r="AU51" s="46">
        <f t="shared" si="58"/>
        <v>9.1512253237828567</v>
      </c>
      <c r="AV51" s="46">
        <f t="shared" si="59"/>
        <v>2102.9515794053004</v>
      </c>
      <c r="AW51" s="48">
        <v>7.259228706949887E-2</v>
      </c>
      <c r="AX51" s="48">
        <f t="shared" si="60"/>
        <v>3.747665827026271</v>
      </c>
      <c r="AY51" s="48">
        <f t="shared" si="61"/>
        <v>4.0252555168399233</v>
      </c>
      <c r="AZ51">
        <v>0.505</v>
      </c>
      <c r="BB51">
        <v>4.63</v>
      </c>
      <c r="BC51" s="48">
        <f t="shared" si="40"/>
        <v>4.243108304265875</v>
      </c>
      <c r="BD51" s="48">
        <f t="shared" si="62"/>
        <v>7.2981462833373048</v>
      </c>
      <c r="BE51" s="48">
        <v>10.01</v>
      </c>
      <c r="BF51" s="48">
        <v>44.1614</v>
      </c>
      <c r="BG51" s="48">
        <v>44.229199999999999</v>
      </c>
      <c r="BH51" s="48">
        <f t="shared" si="63"/>
        <v>6.7799999999998306E-2</v>
      </c>
      <c r="BI51" s="48">
        <v>39.716799999999999</v>
      </c>
      <c r="BJ51" s="48">
        <v>39.737699999999997</v>
      </c>
      <c r="BK51" s="48">
        <f t="shared" si="64"/>
        <v>2.0899999999997476E-2</v>
      </c>
      <c r="BL51" s="48">
        <v>142.21</v>
      </c>
      <c r="BM51" s="48">
        <v>149.09</v>
      </c>
      <c r="BN51" s="48">
        <f t="shared" si="65"/>
        <v>6.8799999999999955</v>
      </c>
      <c r="BO51" s="48">
        <f t="shared" si="66"/>
        <v>0.6280087417941751</v>
      </c>
      <c r="BP51" s="48">
        <f t="shared" si="67"/>
        <v>2.5186942013129547</v>
      </c>
      <c r="BQ51" s="48">
        <f t="shared" si="68"/>
        <v>7.3896017505470404</v>
      </c>
      <c r="BR51" s="48">
        <f t="shared" si="69"/>
        <v>10.53630469365417</v>
      </c>
      <c r="BS51" s="48">
        <f t="shared" si="70"/>
        <v>5.9604269243695436</v>
      </c>
      <c r="BT51" s="48">
        <f t="shared" si="71"/>
        <v>23.904910445783898</v>
      </c>
      <c r="BU51" s="48">
        <f t="shared" si="72"/>
        <v>70.134662629846559</v>
      </c>
    </row>
    <row r="52" spans="1:73" x14ac:dyDescent="0.2">
      <c r="A52" s="7">
        <v>48</v>
      </c>
      <c r="B52" s="7" t="s">
        <v>81</v>
      </c>
      <c r="C52" s="7">
        <v>490125</v>
      </c>
      <c r="D52" s="8">
        <v>5.4</v>
      </c>
      <c r="E52" s="8">
        <v>3.39E-2</v>
      </c>
      <c r="F52" s="48">
        <v>11.946999999999999</v>
      </c>
      <c r="G52" s="48">
        <v>0.66400000000000003</v>
      </c>
      <c r="H52" s="48">
        <f t="shared" si="43"/>
        <v>12.610999999999999</v>
      </c>
      <c r="I52" s="48">
        <v>11.78</v>
      </c>
      <c r="J52" s="48">
        <f t="shared" si="44"/>
        <v>0.83099999999999952</v>
      </c>
      <c r="K52" s="48">
        <f t="shared" si="32"/>
        <v>69.55721101531762</v>
      </c>
      <c r="L52" s="48">
        <f t="shared" si="45"/>
        <v>7.4757106872975848E-2</v>
      </c>
      <c r="M52" s="58">
        <f t="shared" si="46"/>
        <v>0.93044278898468247</v>
      </c>
      <c r="N52" s="48"/>
      <c r="O52" s="48">
        <v>0.58499999999999996</v>
      </c>
      <c r="P52" s="48"/>
      <c r="Q52" s="48">
        <f t="shared" si="36"/>
        <v>11.7</v>
      </c>
      <c r="R52" s="46">
        <f t="shared" si="47"/>
        <v>16.288549572749304</v>
      </c>
      <c r="S52" s="46">
        <f t="shared" si="48"/>
        <v>3258.5243420284978</v>
      </c>
      <c r="T52" s="48">
        <v>0.251</v>
      </c>
      <c r="U52" s="48">
        <f t="shared" si="33"/>
        <v>5.0199999999999996</v>
      </c>
      <c r="V52" s="46">
        <f t="shared" si="49"/>
        <v>1.4801867425246469</v>
      </c>
      <c r="W52" s="46">
        <f t="shared" si="50"/>
        <v>179.84268921674459</v>
      </c>
      <c r="X52" s="48">
        <v>5.0979999999999999</v>
      </c>
      <c r="Y52" s="48"/>
      <c r="Z52" s="48"/>
      <c r="AA52" s="48">
        <f t="shared" si="73"/>
        <v>40.783999999999999</v>
      </c>
      <c r="AB52" s="46">
        <f t="shared" si="51"/>
        <v>87.665787693414885</v>
      </c>
      <c r="AC52">
        <v>8.4000000000000005E-2</v>
      </c>
      <c r="AD52" s="48">
        <v>4.1000000000000002E-2</v>
      </c>
      <c r="AE52" s="48"/>
      <c r="AF52" s="48">
        <f t="shared" si="75"/>
        <v>0.16800000000000001</v>
      </c>
      <c r="AG52" s="46">
        <f t="shared" si="52"/>
        <v>0.36111838790931988</v>
      </c>
      <c r="AH52">
        <v>0.15</v>
      </c>
      <c r="AI52">
        <f t="shared" si="53"/>
        <v>1.2</v>
      </c>
      <c r="AJ52" s="46">
        <f t="shared" si="54"/>
        <v>2.5794170564951417</v>
      </c>
      <c r="AK52">
        <v>2.85</v>
      </c>
      <c r="AN52" s="48"/>
      <c r="AO52" s="48">
        <f t="shared" si="74"/>
        <v>22.8</v>
      </c>
      <c r="AP52" s="46">
        <f t="shared" si="55"/>
        <v>49.008924073407698</v>
      </c>
      <c r="AQ52" s="48">
        <v>2.9440477309029407</v>
      </c>
      <c r="AR52" s="46">
        <f t="shared" si="56"/>
        <v>2.1017401393698396</v>
      </c>
      <c r="AS52" s="46">
        <f t="shared" si="57"/>
        <v>821.78039449360722</v>
      </c>
      <c r="AT52" s="48">
        <v>7.5290574963609895</v>
      </c>
      <c r="AU52" s="46">
        <f t="shared" si="58"/>
        <v>9.1453750069714737</v>
      </c>
      <c r="AV52" s="46">
        <f t="shared" si="59"/>
        <v>2101.6071766020445</v>
      </c>
      <c r="AW52" s="48">
        <v>0.19550422767580944</v>
      </c>
      <c r="AX52" s="48">
        <f t="shared" si="60"/>
        <v>10.093145465968478</v>
      </c>
      <c r="AY52" s="48">
        <f t="shared" si="61"/>
        <v>10.847679820252374</v>
      </c>
      <c r="AZ52">
        <v>0.5</v>
      </c>
      <c r="BB52">
        <v>5.28</v>
      </c>
      <c r="BC52" s="48">
        <f t="shared" si="40"/>
        <v>4.2882808564231736</v>
      </c>
      <c r="BD52" s="46">
        <f t="shared" si="62"/>
        <v>7.3758430730478581</v>
      </c>
      <c r="BE52" s="46">
        <v>10</v>
      </c>
      <c r="BF52" s="46">
        <v>32.904699999999998</v>
      </c>
      <c r="BG52" s="46">
        <v>32.970199999999998</v>
      </c>
      <c r="BH52" s="46">
        <f t="shared" si="63"/>
        <v>6.5500000000000114E-2</v>
      </c>
      <c r="BI52" s="46">
        <v>38.034100000000002</v>
      </c>
      <c r="BJ52" s="46">
        <v>38.049599999999998</v>
      </c>
      <c r="BK52" s="46">
        <f t="shared" si="64"/>
        <v>1.549999999999585E-2</v>
      </c>
      <c r="BL52" s="46">
        <v>140.4</v>
      </c>
      <c r="BM52" s="46">
        <v>147.15</v>
      </c>
      <c r="BN52" s="46">
        <f t="shared" si="65"/>
        <v>6.75</v>
      </c>
      <c r="BO52" s="78">
        <f t="shared" si="66"/>
        <v>0.33822606153270246</v>
      </c>
      <c r="BP52" s="78">
        <f t="shared" si="67"/>
        <v>2.6868927671826683</v>
      </c>
      <c r="BQ52" s="78">
        <f>BN52/M52</f>
        <v>7.2546104713925867</v>
      </c>
      <c r="BR52" s="78">
        <f t="shared" si="69"/>
        <v>10.279729300107958</v>
      </c>
      <c r="BS52" s="46">
        <f>BO52/BR52*100</f>
        <v>3.2902234257194927</v>
      </c>
      <c r="BT52" s="46">
        <f t="shared" si="71"/>
        <v>26.137777452509869</v>
      </c>
      <c r="BU52" s="46">
        <f t="shared" si="72"/>
        <v>70.571999121770631</v>
      </c>
    </row>
    <row r="53" spans="1:73" x14ac:dyDescent="0.2">
      <c r="A53" s="7">
        <v>50</v>
      </c>
      <c r="B53" s="7" t="s">
        <v>81</v>
      </c>
      <c r="C53" s="7">
        <v>490125</v>
      </c>
      <c r="D53" s="77">
        <v>5.13</v>
      </c>
      <c r="E53" s="77">
        <v>3.39E-2</v>
      </c>
      <c r="F53" s="48">
        <v>9.657</v>
      </c>
      <c r="G53" s="48">
        <v>0.77699999999999925</v>
      </c>
      <c r="H53" s="48">
        <f t="shared" si="43"/>
        <v>10.433999999999999</v>
      </c>
      <c r="I53" s="48">
        <v>10.281000000000001</v>
      </c>
      <c r="J53" s="48">
        <f t="shared" si="44"/>
        <v>0.15299999999999869</v>
      </c>
      <c r="K53" s="48">
        <f t="shared" si="32"/>
        <v>15.843429636532951</v>
      </c>
      <c r="L53" s="48">
        <f t="shared" si="45"/>
        <v>1.6098484848484709E-2</v>
      </c>
      <c r="M53" s="58">
        <f t="shared" si="46"/>
        <v>0.98415657036346715</v>
      </c>
      <c r="N53" s="48"/>
      <c r="O53" s="48">
        <v>0.65700000000000003</v>
      </c>
      <c r="P53" s="48"/>
      <c r="Q53" s="48">
        <f t="shared" si="36"/>
        <v>13.14</v>
      </c>
      <c r="R53" s="46">
        <f t="shared" si="47"/>
        <v>19.349352620313155</v>
      </c>
      <c r="S53" s="46">
        <f t="shared" si="48"/>
        <v>3870.8379916936465</v>
      </c>
      <c r="T53" s="48">
        <v>0.316</v>
      </c>
      <c r="U53" s="48">
        <f t="shared" si="33"/>
        <v>6.32</v>
      </c>
      <c r="V53" s="46">
        <f t="shared" si="49"/>
        <v>1.7617949037702121</v>
      </c>
      <c r="W53" s="46">
        <f t="shared" si="50"/>
        <v>214.05808080808077</v>
      </c>
      <c r="X53" s="48">
        <v>5.4829999999999997</v>
      </c>
      <c r="Y53" s="48">
        <v>2.9169999999999998</v>
      </c>
      <c r="Z53" s="48"/>
      <c r="AA53" s="48">
        <f>Y53*16</f>
        <v>46.671999999999997</v>
      </c>
      <c r="AB53" s="46">
        <f t="shared" si="51"/>
        <v>94.846696969696936</v>
      </c>
      <c r="AC53">
        <v>0.10199999999999999</v>
      </c>
      <c r="AD53" s="48">
        <v>4.4999999999999998E-2</v>
      </c>
      <c r="AE53" s="48"/>
      <c r="AF53" s="48">
        <f t="shared" si="75"/>
        <v>0.20399999999999999</v>
      </c>
      <c r="AG53" s="46">
        <f t="shared" si="52"/>
        <v>0.41456818181818172</v>
      </c>
      <c r="AH53">
        <v>0.16</v>
      </c>
      <c r="AI53">
        <f t="shared" si="53"/>
        <v>1.28</v>
      </c>
      <c r="AJ53" s="46">
        <f t="shared" si="54"/>
        <v>2.6012121212121206</v>
      </c>
      <c r="AK53">
        <v>2.81</v>
      </c>
      <c r="AN53" s="48"/>
      <c r="AO53" s="48">
        <f t="shared" si="74"/>
        <v>22.48</v>
      </c>
      <c r="AP53" s="46">
        <f t="shared" si="55"/>
        <v>45.683787878787868</v>
      </c>
      <c r="AQ53" s="48">
        <v>3.2259231419712484</v>
      </c>
      <c r="AR53" s="46">
        <f t="shared" si="56"/>
        <v>2.4359182524234506</v>
      </c>
      <c r="AS53" s="46">
        <f t="shared" si="57"/>
        <v>952.44403669756923</v>
      </c>
      <c r="AT53" s="48">
        <v>10.167339883551673</v>
      </c>
      <c r="AU53" s="46">
        <f t="shared" si="58"/>
        <v>13.062995234354974</v>
      </c>
      <c r="AV53" s="46">
        <f t="shared" si="59"/>
        <v>3001.876304854773</v>
      </c>
      <c r="AW53" s="48">
        <v>0.21159001856052795</v>
      </c>
      <c r="AX53" s="48">
        <f t="shared" si="60"/>
        <v>10.923594143548163</v>
      </c>
      <c r="AY53" s="48">
        <f t="shared" si="61"/>
        <v>11.099447458359068</v>
      </c>
      <c r="AZ53">
        <v>0.503</v>
      </c>
      <c r="BB53">
        <v>6.6</v>
      </c>
      <c r="BC53" s="48">
        <f t="shared" si="40"/>
        <v>4.0300526387131743</v>
      </c>
      <c r="BD53" s="48">
        <f t="shared" si="62"/>
        <v>6.9316905385866594</v>
      </c>
      <c r="BE53" s="48">
        <v>10.06</v>
      </c>
      <c r="BF53" s="48">
        <v>31.342099999999999</v>
      </c>
      <c r="BG53" s="48">
        <v>31.414899999999999</v>
      </c>
      <c r="BH53" s="48">
        <f t="shared" si="63"/>
        <v>7.2800000000000864E-2</v>
      </c>
      <c r="BI53" s="48">
        <v>32.2395</v>
      </c>
      <c r="BJ53" s="48">
        <v>32.267600000000002</v>
      </c>
      <c r="BK53" s="48">
        <f t="shared" si="64"/>
        <v>2.8100000000002012E-2</v>
      </c>
      <c r="BL53" s="48">
        <v>151.03</v>
      </c>
      <c r="BM53" s="48">
        <v>157.76</v>
      </c>
      <c r="BN53" s="48">
        <f t="shared" si="65"/>
        <v>6.7299999999999898</v>
      </c>
      <c r="BO53" s="48">
        <f t="shared" si="66"/>
        <v>0.95990823863646568</v>
      </c>
      <c r="BP53" s="48">
        <f t="shared" si="67"/>
        <v>2.2709801136363046</v>
      </c>
      <c r="BQ53" s="48">
        <f t="shared" si="68"/>
        <v>6.8383428030302911</v>
      </c>
      <c r="BR53" s="48">
        <f t="shared" si="69"/>
        <v>10.069231155303061</v>
      </c>
      <c r="BS53" s="48">
        <f t="shared" si="70"/>
        <v>9.533083746229428</v>
      </c>
      <c r="BT53" s="48">
        <f t="shared" si="71"/>
        <v>22.553659545696995</v>
      </c>
      <c r="BU53" s="48">
        <f t="shared" si="72"/>
        <v>67.913256708073575</v>
      </c>
    </row>
    <row r="54" spans="1:73" x14ac:dyDescent="0.2">
      <c r="A54" s="7">
        <v>33</v>
      </c>
      <c r="B54" s="7" t="s">
        <v>81</v>
      </c>
      <c r="C54" s="7">
        <v>490299</v>
      </c>
      <c r="D54" s="8">
        <v>5.08</v>
      </c>
      <c r="E54" s="8">
        <v>1.567E-2</v>
      </c>
      <c r="F54" s="71">
        <v>12.717000000000001</v>
      </c>
      <c r="G54" s="48">
        <v>0.47699999999999998</v>
      </c>
      <c r="H54" s="48">
        <f t="shared" si="43"/>
        <v>13.194000000000001</v>
      </c>
      <c r="I54" s="48">
        <v>12.645</v>
      </c>
      <c r="J54" s="48">
        <f t="shared" si="44"/>
        <v>0.54900000000000126</v>
      </c>
      <c r="K54" s="48">
        <f t="shared" si="32"/>
        <v>43.17055909412607</v>
      </c>
      <c r="L54" s="48">
        <f t="shared" si="45"/>
        <v>4.5118343195266378E-2</v>
      </c>
      <c r="M54" s="58">
        <f t="shared" si="46"/>
        <v>0.95682944090587385</v>
      </c>
      <c r="N54" s="48"/>
      <c r="O54" s="48">
        <v>0.16600000000000001</v>
      </c>
      <c r="P54" s="48"/>
      <c r="Q54" s="48">
        <f t="shared" si="36"/>
        <v>3.3200000000000003</v>
      </c>
      <c r="R54" s="46">
        <f t="shared" si="47"/>
        <v>4.7531277962207001</v>
      </c>
      <c r="S54" s="46">
        <f t="shared" si="48"/>
        <v>950.86321563395109</v>
      </c>
      <c r="T54" s="48">
        <v>7.2999999999999995E-2</v>
      </c>
      <c r="U54" s="48">
        <f t="shared" si="33"/>
        <v>1.46</v>
      </c>
      <c r="V54" s="46">
        <f t="shared" si="49"/>
        <v>0.41862079041566225</v>
      </c>
      <c r="W54" s="46">
        <f t="shared" si="50"/>
        <v>50.862426035502963</v>
      </c>
      <c r="X54" s="48">
        <v>3.7450000000000001</v>
      </c>
      <c r="Y54" s="48"/>
      <c r="Z54" s="48"/>
      <c r="AA54" s="48">
        <f t="shared" ref="AA54:AA72" si="76">X54*8</f>
        <v>29.96</v>
      </c>
      <c r="AB54" s="46">
        <f t="shared" si="51"/>
        <v>62.623491124260369</v>
      </c>
      <c r="AC54">
        <v>1.6E-2</v>
      </c>
      <c r="AD54" s="48">
        <v>0</v>
      </c>
      <c r="AE54" s="48"/>
      <c r="AF54" s="48">
        <f t="shared" si="75"/>
        <v>3.2000000000000001E-2</v>
      </c>
      <c r="AG54" s="46">
        <f t="shared" si="52"/>
        <v>6.6887573964497057E-2</v>
      </c>
      <c r="AH54">
        <v>0.12</v>
      </c>
      <c r="AI54">
        <f t="shared" si="53"/>
        <v>0.96</v>
      </c>
      <c r="AJ54" s="46">
        <f t="shared" si="54"/>
        <v>2.0066272189349115</v>
      </c>
      <c r="AK54">
        <v>1.03</v>
      </c>
      <c r="AN54" s="48"/>
      <c r="AO54" s="48">
        <f t="shared" si="74"/>
        <v>8.24</v>
      </c>
      <c r="AP54" s="46">
        <f t="shared" si="55"/>
        <v>17.223550295857994</v>
      </c>
      <c r="AQ54" s="48">
        <v>1.863525321807761</v>
      </c>
      <c r="AR54" s="46">
        <f t="shared" si="56"/>
        <v>1.3680889195237278</v>
      </c>
      <c r="AS54" s="46">
        <f t="shared" si="57"/>
        <v>534.92276753377757</v>
      </c>
      <c r="AT54" s="48">
        <v>6.7102802037845697</v>
      </c>
      <c r="AU54" s="46">
        <f t="shared" si="58"/>
        <v>8.3819760518393522</v>
      </c>
      <c r="AV54" s="46">
        <f t="shared" si="59"/>
        <v>1926.1780967126831</v>
      </c>
      <c r="AW54" s="48">
        <v>5.2175706331202318E-2</v>
      </c>
      <c r="AX54" s="48">
        <f t="shared" si="60"/>
        <v>2.6936348131751324</v>
      </c>
      <c r="AY54" s="48">
        <f t="shared" si="61"/>
        <v>2.8151671531186855</v>
      </c>
      <c r="AZ54">
        <v>0.50600000000000001</v>
      </c>
      <c r="BB54">
        <v>7.4</v>
      </c>
      <c r="BC54" s="48">
        <f t="shared" si="40"/>
        <v>4.120575285918096</v>
      </c>
      <c r="BD54" s="48">
        <f t="shared" si="62"/>
        <v>7.0873894917791249</v>
      </c>
      <c r="BE54" s="48">
        <v>10</v>
      </c>
      <c r="BF54" s="48">
        <v>44.106900000000003</v>
      </c>
      <c r="BG54" s="48">
        <v>44.1509</v>
      </c>
      <c r="BH54" s="48">
        <f t="shared" si="63"/>
        <v>4.399999999999693E-2</v>
      </c>
      <c r="BI54" s="48">
        <v>44.734200000000001</v>
      </c>
      <c r="BJ54" s="48">
        <v>44.751600000000003</v>
      </c>
      <c r="BK54" s="48">
        <f t="shared" si="64"/>
        <v>1.740000000000208E-2</v>
      </c>
      <c r="BL54" s="48">
        <v>147.52000000000001</v>
      </c>
      <c r="BM54" s="48">
        <v>155.57</v>
      </c>
      <c r="BN54" s="48">
        <f t="shared" si="65"/>
        <v>8.0499999999999829</v>
      </c>
      <c r="BO54" s="48">
        <f t="shared" si="66"/>
        <v>0.42818498520720932</v>
      </c>
      <c r="BP54" s="48">
        <f t="shared" si="67"/>
        <v>1.3900073964494353</v>
      </c>
      <c r="BQ54" s="48">
        <f t="shared" si="68"/>
        <v>8.4132026627218774</v>
      </c>
      <c r="BR54" s="48">
        <f t="shared" si="69"/>
        <v>10.231395044378521</v>
      </c>
      <c r="BS54" s="48">
        <f t="shared" si="70"/>
        <v>4.1850107766337183</v>
      </c>
      <c r="BT54" s="48">
        <f t="shared" si="71"/>
        <v>13.585707427191496</v>
      </c>
      <c r="BU54" s="48">
        <f t="shared" si="72"/>
        <v>82.229281796174789</v>
      </c>
    </row>
    <row r="55" spans="1:73" x14ac:dyDescent="0.2">
      <c r="A55" s="7">
        <v>19</v>
      </c>
      <c r="B55" s="7" t="s">
        <v>81</v>
      </c>
      <c r="C55" s="7">
        <v>490299</v>
      </c>
      <c r="D55" s="8">
        <v>4.7699999999999996</v>
      </c>
      <c r="E55" s="8">
        <v>1.78E-2</v>
      </c>
      <c r="F55" s="48">
        <v>10.816000000000001</v>
      </c>
      <c r="G55" s="48">
        <v>0.55100000000000005</v>
      </c>
      <c r="H55" s="48">
        <f t="shared" si="43"/>
        <v>11.367000000000001</v>
      </c>
      <c r="I55" s="48">
        <v>10.754</v>
      </c>
      <c r="J55" s="48">
        <f t="shared" si="44"/>
        <v>0.61300000000000132</v>
      </c>
      <c r="K55" s="48">
        <f t="shared" si="32"/>
        <v>56.675295857988289</v>
      </c>
      <c r="L55" s="48">
        <f t="shared" si="45"/>
        <v>6.0080368519063156E-2</v>
      </c>
      <c r="M55" s="58">
        <f t="shared" si="46"/>
        <v>0.94332470414201175</v>
      </c>
      <c r="N55" s="48"/>
      <c r="O55" s="48">
        <v>9.0999999999999998E-2</v>
      </c>
      <c r="P55" s="48"/>
      <c r="Q55" s="48">
        <f t="shared" si="36"/>
        <v>1.8199999999999998</v>
      </c>
      <c r="R55" s="46">
        <f t="shared" si="47"/>
        <v>2.5688543065413389</v>
      </c>
      <c r="S55" s="46">
        <f t="shared" si="48"/>
        <v>513.89930402359482</v>
      </c>
      <c r="T55" s="48">
        <v>7.5999999999999998E-2</v>
      </c>
      <c r="U55" s="48">
        <f t="shared" si="33"/>
        <v>1.52</v>
      </c>
      <c r="V55" s="46">
        <f t="shared" si="49"/>
        <v>0.44206369277063817</v>
      </c>
      <c r="W55" s="46">
        <f t="shared" si="50"/>
        <v>53.710738671632541</v>
      </c>
      <c r="X55" s="48">
        <v>3.847</v>
      </c>
      <c r="Y55" s="48"/>
      <c r="Z55" s="48"/>
      <c r="AA55" s="48">
        <f t="shared" si="76"/>
        <v>30.776</v>
      </c>
      <c r="AB55" s="46">
        <f t="shared" si="51"/>
        <v>65.250066843085378</v>
      </c>
      <c r="AC55">
        <v>4.2999999999999997E-2</v>
      </c>
      <c r="AD55" s="48">
        <v>1.4E-2</v>
      </c>
      <c r="AE55" s="48"/>
      <c r="AF55" s="48">
        <f t="shared" si="75"/>
        <v>8.5999999999999993E-2</v>
      </c>
      <c r="AG55" s="46">
        <f t="shared" si="52"/>
        <v>0.18233382338527884</v>
      </c>
      <c r="AH55">
        <v>0.09</v>
      </c>
      <c r="AI55">
        <f t="shared" si="53"/>
        <v>0.72</v>
      </c>
      <c r="AJ55" s="46">
        <f t="shared" si="54"/>
        <v>1.5265157306674508</v>
      </c>
      <c r="AK55">
        <v>3.31</v>
      </c>
      <c r="AN55" s="48"/>
      <c r="AO55" s="48">
        <f t="shared" si="74"/>
        <v>26.48</v>
      </c>
      <c r="AP55" s="46">
        <f t="shared" si="55"/>
        <v>56.141856316769591</v>
      </c>
      <c r="AQ55" s="48">
        <v>1.9574837921638635</v>
      </c>
      <c r="AR55" s="46">
        <f t="shared" si="56"/>
        <v>1.4167847716923987</v>
      </c>
      <c r="AS55" s="46">
        <f t="shared" si="57"/>
        <v>553.96284573172795</v>
      </c>
      <c r="AT55" s="48">
        <v>7.3471069868995631</v>
      </c>
      <c r="AU55" s="46">
        <f t="shared" si="58"/>
        <v>9.0479210505440424</v>
      </c>
      <c r="AV55" s="46">
        <f t="shared" si="59"/>
        <v>2079.2122574150208</v>
      </c>
      <c r="AW55" s="48">
        <v>0.10249535986801403</v>
      </c>
      <c r="AX55" s="48">
        <f t="shared" si="60"/>
        <v>5.2914486250910695</v>
      </c>
      <c r="AY55" s="48">
        <f t="shared" si="61"/>
        <v>5.6093608084862305</v>
      </c>
      <c r="AZ55">
        <v>0.51500000000000001</v>
      </c>
      <c r="BB55">
        <v>7.6</v>
      </c>
      <c r="BC55" s="48">
        <f t="shared" si="40"/>
        <v>4.1065249227097693</v>
      </c>
      <c r="BD55" s="48">
        <f t="shared" si="62"/>
        <v>7.0632228670608033</v>
      </c>
      <c r="BE55" s="48">
        <v>10.039999999999999</v>
      </c>
      <c r="BF55" s="48">
        <v>45.185899999999997</v>
      </c>
      <c r="BG55" s="48">
        <v>45.226999999999997</v>
      </c>
      <c r="BH55" s="48">
        <f t="shared" si="63"/>
        <v>4.1100000000000136E-2</v>
      </c>
      <c r="BI55" s="48">
        <v>44.374099999999999</v>
      </c>
      <c r="BJ55" s="48">
        <v>44.389800000000001</v>
      </c>
      <c r="BK55" s="48">
        <f t="shared" si="64"/>
        <v>1.570000000000249E-2</v>
      </c>
      <c r="BL55" s="48">
        <v>143.38</v>
      </c>
      <c r="BM55" s="48">
        <v>151.61000000000001</v>
      </c>
      <c r="BN55" s="48">
        <f t="shared" si="65"/>
        <v>8.2300000000000182</v>
      </c>
      <c r="BO55" s="48">
        <f t="shared" si="66"/>
        <v>0.34420809565827171</v>
      </c>
      <c r="BP55" s="48">
        <f t="shared" si="67"/>
        <v>1.3463020680190854</v>
      </c>
      <c r="BQ55" s="48">
        <f t="shared" si="68"/>
        <v>8.7244614329119088</v>
      </c>
      <c r="BR55" s="48">
        <f t="shared" si="69"/>
        <v>10.414971596589266</v>
      </c>
      <c r="BS55" s="48">
        <f t="shared" si="70"/>
        <v>3.3049355196608912</v>
      </c>
      <c r="BT55" s="48">
        <f t="shared" si="71"/>
        <v>12.926603356844272</v>
      </c>
      <c r="BU55" s="48">
        <f t="shared" si="72"/>
        <v>83.768461123494831</v>
      </c>
    </row>
    <row r="56" spans="1:73" x14ac:dyDescent="0.2">
      <c r="A56" s="7">
        <v>41</v>
      </c>
      <c r="B56" s="7" t="s">
        <v>81</v>
      </c>
      <c r="C56" s="7">
        <v>490300</v>
      </c>
      <c r="D56" s="8">
        <v>5.16</v>
      </c>
      <c r="E56" s="8">
        <v>2.6100000000000002E-2</v>
      </c>
      <c r="F56" s="48">
        <v>9.4359999999999999</v>
      </c>
      <c r="G56" s="48">
        <v>0.23699999999999999</v>
      </c>
      <c r="H56" s="48">
        <f t="shared" si="43"/>
        <v>9.673</v>
      </c>
      <c r="I56" s="48">
        <v>9.2720000000000002</v>
      </c>
      <c r="J56" s="48">
        <f t="shared" si="44"/>
        <v>0.4009999999999998</v>
      </c>
      <c r="K56" s="48">
        <f t="shared" si="32"/>
        <v>42.496820686731645</v>
      </c>
      <c r="L56" s="48">
        <f t="shared" si="45"/>
        <v>4.4382955174322059E-2</v>
      </c>
      <c r="M56" s="58">
        <f t="shared" si="46"/>
        <v>0.95750317931326845</v>
      </c>
      <c r="N56" s="48"/>
      <c r="O56" s="48">
        <v>0.56999999999999995</v>
      </c>
      <c r="P56" s="48"/>
      <c r="Q56" s="48">
        <f t="shared" si="36"/>
        <v>11.399999999999999</v>
      </c>
      <c r="R56" s="46">
        <f t="shared" si="47"/>
        <v>16.332473183298642</v>
      </c>
      <c r="S56" s="46">
        <f t="shared" si="48"/>
        <v>3267.3112603188933</v>
      </c>
      <c r="T56" s="48">
        <v>0.27700000000000002</v>
      </c>
      <c r="U56" s="48">
        <f t="shared" si="33"/>
        <v>5.5400000000000009</v>
      </c>
      <c r="V56" s="46">
        <f t="shared" si="49"/>
        <v>1.5873474819384759</v>
      </c>
      <c r="W56" s="46">
        <f t="shared" si="50"/>
        <v>192.86271905552482</v>
      </c>
      <c r="X56" s="48">
        <v>7.444</v>
      </c>
      <c r="Y56" s="48"/>
      <c r="Z56" s="48"/>
      <c r="AA56" s="48">
        <f t="shared" si="76"/>
        <v>59.552</v>
      </c>
      <c r="AB56" s="46">
        <f t="shared" si="51"/>
        <v>124.39018749308245</v>
      </c>
      <c r="AC56">
        <v>4.3999999999999997E-2</v>
      </c>
      <c r="AD56" s="48">
        <v>2.5999999999999999E-2</v>
      </c>
      <c r="AE56" s="48"/>
      <c r="AF56" s="48">
        <f t="shared" si="75"/>
        <v>8.7999999999999995E-2</v>
      </c>
      <c r="AG56" s="46">
        <f t="shared" si="52"/>
        <v>0.18381140011068064</v>
      </c>
      <c r="AH56">
        <v>0.18</v>
      </c>
      <c r="AI56">
        <f t="shared" si="53"/>
        <v>1.44</v>
      </c>
      <c r="AJ56" s="46">
        <f t="shared" si="54"/>
        <v>3.0078229109020471</v>
      </c>
      <c r="AK56">
        <v>3.84</v>
      </c>
      <c r="AN56" s="48"/>
      <c r="AO56" s="48">
        <f t="shared" si="74"/>
        <v>30.72</v>
      </c>
      <c r="AP56" s="46">
        <f t="shared" si="55"/>
        <v>64.166888765910343</v>
      </c>
      <c r="AQ56" s="48">
        <v>3.2729023771493</v>
      </c>
      <c r="AR56" s="46">
        <f t="shared" si="56"/>
        <v>2.4044612007946871</v>
      </c>
      <c r="AS56" s="46">
        <f t="shared" si="57"/>
        <v>940.14432951072263</v>
      </c>
      <c r="AT56" s="48">
        <v>21.90314774381368</v>
      </c>
      <c r="AU56" s="46">
        <f t="shared" si="58"/>
        <v>27.379025589647313</v>
      </c>
      <c r="AV56" s="46">
        <f t="shared" si="59"/>
        <v>6291.700080500952</v>
      </c>
      <c r="AW56" s="48">
        <v>0.27036502371623011</v>
      </c>
      <c r="AX56" s="48">
        <f t="shared" si="60"/>
        <v>13.957925850089319</v>
      </c>
      <c r="AY56" s="48">
        <f t="shared" si="61"/>
        <v>14.577419847420343</v>
      </c>
      <c r="AZ56">
        <v>0.505</v>
      </c>
      <c r="BB56">
        <v>5.32</v>
      </c>
      <c r="BC56" s="48">
        <f t="shared" si="40"/>
        <v>4.1258296942035093</v>
      </c>
      <c r="BD56" s="48">
        <f t="shared" si="62"/>
        <v>7.0964270740300357</v>
      </c>
      <c r="BE56" s="48">
        <v>10.029999999999999</v>
      </c>
      <c r="BF56" s="48">
        <v>41.391800000000003</v>
      </c>
      <c r="BG56" s="48">
        <v>41.462899999999998</v>
      </c>
      <c r="BH56" s="48">
        <f t="shared" si="63"/>
        <v>7.1099999999994168E-2</v>
      </c>
      <c r="BI56" s="48">
        <v>45.121600000000001</v>
      </c>
      <c r="BJ56" s="48">
        <v>45.146000000000001</v>
      </c>
      <c r="BK56" s="48">
        <f t="shared" si="64"/>
        <v>2.4399999999999977E-2</v>
      </c>
      <c r="BL56" s="48">
        <v>141.75</v>
      </c>
      <c r="BM56" s="48">
        <v>148.61000000000001</v>
      </c>
      <c r="BN56" s="48">
        <f t="shared" si="65"/>
        <v>6.8600000000000136</v>
      </c>
      <c r="BO56" s="48">
        <f t="shared" si="66"/>
        <v>0.79341773104593116</v>
      </c>
      <c r="BP56" s="48">
        <f t="shared" si="67"/>
        <v>2.4386342003317383</v>
      </c>
      <c r="BQ56" s="48">
        <f t="shared" si="68"/>
        <v>7.1644670724958628</v>
      </c>
      <c r="BR56" s="48">
        <f t="shared" si="69"/>
        <v>10.396519003873532</v>
      </c>
      <c r="BS56" s="48">
        <f t="shared" si="70"/>
        <v>7.6315710167058777</v>
      </c>
      <c r="BT56" s="48">
        <f t="shared" si="71"/>
        <v>23.456256843498796</v>
      </c>
      <c r="BU56" s="48">
        <f t="shared" si="72"/>
        <v>68.912172139795331</v>
      </c>
    </row>
    <row r="57" spans="1:73" x14ac:dyDescent="0.2">
      <c r="A57" s="7">
        <v>18</v>
      </c>
      <c r="B57" s="7" t="s">
        <v>81</v>
      </c>
      <c r="C57" s="7">
        <v>490300</v>
      </c>
      <c r="D57" s="8">
        <v>5.1100000000000003</v>
      </c>
      <c r="E57" s="8">
        <v>2.9899999999999999E-2</v>
      </c>
      <c r="F57" s="48">
        <v>11.347</v>
      </c>
      <c r="G57" s="48">
        <v>0.45800000000000018</v>
      </c>
      <c r="H57" s="48">
        <f t="shared" si="43"/>
        <v>11.805</v>
      </c>
      <c r="I57" s="48">
        <v>11.606</v>
      </c>
      <c r="J57" s="48">
        <f t="shared" si="44"/>
        <v>0.19899999999999984</v>
      </c>
      <c r="K57" s="48">
        <f t="shared" si="32"/>
        <v>17.537675156428996</v>
      </c>
      <c r="L57" s="48">
        <f t="shared" si="45"/>
        <v>1.7850735557947601E-2</v>
      </c>
      <c r="M57" s="58">
        <f t="shared" si="46"/>
        <v>0.98246232484357099</v>
      </c>
      <c r="N57" s="48"/>
      <c r="O57" s="48">
        <v>0.32100000000000001</v>
      </c>
      <c r="P57" s="48"/>
      <c r="Q57" s="48">
        <f t="shared" si="36"/>
        <v>6.42</v>
      </c>
      <c r="R57" s="46">
        <f t="shared" si="47"/>
        <v>9.4375183922629304</v>
      </c>
      <c r="S57" s="46">
        <f t="shared" si="48"/>
        <v>1887.9755543721992</v>
      </c>
      <c r="T57" s="48">
        <v>0.151</v>
      </c>
      <c r="U57" s="48">
        <f t="shared" si="33"/>
        <v>3.02</v>
      </c>
      <c r="V57" s="46">
        <f t="shared" si="49"/>
        <v>0.84332214578463705</v>
      </c>
      <c r="W57" s="46">
        <f t="shared" si="50"/>
        <v>102.4636407128334</v>
      </c>
      <c r="X57" s="48">
        <v>4.4610000000000003</v>
      </c>
      <c r="Y57" s="48"/>
      <c r="Z57" s="48"/>
      <c r="AA57" s="48">
        <f t="shared" si="76"/>
        <v>35.688000000000002</v>
      </c>
      <c r="AB57" s="46">
        <f t="shared" si="51"/>
        <v>72.650114101184073</v>
      </c>
      <c r="AC57">
        <v>8.5999999999999993E-2</v>
      </c>
      <c r="AD57" s="48">
        <v>4.5999999999999999E-2</v>
      </c>
      <c r="AE57" s="48"/>
      <c r="AF57" s="48">
        <f t="shared" si="75"/>
        <v>0.17199999999999999</v>
      </c>
      <c r="AG57" s="46">
        <f t="shared" si="52"/>
        <v>0.35014065303193392</v>
      </c>
      <c r="AH57">
        <v>0.13</v>
      </c>
      <c r="AI57">
        <f t="shared" si="53"/>
        <v>1.04</v>
      </c>
      <c r="AJ57" s="46">
        <f t="shared" si="54"/>
        <v>2.1171295299605313</v>
      </c>
      <c r="AK57">
        <v>4.91</v>
      </c>
      <c r="AN57" s="48"/>
      <c r="AO57" s="48">
        <f t="shared" si="74"/>
        <v>39.28</v>
      </c>
      <c r="AP57" s="46">
        <f t="shared" si="55"/>
        <v>79.96235378543237</v>
      </c>
      <c r="AQ57" s="48">
        <v>3.4138400826834538</v>
      </c>
      <c r="AR57" s="46">
        <f t="shared" si="56"/>
        <v>2.5733779521309628</v>
      </c>
      <c r="AS57" s="46">
        <f t="shared" si="57"/>
        <v>1006.1907792832064</v>
      </c>
      <c r="AT57" s="48">
        <v>7.5290574963609895</v>
      </c>
      <c r="AU57" s="46">
        <f t="shared" si="58"/>
        <v>9.6566779787933861</v>
      </c>
      <c r="AV57" s="46">
        <f t="shared" si="59"/>
        <v>2219.1045995267204</v>
      </c>
      <c r="AW57" s="48">
        <v>5.795009280263972E-2</v>
      </c>
      <c r="AX57" s="48">
        <f t="shared" si="60"/>
        <v>2.9917445948704033</v>
      </c>
      <c r="AY57" s="48">
        <f t="shared" si="61"/>
        <v>3.045149436490354</v>
      </c>
      <c r="AZ57">
        <v>0.52</v>
      </c>
      <c r="BB57">
        <v>4.8899999999999997</v>
      </c>
      <c r="BC57" s="48">
        <f t="shared" si="40"/>
        <v>3.9050234950732796</v>
      </c>
      <c r="BD57" s="48">
        <f t="shared" si="62"/>
        <v>6.7166404115260407</v>
      </c>
      <c r="BE57" s="48">
        <v>10.039999999999999</v>
      </c>
      <c r="BF57" s="48">
        <v>31.7912</v>
      </c>
      <c r="BG57" s="48">
        <v>31.862200000000001</v>
      </c>
      <c r="BH57" s="48">
        <f t="shared" si="63"/>
        <v>7.1000000000001506E-2</v>
      </c>
      <c r="BI57" s="48">
        <v>43.639600000000002</v>
      </c>
      <c r="BJ57" s="48">
        <v>43.662599999999998</v>
      </c>
      <c r="BK57" s="48">
        <f t="shared" si="64"/>
        <v>2.2999999999996135E-2</v>
      </c>
      <c r="BL57" s="48">
        <v>141.5</v>
      </c>
      <c r="BM57" s="48">
        <v>148.22999999999999</v>
      </c>
      <c r="BN57" s="48">
        <f t="shared" si="65"/>
        <v>6.7299999999999898</v>
      </c>
      <c r="BO57" s="48">
        <f t="shared" si="66"/>
        <v>0.70201165231411966</v>
      </c>
      <c r="BP57" s="48">
        <f t="shared" si="67"/>
        <v>2.4428417653393475</v>
      </c>
      <c r="BQ57" s="48">
        <f t="shared" si="68"/>
        <v>6.8501354503049772</v>
      </c>
      <c r="BR57" s="48">
        <f t="shared" si="69"/>
        <v>9.994988867958444</v>
      </c>
      <c r="BS57" s="48">
        <f t="shared" si="70"/>
        <v>7.0236361599621375</v>
      </c>
      <c r="BT57" s="48">
        <f t="shared" si="71"/>
        <v>24.440665193440253</v>
      </c>
      <c r="BU57" s="48">
        <f t="shared" si="72"/>
        <v>68.535698646597609</v>
      </c>
    </row>
    <row r="58" spans="1:73" x14ac:dyDescent="0.2">
      <c r="A58" s="7">
        <v>56</v>
      </c>
      <c r="B58" s="7" t="s">
        <v>81</v>
      </c>
      <c r="C58" s="7">
        <v>490525</v>
      </c>
      <c r="D58" s="77">
        <v>5.25</v>
      </c>
      <c r="E58" s="77">
        <v>2.1999999999999999E-2</v>
      </c>
      <c r="F58" s="48">
        <v>10.557</v>
      </c>
      <c r="G58" s="48">
        <v>0.36299999999999955</v>
      </c>
      <c r="H58" s="48">
        <f t="shared" si="43"/>
        <v>10.92</v>
      </c>
      <c r="I58" s="48">
        <v>10.791</v>
      </c>
      <c r="J58" s="48">
        <f t="shared" si="44"/>
        <v>0.12899999999999956</v>
      </c>
      <c r="K58" s="48">
        <f t="shared" si="32"/>
        <v>12.219380505825477</v>
      </c>
      <c r="L58" s="48">
        <f t="shared" si="45"/>
        <v>1.2370540851553466E-2</v>
      </c>
      <c r="M58" s="58">
        <f t="shared" si="46"/>
        <v>0.98778061949417451</v>
      </c>
      <c r="N58" s="48"/>
      <c r="O58" s="48">
        <v>0.13</v>
      </c>
      <c r="P58" s="48"/>
      <c r="Q58" s="48">
        <f t="shared" si="36"/>
        <v>2.6</v>
      </c>
      <c r="R58" s="46">
        <f t="shared" si="47"/>
        <v>3.8427375720970383</v>
      </c>
      <c r="S58" s="46">
        <f t="shared" si="48"/>
        <v>768.73965129801252</v>
      </c>
      <c r="T58" s="48">
        <v>0.13200000000000001</v>
      </c>
      <c r="U58" s="48">
        <f t="shared" si="33"/>
        <v>2.64</v>
      </c>
      <c r="V58" s="46">
        <f t="shared" si="49"/>
        <v>0.73323956868260665</v>
      </c>
      <c r="W58" s="46">
        <f t="shared" si="50"/>
        <v>89.088607594936704</v>
      </c>
      <c r="X58" s="48">
        <v>2.7549999999999999</v>
      </c>
      <c r="Y58" s="48"/>
      <c r="Z58" s="48"/>
      <c r="AA58" s="48">
        <f t="shared" si="76"/>
        <v>22.04</v>
      </c>
      <c r="AB58" s="46">
        <f t="shared" si="51"/>
        <v>44.625293440736478</v>
      </c>
      <c r="AC58">
        <v>0.02</v>
      </c>
      <c r="AD58" s="48">
        <v>2.5000000000000001E-2</v>
      </c>
      <c r="AE58" s="48"/>
      <c r="AF58" s="48">
        <f t="shared" si="75"/>
        <v>0.04</v>
      </c>
      <c r="AG58" s="46">
        <f t="shared" si="52"/>
        <v>8.0989643268124287E-2</v>
      </c>
      <c r="AH58">
        <v>0.16</v>
      </c>
      <c r="AI58">
        <f t="shared" si="53"/>
        <v>1.28</v>
      </c>
      <c r="AJ58" s="46">
        <f t="shared" si="54"/>
        <v>2.5916685845799772</v>
      </c>
      <c r="AK58">
        <v>4.54</v>
      </c>
      <c r="AN58" s="48"/>
      <c r="AO58" s="48">
        <f t="shared" si="74"/>
        <v>36.32</v>
      </c>
      <c r="AP58" s="46">
        <f t="shared" si="55"/>
        <v>73.538596087456853</v>
      </c>
      <c r="AQ58" s="48">
        <v>2.0044630273419148</v>
      </c>
      <c r="AR58" s="46">
        <f t="shared" si="56"/>
        <v>1.5191583613050883</v>
      </c>
      <c r="AS58" s="46">
        <f t="shared" si="57"/>
        <v>593.99091927028951</v>
      </c>
      <c r="AT58" s="48">
        <v>9.0756368267831142</v>
      </c>
      <c r="AU58" s="46">
        <f t="shared" si="58"/>
        <v>11.703313534026069</v>
      </c>
      <c r="AV58" s="46">
        <f t="shared" si="59"/>
        <v>2689.4214501191909</v>
      </c>
      <c r="AW58" s="48">
        <v>0.42799318278653603</v>
      </c>
      <c r="AX58" s="48">
        <f t="shared" si="60"/>
        <v>22.095672833584722</v>
      </c>
      <c r="AY58" s="48">
        <f t="shared" si="61"/>
        <v>22.369008257015143</v>
      </c>
      <c r="AZ58">
        <v>0.5</v>
      </c>
      <c r="BB58">
        <v>5.1100000000000003</v>
      </c>
      <c r="BC58" s="48">
        <f t="shared" si="40"/>
        <v>4.0393584579976984</v>
      </c>
      <c r="BD58" s="48">
        <f t="shared" si="62"/>
        <v>6.9476965477560411</v>
      </c>
      <c r="BE58" s="48">
        <v>10.01</v>
      </c>
      <c r="BF58" s="48">
        <v>45.121499999999997</v>
      </c>
      <c r="BG58" s="48">
        <v>45.172600000000003</v>
      </c>
      <c r="BH58" s="48">
        <f t="shared" si="63"/>
        <v>5.1100000000005252E-2</v>
      </c>
      <c r="BI58" s="48">
        <v>41.238300000000002</v>
      </c>
      <c r="BJ58" s="48">
        <v>41.256700000000002</v>
      </c>
      <c r="BK58" s="48">
        <f t="shared" si="64"/>
        <v>1.839999999999975E-2</v>
      </c>
      <c r="BL58" s="48">
        <v>143.38</v>
      </c>
      <c r="BM58" s="48">
        <v>150.94999999999999</v>
      </c>
      <c r="BN58" s="48">
        <f t="shared" si="65"/>
        <v>7.5699999999999932</v>
      </c>
      <c r="BO58" s="48">
        <f t="shared" si="66"/>
        <v>0.46538673762944643</v>
      </c>
      <c r="BP58" s="48">
        <f t="shared" si="67"/>
        <v>1.6552258342925685</v>
      </c>
      <c r="BQ58" s="48">
        <f t="shared" si="68"/>
        <v>7.663644994246253</v>
      </c>
      <c r="BR58" s="48">
        <f t="shared" si="69"/>
        <v>9.784257566168268</v>
      </c>
      <c r="BS58" s="48">
        <f t="shared" si="70"/>
        <v>4.7564849400392699</v>
      </c>
      <c r="BT58" s="48">
        <f t="shared" si="71"/>
        <v>16.917234885720529</v>
      </c>
      <c r="BU58" s="48">
        <f t="shared" si="72"/>
        <v>78.32628017424021</v>
      </c>
    </row>
    <row r="59" spans="1:73" x14ac:dyDescent="0.2">
      <c r="A59" s="7">
        <v>47</v>
      </c>
      <c r="B59" s="7" t="s">
        <v>81</v>
      </c>
      <c r="C59" s="7">
        <v>490813</v>
      </c>
      <c r="D59" s="8">
        <v>5.05</v>
      </c>
      <c r="E59" s="8">
        <v>2.4199999999999999E-2</v>
      </c>
      <c r="F59" s="48">
        <v>9.6519999999999992</v>
      </c>
      <c r="G59" s="48">
        <v>0.46600000000000108</v>
      </c>
      <c r="H59" s="48">
        <f t="shared" si="43"/>
        <v>10.118</v>
      </c>
      <c r="I59" s="48">
        <v>10.021000000000001</v>
      </c>
      <c r="J59" s="48">
        <f t="shared" si="44"/>
        <v>9.6999999999999531E-2</v>
      </c>
      <c r="K59" s="48">
        <f t="shared" si="32"/>
        <v>10.049730625776993</v>
      </c>
      <c r="L59" s="48">
        <f t="shared" si="45"/>
        <v>1.0151753008895818E-2</v>
      </c>
      <c r="M59" s="58">
        <f t="shared" si="46"/>
        <v>0.98995026937422292</v>
      </c>
      <c r="N59" s="48"/>
      <c r="O59" s="48">
        <v>0.121</v>
      </c>
      <c r="P59" s="48"/>
      <c r="Q59" s="48">
        <f t="shared" si="36"/>
        <v>2.42</v>
      </c>
      <c r="R59" s="46">
        <f t="shared" si="47"/>
        <v>3.584558082621875</v>
      </c>
      <c r="S59" s="46">
        <f t="shared" si="48"/>
        <v>717.0908444285061</v>
      </c>
      <c r="T59" s="48">
        <v>0.108</v>
      </c>
      <c r="U59" s="48">
        <f t="shared" si="33"/>
        <v>2.16</v>
      </c>
      <c r="V59" s="46">
        <f t="shared" si="49"/>
        <v>0.59860844622749387</v>
      </c>
      <c r="W59" s="46">
        <f t="shared" si="50"/>
        <v>72.730926216640512</v>
      </c>
      <c r="X59" s="48">
        <v>2.327</v>
      </c>
      <c r="Y59" s="48"/>
      <c r="Z59" s="48"/>
      <c r="AA59" s="48">
        <f t="shared" si="76"/>
        <v>18.616</v>
      </c>
      <c r="AB59" s="46">
        <f t="shared" si="51"/>
        <v>37.609970068027209</v>
      </c>
      <c r="AC59">
        <v>4.5999999999999999E-2</v>
      </c>
      <c r="AD59" s="48">
        <v>8.9999999999999993E-3</v>
      </c>
      <c r="AE59" s="48"/>
      <c r="AF59" s="48">
        <f t="shared" si="75"/>
        <v>9.1999999999999998E-2</v>
      </c>
      <c r="AG59" s="46">
        <f t="shared" si="52"/>
        <v>0.18586792255363682</v>
      </c>
      <c r="AH59">
        <v>0.15</v>
      </c>
      <c r="AI59">
        <f t="shared" si="53"/>
        <v>1.2</v>
      </c>
      <c r="AJ59" s="46">
        <f t="shared" si="54"/>
        <v>2.42436420722135</v>
      </c>
      <c r="AK59">
        <v>2.48</v>
      </c>
      <c r="AN59" s="48"/>
      <c r="AO59" s="48">
        <f t="shared" si="74"/>
        <v>19.84</v>
      </c>
      <c r="AP59" s="46">
        <f t="shared" si="55"/>
        <v>40.08282155939299</v>
      </c>
      <c r="AQ59" s="48">
        <v>3.460819317861505</v>
      </c>
      <c r="AR59" s="46">
        <f t="shared" si="56"/>
        <v>2.6286744368075539</v>
      </c>
      <c r="AS59" s="46">
        <f t="shared" si="57"/>
        <v>1027.8117047917535</v>
      </c>
      <c r="AT59" s="48">
        <v>8.0749090247452688</v>
      </c>
      <c r="AU59" s="46">
        <f t="shared" si="58"/>
        <v>10.435715880181364</v>
      </c>
      <c r="AV59" s="46">
        <f t="shared" si="59"/>
        <v>2398.1275092656774</v>
      </c>
      <c r="AW59" s="48">
        <v>0.23241905547535574</v>
      </c>
      <c r="AX59" s="48">
        <f t="shared" si="60"/>
        <v>11.998918713234678</v>
      </c>
      <c r="AY59" s="48">
        <f t="shared" si="61"/>
        <v>12.120728772385256</v>
      </c>
      <c r="AZ59">
        <v>0.5</v>
      </c>
      <c r="BB59">
        <v>8.76</v>
      </c>
      <c r="BC59" s="48">
        <f t="shared" si="40"/>
        <v>4.030505494505495</v>
      </c>
      <c r="BD59" s="48">
        <f t="shared" si="62"/>
        <v>6.9324694505494513</v>
      </c>
      <c r="BE59" s="48">
        <v>10.029999999999999</v>
      </c>
      <c r="BF59" s="48">
        <v>32.645200000000003</v>
      </c>
      <c r="BG59" s="48">
        <v>32.68</v>
      </c>
      <c r="BH59" s="48">
        <f t="shared" si="63"/>
        <v>3.4799999999997056E-2</v>
      </c>
      <c r="BI59" s="48">
        <v>42.806800000000003</v>
      </c>
      <c r="BJ59" s="48">
        <v>42.822000000000003</v>
      </c>
      <c r="BK59" s="48">
        <f t="shared" si="64"/>
        <v>1.5200000000000102E-2</v>
      </c>
      <c r="BL59" s="48">
        <v>151.04</v>
      </c>
      <c r="BM59" s="48">
        <v>159.61000000000001</v>
      </c>
      <c r="BN59" s="48">
        <f t="shared" si="65"/>
        <v>8.5700000000000216</v>
      </c>
      <c r="BO59" s="48">
        <f t="shared" si="66"/>
        <v>0.30274248037677121</v>
      </c>
      <c r="BP59" s="48">
        <f t="shared" si="67"/>
        <v>0.98994871794856409</v>
      </c>
      <c r="BQ59" s="48">
        <f t="shared" si="68"/>
        <v>8.6570005232862606</v>
      </c>
      <c r="BR59" s="48">
        <f t="shared" si="69"/>
        <v>9.9496917216115968</v>
      </c>
      <c r="BS59" s="48">
        <f t="shared" si="70"/>
        <v>3.0427322659574285</v>
      </c>
      <c r="BT59" s="48">
        <f t="shared" si="71"/>
        <v>9.9495416104029566</v>
      </c>
      <c r="BU59" s="48">
        <f t="shared" si="72"/>
        <v>87.0077261236396</v>
      </c>
    </row>
    <row r="60" spans="1:73" x14ac:dyDescent="0.2">
      <c r="A60" s="7">
        <v>56</v>
      </c>
      <c r="D60" s="68">
        <v>6.43</v>
      </c>
      <c r="E60" s="68">
        <v>68.599999999999994</v>
      </c>
      <c r="F60" s="48">
        <v>10.856</v>
      </c>
      <c r="G60" s="48">
        <f t="shared" ref="G60:G95" si="77">H60-F60</f>
        <v>0.77999999999999936</v>
      </c>
      <c r="H60" s="48">
        <v>11.635999999999999</v>
      </c>
      <c r="I60" s="48">
        <v>11.372</v>
      </c>
      <c r="J60" s="48">
        <f t="shared" si="44"/>
        <v>0.26399999999999935</v>
      </c>
      <c r="K60" s="48">
        <f t="shared" si="32"/>
        <v>24.318349299926247</v>
      </c>
      <c r="L60" s="48">
        <f t="shared" si="45"/>
        <v>2.4924471299093594E-2</v>
      </c>
      <c r="M60" s="48">
        <f t="shared" si="46"/>
        <v>0.97568165070007362</v>
      </c>
      <c r="N60" s="48"/>
      <c r="O60" s="56">
        <v>1.907</v>
      </c>
      <c r="P60" s="48"/>
      <c r="Q60" s="48">
        <f t="shared" si="36"/>
        <v>38.14</v>
      </c>
      <c r="R60" s="46">
        <f t="shared" si="47"/>
        <v>55.679548365637118</v>
      </c>
      <c r="S60" s="46">
        <f t="shared" si="48"/>
        <v>11138.693650545703</v>
      </c>
      <c r="T60" s="48">
        <v>0.70499999999999996</v>
      </c>
      <c r="U60" s="48">
        <f t="shared" si="33"/>
        <v>14.1</v>
      </c>
      <c r="V60" s="46">
        <f t="shared" si="49"/>
        <v>3.964728407494436</v>
      </c>
      <c r="W60" s="46">
        <f t="shared" si="50"/>
        <v>481.714501510574</v>
      </c>
      <c r="X60" s="48">
        <v>4.7930000000000001</v>
      </c>
      <c r="Y60" s="48"/>
      <c r="Z60" s="48"/>
      <c r="AA60" s="48">
        <f t="shared" si="76"/>
        <v>38.344000000000001</v>
      </c>
      <c r="AB60" s="46">
        <f t="shared" si="51"/>
        <v>78.599407854984904</v>
      </c>
      <c r="AD60" s="48">
        <v>0.151</v>
      </c>
      <c r="AE60" s="48"/>
      <c r="AF60" s="48">
        <f t="shared" ref="AF60:AF95" si="78">AD60*8</f>
        <v>1.208</v>
      </c>
      <c r="AG60" s="46">
        <f t="shared" si="52"/>
        <v>2.4762175226586107</v>
      </c>
      <c r="AH60">
        <v>0.39</v>
      </c>
      <c r="AI60">
        <f t="shared" si="53"/>
        <v>3.12</v>
      </c>
      <c r="AJ60" s="46">
        <f t="shared" si="54"/>
        <v>6.395528700906346</v>
      </c>
      <c r="AK60">
        <v>3.02</v>
      </c>
      <c r="AM60">
        <f>AK60*8</f>
        <v>24.16</v>
      </c>
      <c r="AN60" s="46">
        <f t="shared" ref="AN60:AN95" si="79">(AM60*20)/(10*M60)</f>
        <v>49.524350453172211</v>
      </c>
      <c r="AO60" s="48"/>
      <c r="AP60" s="48"/>
      <c r="AQ60" s="48">
        <v>6.4674903692567884</v>
      </c>
      <c r="AR60" s="46">
        <f t="shared" si="56"/>
        <v>4.8415946388976669</v>
      </c>
      <c r="AS60" s="46">
        <f t="shared" si="57"/>
        <v>1893.0635038089877</v>
      </c>
      <c r="AT60" s="48">
        <v>7.1651564774381358</v>
      </c>
      <c r="AU60" s="46">
        <f t="shared" si="58"/>
        <v>9.1265165788918594</v>
      </c>
      <c r="AV60" s="46">
        <f t="shared" si="59"/>
        <v>2097.2735098293492</v>
      </c>
      <c r="AW60" s="48">
        <v>1.0313466694163744</v>
      </c>
      <c r="AX60" s="48">
        <f t="shared" si="60"/>
        <v>53.244536366359029</v>
      </c>
      <c r="AY60" s="48">
        <f t="shared" si="61"/>
        <v>54.571628284855898</v>
      </c>
      <c r="AZ60">
        <v>0.51100000000000001</v>
      </c>
      <c r="BB60">
        <v>6.7</v>
      </c>
    </row>
    <row r="61" spans="1:73" x14ac:dyDescent="0.2">
      <c r="A61" s="7">
        <v>68</v>
      </c>
      <c r="D61" s="68">
        <v>5.13</v>
      </c>
      <c r="E61" s="68">
        <v>71.3</v>
      </c>
      <c r="F61" s="48">
        <v>10.412000000000001</v>
      </c>
      <c r="G61" s="48">
        <f t="shared" si="77"/>
        <v>0.50899999999999856</v>
      </c>
      <c r="H61" s="48">
        <v>10.920999999999999</v>
      </c>
      <c r="I61" s="48">
        <v>10.646000000000001</v>
      </c>
      <c r="J61" s="48">
        <f t="shared" si="44"/>
        <v>0.27499999999999858</v>
      </c>
      <c r="K61" s="48">
        <f t="shared" si="32"/>
        <v>26.411832500960291</v>
      </c>
      <c r="L61" s="48">
        <f t="shared" si="45"/>
        <v>2.7128341718456992E-2</v>
      </c>
      <c r="M61" s="48">
        <f t="shared" si="46"/>
        <v>0.97358816749903976</v>
      </c>
      <c r="N61" s="48"/>
      <c r="O61" s="56">
        <v>1.879</v>
      </c>
      <c r="P61" s="48"/>
      <c r="Q61" s="48">
        <f t="shared" si="36"/>
        <v>37.58</v>
      </c>
      <c r="R61" s="46">
        <f t="shared" si="47"/>
        <v>54.744304241317579</v>
      </c>
      <c r="S61" s="46">
        <f t="shared" si="48"/>
        <v>10951.59806347558</v>
      </c>
      <c r="T61" s="48">
        <v>0.57499999999999996</v>
      </c>
      <c r="U61" s="48">
        <f t="shared" si="33"/>
        <v>11.5</v>
      </c>
      <c r="V61" s="46">
        <f t="shared" si="49"/>
        <v>3.2405969628977385</v>
      </c>
      <c r="W61" s="46">
        <f t="shared" si="50"/>
        <v>393.73253099207523</v>
      </c>
      <c r="X61" s="48">
        <v>3.25</v>
      </c>
      <c r="Y61" s="48"/>
      <c r="Z61" s="48"/>
      <c r="AA61" s="48">
        <f t="shared" si="76"/>
        <v>26</v>
      </c>
      <c r="AB61" s="46">
        <f t="shared" si="51"/>
        <v>53.410673769359768</v>
      </c>
      <c r="AD61" s="48">
        <v>0.17499999999999999</v>
      </c>
      <c r="AE61" s="48"/>
      <c r="AF61" s="48">
        <f t="shared" si="78"/>
        <v>1.4</v>
      </c>
      <c r="AG61" s="46">
        <f t="shared" si="52"/>
        <v>2.8759593568116797</v>
      </c>
      <c r="AH61">
        <v>0.53</v>
      </c>
      <c r="AI61">
        <f t="shared" si="53"/>
        <v>4.24</v>
      </c>
      <c r="AJ61" s="46">
        <f t="shared" si="54"/>
        <v>8.7100483377725162</v>
      </c>
      <c r="AK61">
        <v>13.97</v>
      </c>
      <c r="AL61">
        <v>5.15</v>
      </c>
      <c r="AM61">
        <f>AL61*8*3</f>
        <v>123.60000000000001</v>
      </c>
      <c r="AN61" s="46">
        <f t="shared" si="79"/>
        <v>253.90612607280258</v>
      </c>
      <c r="AO61" s="48"/>
      <c r="AP61" s="48"/>
      <c r="AQ61" s="48">
        <v>6.3265526637226346</v>
      </c>
      <c r="AR61" s="46">
        <f t="shared" si="56"/>
        <v>4.7259259445983801</v>
      </c>
      <c r="AS61" s="46">
        <f t="shared" si="57"/>
        <v>1847.8370443379665</v>
      </c>
      <c r="AT61" s="48">
        <v>6.9832059679767093</v>
      </c>
      <c r="AU61" s="46">
        <f t="shared" si="58"/>
        <v>8.8756745452099253</v>
      </c>
      <c r="AV61" s="46">
        <f t="shared" si="59"/>
        <v>2039.6300104892409</v>
      </c>
      <c r="AW61" s="48">
        <v>0.91544648381109506</v>
      </c>
      <c r="AX61" s="48">
        <f t="shared" si="60"/>
        <v>47.261047176618227</v>
      </c>
      <c r="AY61" s="48">
        <f t="shared" si="61"/>
        <v>48.54316101439764</v>
      </c>
      <c r="AZ61">
        <v>0.51500000000000001</v>
      </c>
      <c r="BB61">
        <v>6.71</v>
      </c>
    </row>
    <row r="62" spans="1:73" x14ac:dyDescent="0.2">
      <c r="A62" s="7">
        <v>63</v>
      </c>
      <c r="D62" s="18">
        <v>5.9</v>
      </c>
      <c r="E62" s="18">
        <v>74.400000000000006</v>
      </c>
      <c r="F62" s="48">
        <v>10.324</v>
      </c>
      <c r="G62" s="48">
        <f t="shared" si="77"/>
        <v>0.4659999999999993</v>
      </c>
      <c r="H62" s="48">
        <v>10.79</v>
      </c>
      <c r="I62" s="48">
        <v>10.526999999999999</v>
      </c>
      <c r="J62" s="48">
        <f t="shared" si="44"/>
        <v>0.2629999999999999</v>
      </c>
      <c r="K62" s="48">
        <f t="shared" si="32"/>
        <v>25.47462223944207</v>
      </c>
      <c r="L62" s="48">
        <f t="shared" si="45"/>
        <v>2.6140542689593468E-2</v>
      </c>
      <c r="M62" s="48">
        <f t="shared" si="46"/>
        <v>0.97452537776055792</v>
      </c>
      <c r="N62" s="48"/>
      <c r="O62" s="56">
        <v>1.976</v>
      </c>
      <c r="P62" s="48"/>
      <c r="Q62" s="48">
        <f t="shared" si="36"/>
        <v>39.519999999999996</v>
      </c>
      <c r="R62" s="46">
        <f t="shared" si="47"/>
        <v>57.625799893911093</v>
      </c>
      <c r="S62" s="46">
        <f t="shared" si="48"/>
        <v>11528.041268776913</v>
      </c>
      <c r="T62" s="48">
        <v>0.57399999999999995</v>
      </c>
      <c r="U62" s="48">
        <f t="shared" si="33"/>
        <v>11.479999999999999</v>
      </c>
      <c r="V62" s="46">
        <f t="shared" si="49"/>
        <v>3.2318500494037123</v>
      </c>
      <c r="W62" s="46">
        <f t="shared" si="50"/>
        <v>392.66978100255108</v>
      </c>
      <c r="X62" s="48">
        <v>4.383</v>
      </c>
      <c r="Y62" s="48"/>
      <c r="Z62" s="48"/>
      <c r="AA62" s="48">
        <f t="shared" si="76"/>
        <v>35.064</v>
      </c>
      <c r="AB62" s="46">
        <f t="shared" si="51"/>
        <v>71.9611839777358</v>
      </c>
      <c r="AD62" s="48">
        <v>0.15</v>
      </c>
      <c r="AE62" s="48"/>
      <c r="AF62" s="48">
        <f t="shared" si="78"/>
        <v>1.2</v>
      </c>
      <c r="AG62" s="46">
        <f t="shared" si="52"/>
        <v>2.4627373024550243</v>
      </c>
      <c r="AH62">
        <v>0.45</v>
      </c>
      <c r="AI62">
        <f t="shared" si="53"/>
        <v>3.6</v>
      </c>
      <c r="AJ62" s="46">
        <f t="shared" si="54"/>
        <v>7.3882119073650729</v>
      </c>
      <c r="AK62">
        <v>8.48</v>
      </c>
      <c r="AL62">
        <v>3.06</v>
      </c>
      <c r="AM62">
        <f>AL62*8*3</f>
        <v>73.44</v>
      </c>
      <c r="AN62" s="46">
        <f t="shared" si="79"/>
        <v>150.71952291024746</v>
      </c>
      <c r="AO62" s="48"/>
      <c r="AP62" s="48"/>
      <c r="AQ62" s="48">
        <v>5.9507187822982237</v>
      </c>
      <c r="AR62" s="46">
        <f t="shared" si="56"/>
        <v>4.4494576490532154</v>
      </c>
      <c r="AS62" s="46">
        <f t="shared" si="57"/>
        <v>1739.7379407798073</v>
      </c>
      <c r="AT62" s="48">
        <v>7.6200327510917027</v>
      </c>
      <c r="AU62" s="46">
        <f t="shared" si="58"/>
        <v>9.694406390738207</v>
      </c>
      <c r="AV62" s="46">
        <f t="shared" si="59"/>
        <v>2227.7745885916402</v>
      </c>
      <c r="AW62" s="48">
        <v>0.72138585275314493</v>
      </c>
      <c r="AX62" s="48">
        <f t="shared" si="60"/>
        <v>37.242429156073563</v>
      </c>
      <c r="AY62" s="48">
        <f t="shared" si="61"/>
        <v>38.215966465292063</v>
      </c>
      <c r="AZ62">
        <v>0.502</v>
      </c>
      <c r="BB62">
        <v>6.99</v>
      </c>
    </row>
    <row r="63" spans="1:73" x14ac:dyDescent="0.2">
      <c r="A63" s="7">
        <v>67</v>
      </c>
      <c r="D63" s="68">
        <v>5.34</v>
      </c>
      <c r="E63" s="68">
        <v>76</v>
      </c>
      <c r="F63" s="48">
        <v>9.5969999999999995</v>
      </c>
      <c r="G63" s="48">
        <f t="shared" si="77"/>
        <v>0.39000000000000057</v>
      </c>
      <c r="H63" s="48">
        <v>9.9870000000000001</v>
      </c>
      <c r="I63" s="48">
        <v>9.734</v>
      </c>
      <c r="J63" s="48">
        <f t="shared" si="44"/>
        <v>0.25300000000000011</v>
      </c>
      <c r="K63" s="48">
        <f t="shared" si="32"/>
        <v>26.36240491820362</v>
      </c>
      <c r="L63" s="48">
        <f t="shared" si="45"/>
        <v>2.7076198630137001E-2</v>
      </c>
      <c r="M63" s="48">
        <f t="shared" si="46"/>
        <v>0.97363759508179626</v>
      </c>
      <c r="N63" s="48"/>
      <c r="O63" s="56">
        <v>1.9419999999999999</v>
      </c>
      <c r="P63" s="48"/>
      <c r="Q63" s="48">
        <f t="shared" si="36"/>
        <v>38.839999999999996</v>
      </c>
      <c r="R63" s="46">
        <f t="shared" si="47"/>
        <v>56.582669615426873</v>
      </c>
      <c r="S63" s="46">
        <f t="shared" si="48"/>
        <v>11319.363056566146</v>
      </c>
      <c r="T63" s="48">
        <v>0.55600000000000005</v>
      </c>
      <c r="U63" s="48">
        <f t="shared" si="33"/>
        <v>11.120000000000001</v>
      </c>
      <c r="V63" s="46">
        <f t="shared" si="49"/>
        <v>3.1333572918428327</v>
      </c>
      <c r="W63" s="46">
        <f t="shared" si="50"/>
        <v>380.70291095890417</v>
      </c>
      <c r="X63" s="48">
        <v>2.2509999999999999</v>
      </c>
      <c r="Y63" s="48"/>
      <c r="Z63" s="48"/>
      <c r="AA63" s="48">
        <f t="shared" si="76"/>
        <v>18.007999999999999</v>
      </c>
      <c r="AB63" s="46">
        <f t="shared" si="51"/>
        <v>36.99117636986302</v>
      </c>
      <c r="AD63" s="48">
        <v>0.24199999999999999</v>
      </c>
      <c r="AE63" s="48"/>
      <c r="AF63" s="48">
        <f t="shared" si="78"/>
        <v>1.9359999999999999</v>
      </c>
      <c r="AG63" s="46">
        <f t="shared" si="52"/>
        <v>3.9768390410958911</v>
      </c>
      <c r="AH63">
        <v>0.52</v>
      </c>
      <c r="AI63">
        <f t="shared" si="53"/>
        <v>4.16</v>
      </c>
      <c r="AJ63" s="46">
        <f t="shared" si="54"/>
        <v>8.5452739726027414</v>
      </c>
      <c r="AK63">
        <v>13.52</v>
      </c>
      <c r="AL63">
        <v>4.96</v>
      </c>
      <c r="AM63">
        <f>AL63*8*3</f>
        <v>119.03999999999999</v>
      </c>
      <c r="AN63" s="46">
        <f t="shared" si="79"/>
        <v>244.52630136986303</v>
      </c>
      <c r="AO63" s="48"/>
      <c r="AP63" s="48"/>
      <c r="AQ63" s="48">
        <v>7.6419712487080709</v>
      </c>
      <c r="AR63" s="46">
        <f t="shared" si="56"/>
        <v>5.708831592027896</v>
      </c>
      <c r="AS63" s="46">
        <f t="shared" si="57"/>
        <v>2232.1531524829074</v>
      </c>
      <c r="AT63" s="48">
        <v>7.6200327510917027</v>
      </c>
      <c r="AU63" s="46">
        <f t="shared" si="58"/>
        <v>9.6855748854013726</v>
      </c>
      <c r="AV63" s="46">
        <f t="shared" si="59"/>
        <v>2225.7451086652354</v>
      </c>
      <c r="AW63" s="48">
        <v>1.1429160651680756</v>
      </c>
      <c r="AX63" s="48">
        <f t="shared" si="60"/>
        <v>59.004443219828374</v>
      </c>
      <c r="AY63" s="48">
        <f t="shared" si="61"/>
        <v>60.602059244509093</v>
      </c>
      <c r="AZ63">
        <v>0.505</v>
      </c>
      <c r="BB63">
        <v>5.58</v>
      </c>
    </row>
    <row r="64" spans="1:73" ht="13.5" thickBot="1" x14ac:dyDescent="0.25">
      <c r="A64" s="7">
        <v>69</v>
      </c>
      <c r="D64" s="23">
        <v>5.98</v>
      </c>
      <c r="E64" s="23">
        <v>79.5</v>
      </c>
      <c r="F64" s="48">
        <v>9.9870000000000001</v>
      </c>
      <c r="G64" s="48">
        <f t="shared" si="77"/>
        <v>0.50500000000000078</v>
      </c>
      <c r="H64" s="48">
        <v>10.492000000000001</v>
      </c>
      <c r="I64" s="48">
        <v>10.257999999999999</v>
      </c>
      <c r="J64" s="48">
        <f t="shared" si="44"/>
        <v>0.23400000000000176</v>
      </c>
      <c r="K64" s="48">
        <f t="shared" si="32"/>
        <v>23.430459597476894</v>
      </c>
      <c r="L64" s="48">
        <f t="shared" si="45"/>
        <v>2.3992617656105997E-2</v>
      </c>
      <c r="M64" s="48">
        <f t="shared" si="46"/>
        <v>0.97656954040252308</v>
      </c>
      <c r="N64" s="48"/>
      <c r="O64" s="56">
        <v>2.012</v>
      </c>
      <c r="P64" s="48"/>
      <c r="Q64" s="48">
        <f t="shared" si="36"/>
        <v>40.24</v>
      </c>
      <c r="R64" s="46">
        <f t="shared" si="47"/>
        <v>58.79874060717836</v>
      </c>
      <c r="S64" s="46">
        <f t="shared" si="48"/>
        <v>11762.68805846603</v>
      </c>
      <c r="T64" s="48">
        <v>0.68400000000000005</v>
      </c>
      <c r="U64" s="48">
        <f t="shared" si="33"/>
        <v>13.680000000000001</v>
      </c>
      <c r="V64" s="46">
        <f t="shared" si="49"/>
        <v>3.8431327872525469</v>
      </c>
      <c r="W64" s="46">
        <f t="shared" si="50"/>
        <v>466.94063365118444</v>
      </c>
      <c r="X64" s="48">
        <v>5.3090000000000002</v>
      </c>
      <c r="Y64" s="48"/>
      <c r="Z64" s="48"/>
      <c r="AA64" s="48">
        <f t="shared" si="76"/>
        <v>42.472000000000001</v>
      </c>
      <c r="AB64" s="46">
        <f t="shared" si="51"/>
        <v>86.982028914180276</v>
      </c>
      <c r="AD64" s="48">
        <v>0.104</v>
      </c>
      <c r="AE64" s="48"/>
      <c r="AF64" s="48">
        <f t="shared" si="78"/>
        <v>0.83199999999999996</v>
      </c>
      <c r="AG64" s="46">
        <f t="shared" si="52"/>
        <v>1.7039237157797607</v>
      </c>
      <c r="AH64">
        <v>0.41</v>
      </c>
      <c r="AI64">
        <f t="shared" si="53"/>
        <v>3.28</v>
      </c>
      <c r="AJ64" s="46">
        <f t="shared" si="54"/>
        <v>6.7173915718240558</v>
      </c>
      <c r="AK64">
        <v>7.09</v>
      </c>
      <c r="AL64">
        <v>2.5099999999999998</v>
      </c>
      <c r="AM64">
        <f>AL64*8*3</f>
        <v>60.239999999999995</v>
      </c>
      <c r="AN64" s="46">
        <f t="shared" si="79"/>
        <v>123.37063057520766</v>
      </c>
      <c r="AO64" s="48"/>
      <c r="AP64" s="48"/>
      <c r="AQ64" s="48">
        <v>6.0916564878323776</v>
      </c>
      <c r="AR64" s="46">
        <f t="shared" si="56"/>
        <v>4.5643934858919541</v>
      </c>
      <c r="AS64" s="46">
        <f t="shared" si="57"/>
        <v>1784.6778529837543</v>
      </c>
      <c r="AT64" s="48">
        <v>6.8922307132459961</v>
      </c>
      <c r="AU64" s="46">
        <f t="shared" si="58"/>
        <v>8.7868702088548254</v>
      </c>
      <c r="AV64" s="46">
        <f t="shared" si="59"/>
        <v>2019.2227739948389</v>
      </c>
      <c r="AW64" s="48">
        <v>0.5630026809651475</v>
      </c>
      <c r="AX64" s="48">
        <f t="shared" si="60"/>
        <v>29.065703715288976</v>
      </c>
      <c r="AY64" s="48">
        <f t="shared" si="61"/>
        <v>29.763066031435564</v>
      </c>
      <c r="AZ64">
        <v>0.504</v>
      </c>
      <c r="BB64">
        <v>7.7</v>
      </c>
    </row>
    <row r="65" spans="1:54" x14ac:dyDescent="0.2">
      <c r="A65" s="7">
        <v>57</v>
      </c>
      <c r="D65" s="27">
        <v>6.2</v>
      </c>
      <c r="E65" s="27">
        <v>80.7</v>
      </c>
      <c r="F65" s="48">
        <v>9.25</v>
      </c>
      <c r="G65" s="48">
        <f t="shared" si="77"/>
        <v>0.39700000000000024</v>
      </c>
      <c r="H65" s="48">
        <v>9.6470000000000002</v>
      </c>
      <c r="I65" s="48">
        <v>9.4220000000000006</v>
      </c>
      <c r="J65" s="48">
        <f t="shared" si="44"/>
        <v>0.22499999999999964</v>
      </c>
      <c r="K65" s="48">
        <f t="shared" si="32"/>
        <v>24.324324324324287</v>
      </c>
      <c r="L65" s="48">
        <f t="shared" si="45"/>
        <v>2.4930747922437633E-2</v>
      </c>
      <c r="M65" s="48">
        <f t="shared" si="46"/>
        <v>0.9756756756756757</v>
      </c>
      <c r="N65" s="48"/>
      <c r="O65" s="56">
        <v>1.887</v>
      </c>
      <c r="P65" s="48"/>
      <c r="Q65" s="48">
        <f t="shared" si="36"/>
        <v>37.74</v>
      </c>
      <c r="R65" s="46">
        <f t="shared" si="47"/>
        <v>55.095261845386531</v>
      </c>
      <c r="S65" s="46">
        <f t="shared" si="48"/>
        <v>11021.807132169575</v>
      </c>
      <c r="T65" s="48">
        <v>0.75</v>
      </c>
      <c r="U65" s="48">
        <f t="shared" si="33"/>
        <v>15</v>
      </c>
      <c r="V65" s="46">
        <f t="shared" si="49"/>
        <v>4.2178220079112654</v>
      </c>
      <c r="W65" s="46">
        <f t="shared" si="50"/>
        <v>512.46537396121869</v>
      </c>
      <c r="X65" s="48">
        <v>5.0410000000000004</v>
      </c>
      <c r="Y65" s="48"/>
      <c r="Z65" s="48"/>
      <c r="AA65" s="48">
        <f t="shared" si="76"/>
        <v>40.328000000000003</v>
      </c>
      <c r="AB65" s="46">
        <f t="shared" si="51"/>
        <v>82.666814404432131</v>
      </c>
      <c r="AD65" s="48">
        <v>0.129</v>
      </c>
      <c r="AE65" s="48"/>
      <c r="AF65" s="48">
        <f t="shared" si="78"/>
        <v>1.032</v>
      </c>
      <c r="AG65" s="46">
        <f t="shared" si="52"/>
        <v>2.115457063711911</v>
      </c>
      <c r="AH65">
        <v>0.36</v>
      </c>
      <c r="AI65">
        <f t="shared" si="53"/>
        <v>2.88</v>
      </c>
      <c r="AJ65" s="46">
        <f t="shared" si="54"/>
        <v>5.9036011080332393</v>
      </c>
      <c r="AK65">
        <v>2.5299999999999998</v>
      </c>
      <c r="AM65">
        <f>AK65*8</f>
        <v>20.239999999999998</v>
      </c>
      <c r="AN65" s="46">
        <f t="shared" si="79"/>
        <v>41.489196675900267</v>
      </c>
      <c r="AO65" s="48"/>
      <c r="AP65" s="48"/>
      <c r="AQ65" s="48">
        <v>6.0916564878323776</v>
      </c>
      <c r="AR65" s="46">
        <f t="shared" si="56"/>
        <v>4.5602156468669843</v>
      </c>
      <c r="AS65" s="46">
        <f t="shared" si="57"/>
        <v>1783.044317924991</v>
      </c>
      <c r="AT65" s="48">
        <v>7.4380822416302763</v>
      </c>
      <c r="AU65" s="46">
        <f t="shared" si="58"/>
        <v>9.4740938862060897</v>
      </c>
      <c r="AV65" s="46">
        <f t="shared" si="59"/>
        <v>2177.1467750501592</v>
      </c>
      <c r="AW65" s="48">
        <v>0.81975665085584659</v>
      </c>
      <c r="AX65" s="48">
        <f t="shared" si="60"/>
        <v>42.320942222810871</v>
      </c>
      <c r="AY65" s="48">
        <f t="shared" si="61"/>
        <v>43.376034965207815</v>
      </c>
      <c r="AZ65">
        <v>0.502</v>
      </c>
      <c r="BB65">
        <v>6.96</v>
      </c>
    </row>
    <row r="66" spans="1:54" x14ac:dyDescent="0.2">
      <c r="A66" s="7">
        <v>44</v>
      </c>
      <c r="D66" s="7">
        <v>6.21</v>
      </c>
      <c r="E66" s="7">
        <v>81.099999999999994</v>
      </c>
      <c r="F66" s="48">
        <v>9.9930000000000003</v>
      </c>
      <c r="G66" s="48">
        <f t="shared" si="77"/>
        <v>0.43099999999999916</v>
      </c>
      <c r="H66" s="48">
        <v>10.423999999999999</v>
      </c>
      <c r="I66" s="48">
        <v>10.191000000000001</v>
      </c>
      <c r="J66" s="48">
        <f t="shared" ref="J66:J95" si="80">H66-I66</f>
        <v>0.23299999999999876</v>
      </c>
      <c r="K66" s="48">
        <f t="shared" si="32"/>
        <v>23.316321424997376</v>
      </c>
      <c r="L66" s="48">
        <f t="shared" ref="L66:L95" si="81">(H66-I66)/(I66-G66)</f>
        <v>2.3872950819672001E-2</v>
      </c>
      <c r="M66" s="48">
        <f t="shared" ref="M66:M95" si="82">1/(1+L66)</f>
        <v>0.9766836785750026</v>
      </c>
      <c r="N66" s="48"/>
      <c r="O66" s="56">
        <v>1.9750000000000001</v>
      </c>
      <c r="P66" s="48"/>
      <c r="Q66" s="48">
        <f t="shared" si="36"/>
        <v>39.5</v>
      </c>
      <c r="R66" s="46">
        <f t="shared" ref="R66:R95" si="83">Q66*100*0.1/20.05*3*M66</f>
        <v>57.724197461914116</v>
      </c>
      <c r="S66" s="46">
        <f t="shared" ref="S66:S95" si="84">R66*(40.01/2)*10</f>
        <v>11547.725702255919</v>
      </c>
      <c r="T66" s="48">
        <v>0.91200000000000003</v>
      </c>
      <c r="U66" s="48">
        <f t="shared" si="33"/>
        <v>18.240000000000002</v>
      </c>
      <c r="V66" s="46">
        <f t="shared" ref="V66:V95" si="85">U66*0.1*100/(12.15*3*M66)</f>
        <v>5.1235782230317746</v>
      </c>
      <c r="W66" s="46">
        <f t="shared" ref="W66:W95" si="86">V66*(24.3/2)*10</f>
        <v>622.51475409836064</v>
      </c>
      <c r="X66" s="48">
        <v>4.1470000000000002</v>
      </c>
      <c r="Y66" s="48"/>
      <c r="Z66" s="48"/>
      <c r="AA66" s="48">
        <f t="shared" si="76"/>
        <v>33.176000000000002</v>
      </c>
      <c r="AB66" s="46">
        <f t="shared" ref="AB66:AB95" si="87">(AA66*20)/(10*M66)</f>
        <v>67.936018032786876</v>
      </c>
      <c r="AD66" s="48">
        <v>7.3999999999999996E-2</v>
      </c>
      <c r="AE66" s="48"/>
      <c r="AF66" s="48">
        <f t="shared" si="78"/>
        <v>0.59199999999999997</v>
      </c>
      <c r="AG66" s="46">
        <f t="shared" ref="AG66:AG95" si="88">(AF66*20)/(10*M66)</f>
        <v>1.2122655737704917</v>
      </c>
      <c r="AH66">
        <v>0.3</v>
      </c>
      <c r="AI66">
        <f t="shared" ref="AI66:AI95" si="89">AH66*8</f>
        <v>2.4</v>
      </c>
      <c r="AJ66" s="46">
        <f t="shared" ref="AJ66:AJ95" si="90">(AI66*20)/(10*M66)</f>
        <v>4.9145901639344256</v>
      </c>
      <c r="AK66">
        <v>1.45</v>
      </c>
      <c r="AM66">
        <f>AK66*8</f>
        <v>11.6</v>
      </c>
      <c r="AN66" s="46">
        <f t="shared" si="79"/>
        <v>23.75385245901639</v>
      </c>
      <c r="AO66" s="48"/>
      <c r="AP66" s="48"/>
      <c r="AQ66" s="48">
        <v>4.7762379028469413</v>
      </c>
      <c r="AR66" s="46">
        <f t="shared" ref="AR66:AR95" si="91">AQ66*100*0.1/39.1*3*M66</f>
        <v>3.579186908978444</v>
      </c>
      <c r="AS66" s="46">
        <f t="shared" ref="AS66:AS95" si="92">AR66*39.1*10</f>
        <v>1399.4620814105715</v>
      </c>
      <c r="AT66" s="48">
        <v>7.8929585152838424</v>
      </c>
      <c r="AU66" s="46">
        <f t="shared" ref="AU66:AU95" si="93">AT66*100*0.1/22.98*3*M66</f>
        <v>10.063869135179262</v>
      </c>
      <c r="AV66" s="46">
        <f t="shared" ref="AV66:AV95" si="94">AU66*22.98*10</f>
        <v>2312.6771272641945</v>
      </c>
      <c r="AW66" s="48">
        <v>0.39100845535161888</v>
      </c>
      <c r="AX66" s="48">
        <f t="shared" ref="AX66:AX95" si="95">(AW66/0.3874)*(30/1.5)</f>
        <v>20.186290931936956</v>
      </c>
      <c r="AY66" s="48">
        <f t="shared" ref="AY66:AY95" si="96">AX66/M66</f>
        <v>20.668197262586677</v>
      </c>
      <c r="AZ66">
        <v>0.51</v>
      </c>
      <c r="BB66">
        <v>8.23</v>
      </c>
    </row>
    <row r="67" spans="1:54" ht="13.5" thickBot="1" x14ac:dyDescent="0.25">
      <c r="A67" s="7">
        <v>55</v>
      </c>
      <c r="D67" s="23">
        <v>6.4</v>
      </c>
      <c r="E67" s="23">
        <v>88.7</v>
      </c>
      <c r="F67" s="48">
        <v>10.321999999999999</v>
      </c>
      <c r="G67" s="48">
        <f t="shared" si="77"/>
        <v>0.43900000000000006</v>
      </c>
      <c r="H67" s="48">
        <v>10.760999999999999</v>
      </c>
      <c r="I67" s="48">
        <v>10.525</v>
      </c>
      <c r="J67" s="48">
        <f t="shared" si="80"/>
        <v>0.23599999999999888</v>
      </c>
      <c r="K67" s="48">
        <f t="shared" ref="K67:K98" si="97">J67/F67*1000</f>
        <v>22.863786087967341</v>
      </c>
      <c r="L67" s="48">
        <f t="shared" si="81"/>
        <v>2.3398770573071472E-2</v>
      </c>
      <c r="M67" s="48">
        <f t="shared" si="82"/>
        <v>0.97713621391203276</v>
      </c>
      <c r="N67" s="48"/>
      <c r="O67" s="56">
        <v>1.9750000000000001</v>
      </c>
      <c r="P67" s="48"/>
      <c r="Q67" s="48">
        <f t="shared" si="36"/>
        <v>39.5</v>
      </c>
      <c r="R67" s="46">
        <f t="shared" si="83"/>
        <v>57.750943315997944</v>
      </c>
      <c r="S67" s="46">
        <f t="shared" si="84"/>
        <v>11553.076210365389</v>
      </c>
      <c r="T67" s="48">
        <v>0.77200000000000002</v>
      </c>
      <c r="U67" s="48">
        <f t="shared" ref="U67:U95" si="98">T67*20</f>
        <v>15.440000000000001</v>
      </c>
      <c r="V67" s="46">
        <f t="shared" si="85"/>
        <v>4.3350554232231069</v>
      </c>
      <c r="W67" s="46">
        <f t="shared" si="86"/>
        <v>526.70923392160751</v>
      </c>
      <c r="X67" s="48">
        <v>4.9960000000000004</v>
      </c>
      <c r="Y67" s="48"/>
      <c r="Z67" s="48"/>
      <c r="AA67" s="48">
        <f t="shared" si="76"/>
        <v>39.968000000000004</v>
      </c>
      <c r="AB67" s="46">
        <f t="shared" si="87"/>
        <v>81.806404124529053</v>
      </c>
      <c r="AD67" s="48">
        <v>0.122</v>
      </c>
      <c r="AE67" s="48"/>
      <c r="AF67" s="48">
        <f t="shared" si="78"/>
        <v>0.97599999999999998</v>
      </c>
      <c r="AG67" s="46">
        <f t="shared" si="88"/>
        <v>1.9976744001586353</v>
      </c>
      <c r="AH67">
        <v>0.38</v>
      </c>
      <c r="AI67">
        <f t="shared" si="89"/>
        <v>3.04</v>
      </c>
      <c r="AJ67" s="46">
        <f t="shared" si="90"/>
        <v>6.2222645250842739</v>
      </c>
      <c r="AK67">
        <v>3.33</v>
      </c>
      <c r="AM67">
        <f>AK67*8</f>
        <v>26.64</v>
      </c>
      <c r="AN67" s="46">
        <f t="shared" si="79"/>
        <v>54.526686496133237</v>
      </c>
      <c r="AO67" s="48"/>
      <c r="AP67" s="48"/>
      <c r="AQ67" s="48">
        <v>7.4540543079958654</v>
      </c>
      <c r="AR67" s="46">
        <f t="shared" si="91"/>
        <v>5.5884601571430368</v>
      </c>
      <c r="AS67" s="46">
        <f t="shared" si="92"/>
        <v>2185.0879214429274</v>
      </c>
      <c r="AT67" s="48">
        <v>13.897325327510917</v>
      </c>
      <c r="AU67" s="46">
        <f t="shared" si="93"/>
        <v>17.727911036589838</v>
      </c>
      <c r="AV67" s="46">
        <f t="shared" si="94"/>
        <v>4073.8739562083447</v>
      </c>
      <c r="AW67" s="48">
        <v>0.77314910290781602</v>
      </c>
      <c r="AX67" s="48">
        <f t="shared" si="95"/>
        <v>39.914770413413322</v>
      </c>
      <c r="AY67" s="48">
        <f t="shared" si="96"/>
        <v>40.848726968793599</v>
      </c>
      <c r="AZ67">
        <v>0.50600000000000001</v>
      </c>
      <c r="BB67">
        <v>7.39</v>
      </c>
    </row>
    <row r="68" spans="1:54" x14ac:dyDescent="0.2">
      <c r="A68" s="7">
        <v>45</v>
      </c>
      <c r="D68" s="27">
        <v>6.27</v>
      </c>
      <c r="E68" s="27">
        <v>89.8</v>
      </c>
      <c r="F68" s="48">
        <v>10.63</v>
      </c>
      <c r="G68" s="48">
        <f t="shared" si="77"/>
        <v>0.37099999999999866</v>
      </c>
      <c r="H68" s="48">
        <v>11.000999999999999</v>
      </c>
      <c r="I68" s="48">
        <v>10.734999999999999</v>
      </c>
      <c r="J68" s="48">
        <f t="shared" si="80"/>
        <v>0.26600000000000001</v>
      </c>
      <c r="K68" s="48">
        <f t="shared" si="97"/>
        <v>25.02351834430856</v>
      </c>
      <c r="L68" s="48">
        <f t="shared" si="81"/>
        <v>2.5665766113469702E-2</v>
      </c>
      <c r="M68" s="48">
        <f t="shared" si="82"/>
        <v>0.97497648165569151</v>
      </c>
      <c r="N68" s="48"/>
      <c r="O68" s="56">
        <v>1.9159999999999999</v>
      </c>
      <c r="P68" s="48"/>
      <c r="Q68" s="48">
        <f t="shared" si="36"/>
        <v>38.32</v>
      </c>
      <c r="R68" s="46">
        <f t="shared" si="83"/>
        <v>55.90189343198918</v>
      </c>
      <c r="S68" s="46">
        <f t="shared" si="84"/>
        <v>11183.173781069436</v>
      </c>
      <c r="T68" s="48">
        <v>0.84699999999999998</v>
      </c>
      <c r="U68" s="48">
        <f t="shared" si="98"/>
        <v>16.939999999999998</v>
      </c>
      <c r="V68" s="46">
        <f t="shared" si="85"/>
        <v>4.7667429569169197</v>
      </c>
      <c r="W68" s="46">
        <f t="shared" si="86"/>
        <v>579.15926926540578</v>
      </c>
      <c r="X68" s="48">
        <v>4.9400000000000004</v>
      </c>
      <c r="Y68" s="48"/>
      <c r="Z68" s="48"/>
      <c r="AA68" s="48">
        <f t="shared" si="76"/>
        <v>39.520000000000003</v>
      </c>
      <c r="AB68" s="46">
        <f t="shared" si="87"/>
        <v>81.068622153608644</v>
      </c>
      <c r="AD68" s="48">
        <v>9.7000000000000003E-2</v>
      </c>
      <c r="AE68" s="48"/>
      <c r="AF68" s="48">
        <f t="shared" si="78"/>
        <v>0.77600000000000002</v>
      </c>
      <c r="AG68" s="46">
        <f t="shared" si="88"/>
        <v>1.5918332690081047</v>
      </c>
      <c r="AH68">
        <v>0.3</v>
      </c>
      <c r="AI68">
        <f t="shared" si="89"/>
        <v>2.4</v>
      </c>
      <c r="AJ68" s="46">
        <f t="shared" si="90"/>
        <v>4.9231956773446539</v>
      </c>
      <c r="AK68">
        <v>1.0900000000000001</v>
      </c>
      <c r="AM68">
        <f>AK68*8</f>
        <v>8.7200000000000006</v>
      </c>
      <c r="AN68" s="46">
        <f t="shared" si="79"/>
        <v>17.887610961018911</v>
      </c>
      <c r="AO68" s="48"/>
      <c r="AP68" s="48"/>
      <c r="AQ68" s="48">
        <v>4.447383256600582</v>
      </c>
      <c r="AR68" s="46">
        <f t="shared" si="91"/>
        <v>3.3269264041648601</v>
      </c>
      <c r="AS68" s="46">
        <f t="shared" si="92"/>
        <v>1300.8282240284602</v>
      </c>
      <c r="AT68" s="48">
        <v>8.984661572052401</v>
      </c>
      <c r="AU68" s="46">
        <f t="shared" si="93"/>
        <v>11.435814266823426</v>
      </c>
      <c r="AV68" s="46">
        <f t="shared" si="94"/>
        <v>2627.9501185160234</v>
      </c>
      <c r="AW68" s="48">
        <v>0.20829036914827798</v>
      </c>
      <c r="AX68" s="48">
        <f t="shared" si="95"/>
        <v>10.75324569686515</v>
      </c>
      <c r="AY68" s="48">
        <f t="shared" si="96"/>
        <v>11.029235985881565</v>
      </c>
      <c r="AZ68">
        <v>0.501</v>
      </c>
      <c r="BB68">
        <v>8.52</v>
      </c>
    </row>
    <row r="69" spans="1:54" x14ac:dyDescent="0.2">
      <c r="A69" s="7">
        <v>43</v>
      </c>
      <c r="D69" s="68">
        <v>6.69</v>
      </c>
      <c r="E69" s="68">
        <v>100.5</v>
      </c>
      <c r="F69" s="48">
        <v>9.6310000000000002</v>
      </c>
      <c r="G69" s="48">
        <f t="shared" si="77"/>
        <v>0.58099999999999952</v>
      </c>
      <c r="H69" s="48">
        <v>10.212</v>
      </c>
      <c r="I69" s="48">
        <v>9.8770000000000007</v>
      </c>
      <c r="J69" s="48">
        <f t="shared" si="80"/>
        <v>0.33499999999999908</v>
      </c>
      <c r="K69" s="48">
        <f t="shared" si="97"/>
        <v>34.783511577198539</v>
      </c>
      <c r="L69" s="48">
        <f t="shared" si="81"/>
        <v>3.6037005163511084E-2</v>
      </c>
      <c r="M69" s="48">
        <f t="shared" si="82"/>
        <v>0.9652164884228015</v>
      </c>
      <c r="N69" s="48"/>
      <c r="O69" s="56">
        <v>2.5990000000000002</v>
      </c>
      <c r="P69" s="48"/>
      <c r="Q69" s="48">
        <f t="shared" si="36"/>
        <v>51.980000000000004</v>
      </c>
      <c r="R69" s="46">
        <f t="shared" si="83"/>
        <v>75.070253967407311</v>
      </c>
      <c r="S69" s="46">
        <f t="shared" si="84"/>
        <v>15017.804306179833</v>
      </c>
      <c r="T69" s="48">
        <v>0.74299999999999999</v>
      </c>
      <c r="U69" s="48">
        <f t="shared" si="98"/>
        <v>14.86</v>
      </c>
      <c r="V69" s="46">
        <f t="shared" si="85"/>
        <v>4.2237338536981541</v>
      </c>
      <c r="W69" s="46">
        <f t="shared" si="86"/>
        <v>513.18366322432576</v>
      </c>
      <c r="X69" s="48">
        <v>4.8550000000000004</v>
      </c>
      <c r="Y69" s="48"/>
      <c r="Z69" s="48"/>
      <c r="AA69" s="48">
        <f t="shared" si="76"/>
        <v>38.840000000000003</v>
      </c>
      <c r="AB69" s="46">
        <f t="shared" si="87"/>
        <v>80.479354561101545</v>
      </c>
      <c r="AD69" s="48">
        <v>0.20699999999999999</v>
      </c>
      <c r="AE69" s="48"/>
      <c r="AF69" s="48">
        <f t="shared" si="78"/>
        <v>1.6559999999999999</v>
      </c>
      <c r="AG69" s="46">
        <f t="shared" si="88"/>
        <v>3.4313545611015486</v>
      </c>
      <c r="AH69">
        <v>0.41</v>
      </c>
      <c r="AI69">
        <f t="shared" si="89"/>
        <v>3.28</v>
      </c>
      <c r="AJ69" s="46">
        <f t="shared" si="90"/>
        <v>6.7964027538726324</v>
      </c>
      <c r="AK69">
        <v>1.26</v>
      </c>
      <c r="AM69">
        <f>AK69*8</f>
        <v>10.08</v>
      </c>
      <c r="AN69" s="46">
        <f t="shared" si="79"/>
        <v>20.886506024096384</v>
      </c>
      <c r="AO69" s="48"/>
      <c r="AP69" s="48"/>
      <c r="AQ69" s="48">
        <v>5.9507187822982237</v>
      </c>
      <c r="AR69" s="46">
        <f t="shared" si="91"/>
        <v>4.4069554117453968</v>
      </c>
      <c r="AS69" s="46">
        <f t="shared" si="92"/>
        <v>1723.1195659924504</v>
      </c>
      <c r="AT69" s="48">
        <v>7.3471069868995631</v>
      </c>
      <c r="AU69" s="46">
        <f t="shared" si="93"/>
        <v>9.257896613527187</v>
      </c>
      <c r="AV69" s="46">
        <f t="shared" si="94"/>
        <v>2127.4646417885474</v>
      </c>
      <c r="AW69" s="48">
        <v>0.45328933800783666</v>
      </c>
      <c r="AX69" s="48">
        <f t="shared" si="95"/>
        <v>23.401617863078815</v>
      </c>
      <c r="AY69" s="48">
        <f t="shared" si="96"/>
        <v>24.2449420868451</v>
      </c>
      <c r="AZ69">
        <v>0.503</v>
      </c>
      <c r="BB69">
        <v>6.67</v>
      </c>
    </row>
    <row r="70" spans="1:54" ht="13.5" thickBot="1" x14ac:dyDescent="0.25">
      <c r="A70" s="7">
        <v>61</v>
      </c>
      <c r="D70" s="23">
        <v>5.88</v>
      </c>
      <c r="E70" s="23">
        <v>101.5</v>
      </c>
      <c r="F70" s="48">
        <v>9.7390000000000008</v>
      </c>
      <c r="G70" s="48">
        <f t="shared" si="77"/>
        <v>0.43399999999999928</v>
      </c>
      <c r="H70" s="48">
        <v>10.173</v>
      </c>
      <c r="I70" s="48">
        <v>9.9280000000000008</v>
      </c>
      <c r="J70" s="48">
        <f t="shared" si="80"/>
        <v>0.24499999999999922</v>
      </c>
      <c r="K70" s="48">
        <f t="shared" si="97"/>
        <v>25.156586918574721</v>
      </c>
      <c r="L70" s="48">
        <f t="shared" si="81"/>
        <v>2.5805772066568273E-2</v>
      </c>
      <c r="M70" s="48">
        <f t="shared" si="82"/>
        <v>0.97484341308142519</v>
      </c>
      <c r="N70" s="48"/>
      <c r="O70" s="56">
        <v>2.0910000000000002</v>
      </c>
      <c r="P70" s="48"/>
      <c r="Q70" s="48">
        <f t="shared" si="36"/>
        <v>41.820000000000007</v>
      </c>
      <c r="R70" s="46">
        <f t="shared" si="83"/>
        <v>60.999428730770894</v>
      </c>
      <c r="S70" s="46">
        <f t="shared" si="84"/>
        <v>12202.935717590717</v>
      </c>
      <c r="T70" s="48">
        <v>0.51200000000000001</v>
      </c>
      <c r="U70" s="48">
        <f t="shared" si="98"/>
        <v>10.24</v>
      </c>
      <c r="V70" s="46">
        <f t="shared" si="85"/>
        <v>2.8818247204284391</v>
      </c>
      <c r="W70" s="46">
        <f t="shared" si="86"/>
        <v>350.14170353205537</v>
      </c>
      <c r="X70" s="48">
        <v>2.1150000000000002</v>
      </c>
      <c r="Y70" s="48"/>
      <c r="Z70" s="48"/>
      <c r="AA70" s="48">
        <f t="shared" si="76"/>
        <v>16.920000000000002</v>
      </c>
      <c r="AB70" s="46">
        <f t="shared" si="87"/>
        <v>34.713267326732677</v>
      </c>
      <c r="AD70" s="48">
        <v>0.16300000000000001</v>
      </c>
      <c r="AE70" s="48"/>
      <c r="AF70" s="48">
        <f t="shared" si="78"/>
        <v>1.304</v>
      </c>
      <c r="AG70" s="46">
        <f t="shared" si="88"/>
        <v>2.6753014535496105</v>
      </c>
      <c r="AH70">
        <v>0.52</v>
      </c>
      <c r="AI70">
        <f t="shared" si="89"/>
        <v>4.16</v>
      </c>
      <c r="AJ70" s="46">
        <f t="shared" si="90"/>
        <v>8.5347040235938501</v>
      </c>
      <c r="AK70">
        <v>10.01</v>
      </c>
      <c r="AL70">
        <v>3.55</v>
      </c>
      <c r="AM70">
        <f>AL70*8*3</f>
        <v>85.199999999999989</v>
      </c>
      <c r="AN70" s="46">
        <f t="shared" si="79"/>
        <v>174.79730356014323</v>
      </c>
      <c r="AO70" s="48"/>
      <c r="AP70" s="48"/>
      <c r="AQ70" s="48">
        <v>6.5144696044348391</v>
      </c>
      <c r="AR70" s="46">
        <f t="shared" si="91"/>
        <v>4.87257374700956</v>
      </c>
      <c r="AS70" s="46">
        <f t="shared" si="92"/>
        <v>1905.176335080738</v>
      </c>
      <c r="AT70" s="48">
        <v>6.3463791848617168</v>
      </c>
      <c r="AU70" s="46">
        <f t="shared" si="93"/>
        <v>8.0766657249079756</v>
      </c>
      <c r="AV70" s="46">
        <f t="shared" si="94"/>
        <v>1856.0177835838526</v>
      </c>
      <c r="AW70" s="48">
        <v>0.91895236131161062</v>
      </c>
      <c r="AX70" s="48">
        <f t="shared" si="95"/>
        <v>47.442042401218927</v>
      </c>
      <c r="AY70" s="48">
        <f t="shared" si="96"/>
        <v>48.666320933797252</v>
      </c>
      <c r="AZ70">
        <v>0.504</v>
      </c>
      <c r="BB70">
        <v>7.1</v>
      </c>
    </row>
    <row r="71" spans="1:54" x14ac:dyDescent="0.2">
      <c r="A71" s="7">
        <v>70</v>
      </c>
      <c r="D71" s="27">
        <v>4.8</v>
      </c>
      <c r="E71" s="27">
        <v>105.2</v>
      </c>
      <c r="F71" s="48">
        <v>10.303000000000001</v>
      </c>
      <c r="G71" s="48">
        <f t="shared" si="77"/>
        <v>0.4529999999999994</v>
      </c>
      <c r="H71" s="48">
        <v>10.756</v>
      </c>
      <c r="I71" s="48">
        <v>10.516</v>
      </c>
      <c r="J71" s="48">
        <f t="shared" si="80"/>
        <v>0.24000000000000021</v>
      </c>
      <c r="K71" s="48">
        <f t="shared" si="97"/>
        <v>23.294186159371076</v>
      </c>
      <c r="L71" s="48">
        <f t="shared" si="81"/>
        <v>2.3849746596442432E-2</v>
      </c>
      <c r="M71" s="48">
        <f t="shared" si="82"/>
        <v>0.97670581384062893</v>
      </c>
      <c r="N71" s="48"/>
      <c r="O71" s="56">
        <v>1.6240000000000001</v>
      </c>
      <c r="P71" s="48"/>
      <c r="Q71" s="48">
        <f t="shared" si="36"/>
        <v>32.480000000000004</v>
      </c>
      <c r="R71" s="46">
        <f t="shared" si="83"/>
        <v>47.466441147446837</v>
      </c>
      <c r="S71" s="46">
        <f t="shared" si="84"/>
        <v>9495.6615515467383</v>
      </c>
      <c r="T71" s="48">
        <v>0.52200000000000002</v>
      </c>
      <c r="U71" s="48">
        <f t="shared" si="98"/>
        <v>10.440000000000001</v>
      </c>
      <c r="V71" s="46">
        <f t="shared" si="85"/>
        <v>2.9325079161774652</v>
      </c>
      <c r="W71" s="46">
        <f t="shared" si="86"/>
        <v>356.29971181556198</v>
      </c>
      <c r="X71" s="48">
        <v>4.5730000000000004</v>
      </c>
      <c r="Y71" s="48"/>
      <c r="Z71" s="48"/>
      <c r="AA71" s="48">
        <f t="shared" si="76"/>
        <v>36.584000000000003</v>
      </c>
      <c r="AB71" s="46">
        <f t="shared" si="87"/>
        <v>74.913038258968498</v>
      </c>
      <c r="AD71" s="48">
        <v>0.159</v>
      </c>
      <c r="AE71" s="48"/>
      <c r="AF71" s="48">
        <f t="shared" si="78"/>
        <v>1.272</v>
      </c>
      <c r="AG71" s="46">
        <f t="shared" si="88"/>
        <v>2.6046737553413495</v>
      </c>
      <c r="AH71">
        <v>0.53</v>
      </c>
      <c r="AI71">
        <f t="shared" si="89"/>
        <v>4.24</v>
      </c>
      <c r="AJ71" s="46">
        <f t="shared" si="90"/>
        <v>8.6822458511378322</v>
      </c>
      <c r="AK71">
        <v>14.37</v>
      </c>
      <c r="AL71">
        <v>5.27</v>
      </c>
      <c r="AM71">
        <f>AL71*8*3</f>
        <v>126.47999999999999</v>
      </c>
      <c r="AN71" s="46">
        <f t="shared" si="79"/>
        <v>258.99303189903605</v>
      </c>
      <c r="AO71" s="48"/>
      <c r="AP71" s="48"/>
      <c r="AQ71" s="48">
        <v>6.1386357230104291</v>
      </c>
      <c r="AR71" s="46">
        <f t="shared" si="91"/>
        <v>4.6002362146143669</v>
      </c>
      <c r="AS71" s="46">
        <f t="shared" si="92"/>
        <v>1798.6923599142176</v>
      </c>
      <c r="AT71" s="48">
        <v>7.1651564774381358</v>
      </c>
      <c r="AU71" s="46">
        <f t="shared" si="93"/>
        <v>9.136096590850741</v>
      </c>
      <c r="AV71" s="46">
        <f t="shared" si="94"/>
        <v>2099.4749965775004</v>
      </c>
      <c r="AW71" s="48">
        <v>1.1255929057537635</v>
      </c>
      <c r="AX71" s="48">
        <f t="shared" si="95"/>
        <v>58.110113874742559</v>
      </c>
      <c r="AY71" s="48">
        <f t="shared" si="96"/>
        <v>59.496025365345581</v>
      </c>
      <c r="AZ71">
        <v>0.51100000000000001</v>
      </c>
      <c r="BB71">
        <v>7.08</v>
      </c>
    </row>
    <row r="72" spans="1:54" x14ac:dyDescent="0.2">
      <c r="A72" s="7">
        <v>62</v>
      </c>
      <c r="D72" s="68">
        <v>5.49</v>
      </c>
      <c r="E72" s="68">
        <v>107.1</v>
      </c>
      <c r="F72" s="48">
        <v>9.6219999999999999</v>
      </c>
      <c r="G72" s="48">
        <f t="shared" si="77"/>
        <v>0.33500000000000085</v>
      </c>
      <c r="H72" s="48">
        <v>9.9570000000000007</v>
      </c>
      <c r="I72" s="48">
        <v>9.69</v>
      </c>
      <c r="J72" s="48">
        <f t="shared" si="80"/>
        <v>0.26700000000000124</v>
      </c>
      <c r="K72" s="48">
        <f t="shared" si="97"/>
        <v>27.748908750779595</v>
      </c>
      <c r="L72" s="48">
        <f t="shared" si="81"/>
        <v>2.8540887226082445E-2</v>
      </c>
      <c r="M72" s="48">
        <f t="shared" si="82"/>
        <v>0.97225109124922049</v>
      </c>
      <c r="N72" s="48"/>
      <c r="O72" s="56">
        <v>2.3460000000000001</v>
      </c>
      <c r="P72" s="48"/>
      <c r="Q72" s="48">
        <f t="shared" si="36"/>
        <v>46.92</v>
      </c>
      <c r="R72" s="46">
        <f t="shared" si="83"/>
        <v>68.256390825057494</v>
      </c>
      <c r="S72" s="46">
        <f t="shared" si="84"/>
        <v>13654.690984552752</v>
      </c>
      <c r="T72" s="48">
        <v>0.60099999999999998</v>
      </c>
      <c r="U72" s="48">
        <f t="shared" si="98"/>
        <v>12.02</v>
      </c>
      <c r="V72" s="46">
        <f t="shared" si="85"/>
        <v>3.39178641000206</v>
      </c>
      <c r="W72" s="46">
        <f t="shared" si="86"/>
        <v>412.10204881525033</v>
      </c>
      <c r="X72" s="48">
        <v>3.0350000000000001</v>
      </c>
      <c r="Y72" s="48"/>
      <c r="Z72" s="48"/>
      <c r="AA72" s="48">
        <f t="shared" si="76"/>
        <v>24.28</v>
      </c>
      <c r="AB72" s="46">
        <f t="shared" si="87"/>
        <v>49.945945483698566</v>
      </c>
      <c r="AD72" s="48">
        <v>0.22900000000000001</v>
      </c>
      <c r="AE72" s="48"/>
      <c r="AF72" s="48">
        <f t="shared" si="78"/>
        <v>1.8320000000000001</v>
      </c>
      <c r="AG72" s="46">
        <f t="shared" si="88"/>
        <v>3.768573810796366</v>
      </c>
      <c r="AH72">
        <v>0.54</v>
      </c>
      <c r="AI72">
        <f t="shared" si="89"/>
        <v>4.32</v>
      </c>
      <c r="AJ72" s="46">
        <f t="shared" si="90"/>
        <v>8.8865932656333531</v>
      </c>
      <c r="AK72">
        <v>13.62</v>
      </c>
      <c r="AL72">
        <v>4.8899999999999997</v>
      </c>
      <c r="AM72">
        <f>AL72*8*3</f>
        <v>117.35999999999999</v>
      </c>
      <c r="AN72" s="46">
        <f t="shared" si="79"/>
        <v>241.41911704970605</v>
      </c>
      <c r="AO72" s="48"/>
      <c r="AP72" s="48"/>
      <c r="AQ72" s="48">
        <v>8.0178051301324818</v>
      </c>
      <c r="AR72" s="46">
        <f t="shared" si="91"/>
        <v>5.9810637753413598</v>
      </c>
      <c r="AS72" s="46">
        <f t="shared" si="92"/>
        <v>2338.5959361584719</v>
      </c>
      <c r="AT72" s="48">
        <v>7.0741812227074226</v>
      </c>
      <c r="AU72" s="46">
        <f t="shared" si="93"/>
        <v>8.9789561533577498</v>
      </c>
      <c r="AV72" s="46">
        <f t="shared" si="94"/>
        <v>2063.3641240416109</v>
      </c>
      <c r="AW72" s="48">
        <v>1.0763043926582798</v>
      </c>
      <c r="AX72" s="48">
        <f t="shared" si="95"/>
        <v>55.565533952415066</v>
      </c>
      <c r="AY72" s="48">
        <f t="shared" si="96"/>
        <v>57.151423590607997</v>
      </c>
      <c r="AZ72">
        <v>0.504</v>
      </c>
      <c r="BB72">
        <v>4.21</v>
      </c>
    </row>
    <row r="73" spans="1:54" ht="13.5" thickBot="1" x14ac:dyDescent="0.25">
      <c r="A73" s="7">
        <v>54</v>
      </c>
      <c r="D73" s="23">
        <v>6.43</v>
      </c>
      <c r="E73" s="23">
        <v>110.3</v>
      </c>
      <c r="F73" s="48">
        <v>9.1950000000000003</v>
      </c>
      <c r="G73" s="48">
        <f t="shared" si="77"/>
        <v>0.4269999999999996</v>
      </c>
      <c r="H73" s="48">
        <v>9.6219999999999999</v>
      </c>
      <c r="I73" s="48">
        <v>9.3949999999999996</v>
      </c>
      <c r="J73" s="48">
        <f t="shared" si="80"/>
        <v>0.22700000000000031</v>
      </c>
      <c r="K73" s="48">
        <f t="shared" si="97"/>
        <v>24.687330070690628</v>
      </c>
      <c r="L73" s="48">
        <f t="shared" si="81"/>
        <v>2.5312221231043746E-2</v>
      </c>
      <c r="M73" s="48">
        <f t="shared" si="82"/>
        <v>0.97531266992930943</v>
      </c>
      <c r="N73" s="48"/>
      <c r="O73" s="56">
        <v>2.153</v>
      </c>
      <c r="P73" s="48"/>
      <c r="Q73" s="48">
        <f t="shared" si="36"/>
        <v>43.06</v>
      </c>
      <c r="R73" s="46">
        <f t="shared" si="83"/>
        <v>62.838349477041483</v>
      </c>
      <c r="S73" s="46">
        <f t="shared" si="84"/>
        <v>12570.811812882148</v>
      </c>
      <c r="T73" s="48">
        <v>0.71199999999999997</v>
      </c>
      <c r="U73" s="48">
        <f t="shared" si="98"/>
        <v>14.239999999999998</v>
      </c>
      <c r="V73" s="46">
        <f t="shared" si="85"/>
        <v>4.0056093361673692</v>
      </c>
      <c r="W73" s="46">
        <f t="shared" si="86"/>
        <v>486.68153434433532</v>
      </c>
      <c r="X73" s="48">
        <v>6.2439999999999998</v>
      </c>
      <c r="Y73" s="48">
        <v>4.0519999999999996</v>
      </c>
      <c r="Z73" s="48"/>
      <c r="AA73" s="48">
        <f>Y73*16</f>
        <v>64.831999999999994</v>
      </c>
      <c r="AB73" s="46">
        <f t="shared" si="87"/>
        <v>132.94608385370202</v>
      </c>
      <c r="AD73" s="48">
        <v>0.157</v>
      </c>
      <c r="AE73" s="48"/>
      <c r="AF73" s="48">
        <f t="shared" si="78"/>
        <v>1.256</v>
      </c>
      <c r="AG73" s="46">
        <f t="shared" si="88"/>
        <v>2.5755842997323817</v>
      </c>
      <c r="AH73">
        <v>0.35</v>
      </c>
      <c r="AI73">
        <f t="shared" si="89"/>
        <v>2.8</v>
      </c>
      <c r="AJ73" s="46">
        <f t="shared" si="90"/>
        <v>5.7417484388938442</v>
      </c>
      <c r="AK73">
        <v>1.87</v>
      </c>
      <c r="AM73">
        <f t="shared" ref="AM73:AM79" si="99">AK73*8</f>
        <v>14.96</v>
      </c>
      <c r="AN73" s="46">
        <f t="shared" si="79"/>
        <v>30.67734165923283</v>
      </c>
      <c r="AO73" s="48"/>
      <c r="AP73" s="48"/>
      <c r="AQ73" s="48">
        <v>7.5480127783519677</v>
      </c>
      <c r="AR73" s="46">
        <f t="shared" si="91"/>
        <v>5.6483420681700789</v>
      </c>
      <c r="AS73" s="46">
        <f t="shared" si="92"/>
        <v>2208.5017486545012</v>
      </c>
      <c r="AT73" s="48">
        <v>7.4380822416302763</v>
      </c>
      <c r="AU73" s="46">
        <f t="shared" si="93"/>
        <v>9.4705689950890442</v>
      </c>
      <c r="AV73" s="46">
        <f t="shared" si="94"/>
        <v>2176.3367550714624</v>
      </c>
      <c r="AW73" s="48">
        <v>1.8034646318828624</v>
      </c>
      <c r="AX73" s="48">
        <f t="shared" si="95"/>
        <v>93.10607289018391</v>
      </c>
      <c r="AY73" s="48">
        <f t="shared" si="96"/>
        <v>95.46279440513392</v>
      </c>
      <c r="AZ73">
        <v>0.502</v>
      </c>
      <c r="BB73">
        <v>7.1</v>
      </c>
    </row>
    <row r="74" spans="1:54" x14ac:dyDescent="0.2">
      <c r="A74" s="7">
        <v>72</v>
      </c>
      <c r="D74" s="27">
        <v>5.88</v>
      </c>
      <c r="E74" s="27">
        <v>118</v>
      </c>
      <c r="F74" s="48">
        <v>9.6270000000000007</v>
      </c>
      <c r="G74" s="48">
        <f t="shared" si="77"/>
        <v>0.49699999999999989</v>
      </c>
      <c r="H74" s="48">
        <v>10.124000000000001</v>
      </c>
      <c r="I74" s="48">
        <v>9.89</v>
      </c>
      <c r="J74" s="48">
        <f t="shared" si="80"/>
        <v>0.23399999999999999</v>
      </c>
      <c r="K74" s="48">
        <f t="shared" si="97"/>
        <v>24.306637581801184</v>
      </c>
      <c r="L74" s="48">
        <f t="shared" si="81"/>
        <v>2.4912168636218458E-2</v>
      </c>
      <c r="M74" s="48">
        <f t="shared" si="82"/>
        <v>0.97569336241819893</v>
      </c>
      <c r="N74" s="48"/>
      <c r="O74" s="56">
        <v>1.9390000000000001</v>
      </c>
      <c r="P74" s="48"/>
      <c r="Q74" s="48">
        <f t="shared" si="36"/>
        <v>38.78</v>
      </c>
      <c r="R74" s="46">
        <f t="shared" si="83"/>
        <v>56.614546525552754</v>
      </c>
      <c r="S74" s="46">
        <f t="shared" si="84"/>
        <v>11325.740032436826</v>
      </c>
      <c r="T74" s="48">
        <v>0.69199999999999995</v>
      </c>
      <c r="U74" s="48">
        <f t="shared" si="98"/>
        <v>13.84</v>
      </c>
      <c r="V74" s="46">
        <f t="shared" si="85"/>
        <v>3.8915732274143378</v>
      </c>
      <c r="W74" s="46">
        <f t="shared" si="86"/>
        <v>472.82614713084206</v>
      </c>
      <c r="X74" s="48">
        <v>6.8479999999999999</v>
      </c>
      <c r="Y74" s="48">
        <v>4.2220000000000004</v>
      </c>
      <c r="Z74" s="48"/>
      <c r="AA74" s="48">
        <f>Y74*16</f>
        <v>67.552000000000007</v>
      </c>
      <c r="AB74" s="46">
        <f t="shared" si="87"/>
        <v>138.46973363142766</v>
      </c>
      <c r="AD74" s="48">
        <v>0.125</v>
      </c>
      <c r="AE74" s="48"/>
      <c r="AF74" s="48">
        <f t="shared" si="78"/>
        <v>1</v>
      </c>
      <c r="AG74" s="46">
        <f t="shared" si="88"/>
        <v>2.0498243372724367</v>
      </c>
      <c r="AH74">
        <v>0.41</v>
      </c>
      <c r="AI74">
        <f t="shared" si="89"/>
        <v>3.28</v>
      </c>
      <c r="AJ74" s="46">
        <f t="shared" si="90"/>
        <v>6.7234238262535913</v>
      </c>
      <c r="AK74">
        <v>5.0999999999999996</v>
      </c>
      <c r="AM74">
        <f t="shared" si="99"/>
        <v>40.799999999999997</v>
      </c>
      <c r="AN74" s="46">
        <f t="shared" si="79"/>
        <v>83.632832960715419</v>
      </c>
      <c r="AO74" s="48"/>
      <c r="AP74" s="48"/>
      <c r="AQ74" s="48">
        <v>5.903739547120173</v>
      </c>
      <c r="AR74" s="46">
        <f t="shared" si="91"/>
        <v>4.419621091742437</v>
      </c>
      <c r="AS74" s="46">
        <f t="shared" si="92"/>
        <v>1728.0718468712928</v>
      </c>
      <c r="AT74" s="48">
        <v>7.1651564774381358</v>
      </c>
      <c r="AU74" s="46">
        <f t="shared" si="93"/>
        <v>9.126626130188189</v>
      </c>
      <c r="AV74" s="46">
        <f t="shared" si="94"/>
        <v>2097.298684717246</v>
      </c>
      <c r="AW74" s="48">
        <v>0.85976489997937733</v>
      </c>
      <c r="AX74" s="48">
        <f t="shared" si="95"/>
        <v>44.386417138842404</v>
      </c>
      <c r="AY74" s="48">
        <f t="shared" si="96"/>
        <v>45.492179047762775</v>
      </c>
      <c r="AZ74">
        <v>0.51400000000000001</v>
      </c>
      <c r="BB74">
        <v>8.24</v>
      </c>
    </row>
    <row r="75" spans="1:54" x14ac:dyDescent="0.2">
      <c r="A75" s="7">
        <v>39</v>
      </c>
      <c r="D75" s="68">
        <v>6.96</v>
      </c>
      <c r="E75" s="68">
        <v>122.1</v>
      </c>
      <c r="F75" s="48">
        <v>9.7189999999999994</v>
      </c>
      <c r="G75" s="48">
        <f t="shared" si="77"/>
        <v>0.38900000000000112</v>
      </c>
      <c r="H75" s="48">
        <v>10.108000000000001</v>
      </c>
      <c r="I75" s="48">
        <v>9.8740000000000006</v>
      </c>
      <c r="J75" s="48">
        <f t="shared" si="80"/>
        <v>0.23399999999999999</v>
      </c>
      <c r="K75" s="48">
        <f t="shared" si="97"/>
        <v>24.076551085502626</v>
      </c>
      <c r="L75" s="48">
        <f t="shared" si="81"/>
        <v>2.4670532419609911E-2</v>
      </c>
      <c r="M75" s="48">
        <f t="shared" si="82"/>
        <v>0.97592344891449734</v>
      </c>
      <c r="N75" s="48"/>
      <c r="O75" s="56">
        <v>2.5259999999999998</v>
      </c>
      <c r="P75" s="48"/>
      <c r="Q75" s="48">
        <f t="shared" si="36"/>
        <v>50.519999999999996</v>
      </c>
      <c r="R75" s="46">
        <f t="shared" si="83"/>
        <v>73.771051330414565</v>
      </c>
      <c r="S75" s="46">
        <f t="shared" si="84"/>
        <v>14757.898818649432</v>
      </c>
      <c r="T75" s="48">
        <v>0.81399999999999995</v>
      </c>
      <c r="U75" s="48">
        <f t="shared" si="98"/>
        <v>16.279999999999998</v>
      </c>
      <c r="V75" s="46">
        <f t="shared" si="85"/>
        <v>4.5765805947301095</v>
      </c>
      <c r="W75" s="46">
        <f t="shared" si="86"/>
        <v>556.05454225970834</v>
      </c>
      <c r="X75" s="48">
        <v>4.22</v>
      </c>
      <c r="Y75" s="48"/>
      <c r="Z75" s="48"/>
      <c r="AA75" s="48">
        <f>X75*8</f>
        <v>33.76</v>
      </c>
      <c r="AB75" s="46">
        <f t="shared" si="87"/>
        <v>69.185754348972068</v>
      </c>
      <c r="AD75" s="48">
        <v>0.10299999999999999</v>
      </c>
      <c r="AE75" s="48"/>
      <c r="AF75" s="48">
        <f t="shared" si="78"/>
        <v>0.82399999999999995</v>
      </c>
      <c r="AG75" s="46">
        <f t="shared" si="88"/>
        <v>1.6886570374275174</v>
      </c>
      <c r="AH75">
        <v>0.28000000000000003</v>
      </c>
      <c r="AI75">
        <f t="shared" si="89"/>
        <v>2.2400000000000002</v>
      </c>
      <c r="AJ75" s="46">
        <f t="shared" si="90"/>
        <v>4.5905239852398534</v>
      </c>
      <c r="AK75">
        <v>0.82</v>
      </c>
      <c r="AM75">
        <f t="shared" si="99"/>
        <v>6.56</v>
      </c>
      <c r="AN75" s="46">
        <f t="shared" si="79"/>
        <v>13.443677385345282</v>
      </c>
      <c r="AO75" s="48"/>
      <c r="AP75" s="48"/>
      <c r="AQ75" s="48">
        <v>5.058113313915249</v>
      </c>
      <c r="AR75" s="46">
        <f t="shared" si="91"/>
        <v>3.7874665398847878</v>
      </c>
      <c r="AS75" s="46">
        <f t="shared" si="92"/>
        <v>1480.899417094952</v>
      </c>
      <c r="AT75" s="48">
        <v>11.895869723435224</v>
      </c>
      <c r="AU75" s="46">
        <f t="shared" si="93"/>
        <v>15.155950663619389</v>
      </c>
      <c r="AV75" s="46">
        <f t="shared" si="94"/>
        <v>3482.8374624997359</v>
      </c>
      <c r="AW75" s="48">
        <v>0.48546091977727368</v>
      </c>
      <c r="AX75" s="48">
        <f t="shared" si="95"/>
        <v>25.062515218238186</v>
      </c>
      <c r="AY75" s="48">
        <f t="shared" si="96"/>
        <v>25.680820812446697</v>
      </c>
      <c r="AZ75">
        <v>0.501</v>
      </c>
      <c r="BB75">
        <v>6.54</v>
      </c>
    </row>
    <row r="76" spans="1:54" ht="13.5" thickBot="1" x14ac:dyDescent="0.25">
      <c r="A76" s="7">
        <v>60</v>
      </c>
      <c r="D76" s="23">
        <v>5.6</v>
      </c>
      <c r="E76" s="23">
        <v>122.4</v>
      </c>
      <c r="F76" s="48">
        <v>10.012</v>
      </c>
      <c r="G76" s="48">
        <f t="shared" si="77"/>
        <v>0.41600000000000037</v>
      </c>
      <c r="H76" s="48">
        <v>10.428000000000001</v>
      </c>
      <c r="I76" s="48">
        <v>10.191000000000001</v>
      </c>
      <c r="J76" s="48">
        <f t="shared" si="80"/>
        <v>0.2370000000000001</v>
      </c>
      <c r="K76" s="48">
        <f t="shared" si="97"/>
        <v>23.671594087095496</v>
      </c>
      <c r="L76" s="48">
        <f t="shared" si="81"/>
        <v>2.4245524296675203E-2</v>
      </c>
      <c r="M76" s="48">
        <f t="shared" si="82"/>
        <v>0.97632840591290448</v>
      </c>
      <c r="N76" s="48"/>
      <c r="O76" s="56">
        <v>1.796</v>
      </c>
      <c r="P76" s="48"/>
      <c r="Q76" s="48">
        <f t="shared" ref="Q76:Q95" si="100">O76*20</f>
        <v>35.92</v>
      </c>
      <c r="R76" s="46">
        <f t="shared" si="83"/>
        <v>52.473391033004788</v>
      </c>
      <c r="S76" s="46">
        <f t="shared" si="84"/>
        <v>10497.301876152607</v>
      </c>
      <c r="T76" s="48">
        <v>0.749</v>
      </c>
      <c r="U76" s="48">
        <f t="shared" si="98"/>
        <v>14.98</v>
      </c>
      <c r="V76" s="46">
        <f t="shared" si="85"/>
        <v>4.2093821547226877</v>
      </c>
      <c r="W76" s="46">
        <f t="shared" si="86"/>
        <v>511.43993179880658</v>
      </c>
      <c r="X76" s="48">
        <v>7.8140000000000001</v>
      </c>
      <c r="Y76" s="48">
        <v>5.2160000000000002</v>
      </c>
      <c r="Z76" s="48"/>
      <c r="AA76" s="48">
        <f>Y76*16</f>
        <v>83.456000000000003</v>
      </c>
      <c r="AB76" s="46">
        <f t="shared" si="87"/>
        <v>170.95886895140666</v>
      </c>
      <c r="AD76" s="48">
        <v>0.14399999999999999</v>
      </c>
      <c r="AE76" s="48"/>
      <c r="AF76" s="48">
        <f t="shared" si="78"/>
        <v>1.1519999999999999</v>
      </c>
      <c r="AG76" s="46">
        <f t="shared" si="88"/>
        <v>2.3598616879795395</v>
      </c>
      <c r="AH76">
        <v>0.39</v>
      </c>
      <c r="AI76">
        <f t="shared" si="89"/>
        <v>3.12</v>
      </c>
      <c r="AJ76" s="46">
        <f t="shared" si="90"/>
        <v>6.3912920716112538</v>
      </c>
      <c r="AK76">
        <v>3.04</v>
      </c>
      <c r="AM76">
        <f t="shared" si="99"/>
        <v>24.32</v>
      </c>
      <c r="AN76" s="46">
        <f t="shared" si="79"/>
        <v>49.81930230179028</v>
      </c>
      <c r="AO76" s="48"/>
      <c r="AP76" s="48"/>
      <c r="AQ76" s="48">
        <v>6.655407309968993</v>
      </c>
      <c r="AR76" s="46">
        <f t="shared" si="91"/>
        <v>4.9855727951225983</v>
      </c>
      <c r="AS76" s="46">
        <f t="shared" si="92"/>
        <v>1949.358962892936</v>
      </c>
      <c r="AT76" s="48">
        <v>7.0741812227074226</v>
      </c>
      <c r="AU76" s="46">
        <f t="shared" si="93"/>
        <v>9.0166110656722456</v>
      </c>
      <c r="AV76" s="46">
        <f t="shared" si="94"/>
        <v>2072.0172228914821</v>
      </c>
      <c r="AW76" s="48">
        <v>2.9889220281210056</v>
      </c>
      <c r="AX76" s="48">
        <f t="shared" si="95"/>
        <v>154.30676448740348</v>
      </c>
      <c r="AY76" s="48">
        <f t="shared" si="96"/>
        <v>158.04801289492417</v>
      </c>
      <c r="AZ76">
        <v>0.51400000000000001</v>
      </c>
      <c r="BB76">
        <v>7.4</v>
      </c>
    </row>
    <row r="77" spans="1:54" x14ac:dyDescent="0.2">
      <c r="A77" s="7">
        <v>37</v>
      </c>
      <c r="D77" s="27">
        <v>7.1</v>
      </c>
      <c r="E77" s="27">
        <v>124.5</v>
      </c>
      <c r="F77" s="48">
        <v>10.715999999999999</v>
      </c>
      <c r="G77" s="48">
        <f t="shared" si="77"/>
        <v>0.41600000000000037</v>
      </c>
      <c r="H77" s="48">
        <v>11.132</v>
      </c>
      <c r="I77" s="48">
        <v>10.840999999999999</v>
      </c>
      <c r="J77" s="48">
        <f t="shared" si="80"/>
        <v>0.29100000000000037</v>
      </c>
      <c r="K77" s="48">
        <f t="shared" si="97"/>
        <v>27.155655095184805</v>
      </c>
      <c r="L77" s="48">
        <f t="shared" si="81"/>
        <v>2.791366906474824E-2</v>
      </c>
      <c r="M77" s="48">
        <f t="shared" si="82"/>
        <v>0.97284434490481508</v>
      </c>
      <c r="N77" s="48"/>
      <c r="O77" s="56">
        <v>3.8250000000000002</v>
      </c>
      <c r="P77" s="48"/>
      <c r="Q77" s="48">
        <f t="shared" si="100"/>
        <v>76.5</v>
      </c>
      <c r="R77" s="46">
        <f t="shared" si="83"/>
        <v>111.35549982825688</v>
      </c>
      <c r="S77" s="46">
        <f t="shared" si="84"/>
        <v>22276.667740642788</v>
      </c>
      <c r="T77" s="48">
        <v>0.76</v>
      </c>
      <c r="U77" s="48">
        <f t="shared" si="98"/>
        <v>15.2</v>
      </c>
      <c r="V77" s="46">
        <f t="shared" si="85"/>
        <v>4.2864987022727501</v>
      </c>
      <c r="W77" s="46">
        <f t="shared" si="86"/>
        <v>520.80959232613918</v>
      </c>
      <c r="X77" s="48">
        <v>3.508</v>
      </c>
      <c r="Y77" s="48"/>
      <c r="Z77" s="48"/>
      <c r="AA77" s="48">
        <f>X77*8</f>
        <v>28.064</v>
      </c>
      <c r="AB77" s="46">
        <f t="shared" si="87"/>
        <v>57.694738417266194</v>
      </c>
      <c r="AD77" s="48">
        <v>0.129</v>
      </c>
      <c r="AE77" s="48"/>
      <c r="AF77" s="48">
        <f t="shared" si="78"/>
        <v>1.032</v>
      </c>
      <c r="AG77" s="46">
        <f t="shared" si="88"/>
        <v>2.1216138129496409</v>
      </c>
      <c r="AH77">
        <v>0.34</v>
      </c>
      <c r="AI77">
        <f t="shared" si="89"/>
        <v>2.72</v>
      </c>
      <c r="AJ77" s="46">
        <f t="shared" si="90"/>
        <v>5.5918503597122324</v>
      </c>
      <c r="AK77">
        <v>0.81</v>
      </c>
      <c r="AM77">
        <f t="shared" si="99"/>
        <v>6.48</v>
      </c>
      <c r="AN77" s="46">
        <f t="shared" si="79"/>
        <v>13.321761151079142</v>
      </c>
      <c r="AO77" s="48"/>
      <c r="AP77" s="48"/>
      <c r="AQ77" s="48">
        <v>6.3265526637226346</v>
      </c>
      <c r="AR77" s="46">
        <f t="shared" si="91"/>
        <v>4.7223153311854675</v>
      </c>
      <c r="AS77" s="46">
        <f t="shared" si="92"/>
        <v>1846.4252944935179</v>
      </c>
      <c r="AT77" s="48">
        <v>15.898780931586607</v>
      </c>
      <c r="AU77" s="46">
        <f t="shared" si="93"/>
        <v>20.191957075945876</v>
      </c>
      <c r="AV77" s="46">
        <f t="shared" si="94"/>
        <v>4640.1117360523622</v>
      </c>
      <c r="AW77" s="48">
        <v>0.32460301093008864</v>
      </c>
      <c r="AX77" s="48">
        <f t="shared" si="95"/>
        <v>16.758028442441333</v>
      </c>
      <c r="AY77" s="48">
        <f t="shared" si="96"/>
        <v>17.22580650256128</v>
      </c>
      <c r="AZ77">
        <v>0.504</v>
      </c>
      <c r="BB77">
        <v>7.03</v>
      </c>
    </row>
    <row r="78" spans="1:54" x14ac:dyDescent="0.2">
      <c r="A78" s="7">
        <v>50</v>
      </c>
      <c r="D78" s="68">
        <v>6.73</v>
      </c>
      <c r="E78" s="68">
        <v>126.2</v>
      </c>
      <c r="F78" s="48">
        <v>9.2330000000000005</v>
      </c>
      <c r="G78" s="48">
        <f t="shared" si="77"/>
        <v>0.37699999999999889</v>
      </c>
      <c r="H78" s="48">
        <v>9.61</v>
      </c>
      <c r="I78" s="48">
        <v>9.3849999999999998</v>
      </c>
      <c r="J78" s="48">
        <f t="shared" si="80"/>
        <v>0.22499999999999964</v>
      </c>
      <c r="K78" s="48">
        <f t="shared" si="97"/>
        <v>24.369110798223723</v>
      </c>
      <c r="L78" s="48">
        <f t="shared" si="81"/>
        <v>2.4977797513321451E-2</v>
      </c>
      <c r="M78" s="48">
        <f t="shared" si="82"/>
        <v>0.97563088920177632</v>
      </c>
      <c r="N78" s="48"/>
      <c r="O78" s="56">
        <v>2.38</v>
      </c>
      <c r="P78" s="48"/>
      <c r="Q78" s="48">
        <f t="shared" si="100"/>
        <v>47.599999999999994</v>
      </c>
      <c r="R78" s="46">
        <f t="shared" si="83"/>
        <v>69.486329664844703</v>
      </c>
      <c r="S78" s="46">
        <f t="shared" si="84"/>
        <v>13900.740249452183</v>
      </c>
      <c r="T78" s="48">
        <v>0.63600000000000001</v>
      </c>
      <c r="U78" s="48">
        <f t="shared" si="98"/>
        <v>12.72</v>
      </c>
      <c r="V78" s="46">
        <f t="shared" si="85"/>
        <v>3.576877252227558</v>
      </c>
      <c r="W78" s="46">
        <f t="shared" si="86"/>
        <v>434.59058614564833</v>
      </c>
      <c r="X78" s="48">
        <v>4.218</v>
      </c>
      <c r="Y78" s="48"/>
      <c r="Z78" s="48"/>
      <c r="AA78" s="48">
        <f>X78*8</f>
        <v>33.744</v>
      </c>
      <c r="AB78" s="46">
        <f t="shared" si="87"/>
        <v>69.173701598579029</v>
      </c>
      <c r="AD78" s="48">
        <v>0.16500000000000001</v>
      </c>
      <c r="AE78" s="48"/>
      <c r="AF78" s="48">
        <f t="shared" si="78"/>
        <v>1.32</v>
      </c>
      <c r="AG78" s="46">
        <f t="shared" si="88"/>
        <v>2.7059413854351688</v>
      </c>
      <c r="AH78">
        <v>0.36</v>
      </c>
      <c r="AI78">
        <f t="shared" si="89"/>
        <v>2.88</v>
      </c>
      <c r="AJ78" s="46">
        <f t="shared" si="90"/>
        <v>5.9038721136767309</v>
      </c>
      <c r="AK78">
        <v>2.14</v>
      </c>
      <c r="AM78">
        <f t="shared" si="99"/>
        <v>17.12</v>
      </c>
      <c r="AN78" s="46">
        <f t="shared" si="79"/>
        <v>35.095239786856126</v>
      </c>
      <c r="AO78" s="48"/>
      <c r="AP78" s="48"/>
      <c r="AQ78" s="48">
        <v>7.7359297190641731</v>
      </c>
      <c r="AR78" s="46">
        <f t="shared" si="91"/>
        <v>5.790853189728665</v>
      </c>
      <c r="AS78" s="46">
        <f t="shared" si="92"/>
        <v>2264.2235971839082</v>
      </c>
      <c r="AT78" s="48">
        <v>7.6200327510917027</v>
      </c>
      <c r="AU78" s="46">
        <f t="shared" si="93"/>
        <v>9.7054038233606494</v>
      </c>
      <c r="AV78" s="46">
        <f t="shared" si="94"/>
        <v>2230.3017986082773</v>
      </c>
      <c r="AW78" s="48">
        <v>1.0717673747164362</v>
      </c>
      <c r="AX78" s="48">
        <f t="shared" si="95"/>
        <v>55.331304838225925</v>
      </c>
      <c r="AY78" s="48">
        <f t="shared" si="96"/>
        <v>56.713358966622991</v>
      </c>
      <c r="AZ78">
        <v>0.504</v>
      </c>
      <c r="BB78">
        <v>5.99</v>
      </c>
    </row>
    <row r="79" spans="1:54" ht="13.5" thickBot="1" x14ac:dyDescent="0.25">
      <c r="A79" s="7">
        <v>46</v>
      </c>
      <c r="D79" s="23">
        <v>6.07</v>
      </c>
      <c r="E79" s="23">
        <v>126.3</v>
      </c>
      <c r="F79" s="48">
        <v>10.226000000000001</v>
      </c>
      <c r="G79" s="48">
        <f t="shared" si="77"/>
        <v>0.62999999999999901</v>
      </c>
      <c r="H79" s="48">
        <v>10.856</v>
      </c>
      <c r="I79" s="48">
        <v>10.592000000000001</v>
      </c>
      <c r="J79" s="48">
        <f t="shared" si="80"/>
        <v>0.26399999999999935</v>
      </c>
      <c r="K79" s="48">
        <f t="shared" si="97"/>
        <v>25.816546059065061</v>
      </c>
      <c r="L79" s="48">
        <f t="shared" si="81"/>
        <v>2.6500702670146488E-2</v>
      </c>
      <c r="M79" s="48">
        <f t="shared" si="82"/>
        <v>0.97418345394093497</v>
      </c>
      <c r="N79" s="48"/>
      <c r="O79" s="56">
        <v>2.2490000000000001</v>
      </c>
      <c r="P79" s="48"/>
      <c r="Q79" s="48">
        <f t="shared" si="100"/>
        <v>44.980000000000004</v>
      </c>
      <c r="R79" s="46">
        <f t="shared" si="83"/>
        <v>65.564247019845268</v>
      </c>
      <c r="S79" s="46">
        <f t="shared" si="84"/>
        <v>13116.127616320045</v>
      </c>
      <c r="T79" s="48">
        <v>0.66800000000000004</v>
      </c>
      <c r="U79" s="48">
        <f t="shared" si="98"/>
        <v>13.360000000000001</v>
      </c>
      <c r="V79" s="46">
        <f t="shared" si="85"/>
        <v>3.7624278155481909</v>
      </c>
      <c r="W79" s="46">
        <f t="shared" si="86"/>
        <v>457.13497958910523</v>
      </c>
      <c r="X79" s="48">
        <v>5.0259999999999998</v>
      </c>
      <c r="Y79" s="48"/>
      <c r="Z79" s="48"/>
      <c r="AA79" s="48">
        <f>X79*8</f>
        <v>40.207999999999998</v>
      </c>
      <c r="AB79" s="46">
        <f t="shared" si="87"/>
        <v>82.547080505922494</v>
      </c>
      <c r="AD79" s="48">
        <v>0.16</v>
      </c>
      <c r="AE79" s="48"/>
      <c r="AF79" s="48">
        <f t="shared" si="78"/>
        <v>1.28</v>
      </c>
      <c r="AG79" s="46">
        <f t="shared" si="88"/>
        <v>2.6278417988355751</v>
      </c>
      <c r="AH79">
        <v>0.37</v>
      </c>
      <c r="AI79">
        <f t="shared" si="89"/>
        <v>2.96</v>
      </c>
      <c r="AJ79" s="46">
        <f t="shared" si="90"/>
        <v>6.0768841598072667</v>
      </c>
      <c r="AK79">
        <v>1.63</v>
      </c>
      <c r="AM79">
        <f t="shared" si="99"/>
        <v>13.04</v>
      </c>
      <c r="AN79" s="46">
        <f t="shared" si="79"/>
        <v>26.771138325637413</v>
      </c>
      <c r="AO79" s="48"/>
      <c r="AP79" s="48"/>
      <c r="AQ79" s="48">
        <v>6.1856149581884807</v>
      </c>
      <c r="AR79" s="46">
        <f t="shared" si="91"/>
        <v>4.6234709038747557</v>
      </c>
      <c r="AS79" s="46">
        <f t="shared" si="92"/>
        <v>1807.7771234150296</v>
      </c>
      <c r="AT79" s="48">
        <v>7.8929585152838424</v>
      </c>
      <c r="AU79" s="46">
        <f t="shared" si="93"/>
        <v>10.038106512051865</v>
      </c>
      <c r="AV79" s="46">
        <f t="shared" si="94"/>
        <v>2306.7568764695188</v>
      </c>
      <c r="AW79" s="48">
        <v>2.0197978964734995</v>
      </c>
      <c r="AX79" s="48">
        <f t="shared" si="95"/>
        <v>104.27454292583889</v>
      </c>
      <c r="AY79" s="48">
        <f t="shared" si="96"/>
        <v>107.03789158398196</v>
      </c>
      <c r="AZ79">
        <v>0.5</v>
      </c>
      <c r="BB79">
        <v>6.34</v>
      </c>
    </row>
    <row r="80" spans="1:54" x14ac:dyDescent="0.2">
      <c r="A80" s="7">
        <v>65</v>
      </c>
      <c r="D80" s="27">
        <v>5.43</v>
      </c>
      <c r="E80" s="27">
        <v>129</v>
      </c>
      <c r="F80" s="48">
        <v>9.6690000000000005</v>
      </c>
      <c r="G80" s="48">
        <f t="shared" si="77"/>
        <v>0.49699999999999989</v>
      </c>
      <c r="H80" s="48">
        <v>10.166</v>
      </c>
      <c r="I80" s="48">
        <v>9.9030000000000005</v>
      </c>
      <c r="J80" s="48">
        <f t="shared" si="80"/>
        <v>0.2629999999999999</v>
      </c>
      <c r="K80" s="48">
        <f t="shared" si="97"/>
        <v>27.200330954597153</v>
      </c>
      <c r="L80" s="48">
        <f t="shared" si="81"/>
        <v>2.7960876036572387E-2</v>
      </c>
      <c r="M80" s="48">
        <f t="shared" si="82"/>
        <v>0.97279966904540283</v>
      </c>
      <c r="N80" s="48"/>
      <c r="O80" s="56">
        <v>2.1110000000000002</v>
      </c>
      <c r="P80" s="48"/>
      <c r="Q80" s="48">
        <f t="shared" si="100"/>
        <v>42.220000000000006</v>
      </c>
      <c r="R80" s="46">
        <f t="shared" si="83"/>
        <v>61.45376861909763</v>
      </c>
      <c r="S80" s="46">
        <f t="shared" si="84"/>
        <v>12293.826412250481</v>
      </c>
      <c r="T80" s="48">
        <v>0.52700000000000002</v>
      </c>
      <c r="U80" s="48">
        <f t="shared" si="98"/>
        <v>10.540000000000001</v>
      </c>
      <c r="V80" s="46">
        <f t="shared" si="85"/>
        <v>2.9724849474418304</v>
      </c>
      <c r="W80" s="46">
        <f t="shared" si="86"/>
        <v>361.15692111418241</v>
      </c>
      <c r="X80" s="48">
        <v>4.9720000000000004</v>
      </c>
      <c r="Y80" s="48"/>
      <c r="Z80" s="48"/>
      <c r="AA80" s="48">
        <f>X80*8</f>
        <v>39.776000000000003</v>
      </c>
      <c r="AB80" s="46">
        <f t="shared" si="87"/>
        <v>81.776343610461424</v>
      </c>
      <c r="AD80" s="48">
        <v>0.159</v>
      </c>
      <c r="AE80" s="48"/>
      <c r="AF80" s="48">
        <f t="shared" si="78"/>
        <v>1.272</v>
      </c>
      <c r="AG80" s="46">
        <f t="shared" si="88"/>
        <v>2.6151324686370407</v>
      </c>
      <c r="AH80">
        <v>0.44</v>
      </c>
      <c r="AI80">
        <f t="shared" si="89"/>
        <v>3.52</v>
      </c>
      <c r="AJ80" s="46">
        <f t="shared" si="90"/>
        <v>7.2368445672974708</v>
      </c>
      <c r="AK80">
        <v>11.45</v>
      </c>
      <c r="AL80">
        <v>4.08</v>
      </c>
      <c r="AM80">
        <f>AL80*8*3</f>
        <v>97.92</v>
      </c>
      <c r="AN80" s="46">
        <f t="shared" si="79"/>
        <v>201.31585796300237</v>
      </c>
      <c r="AO80" s="48"/>
      <c r="AP80" s="48"/>
      <c r="AQ80" s="48">
        <v>8.5815559522690972</v>
      </c>
      <c r="AR80" s="46">
        <f t="shared" si="91"/>
        <v>6.4052185091524185</v>
      </c>
      <c r="AS80" s="46">
        <f t="shared" si="92"/>
        <v>2504.440437078596</v>
      </c>
      <c r="AT80" s="48">
        <v>7.1651564774381358</v>
      </c>
      <c r="AU80" s="46">
        <f t="shared" si="93"/>
        <v>9.0995585507967913</v>
      </c>
      <c r="AV80" s="46">
        <f t="shared" si="94"/>
        <v>2091.0785549731027</v>
      </c>
      <c r="AW80" s="48">
        <v>1.9525675396989068</v>
      </c>
      <c r="AX80" s="48">
        <f t="shared" si="95"/>
        <v>100.80369332467251</v>
      </c>
      <c r="AY80" s="48">
        <f t="shared" si="96"/>
        <v>103.62225289775233</v>
      </c>
      <c r="AZ80">
        <v>0.505</v>
      </c>
      <c r="BB80">
        <v>6.27</v>
      </c>
    </row>
    <row r="81" spans="1:73" x14ac:dyDescent="0.2">
      <c r="A81" s="7">
        <v>38</v>
      </c>
      <c r="D81" s="7">
        <v>7.06</v>
      </c>
      <c r="E81" s="7">
        <v>130</v>
      </c>
      <c r="F81" s="48">
        <v>9.2759999999999998</v>
      </c>
      <c r="G81" s="48">
        <f t="shared" si="77"/>
        <v>0.41900000000000048</v>
      </c>
      <c r="H81" s="48">
        <v>9.6950000000000003</v>
      </c>
      <c r="I81" s="48">
        <v>9.4489999999999998</v>
      </c>
      <c r="J81" s="48">
        <f t="shared" si="80"/>
        <v>0.24600000000000044</v>
      </c>
      <c r="K81" s="48">
        <f t="shared" si="97"/>
        <v>26.52005174644248</v>
      </c>
      <c r="L81" s="48">
        <f t="shared" si="81"/>
        <v>2.7242524916943574E-2</v>
      </c>
      <c r="M81" s="48">
        <f t="shared" si="82"/>
        <v>0.97347994825355744</v>
      </c>
      <c r="N81" s="48"/>
      <c r="O81" s="56">
        <v>3.0950000000000002</v>
      </c>
      <c r="P81" s="48"/>
      <c r="Q81" s="48">
        <f t="shared" si="100"/>
        <v>61.900000000000006</v>
      </c>
      <c r="R81" s="46">
        <f t="shared" si="83"/>
        <v>90.162207676152448</v>
      </c>
      <c r="S81" s="46">
        <f t="shared" si="84"/>
        <v>18036.949645614299</v>
      </c>
      <c r="T81" s="48">
        <v>0.77400000000000002</v>
      </c>
      <c r="U81" s="48">
        <f t="shared" si="98"/>
        <v>15.48</v>
      </c>
      <c r="V81" s="46">
        <f t="shared" si="85"/>
        <v>4.3626102292768962</v>
      </c>
      <c r="W81" s="46">
        <f t="shared" si="86"/>
        <v>530.05714285714294</v>
      </c>
      <c r="X81" s="48">
        <v>4.218</v>
      </c>
      <c r="Y81" s="48"/>
      <c r="Z81" s="48"/>
      <c r="AA81" s="48">
        <f>X81*8</f>
        <v>33.744</v>
      </c>
      <c r="AB81" s="46">
        <f t="shared" si="87"/>
        <v>69.326543521594687</v>
      </c>
      <c r="AD81" s="48">
        <v>0.124</v>
      </c>
      <c r="AE81" s="48"/>
      <c r="AF81" s="48">
        <f t="shared" si="78"/>
        <v>0.99199999999999999</v>
      </c>
      <c r="AG81" s="46">
        <f t="shared" si="88"/>
        <v>2.0380491694352161</v>
      </c>
      <c r="AH81">
        <v>0.31</v>
      </c>
      <c r="AI81">
        <f t="shared" si="89"/>
        <v>2.48</v>
      </c>
      <c r="AJ81" s="46">
        <f t="shared" si="90"/>
        <v>5.0951229235880406</v>
      </c>
      <c r="AK81">
        <v>0.76</v>
      </c>
      <c r="AM81">
        <f>AK81*8</f>
        <v>6.08</v>
      </c>
      <c r="AN81" s="46">
        <f t="shared" si="79"/>
        <v>12.491269102990033</v>
      </c>
      <c r="AO81" s="48"/>
      <c r="AP81" s="48"/>
      <c r="AQ81" s="48">
        <v>5.293009489805506</v>
      </c>
      <c r="AR81" s="46">
        <f t="shared" si="91"/>
        <v>3.9534311541494525</v>
      </c>
      <c r="AS81" s="46">
        <f t="shared" si="92"/>
        <v>1545.7915812724359</v>
      </c>
      <c r="AT81" s="48">
        <v>13.533424308588064</v>
      </c>
      <c r="AU81" s="46">
        <f t="shared" si="93"/>
        <v>17.199108610467029</v>
      </c>
      <c r="AV81" s="46">
        <f t="shared" si="94"/>
        <v>3952.3551586853232</v>
      </c>
      <c r="AW81" s="48">
        <v>0.46937512889255517</v>
      </c>
      <c r="AX81" s="48">
        <f t="shared" si="95"/>
        <v>24.232066540658501</v>
      </c>
      <c r="AY81" s="48">
        <f t="shared" si="96"/>
        <v>24.892209217181428</v>
      </c>
      <c r="AZ81">
        <v>0.5</v>
      </c>
      <c r="BB81">
        <v>7.31</v>
      </c>
    </row>
    <row r="82" spans="1:73" ht="13.5" thickBot="1" x14ac:dyDescent="0.25">
      <c r="A82" s="7">
        <v>66</v>
      </c>
      <c r="D82" s="23">
        <v>5.54</v>
      </c>
      <c r="E82" s="23">
        <v>130</v>
      </c>
      <c r="F82" s="48">
        <v>10.154</v>
      </c>
      <c r="G82" s="48">
        <f t="shared" si="77"/>
        <v>0.44200000000000017</v>
      </c>
      <c r="H82" s="48">
        <v>10.596</v>
      </c>
      <c r="I82" s="48">
        <v>10.327</v>
      </c>
      <c r="J82" s="48">
        <f t="shared" si="80"/>
        <v>0.26900000000000013</v>
      </c>
      <c r="K82" s="48">
        <f t="shared" si="97"/>
        <v>26.492022848138678</v>
      </c>
      <c r="L82" s="48">
        <f t="shared" si="81"/>
        <v>2.7212948912493692E-2</v>
      </c>
      <c r="M82" s="48">
        <f t="shared" si="82"/>
        <v>0.97350797715186133</v>
      </c>
      <c r="N82" s="48"/>
      <c r="O82" s="56">
        <v>1.9750000000000001</v>
      </c>
      <c r="P82" s="48"/>
      <c r="Q82" s="48">
        <f t="shared" si="100"/>
        <v>39.5</v>
      </c>
      <c r="R82" s="46">
        <f t="shared" si="83"/>
        <v>57.536506380297034</v>
      </c>
      <c r="S82" s="46">
        <f t="shared" si="84"/>
        <v>11510.178101378422</v>
      </c>
      <c r="T82" s="48">
        <v>0.625</v>
      </c>
      <c r="U82" s="48">
        <f t="shared" si="98"/>
        <v>12.5</v>
      </c>
      <c r="V82" s="46">
        <f t="shared" si="85"/>
        <v>3.5226781512774132</v>
      </c>
      <c r="W82" s="46">
        <f t="shared" si="86"/>
        <v>428.00539538020575</v>
      </c>
      <c r="X82" s="48">
        <v>6.585</v>
      </c>
      <c r="Y82" s="48">
        <v>3.1259999999999999</v>
      </c>
      <c r="Z82" s="48"/>
      <c r="AA82" s="48">
        <f>Y82*16</f>
        <v>50.015999999999998</v>
      </c>
      <c r="AB82" s="46">
        <f t="shared" si="87"/>
        <v>102.75416570561457</v>
      </c>
      <c r="AD82" s="48">
        <v>0.187</v>
      </c>
      <c r="AE82" s="48"/>
      <c r="AF82" s="48">
        <f t="shared" si="78"/>
        <v>1.496</v>
      </c>
      <c r="AG82" s="46">
        <f t="shared" si="88"/>
        <v>3.0734211431461813</v>
      </c>
      <c r="AH82">
        <v>0.44</v>
      </c>
      <c r="AI82">
        <f t="shared" si="89"/>
        <v>3.52</v>
      </c>
      <c r="AJ82" s="46">
        <f t="shared" si="90"/>
        <v>7.2315791603439559</v>
      </c>
      <c r="AK82">
        <v>8.58</v>
      </c>
      <c r="AL82">
        <v>3.14</v>
      </c>
      <c r="AM82">
        <f>AL82*8*3</f>
        <v>75.36</v>
      </c>
      <c r="AN82" s="46">
        <f t="shared" si="79"/>
        <v>154.82153566009106</v>
      </c>
      <c r="AO82" s="48"/>
      <c r="AP82" s="48"/>
      <c r="AQ82" s="48">
        <v>6.5614488396128907</v>
      </c>
      <c r="AR82" s="46">
        <f t="shared" si="91"/>
        <v>4.9009893506677553</v>
      </c>
      <c r="AS82" s="46">
        <f t="shared" si="92"/>
        <v>1916.2868361110923</v>
      </c>
      <c r="AT82" s="48">
        <v>6.2554039301310036</v>
      </c>
      <c r="AU82" s="46">
        <f t="shared" si="93"/>
        <v>7.949981235365061</v>
      </c>
      <c r="AV82" s="46">
        <f t="shared" si="94"/>
        <v>1826.905687886891</v>
      </c>
      <c r="AW82" s="48">
        <v>2.1367292225201071</v>
      </c>
      <c r="AX82" s="48">
        <f t="shared" si="95"/>
        <v>110.31126600516815</v>
      </c>
      <c r="AY82" s="48">
        <f t="shared" si="96"/>
        <v>113.31316085143929</v>
      </c>
      <c r="AZ82">
        <v>0.504</v>
      </c>
      <c r="BB82">
        <v>7.34</v>
      </c>
    </row>
    <row r="83" spans="1:73" x14ac:dyDescent="0.2">
      <c r="A83" s="7">
        <v>49</v>
      </c>
      <c r="D83" s="27">
        <v>6.68</v>
      </c>
      <c r="E83" s="27">
        <v>130.6</v>
      </c>
      <c r="F83" s="48">
        <v>9.5470000000000006</v>
      </c>
      <c r="G83" s="48">
        <f t="shared" si="77"/>
        <v>0.50600000000000023</v>
      </c>
      <c r="H83" s="48">
        <v>10.053000000000001</v>
      </c>
      <c r="I83" s="48">
        <v>9.7859999999999996</v>
      </c>
      <c r="J83" s="48">
        <f t="shared" si="80"/>
        <v>0.26700000000000124</v>
      </c>
      <c r="K83" s="48">
        <f t="shared" si="97"/>
        <v>27.966900597046322</v>
      </c>
      <c r="L83" s="48">
        <f t="shared" si="81"/>
        <v>2.8771551724138065E-2</v>
      </c>
      <c r="M83" s="48">
        <f t="shared" si="82"/>
        <v>0.97203309940295368</v>
      </c>
      <c r="N83" s="48"/>
      <c r="O83" s="56">
        <v>2.2919999999999998</v>
      </c>
      <c r="P83" s="48"/>
      <c r="Q83" s="48">
        <f t="shared" si="100"/>
        <v>45.839999999999996</v>
      </c>
      <c r="R83" s="46">
        <f t="shared" si="83"/>
        <v>66.670320114660441</v>
      </c>
      <c r="S83" s="46">
        <f t="shared" si="84"/>
        <v>13337.397538937821</v>
      </c>
      <c r="T83" s="48">
        <v>0.63900000000000001</v>
      </c>
      <c r="U83" s="48">
        <f t="shared" si="98"/>
        <v>12.780000000000001</v>
      </c>
      <c r="V83" s="46">
        <f t="shared" si="85"/>
        <v>3.6070508727117927</v>
      </c>
      <c r="W83" s="46">
        <f t="shared" si="86"/>
        <v>438.25668103448277</v>
      </c>
      <c r="X83" s="48">
        <v>4.9889999999999999</v>
      </c>
      <c r="Y83" s="48"/>
      <c r="Z83" s="48"/>
      <c r="AA83" s="48">
        <f>X83*8</f>
        <v>39.911999999999999</v>
      </c>
      <c r="AB83" s="46">
        <f t="shared" si="87"/>
        <v>82.120660344827598</v>
      </c>
      <c r="AD83" s="48">
        <v>0.186</v>
      </c>
      <c r="AE83" s="48"/>
      <c r="AF83" s="48">
        <f t="shared" si="78"/>
        <v>1.488</v>
      </c>
      <c r="AG83" s="46">
        <f t="shared" si="88"/>
        <v>3.0616241379310347</v>
      </c>
      <c r="AH83">
        <v>0.37</v>
      </c>
      <c r="AI83">
        <f t="shared" si="89"/>
        <v>2.96</v>
      </c>
      <c r="AJ83" s="46">
        <f t="shared" si="90"/>
        <v>6.0903275862068975</v>
      </c>
      <c r="AK83">
        <v>3.34</v>
      </c>
      <c r="AM83">
        <f>AK83*8</f>
        <v>26.72</v>
      </c>
      <c r="AN83" s="46">
        <f t="shared" si="79"/>
        <v>54.977551724137939</v>
      </c>
      <c r="AO83" s="48"/>
      <c r="AP83" s="48"/>
      <c r="AQ83" s="48">
        <v>8.0178051301324818</v>
      </c>
      <c r="AR83" s="46">
        <f t="shared" si="91"/>
        <v>5.9797227399372739</v>
      </c>
      <c r="AS83" s="46">
        <f t="shared" si="92"/>
        <v>2338.0715913154741</v>
      </c>
      <c r="AT83" s="48">
        <v>8.0749090247452688</v>
      </c>
      <c r="AU83" s="46">
        <f t="shared" si="93"/>
        <v>10.246839225483065</v>
      </c>
      <c r="AV83" s="46">
        <f t="shared" si="94"/>
        <v>2354.7236540160084</v>
      </c>
      <c r="AW83" s="48">
        <v>1.2128273870901216</v>
      </c>
      <c r="AX83" s="48">
        <f t="shared" si="95"/>
        <v>62.613700933924711</v>
      </c>
      <c r="AY83" s="48">
        <f t="shared" si="96"/>
        <v>64.415194268984834</v>
      </c>
      <c r="AZ83">
        <v>0.502</v>
      </c>
      <c r="BB83">
        <v>7</v>
      </c>
    </row>
    <row r="84" spans="1:73" x14ac:dyDescent="0.2">
      <c r="A84" s="7">
        <v>64</v>
      </c>
      <c r="D84" s="68">
        <v>5.34</v>
      </c>
      <c r="E84" s="68">
        <v>141</v>
      </c>
      <c r="F84" s="48">
        <v>9.2319999999999993</v>
      </c>
      <c r="G84" s="48">
        <f t="shared" si="77"/>
        <v>0.39700000000000024</v>
      </c>
      <c r="H84" s="48">
        <v>9.6289999999999996</v>
      </c>
      <c r="I84" s="48">
        <v>9.3979999999999997</v>
      </c>
      <c r="J84" s="48">
        <f t="shared" si="80"/>
        <v>0.23099999999999987</v>
      </c>
      <c r="K84" s="48">
        <f t="shared" si="97"/>
        <v>25.0216637781629</v>
      </c>
      <c r="L84" s="48">
        <f t="shared" si="81"/>
        <v>2.5663815131652026E-2</v>
      </c>
      <c r="M84" s="48">
        <f t="shared" si="82"/>
        <v>0.97497833622183716</v>
      </c>
      <c r="N84" s="48"/>
      <c r="O84" s="56">
        <v>2.2040000000000002</v>
      </c>
      <c r="P84" s="48"/>
      <c r="Q84" s="48">
        <f t="shared" si="100"/>
        <v>44.080000000000005</v>
      </c>
      <c r="R84" s="46">
        <f t="shared" si="83"/>
        <v>64.304805577045272</v>
      </c>
      <c r="S84" s="46">
        <f t="shared" si="84"/>
        <v>12864.176355687905</v>
      </c>
      <c r="T84" s="48">
        <v>0.56200000000000006</v>
      </c>
      <c r="U84" s="48">
        <f t="shared" si="98"/>
        <v>11.240000000000002</v>
      </c>
      <c r="V84" s="46">
        <f t="shared" si="85"/>
        <v>3.1628151665513773</v>
      </c>
      <c r="W84" s="46">
        <f t="shared" si="86"/>
        <v>384.28204273599238</v>
      </c>
      <c r="X84" s="48">
        <v>4.0270000000000001</v>
      </c>
      <c r="Y84" s="48"/>
      <c r="Z84" s="48"/>
      <c r="AA84" s="48">
        <f>X84*8</f>
        <v>32.216000000000001</v>
      </c>
      <c r="AB84" s="46">
        <f t="shared" si="87"/>
        <v>66.085570936562604</v>
      </c>
      <c r="AD84" s="48">
        <v>0.20699999999999999</v>
      </c>
      <c r="AE84" s="48"/>
      <c r="AF84" s="48">
        <f t="shared" si="78"/>
        <v>1.6559999999999999</v>
      </c>
      <c r="AG84" s="46">
        <f t="shared" si="88"/>
        <v>3.3969985557160309</v>
      </c>
      <c r="AH84">
        <v>0.52</v>
      </c>
      <c r="AI84">
        <f t="shared" si="89"/>
        <v>4.16</v>
      </c>
      <c r="AJ84" s="46">
        <f t="shared" si="90"/>
        <v>8.5335229418953453</v>
      </c>
      <c r="AK84">
        <v>11.96</v>
      </c>
      <c r="AL84">
        <v>4.3099999999999996</v>
      </c>
      <c r="AM84">
        <f>AL84*8*3</f>
        <v>103.44</v>
      </c>
      <c r="AN84" s="46">
        <f t="shared" si="79"/>
        <v>212.18933007443619</v>
      </c>
      <c r="AO84" s="48"/>
      <c r="AP84" s="48"/>
      <c r="AQ84" s="48">
        <v>8.3936390115568908</v>
      </c>
      <c r="AR84" s="46">
        <f t="shared" si="91"/>
        <v>6.2789894104867852</v>
      </c>
      <c r="AS84" s="46">
        <f t="shared" si="92"/>
        <v>2455.0848595003331</v>
      </c>
      <c r="AT84" s="48">
        <v>6.8922307132459961</v>
      </c>
      <c r="AU84" s="46">
        <f t="shared" si="93"/>
        <v>8.7725530465504278</v>
      </c>
      <c r="AV84" s="46">
        <f t="shared" si="94"/>
        <v>2015.9326900972883</v>
      </c>
      <c r="AW84" s="48">
        <v>1.3206846772530418</v>
      </c>
      <c r="AX84" s="48">
        <f t="shared" si="95"/>
        <v>68.181965784875672</v>
      </c>
      <c r="AY84" s="48">
        <f t="shared" si="96"/>
        <v>69.93177515009134</v>
      </c>
      <c r="AZ84">
        <v>0.503</v>
      </c>
      <c r="BB84">
        <v>6</v>
      </c>
    </row>
    <row r="85" spans="1:73" ht="13.5" thickBot="1" x14ac:dyDescent="0.25">
      <c r="A85" s="7">
        <v>71</v>
      </c>
      <c r="D85" s="23">
        <v>5.08</v>
      </c>
      <c r="E85" s="23">
        <v>143</v>
      </c>
      <c r="F85" s="48">
        <v>9.3940000000000001</v>
      </c>
      <c r="G85" s="48">
        <f t="shared" si="77"/>
        <v>0.41999999999999993</v>
      </c>
      <c r="H85" s="48">
        <v>9.8140000000000001</v>
      </c>
      <c r="I85" s="48">
        <v>9.5820000000000007</v>
      </c>
      <c r="J85" s="48">
        <f t="shared" si="80"/>
        <v>0.23199999999999932</v>
      </c>
      <c r="K85" s="48">
        <f t="shared" si="97"/>
        <v>24.696614860549214</v>
      </c>
      <c r="L85" s="48">
        <f t="shared" si="81"/>
        <v>2.5321982099978095E-2</v>
      </c>
      <c r="M85" s="48">
        <f t="shared" si="82"/>
        <v>0.9753033851394507</v>
      </c>
      <c r="N85" s="48"/>
      <c r="O85" s="56">
        <v>1.794</v>
      </c>
      <c r="P85" s="48"/>
      <c r="Q85" s="48">
        <f t="shared" si="100"/>
        <v>35.880000000000003</v>
      </c>
      <c r="R85" s="46">
        <f t="shared" si="83"/>
        <v>52.359928367287026</v>
      </c>
      <c r="S85" s="46">
        <f t="shared" si="84"/>
        <v>10474.603669875769</v>
      </c>
      <c r="T85" s="48">
        <v>0.57499999999999996</v>
      </c>
      <c r="U85" s="48">
        <f t="shared" si="98"/>
        <v>11.5</v>
      </c>
      <c r="V85" s="46">
        <f t="shared" si="85"/>
        <v>3.2348978859121393</v>
      </c>
      <c r="W85" s="46">
        <f t="shared" si="86"/>
        <v>393.04009313832495</v>
      </c>
      <c r="X85" s="48">
        <v>6.4109999999999996</v>
      </c>
      <c r="Y85" s="48">
        <v>2.9689999999999999</v>
      </c>
      <c r="Z85" s="48"/>
      <c r="AA85" s="48">
        <f>Y85*16</f>
        <v>47.503999999999998</v>
      </c>
      <c r="AB85" s="46">
        <f t="shared" si="87"/>
        <v>97.413790875354721</v>
      </c>
      <c r="AD85" s="48">
        <v>0.183</v>
      </c>
      <c r="AE85" s="48"/>
      <c r="AF85" s="48">
        <f t="shared" si="78"/>
        <v>1.464</v>
      </c>
      <c r="AG85" s="46">
        <f t="shared" si="88"/>
        <v>3.0021427635887363</v>
      </c>
      <c r="AH85">
        <v>0.48</v>
      </c>
      <c r="AI85">
        <f t="shared" si="89"/>
        <v>3.84</v>
      </c>
      <c r="AJ85" s="46">
        <f t="shared" si="90"/>
        <v>7.8744728225278324</v>
      </c>
      <c r="AK85">
        <v>11.35</v>
      </c>
      <c r="AL85">
        <v>4.09</v>
      </c>
      <c r="AM85">
        <f>AL85*8*3</f>
        <v>98.16</v>
      </c>
      <c r="AN85" s="46">
        <f t="shared" si="79"/>
        <v>201.29121152586768</v>
      </c>
      <c r="AO85" s="48"/>
      <c r="AP85" s="48"/>
      <c r="AQ85" s="48">
        <v>6.3735318989006853</v>
      </c>
      <c r="AR85" s="46">
        <f t="shared" si="91"/>
        <v>4.7694070866691378</v>
      </c>
      <c r="AS85" s="46">
        <f t="shared" si="92"/>
        <v>1864.8381708876329</v>
      </c>
      <c r="AT85" s="48">
        <v>7.711008005822416</v>
      </c>
      <c r="AU85" s="46">
        <f t="shared" si="93"/>
        <v>9.8179793876188111</v>
      </c>
      <c r="AV85" s="46">
        <f t="shared" si="94"/>
        <v>2256.171663274803</v>
      </c>
      <c r="AW85" s="48">
        <v>1.4027634563827591</v>
      </c>
      <c r="AX85" s="48">
        <f t="shared" si="95"/>
        <v>72.419383396115592</v>
      </c>
      <c r="AY85" s="48">
        <f t="shared" si="96"/>
        <v>74.253185726163494</v>
      </c>
      <c r="AZ85">
        <v>0.5</v>
      </c>
      <c r="BB85">
        <v>7.08</v>
      </c>
    </row>
    <row r="86" spans="1:73" x14ac:dyDescent="0.2">
      <c r="A86" s="7">
        <v>58</v>
      </c>
      <c r="D86" s="27">
        <v>5.65</v>
      </c>
      <c r="E86" s="27">
        <v>143.80000000000001</v>
      </c>
      <c r="F86" s="48">
        <v>9.5250000000000004</v>
      </c>
      <c r="G86" s="48">
        <f t="shared" si="77"/>
        <v>0.46299999999999919</v>
      </c>
      <c r="H86" s="48">
        <v>9.9879999999999995</v>
      </c>
      <c r="I86" s="48">
        <v>9.7680000000000007</v>
      </c>
      <c r="J86" s="48">
        <f t="shared" si="80"/>
        <v>0.21999999999999886</v>
      </c>
      <c r="K86" s="48">
        <f t="shared" si="97"/>
        <v>23.097112860892267</v>
      </c>
      <c r="L86" s="48">
        <f t="shared" si="81"/>
        <v>2.3643202579258338E-2</v>
      </c>
      <c r="M86" s="48">
        <f t="shared" si="82"/>
        <v>0.97690288713910778</v>
      </c>
      <c r="N86" s="48"/>
      <c r="O86" s="56">
        <v>1.7909999999999999</v>
      </c>
      <c r="P86" s="48"/>
      <c r="Q86" s="48">
        <f t="shared" si="100"/>
        <v>35.82</v>
      </c>
      <c r="R86" s="46">
        <f t="shared" si="83"/>
        <v>52.358096883774834</v>
      </c>
      <c r="S86" s="46">
        <f t="shared" si="84"/>
        <v>10474.237281599155</v>
      </c>
      <c r="T86" s="48">
        <v>0.67800000000000005</v>
      </c>
      <c r="U86" s="48">
        <f t="shared" si="98"/>
        <v>13.56</v>
      </c>
      <c r="V86" s="46">
        <f t="shared" si="85"/>
        <v>3.808121214533537</v>
      </c>
      <c r="W86" s="46">
        <f t="shared" si="86"/>
        <v>462.68672756582475</v>
      </c>
      <c r="X86" s="48">
        <v>6.8529999999999998</v>
      </c>
      <c r="Y86" s="48">
        <v>4.4560000000000004</v>
      </c>
      <c r="Z86" s="48"/>
      <c r="AA86" s="48">
        <f>Y86*16</f>
        <v>71.296000000000006</v>
      </c>
      <c r="AB86" s="46">
        <f t="shared" si="87"/>
        <v>145.96333154218161</v>
      </c>
      <c r="AD86" s="48">
        <v>0.127</v>
      </c>
      <c r="AE86" s="48"/>
      <c r="AF86" s="48">
        <f t="shared" si="78"/>
        <v>1.016</v>
      </c>
      <c r="AG86" s="46">
        <f t="shared" si="88"/>
        <v>2.0800429876410531</v>
      </c>
      <c r="AH86">
        <v>0.39</v>
      </c>
      <c r="AI86">
        <f t="shared" si="89"/>
        <v>3.12</v>
      </c>
      <c r="AJ86" s="46">
        <f t="shared" si="90"/>
        <v>6.3875335840945731</v>
      </c>
      <c r="AK86">
        <v>3.81</v>
      </c>
      <c r="AM86">
        <f t="shared" ref="AM86:AM95" si="101">AK86*8</f>
        <v>30.48</v>
      </c>
      <c r="AN86" s="46">
        <f t="shared" si="79"/>
        <v>62.401289629231592</v>
      </c>
      <c r="AO86" s="48"/>
      <c r="AP86" s="48"/>
      <c r="AQ86" s="48">
        <v>6.3265526637226346</v>
      </c>
      <c r="AR86" s="46">
        <f t="shared" si="91"/>
        <v>4.742016032860553</v>
      </c>
      <c r="AS86" s="46">
        <f t="shared" si="92"/>
        <v>1854.1282688484762</v>
      </c>
      <c r="AT86" s="48">
        <v>7.2561317321688499</v>
      </c>
      <c r="AU86" s="46">
        <f t="shared" si="93"/>
        <v>9.2539634968896163</v>
      </c>
      <c r="AV86" s="46">
        <f t="shared" si="94"/>
        <v>2126.5608115852338</v>
      </c>
      <c r="AW86" s="48">
        <v>0.94431841616828216</v>
      </c>
      <c r="AX86" s="48">
        <f t="shared" si="95"/>
        <v>48.75159608509459</v>
      </c>
      <c r="AY86" s="48">
        <f t="shared" si="96"/>
        <v>49.904239947396654</v>
      </c>
      <c r="AZ86">
        <v>0.504</v>
      </c>
      <c r="BB86">
        <v>7.19</v>
      </c>
    </row>
    <row r="87" spans="1:73" x14ac:dyDescent="0.2">
      <c r="A87" s="7">
        <v>52</v>
      </c>
      <c r="D87" s="68">
        <v>6.27</v>
      </c>
      <c r="E87" s="68">
        <v>144</v>
      </c>
      <c r="F87" s="48">
        <v>9.9749999999999996</v>
      </c>
      <c r="G87" s="48">
        <f t="shared" si="77"/>
        <v>0.37400000000000055</v>
      </c>
      <c r="H87" s="48">
        <v>10.349</v>
      </c>
      <c r="I87" s="48">
        <v>10.109</v>
      </c>
      <c r="J87" s="48">
        <f t="shared" si="80"/>
        <v>0.24000000000000021</v>
      </c>
      <c r="K87" s="48">
        <f t="shared" si="97"/>
        <v>24.060150375939873</v>
      </c>
      <c r="L87" s="48">
        <f t="shared" si="81"/>
        <v>2.4653312788906031E-2</v>
      </c>
      <c r="M87" s="48">
        <f t="shared" si="82"/>
        <v>0.97593984962406022</v>
      </c>
      <c r="N87" s="48"/>
      <c r="O87" s="56">
        <v>2.194</v>
      </c>
      <c r="P87" s="48"/>
      <c r="Q87" s="48">
        <f t="shared" si="100"/>
        <v>43.879999999999995</v>
      </c>
      <c r="R87" s="46">
        <f t="shared" si="83"/>
        <v>64.076170476065485</v>
      </c>
      <c r="S87" s="46">
        <f t="shared" si="84"/>
        <v>12818.4379037369</v>
      </c>
      <c r="T87" s="48">
        <v>0.64600000000000002</v>
      </c>
      <c r="U87" s="48">
        <f t="shared" si="98"/>
        <v>12.92</v>
      </c>
      <c r="V87" s="46">
        <f t="shared" si="85"/>
        <v>3.6319672980062183</v>
      </c>
      <c r="W87" s="46">
        <f t="shared" si="86"/>
        <v>441.28402670775557</v>
      </c>
      <c r="X87" s="48">
        <v>6.2169999999999996</v>
      </c>
      <c r="Y87" s="48">
        <v>3.976</v>
      </c>
      <c r="Z87" s="48"/>
      <c r="AA87" s="48">
        <f>Y87*16</f>
        <v>63.616</v>
      </c>
      <c r="AB87" s="46">
        <f t="shared" si="87"/>
        <v>130.36869029275809</v>
      </c>
      <c r="AD87" s="48">
        <v>0.17</v>
      </c>
      <c r="AE87" s="48"/>
      <c r="AF87" s="48">
        <f t="shared" si="78"/>
        <v>1.36</v>
      </c>
      <c r="AG87" s="46">
        <f t="shared" si="88"/>
        <v>2.7870570107858246</v>
      </c>
      <c r="AH87">
        <v>0.39</v>
      </c>
      <c r="AI87">
        <f t="shared" si="89"/>
        <v>3.12</v>
      </c>
      <c r="AJ87" s="46">
        <f t="shared" si="90"/>
        <v>6.3938366718027737</v>
      </c>
      <c r="AK87">
        <v>2.97</v>
      </c>
      <c r="AM87">
        <f t="shared" si="101"/>
        <v>23.76</v>
      </c>
      <c r="AN87" s="46">
        <f t="shared" si="79"/>
        <v>48.69152542372882</v>
      </c>
      <c r="AO87" s="48"/>
      <c r="AP87" s="48"/>
      <c r="AQ87" s="48">
        <v>8.0178051301324818</v>
      </c>
      <c r="AR87" s="46">
        <f t="shared" si="91"/>
        <v>6.0037561634397809</v>
      </c>
      <c r="AS87" s="46">
        <f t="shared" si="92"/>
        <v>2347.4686599049546</v>
      </c>
      <c r="AT87" s="48">
        <v>7.2561317321688499</v>
      </c>
      <c r="AU87" s="46">
        <f t="shared" si="93"/>
        <v>9.2448408766909136</v>
      </c>
      <c r="AV87" s="46">
        <f t="shared" si="94"/>
        <v>2124.4644334635718</v>
      </c>
      <c r="AW87" s="48">
        <v>2.0686739533924516</v>
      </c>
      <c r="AX87" s="48">
        <f t="shared" si="95"/>
        <v>106.797829292331</v>
      </c>
      <c r="AY87" s="48">
        <f t="shared" si="96"/>
        <v>109.43074958305102</v>
      </c>
      <c r="AZ87">
        <v>0.51100000000000001</v>
      </c>
      <c r="BB87">
        <v>6.08</v>
      </c>
    </row>
    <row r="88" spans="1:73" ht="13.5" thickBot="1" x14ac:dyDescent="0.25">
      <c r="A88" s="7">
        <v>53</v>
      </c>
      <c r="D88" s="23">
        <v>6.52</v>
      </c>
      <c r="E88" s="23">
        <v>147.1</v>
      </c>
      <c r="F88" s="48">
        <v>10.318</v>
      </c>
      <c r="G88" s="48">
        <f t="shared" si="77"/>
        <v>0.46000000000000085</v>
      </c>
      <c r="H88" s="48">
        <v>10.778</v>
      </c>
      <c r="I88" s="48">
        <v>10.534000000000001</v>
      </c>
      <c r="J88" s="48">
        <f t="shared" si="80"/>
        <v>0.24399999999999977</v>
      </c>
      <c r="K88" s="48">
        <f t="shared" si="97"/>
        <v>23.647993797247505</v>
      </c>
      <c r="L88" s="48">
        <f t="shared" si="81"/>
        <v>2.4220766329164162E-2</v>
      </c>
      <c r="M88" s="48">
        <f t="shared" si="82"/>
        <v>0.97635200620275242</v>
      </c>
      <c r="N88" s="48"/>
      <c r="O88" s="56">
        <v>2.343</v>
      </c>
      <c r="P88" s="48"/>
      <c r="Q88" s="48">
        <f t="shared" si="100"/>
        <v>46.86</v>
      </c>
      <c r="R88" s="46">
        <f t="shared" si="83"/>
        <v>68.456640913707204</v>
      </c>
      <c r="S88" s="46">
        <f t="shared" si="84"/>
        <v>13694.751014787125</v>
      </c>
      <c r="T88" s="48">
        <v>0.67700000000000005</v>
      </c>
      <c r="U88" s="48">
        <f t="shared" si="98"/>
        <v>13.540000000000001</v>
      </c>
      <c r="V88" s="46">
        <f t="shared" si="85"/>
        <v>3.8046499797247963</v>
      </c>
      <c r="W88" s="46">
        <f t="shared" si="86"/>
        <v>462.26497253656277</v>
      </c>
      <c r="X88" s="48">
        <v>6.0339999999999998</v>
      </c>
      <c r="Y88" s="48">
        <v>3.802</v>
      </c>
      <c r="Z88" s="48"/>
      <c r="AA88" s="48">
        <f>Y88*16</f>
        <v>60.832000000000001</v>
      </c>
      <c r="AB88" s="46">
        <f t="shared" si="87"/>
        <v>124.61079531467145</v>
      </c>
      <c r="AD88" s="48">
        <v>0.157</v>
      </c>
      <c r="AE88" s="48"/>
      <c r="AF88" s="48">
        <f t="shared" si="78"/>
        <v>1.256</v>
      </c>
      <c r="AG88" s="46">
        <f t="shared" si="88"/>
        <v>2.5728425650188607</v>
      </c>
      <c r="AH88">
        <v>0.36</v>
      </c>
      <c r="AI88">
        <f t="shared" si="89"/>
        <v>2.88</v>
      </c>
      <c r="AJ88" s="46">
        <f t="shared" si="90"/>
        <v>5.8995116140559851</v>
      </c>
      <c r="AK88">
        <v>1.93</v>
      </c>
      <c r="AM88">
        <f t="shared" si="101"/>
        <v>15.44</v>
      </c>
      <c r="AN88" s="46">
        <f t="shared" si="79"/>
        <v>31.627937264244594</v>
      </c>
      <c r="AO88" s="48"/>
      <c r="AP88" s="48"/>
      <c r="AQ88" s="48">
        <v>8.0178051301324818</v>
      </c>
      <c r="AR88" s="46">
        <f t="shared" si="91"/>
        <v>6.0062916553561925</v>
      </c>
      <c r="AS88" s="46">
        <f t="shared" si="92"/>
        <v>2348.4600372442715</v>
      </c>
      <c r="AT88" s="48">
        <v>7.3471069868995631</v>
      </c>
      <c r="AU88" s="46">
        <f t="shared" si="93"/>
        <v>9.3647031937932734</v>
      </c>
      <c r="AV88" s="46">
        <f t="shared" si="94"/>
        <v>2152.0087939336945</v>
      </c>
      <c r="AW88" s="48">
        <v>1.4213239843266652</v>
      </c>
      <c r="AX88" s="48">
        <f t="shared" si="95"/>
        <v>73.37759340870754</v>
      </c>
      <c r="AY88" s="48">
        <f t="shared" si="96"/>
        <v>75.154854952456262</v>
      </c>
      <c r="AZ88">
        <v>0.51100000000000001</v>
      </c>
      <c r="BB88">
        <v>6.9</v>
      </c>
    </row>
    <row r="89" spans="1:73" x14ac:dyDescent="0.2">
      <c r="A89" s="7">
        <v>59</v>
      </c>
      <c r="D89" s="27">
        <v>5.62</v>
      </c>
      <c r="E89" s="27">
        <v>149.30000000000001</v>
      </c>
      <c r="F89" s="48">
        <v>9.6129999999999995</v>
      </c>
      <c r="G89" s="48">
        <f t="shared" si="77"/>
        <v>0.39799999999999969</v>
      </c>
      <c r="H89" s="48">
        <v>10.010999999999999</v>
      </c>
      <c r="I89" s="48">
        <v>9.7899999999999991</v>
      </c>
      <c r="J89" s="48">
        <f t="shared" si="80"/>
        <v>0.22100000000000009</v>
      </c>
      <c r="K89" s="48">
        <f t="shared" si="97"/>
        <v>22.989701445958609</v>
      </c>
      <c r="L89" s="48">
        <f t="shared" si="81"/>
        <v>2.3530664395229994E-2</v>
      </c>
      <c r="M89" s="48">
        <f t="shared" si="82"/>
        <v>0.97701029855404142</v>
      </c>
      <c r="N89" s="48"/>
      <c r="O89" s="56">
        <v>1.673</v>
      </c>
      <c r="P89" s="48"/>
      <c r="Q89" s="48">
        <f t="shared" si="100"/>
        <v>33.46</v>
      </c>
      <c r="R89" s="46">
        <f t="shared" si="83"/>
        <v>48.913862228855209</v>
      </c>
      <c r="S89" s="46">
        <f t="shared" si="84"/>
        <v>9785.2181388824847</v>
      </c>
      <c r="T89" s="48">
        <v>0.63300000000000001</v>
      </c>
      <c r="U89" s="48">
        <f t="shared" si="98"/>
        <v>12.66</v>
      </c>
      <c r="V89" s="46">
        <f t="shared" si="85"/>
        <v>3.554978933125819</v>
      </c>
      <c r="W89" s="46">
        <f t="shared" si="86"/>
        <v>431.92994037478707</v>
      </c>
      <c r="X89" s="48">
        <v>8.2370000000000001</v>
      </c>
      <c r="Y89" s="48">
        <v>5.5259999999999998</v>
      </c>
      <c r="Z89" s="48">
        <v>3.1909999999999998</v>
      </c>
      <c r="AA89" s="48">
        <f>Z89*32</f>
        <v>102.11199999999999</v>
      </c>
      <c r="AB89" s="46">
        <f t="shared" si="87"/>
        <v>209.02952640545141</v>
      </c>
      <c r="AD89" s="48">
        <v>0.192</v>
      </c>
      <c r="AE89" s="48"/>
      <c r="AF89" s="48">
        <f t="shared" si="78"/>
        <v>1.536</v>
      </c>
      <c r="AG89" s="46">
        <f t="shared" si="88"/>
        <v>3.1442862010221462</v>
      </c>
      <c r="AH89">
        <v>0.41</v>
      </c>
      <c r="AI89">
        <f t="shared" si="89"/>
        <v>3.28</v>
      </c>
      <c r="AJ89" s="46">
        <f t="shared" si="90"/>
        <v>6.7143611584327072</v>
      </c>
      <c r="AK89">
        <v>3.99</v>
      </c>
      <c r="AM89">
        <f t="shared" si="101"/>
        <v>31.92</v>
      </c>
      <c r="AN89" s="46">
        <f t="shared" si="79"/>
        <v>65.342197614991491</v>
      </c>
      <c r="AO89" s="48"/>
      <c r="AP89" s="48"/>
      <c r="AQ89" s="48">
        <v>7.7359297190641731</v>
      </c>
      <c r="AR89" s="46">
        <f t="shared" si="91"/>
        <v>5.799040668349849</v>
      </c>
      <c r="AS89" s="46">
        <f t="shared" si="92"/>
        <v>2267.4249013247909</v>
      </c>
      <c r="AT89" s="48">
        <v>6.5283296943231433</v>
      </c>
      <c r="AU89" s="46">
        <f t="shared" si="93"/>
        <v>8.3266910492295931</v>
      </c>
      <c r="AV89" s="46">
        <f t="shared" si="94"/>
        <v>1913.4736031129605</v>
      </c>
      <c r="AW89" s="48">
        <v>1.7873788409981437</v>
      </c>
      <c r="AX89" s="48">
        <f t="shared" si="95"/>
        <v>92.275624212604214</v>
      </c>
      <c r="AY89" s="48">
        <f t="shared" si="96"/>
        <v>94.446930957811361</v>
      </c>
      <c r="AZ89">
        <v>0.50700000000000001</v>
      </c>
      <c r="BB89">
        <v>6.48</v>
      </c>
    </row>
    <row r="90" spans="1:73" x14ac:dyDescent="0.2">
      <c r="A90" s="7">
        <v>40</v>
      </c>
      <c r="D90" s="68">
        <v>6.95</v>
      </c>
      <c r="E90" s="68">
        <v>150</v>
      </c>
      <c r="F90" s="48">
        <v>10.696999999999999</v>
      </c>
      <c r="G90" s="48">
        <f t="shared" si="77"/>
        <v>0.39500000000000135</v>
      </c>
      <c r="H90" s="48">
        <v>11.092000000000001</v>
      </c>
      <c r="I90" s="48">
        <v>10.811</v>
      </c>
      <c r="J90" s="48">
        <f t="shared" si="80"/>
        <v>0.28100000000000058</v>
      </c>
      <c r="K90" s="48">
        <f t="shared" si="97"/>
        <v>26.269047396466355</v>
      </c>
      <c r="L90" s="48">
        <f t="shared" si="81"/>
        <v>2.6977726574500829E-2</v>
      </c>
      <c r="M90" s="48">
        <f t="shared" si="82"/>
        <v>0.97373095260353371</v>
      </c>
      <c r="N90" s="48"/>
      <c r="O90" s="56">
        <v>3.157</v>
      </c>
      <c r="P90" s="48"/>
      <c r="Q90" s="48">
        <f t="shared" si="100"/>
        <v>63.14</v>
      </c>
      <c r="R90" s="46">
        <f t="shared" si="83"/>
        <v>91.992078325267528</v>
      </c>
      <c r="S90" s="46">
        <f t="shared" si="84"/>
        <v>18403.015268969768</v>
      </c>
      <c r="T90" s="48">
        <v>0.69399999999999995</v>
      </c>
      <c r="U90" s="48">
        <f t="shared" si="98"/>
        <v>13.879999999999999</v>
      </c>
      <c r="V90" s="46">
        <f t="shared" si="85"/>
        <v>3.9106861028406223</v>
      </c>
      <c r="W90" s="46">
        <f t="shared" si="86"/>
        <v>475.14836149513565</v>
      </c>
      <c r="X90" s="48">
        <v>5.1520000000000001</v>
      </c>
      <c r="Y90" s="48"/>
      <c r="Z90" s="48"/>
      <c r="AA90" s="48">
        <f>X90*8</f>
        <v>41.216000000000001</v>
      </c>
      <c r="AB90" s="46">
        <f t="shared" si="87"/>
        <v>84.655827956989242</v>
      </c>
      <c r="AD90" s="48">
        <v>0.124</v>
      </c>
      <c r="AE90" s="48"/>
      <c r="AF90" s="48">
        <f t="shared" si="78"/>
        <v>0.99199999999999999</v>
      </c>
      <c r="AG90" s="46">
        <f t="shared" si="88"/>
        <v>2.0375238095238095</v>
      </c>
      <c r="AH90">
        <v>0.36</v>
      </c>
      <c r="AI90">
        <f t="shared" si="89"/>
        <v>2.88</v>
      </c>
      <c r="AJ90" s="46">
        <f t="shared" si="90"/>
        <v>5.9153917050691236</v>
      </c>
      <c r="AK90">
        <v>0.91</v>
      </c>
      <c r="AM90">
        <f t="shared" si="101"/>
        <v>7.28</v>
      </c>
      <c r="AN90" s="46">
        <f t="shared" si="79"/>
        <v>14.95279569892473</v>
      </c>
      <c r="AO90" s="48"/>
      <c r="AP90" s="48"/>
      <c r="AQ90" s="48">
        <v>5.9507187822982237</v>
      </c>
      <c r="AR90" s="46">
        <f t="shared" si="91"/>
        <v>4.4458304873884833</v>
      </c>
      <c r="AS90" s="46">
        <f t="shared" si="92"/>
        <v>1738.3197205688971</v>
      </c>
      <c r="AT90" s="48">
        <v>6.9832059679767093</v>
      </c>
      <c r="AU90" s="46">
        <f t="shared" si="93"/>
        <v>8.8769762394577594</v>
      </c>
      <c r="AV90" s="46">
        <f t="shared" si="94"/>
        <v>2039.9291398273931</v>
      </c>
      <c r="AW90" s="48">
        <v>1.0932150958960611</v>
      </c>
      <c r="AX90" s="48">
        <f t="shared" si="95"/>
        <v>56.438569741665518</v>
      </c>
      <c r="AY90" s="48">
        <f t="shared" si="96"/>
        <v>57.961154044412062</v>
      </c>
      <c r="AZ90">
        <v>0.50900000000000001</v>
      </c>
      <c r="BB90">
        <v>6.86</v>
      </c>
    </row>
    <row r="91" spans="1:73" ht="13.5" thickBot="1" x14ac:dyDescent="0.25">
      <c r="A91" s="7">
        <v>51</v>
      </c>
      <c r="D91" s="23">
        <v>7.09</v>
      </c>
      <c r="E91" s="23">
        <v>170.6</v>
      </c>
      <c r="F91" s="48">
        <v>9.4789999999999992</v>
      </c>
      <c r="G91" s="48">
        <f t="shared" si="77"/>
        <v>0.41200000000000081</v>
      </c>
      <c r="H91" s="48">
        <v>9.891</v>
      </c>
      <c r="I91" s="48">
        <v>9.6590000000000007</v>
      </c>
      <c r="J91" s="48">
        <f t="shared" si="80"/>
        <v>0.23199999999999932</v>
      </c>
      <c r="K91" s="48">
        <f t="shared" si="97"/>
        <v>24.475155607131484</v>
      </c>
      <c r="L91" s="48">
        <f t="shared" si="81"/>
        <v>2.5089218124797159E-2</v>
      </c>
      <c r="M91" s="48">
        <f t="shared" si="82"/>
        <v>0.97552484439286846</v>
      </c>
      <c r="N91" s="48"/>
      <c r="O91" s="56">
        <v>3.03</v>
      </c>
      <c r="P91" s="48"/>
      <c r="Q91" s="48">
        <f t="shared" si="100"/>
        <v>60.599999999999994</v>
      </c>
      <c r="R91" s="46">
        <f t="shared" si="83"/>
        <v>88.454073172380774</v>
      </c>
      <c r="S91" s="46">
        <f t="shared" si="84"/>
        <v>17695.237338134772</v>
      </c>
      <c r="T91" s="48">
        <v>0.71099999999999997</v>
      </c>
      <c r="U91" s="48">
        <f t="shared" si="98"/>
        <v>14.219999999999999</v>
      </c>
      <c r="V91" s="46">
        <f t="shared" si="85"/>
        <v>3.9991134929313072</v>
      </c>
      <c r="W91" s="46">
        <f t="shared" si="86"/>
        <v>485.89228939115389</v>
      </c>
      <c r="X91" s="48">
        <v>5.3220000000000001</v>
      </c>
      <c r="Y91" s="48">
        <v>3.3610000000000002</v>
      </c>
      <c r="Z91" s="48"/>
      <c r="AA91" s="48">
        <f>Y91*16</f>
        <v>53.776000000000003</v>
      </c>
      <c r="AB91" s="46">
        <f t="shared" si="87"/>
        <v>110.25039558775819</v>
      </c>
      <c r="AD91" s="48">
        <v>0.122</v>
      </c>
      <c r="AE91" s="48"/>
      <c r="AF91" s="48">
        <f t="shared" si="78"/>
        <v>0.97599999999999998</v>
      </c>
      <c r="AG91" s="46">
        <f t="shared" si="88"/>
        <v>2.0009741537796044</v>
      </c>
      <c r="AH91">
        <v>0.32</v>
      </c>
      <c r="AI91">
        <f t="shared" si="89"/>
        <v>2.56</v>
      </c>
      <c r="AJ91" s="46">
        <f t="shared" si="90"/>
        <v>5.2484567967989628</v>
      </c>
      <c r="AK91">
        <v>1.57</v>
      </c>
      <c r="AM91">
        <f t="shared" si="101"/>
        <v>12.56</v>
      </c>
      <c r="AN91" s="46">
        <f t="shared" si="79"/>
        <v>25.750241159294909</v>
      </c>
      <c r="AO91" s="48"/>
      <c r="AP91" s="48"/>
      <c r="AQ91" s="48">
        <v>6.5144696044348391</v>
      </c>
      <c r="AR91" s="46">
        <f t="shared" si="91"/>
        <v>4.8759797548606398</v>
      </c>
      <c r="AS91" s="46">
        <f t="shared" si="92"/>
        <v>1906.5080841505101</v>
      </c>
      <c r="AT91" s="48">
        <v>7.0741812227074226</v>
      </c>
      <c r="AU91" s="46">
        <f t="shared" si="93"/>
        <v>9.0091899954159409</v>
      </c>
      <c r="AV91" s="46">
        <f t="shared" si="94"/>
        <v>2070.3118609465832</v>
      </c>
      <c r="AW91" s="48">
        <v>0.62033408950299029</v>
      </c>
      <c r="AX91" s="48">
        <f t="shared" si="95"/>
        <v>32.025507976406317</v>
      </c>
      <c r="AY91" s="48">
        <f t="shared" si="96"/>
        <v>32.829002931583808</v>
      </c>
      <c r="AZ91">
        <v>0.504</v>
      </c>
      <c r="BB91">
        <v>6.69</v>
      </c>
    </row>
    <row r="92" spans="1:73" x14ac:dyDescent="0.2">
      <c r="A92" s="7">
        <v>48</v>
      </c>
      <c r="D92" s="27">
        <v>6.34</v>
      </c>
      <c r="E92" s="27">
        <v>178.1</v>
      </c>
      <c r="F92" s="48">
        <v>10.603999999999999</v>
      </c>
      <c r="G92" s="48">
        <f t="shared" si="77"/>
        <v>0.37700000000000067</v>
      </c>
      <c r="H92" s="48">
        <v>10.981</v>
      </c>
      <c r="I92" s="48">
        <v>10.739000000000001</v>
      </c>
      <c r="J92" s="48">
        <f t="shared" si="80"/>
        <v>0.2419999999999991</v>
      </c>
      <c r="K92" s="48">
        <f t="shared" si="97"/>
        <v>22.821576763485396</v>
      </c>
      <c r="L92" s="48">
        <f t="shared" si="81"/>
        <v>2.3354564755838556E-2</v>
      </c>
      <c r="M92" s="48">
        <f t="shared" si="82"/>
        <v>0.97717842323651449</v>
      </c>
      <c r="N92" s="48"/>
      <c r="O92" s="56">
        <v>1.907</v>
      </c>
      <c r="P92" s="48"/>
      <c r="Q92" s="48">
        <f t="shared" si="100"/>
        <v>38.14</v>
      </c>
      <c r="R92" s="46">
        <f t="shared" si="83"/>
        <v>55.764965180409966</v>
      </c>
      <c r="S92" s="46">
        <f t="shared" si="84"/>
        <v>11155.781284341012</v>
      </c>
      <c r="T92" s="48">
        <v>0.80600000000000005</v>
      </c>
      <c r="U92" s="48">
        <f t="shared" si="98"/>
        <v>16.12</v>
      </c>
      <c r="V92" s="46">
        <f t="shared" si="85"/>
        <v>4.5257820531863153</v>
      </c>
      <c r="W92" s="46">
        <f t="shared" si="86"/>
        <v>549.88251946213734</v>
      </c>
      <c r="X92" s="48">
        <v>7.1870000000000003</v>
      </c>
      <c r="Y92" s="48">
        <v>4.6769999999999996</v>
      </c>
      <c r="Z92" s="48"/>
      <c r="AA92" s="48">
        <f>Y92*16</f>
        <v>74.831999999999994</v>
      </c>
      <c r="AB92" s="46">
        <f t="shared" si="87"/>
        <v>153.15933757961784</v>
      </c>
      <c r="AD92" s="48">
        <v>0.11</v>
      </c>
      <c r="AE92" s="48"/>
      <c r="AF92" s="48">
        <f t="shared" si="78"/>
        <v>0.88</v>
      </c>
      <c r="AG92" s="46">
        <f t="shared" si="88"/>
        <v>1.8011040339702764</v>
      </c>
      <c r="AH92">
        <v>0.3</v>
      </c>
      <c r="AI92">
        <f t="shared" si="89"/>
        <v>2.4</v>
      </c>
      <c r="AJ92" s="46">
        <f t="shared" si="90"/>
        <v>4.9121019108280262</v>
      </c>
      <c r="AK92">
        <v>1.17</v>
      </c>
      <c r="AM92">
        <f t="shared" si="101"/>
        <v>9.36</v>
      </c>
      <c r="AN92" s="46">
        <f t="shared" si="79"/>
        <v>19.157197452229301</v>
      </c>
      <c r="AO92" s="48"/>
      <c r="AP92" s="48"/>
      <c r="AQ92" s="48">
        <v>6.1386357230104291</v>
      </c>
      <c r="AR92" s="46">
        <f t="shared" si="91"/>
        <v>4.6024621815611297</v>
      </c>
      <c r="AS92" s="46">
        <f t="shared" si="92"/>
        <v>1799.5627129904017</v>
      </c>
      <c r="AT92" s="48">
        <v>9.0756368267831142</v>
      </c>
      <c r="AU92" s="46">
        <f t="shared" si="93"/>
        <v>11.577697760134685</v>
      </c>
      <c r="AV92" s="46">
        <f t="shared" si="94"/>
        <v>2660.5549452789505</v>
      </c>
      <c r="AW92" s="48">
        <v>3.9045590115040478</v>
      </c>
      <c r="AX92" s="48">
        <f t="shared" si="95"/>
        <v>201.57764643799936</v>
      </c>
      <c r="AY92" s="48">
        <f t="shared" si="96"/>
        <v>206.28540463506516</v>
      </c>
      <c r="AZ92">
        <v>0.51</v>
      </c>
      <c r="BB92">
        <v>7.5</v>
      </c>
    </row>
    <row r="93" spans="1:73" x14ac:dyDescent="0.2">
      <c r="A93" s="7">
        <v>41</v>
      </c>
      <c r="D93" s="7">
        <v>6.59</v>
      </c>
      <c r="E93" s="7">
        <v>178.4</v>
      </c>
      <c r="F93" s="48">
        <v>9.2929999999999993</v>
      </c>
      <c r="G93" s="48">
        <f t="shared" si="77"/>
        <v>0.41100000000000136</v>
      </c>
      <c r="H93" s="48">
        <v>9.7040000000000006</v>
      </c>
      <c r="I93" s="48">
        <v>9.4649999999999999</v>
      </c>
      <c r="J93" s="48">
        <f t="shared" si="80"/>
        <v>0.23900000000000077</v>
      </c>
      <c r="K93" s="48">
        <f t="shared" si="97"/>
        <v>25.718282578284814</v>
      </c>
      <c r="L93" s="48">
        <f t="shared" si="81"/>
        <v>2.6397172520433047E-2</v>
      </c>
      <c r="M93" s="48">
        <f t="shared" si="82"/>
        <v>0.97428171742171521</v>
      </c>
      <c r="N93" s="48"/>
      <c r="O93" s="56">
        <v>2.7290000000000001</v>
      </c>
      <c r="P93" s="48"/>
      <c r="Q93" s="48">
        <f t="shared" si="100"/>
        <v>54.58</v>
      </c>
      <c r="R93" s="46">
        <f t="shared" si="83"/>
        <v>79.565530379367416</v>
      </c>
      <c r="S93" s="46">
        <f t="shared" si="84"/>
        <v>15917.08435239245</v>
      </c>
      <c r="T93" s="48">
        <v>0.82099999999999995</v>
      </c>
      <c r="U93" s="48">
        <f t="shared" si="98"/>
        <v>16.419999999999998</v>
      </c>
      <c r="V93" s="46">
        <f t="shared" si="85"/>
        <v>4.623715109131826</v>
      </c>
      <c r="W93" s="46">
        <f t="shared" si="86"/>
        <v>561.78138575951687</v>
      </c>
      <c r="X93" s="48">
        <v>6.7380000000000004</v>
      </c>
      <c r="Y93" s="48">
        <v>4.3319999999999999</v>
      </c>
      <c r="Z93" s="48"/>
      <c r="AA93" s="48">
        <f>Y93*16</f>
        <v>69.311999999999998</v>
      </c>
      <c r="AB93" s="46">
        <f t="shared" si="87"/>
        <v>142.28328164347252</v>
      </c>
      <c r="AD93" s="48">
        <v>0.12</v>
      </c>
      <c r="AE93" s="48"/>
      <c r="AF93" s="48">
        <f t="shared" si="78"/>
        <v>0.96</v>
      </c>
      <c r="AG93" s="46">
        <f t="shared" si="88"/>
        <v>1.9706825712392315</v>
      </c>
      <c r="AH93">
        <v>0.31</v>
      </c>
      <c r="AI93">
        <f t="shared" si="89"/>
        <v>2.48</v>
      </c>
      <c r="AJ93" s="46">
        <f t="shared" si="90"/>
        <v>5.0909299757013482</v>
      </c>
      <c r="AK93">
        <v>1.06</v>
      </c>
      <c r="AM93">
        <f t="shared" si="101"/>
        <v>8.48</v>
      </c>
      <c r="AN93" s="46">
        <f t="shared" si="79"/>
        <v>17.407696045946548</v>
      </c>
      <c r="AO93" s="48"/>
      <c r="AP93" s="48"/>
      <c r="AQ93" s="48">
        <v>5.5748849008738137</v>
      </c>
      <c r="AR93" s="46">
        <f t="shared" si="91"/>
        <v>4.1673977767148811</v>
      </c>
      <c r="AS93" s="46">
        <f t="shared" si="92"/>
        <v>1629.4525306955186</v>
      </c>
      <c r="AT93" s="48">
        <v>11.168067685589518</v>
      </c>
      <c r="AU93" s="46">
        <f t="shared" si="93"/>
        <v>14.204757395558897</v>
      </c>
      <c r="AV93" s="46">
        <f t="shared" si="94"/>
        <v>3264.2532494994343</v>
      </c>
      <c r="AW93" s="48">
        <v>1.0835223757475767</v>
      </c>
      <c r="AX93" s="48">
        <f t="shared" si="95"/>
        <v>55.938171179534152</v>
      </c>
      <c r="AY93" s="48">
        <f t="shared" si="96"/>
        <v>57.41478073463783</v>
      </c>
      <c r="AZ93">
        <v>0.505</v>
      </c>
      <c r="BB93">
        <v>7.22</v>
      </c>
    </row>
    <row r="94" spans="1:73" ht="13.5" thickBot="1" x14ac:dyDescent="0.25">
      <c r="A94" s="7">
        <v>47</v>
      </c>
      <c r="D94" s="23">
        <v>5.89</v>
      </c>
      <c r="E94" s="23">
        <v>182.4</v>
      </c>
      <c r="F94" s="48">
        <v>10.715999999999999</v>
      </c>
      <c r="G94" s="48">
        <f t="shared" si="77"/>
        <v>0.39000000000000057</v>
      </c>
      <c r="H94" s="48">
        <v>11.106</v>
      </c>
      <c r="I94" s="48">
        <v>10.891999999999999</v>
      </c>
      <c r="J94" s="48">
        <f t="shared" si="80"/>
        <v>0.21400000000000041</v>
      </c>
      <c r="K94" s="48">
        <f t="shared" si="97"/>
        <v>19.970138111235574</v>
      </c>
      <c r="L94" s="48">
        <f t="shared" si="81"/>
        <v>2.0377071034088787E-2</v>
      </c>
      <c r="M94" s="48">
        <f t="shared" si="82"/>
        <v>0.98002986188876451</v>
      </c>
      <c r="N94" s="48"/>
      <c r="O94" s="56">
        <v>1.653</v>
      </c>
      <c r="P94" s="48"/>
      <c r="Q94" s="48">
        <f t="shared" si="100"/>
        <v>33.06</v>
      </c>
      <c r="R94" s="46">
        <f t="shared" si="83"/>
        <v>48.478484639465172</v>
      </c>
      <c r="S94" s="46">
        <f t="shared" si="84"/>
        <v>9698.1208521250082</v>
      </c>
      <c r="T94" s="48">
        <v>0.747</v>
      </c>
      <c r="U94" s="48">
        <f t="shared" si="98"/>
        <v>14.94</v>
      </c>
      <c r="V94" s="46">
        <f t="shared" si="85"/>
        <v>4.182286266460709</v>
      </c>
      <c r="W94" s="46">
        <f t="shared" si="86"/>
        <v>508.1477813749762</v>
      </c>
      <c r="X94" s="48">
        <v>7.359</v>
      </c>
      <c r="Y94" s="48">
        <v>4.87</v>
      </c>
      <c r="Z94" s="48"/>
      <c r="AA94" s="48">
        <f>Y94*16</f>
        <v>77.92</v>
      </c>
      <c r="AB94" s="46">
        <f t="shared" si="87"/>
        <v>159.01556274995241</v>
      </c>
      <c r="AD94" s="48">
        <v>0.14399999999999999</v>
      </c>
      <c r="AE94" s="48"/>
      <c r="AF94" s="48">
        <f t="shared" si="78"/>
        <v>1.1519999999999999</v>
      </c>
      <c r="AG94" s="46">
        <f t="shared" si="88"/>
        <v>2.3509487716625403</v>
      </c>
      <c r="AH94">
        <v>0.33</v>
      </c>
      <c r="AI94">
        <f t="shared" si="89"/>
        <v>2.64</v>
      </c>
      <c r="AJ94" s="46">
        <f t="shared" si="90"/>
        <v>5.3875909350599889</v>
      </c>
      <c r="AK94">
        <v>1.87</v>
      </c>
      <c r="AM94">
        <f t="shared" si="101"/>
        <v>14.96</v>
      </c>
      <c r="AN94" s="46">
        <f t="shared" si="79"/>
        <v>30.52968196533994</v>
      </c>
      <c r="AO94" s="48"/>
      <c r="AP94" s="48"/>
      <c r="AQ94" s="48">
        <v>9.6150991261862249</v>
      </c>
      <c r="AR94" s="46">
        <f t="shared" si="91"/>
        <v>7.2299879299358567</v>
      </c>
      <c r="AS94" s="46">
        <f t="shared" si="92"/>
        <v>2826.9252806049199</v>
      </c>
      <c r="AT94" s="48">
        <v>8.8936863173216878</v>
      </c>
      <c r="AU94" s="46">
        <f t="shared" si="93"/>
        <v>11.378692132175939</v>
      </c>
      <c r="AV94" s="46">
        <f t="shared" si="94"/>
        <v>2614.8234519740304</v>
      </c>
      <c r="AW94" s="48">
        <v>6.6311407160699414</v>
      </c>
      <c r="AX94" s="48">
        <f t="shared" si="95"/>
        <v>342.34077006039962</v>
      </c>
      <c r="AY94" s="48">
        <f t="shared" si="96"/>
        <v>349.31667224978503</v>
      </c>
      <c r="AZ94">
        <v>0.50600000000000001</v>
      </c>
      <c r="BB94">
        <v>6.76</v>
      </c>
    </row>
    <row r="95" spans="1:73" x14ac:dyDescent="0.2">
      <c r="A95" s="7">
        <v>42</v>
      </c>
      <c r="D95" s="68">
        <v>6.62</v>
      </c>
      <c r="E95" s="68">
        <v>200</v>
      </c>
      <c r="F95" s="48">
        <v>10.031000000000001</v>
      </c>
      <c r="G95" s="48">
        <f t="shared" si="77"/>
        <v>0.45500000000000007</v>
      </c>
      <c r="H95" s="48">
        <v>10.486000000000001</v>
      </c>
      <c r="I95" s="48">
        <v>10.233000000000001</v>
      </c>
      <c r="J95" s="48">
        <f t="shared" si="80"/>
        <v>0.25300000000000011</v>
      </c>
      <c r="K95" s="48">
        <f t="shared" si="97"/>
        <v>25.221812381616999</v>
      </c>
      <c r="L95" s="48">
        <f t="shared" si="81"/>
        <v>2.5874411945183074E-2</v>
      </c>
      <c r="M95" s="48">
        <f t="shared" si="82"/>
        <v>0.97477818761838309</v>
      </c>
      <c r="N95" s="48"/>
      <c r="O95" s="56">
        <v>2.5059999999999998</v>
      </c>
      <c r="P95" s="48"/>
      <c r="Q95" s="48">
        <f t="shared" si="100"/>
        <v>50.12</v>
      </c>
      <c r="R95" s="46">
        <f t="shared" si="83"/>
        <v>73.10107146648383</v>
      </c>
      <c r="S95" s="46">
        <f t="shared" si="84"/>
        <v>14623.869346870089</v>
      </c>
      <c r="T95" s="48">
        <v>0.69299999999999995</v>
      </c>
      <c r="U95" s="48">
        <f t="shared" si="98"/>
        <v>13.86</v>
      </c>
      <c r="V95" s="46">
        <f t="shared" si="85"/>
        <v>3.9008557886310666</v>
      </c>
      <c r="W95" s="46">
        <f t="shared" si="86"/>
        <v>473.95397831867461</v>
      </c>
      <c r="X95" s="48">
        <v>7.7370000000000001</v>
      </c>
      <c r="Y95" s="48">
        <v>5.2069999999999999</v>
      </c>
      <c r="Z95" s="48"/>
      <c r="AA95" s="48">
        <f>Y95*16</f>
        <v>83.311999999999998</v>
      </c>
      <c r="AB95" s="46">
        <f t="shared" si="87"/>
        <v>170.93529801595417</v>
      </c>
      <c r="AD95" s="48">
        <v>0.152</v>
      </c>
      <c r="AE95" s="48"/>
      <c r="AF95" s="48">
        <f t="shared" si="78"/>
        <v>1.216</v>
      </c>
      <c r="AG95" s="46">
        <f t="shared" si="88"/>
        <v>2.4949265698506848</v>
      </c>
      <c r="AH95">
        <v>0.31</v>
      </c>
      <c r="AI95">
        <f t="shared" si="89"/>
        <v>2.48</v>
      </c>
      <c r="AJ95" s="46">
        <f t="shared" si="90"/>
        <v>5.0883370832481081</v>
      </c>
      <c r="AK95">
        <v>0.81</v>
      </c>
      <c r="AM95">
        <f t="shared" si="101"/>
        <v>6.48</v>
      </c>
      <c r="AN95" s="46">
        <f t="shared" si="79"/>
        <v>13.295332378809574</v>
      </c>
      <c r="AO95" s="48"/>
      <c r="AP95" s="48"/>
      <c r="AQ95" s="48">
        <v>7.6419712487080709</v>
      </c>
      <c r="AR95" s="46">
        <f t="shared" si="91"/>
        <v>5.7155193480670938</v>
      </c>
      <c r="AS95" s="46">
        <f t="shared" si="92"/>
        <v>2234.7680650942339</v>
      </c>
      <c r="AT95" s="48">
        <v>9.4395378457059671</v>
      </c>
      <c r="AU95" s="46">
        <f t="shared" si="93"/>
        <v>12.012344116439163</v>
      </c>
      <c r="AV95" s="46">
        <f t="shared" si="94"/>
        <v>2760.4366779577194</v>
      </c>
      <c r="AW95" s="48">
        <v>3.9467405198125269</v>
      </c>
      <c r="AX95" s="48">
        <f t="shared" si="95"/>
        <v>203.75531852413667</v>
      </c>
      <c r="AY95" s="48">
        <f t="shared" si="96"/>
        <v>209.02736757165215</v>
      </c>
      <c r="AZ95">
        <v>0.50700000000000001</v>
      </c>
      <c r="BB95">
        <v>6.7</v>
      </c>
    </row>
    <row r="96" spans="1:73" ht="38.25" x14ac:dyDescent="0.2">
      <c r="F96" s="48"/>
      <c r="G96" s="48"/>
      <c r="H96" s="48"/>
      <c r="I96" s="48"/>
      <c r="J96" s="48"/>
      <c r="K96" s="48" t="e">
        <f t="shared" si="97"/>
        <v>#DIV/0!</v>
      </c>
      <c r="L96" s="48"/>
      <c r="M96" s="48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  <c r="AA96" s="48"/>
      <c r="AB96" s="48"/>
      <c r="AD96" s="48"/>
      <c r="AE96" s="48"/>
      <c r="AF96" s="48"/>
      <c r="AG96" s="48"/>
      <c r="AN96" s="48"/>
      <c r="AO96" s="48"/>
      <c r="AP96" s="48"/>
      <c r="AQ96" s="48"/>
      <c r="AR96" s="48"/>
      <c r="AS96" s="48"/>
      <c r="AT96" s="48"/>
      <c r="AU96" s="48"/>
      <c r="AV96" s="48"/>
      <c r="AW96" s="48"/>
      <c r="AX96" s="48"/>
      <c r="AY96" s="48"/>
      <c r="AZ96" s="41" t="s">
        <v>83</v>
      </c>
      <c r="BA96" s="41"/>
      <c r="BB96" s="41">
        <v>10.7</v>
      </c>
      <c r="BC96" s="51">
        <f>5*1/BB96</f>
        <v>0.46728971962616828</v>
      </c>
      <c r="BD96" s="51"/>
      <c r="BE96" s="52" t="s">
        <v>95</v>
      </c>
      <c r="BF96" s="48">
        <v>33.2881</v>
      </c>
      <c r="BG96" s="48">
        <v>33.7393</v>
      </c>
      <c r="BH96" s="48">
        <f>BG96-BF96</f>
        <v>0.45120000000000005</v>
      </c>
      <c r="BI96" s="48"/>
      <c r="BJ96" s="48"/>
      <c r="BK96" s="48"/>
      <c r="BL96" s="48"/>
      <c r="BM96" s="48"/>
      <c r="BN96" s="48"/>
      <c r="BO96" s="48"/>
      <c r="BP96" s="48"/>
      <c r="BQ96" s="48"/>
      <c r="BR96" s="48"/>
      <c r="BS96" s="48"/>
      <c r="BT96" s="48"/>
      <c r="BU96" s="48"/>
    </row>
    <row r="97" spans="1:53" ht="51" x14ac:dyDescent="0.2">
      <c r="A97" s="36" t="s">
        <v>61</v>
      </c>
      <c r="B97" s="36"/>
      <c r="C97" s="36"/>
      <c r="D97" s="36"/>
      <c r="E97" s="36"/>
      <c r="F97" s="48"/>
      <c r="G97" s="48"/>
      <c r="H97" s="48"/>
      <c r="I97" s="48"/>
      <c r="J97" s="48"/>
      <c r="K97" s="48" t="e">
        <f t="shared" si="97"/>
        <v>#DIV/0!</v>
      </c>
      <c r="L97" s="48"/>
      <c r="M97" s="48"/>
      <c r="N97" s="48"/>
      <c r="O97" s="56" t="s">
        <v>37</v>
      </c>
      <c r="P97" s="57" t="s">
        <v>38</v>
      </c>
      <c r="Q97" s="57" t="s">
        <v>62</v>
      </c>
      <c r="R97" s="57"/>
      <c r="S97" s="57"/>
      <c r="T97" s="57" t="s">
        <v>40</v>
      </c>
      <c r="U97" s="57" t="s">
        <v>41</v>
      </c>
      <c r="V97" s="53" t="s">
        <v>4</v>
      </c>
      <c r="W97" s="53" t="s">
        <v>28</v>
      </c>
      <c r="X97" s="57" t="s">
        <v>42</v>
      </c>
      <c r="Y97" s="57" t="s">
        <v>43</v>
      </c>
      <c r="Z97" s="57" t="s">
        <v>44</v>
      </c>
      <c r="AA97" s="57" t="s">
        <v>45</v>
      </c>
      <c r="AB97" s="53" t="s">
        <v>7</v>
      </c>
      <c r="AD97" s="57" t="s">
        <v>47</v>
      </c>
      <c r="AE97" s="57" t="s">
        <v>48</v>
      </c>
      <c r="AF97" s="57" t="s">
        <v>49</v>
      </c>
      <c r="AG97" s="53" t="s">
        <v>8</v>
      </c>
      <c r="AH97" s="4" t="s">
        <v>50</v>
      </c>
      <c r="AI97" s="4" t="s">
        <v>51</v>
      </c>
      <c r="AJ97" s="5" t="s">
        <v>9</v>
      </c>
      <c r="AK97" s="4" t="s">
        <v>52</v>
      </c>
      <c r="AL97" s="4" t="s">
        <v>63</v>
      </c>
      <c r="AM97" s="4" t="s">
        <v>56</v>
      </c>
      <c r="AN97" s="53" t="s">
        <v>10</v>
      </c>
      <c r="AO97" s="48"/>
      <c r="AP97" s="48"/>
      <c r="AQ97" s="54" t="s">
        <v>64</v>
      </c>
      <c r="AR97" s="55" t="s">
        <v>5</v>
      </c>
      <c r="AS97" s="48"/>
      <c r="AT97" s="48" t="s">
        <v>65</v>
      </c>
      <c r="AU97" s="55" t="s">
        <v>6</v>
      </c>
      <c r="AV97" s="48"/>
      <c r="AW97" s="56" t="s">
        <v>66</v>
      </c>
      <c r="AX97" s="56" t="s">
        <v>67</v>
      </c>
      <c r="AY97" s="56" t="s">
        <v>20</v>
      </c>
    </row>
    <row r="98" spans="1:53" x14ac:dyDescent="0.2">
      <c r="K98" s="48" t="e">
        <f t="shared" si="97"/>
        <v>#DIV/0!</v>
      </c>
      <c r="AZ98" t="s">
        <v>83</v>
      </c>
      <c r="BA98">
        <v>11.2</v>
      </c>
    </row>
  </sheetData>
  <autoFilter ref="A1:BU98" xr:uid="{F81D7DB0-0FF2-46C0-A566-4CA6AD877EEE}">
    <sortState xmlns:xlrd2="http://schemas.microsoft.com/office/spreadsheetml/2017/richdata2" ref="A2:BU98">
      <sortCondition ref="C1:C98"/>
    </sortState>
  </autoFilter>
  <pageMargins left="0.7" right="0.7" top="0.75" bottom="0.75" header="0.3" footer="0.3"/>
  <pageSetup orientation="portrait" horizontalDpi="300" verticalDpi="3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850C8-0699-44D4-B898-1619D9C4EF6C}">
  <dimension ref="A1:J85"/>
  <sheetViews>
    <sheetView workbookViewId="0">
      <selection activeCell="H19" sqref="H19"/>
    </sheetView>
  </sheetViews>
  <sheetFormatPr defaultRowHeight="12.75" x14ac:dyDescent="0.2"/>
  <cols>
    <col min="6" max="6" width="9.5703125" bestFit="1" customWidth="1"/>
    <col min="9" max="9" width="19" bestFit="1" customWidth="1"/>
  </cols>
  <sheetData>
    <row r="1" spans="1:10" x14ac:dyDescent="0.2">
      <c r="A1" t="s">
        <v>109</v>
      </c>
    </row>
    <row r="2" spans="1:10" x14ac:dyDescent="0.2">
      <c r="A2" t="s">
        <v>110</v>
      </c>
      <c r="B2" t="s">
        <v>74</v>
      </c>
      <c r="C2" t="s">
        <v>111</v>
      </c>
      <c r="D2" t="s">
        <v>112</v>
      </c>
      <c r="E2" t="s">
        <v>113</v>
      </c>
      <c r="I2" t="s">
        <v>115</v>
      </c>
      <c r="J2" t="s">
        <v>111</v>
      </c>
    </row>
    <row r="3" spans="1:10" x14ac:dyDescent="0.2">
      <c r="A3">
        <v>3</v>
      </c>
      <c r="B3" s="7">
        <v>110160</v>
      </c>
      <c r="C3">
        <v>59</v>
      </c>
      <c r="D3">
        <v>2</v>
      </c>
      <c r="E3">
        <f t="shared" ref="E3:E26" si="0">C3*D3</f>
        <v>118</v>
      </c>
      <c r="F3" s="48">
        <f>(E3-1.8473)/10.071</f>
        <v>11.533382980836064</v>
      </c>
      <c r="I3">
        <v>0</v>
      </c>
      <c r="J3">
        <v>0</v>
      </c>
    </row>
    <row r="4" spans="1:10" x14ac:dyDescent="0.2">
      <c r="A4">
        <v>4</v>
      </c>
      <c r="B4" s="7">
        <v>110160</v>
      </c>
      <c r="C4">
        <v>39</v>
      </c>
      <c r="D4">
        <v>2</v>
      </c>
      <c r="E4">
        <f t="shared" si="0"/>
        <v>78</v>
      </c>
      <c r="F4" s="48">
        <f t="shared" ref="F4:F26" si="1">(E4-1.8473)/10.071</f>
        <v>7.5615827623870517</v>
      </c>
      <c r="I4">
        <v>1</v>
      </c>
      <c r="J4">
        <v>12</v>
      </c>
    </row>
    <row r="5" spans="1:10" x14ac:dyDescent="0.2">
      <c r="A5">
        <v>40</v>
      </c>
      <c r="B5" s="7">
        <v>140933</v>
      </c>
      <c r="C5">
        <v>69</v>
      </c>
      <c r="D5">
        <v>2</v>
      </c>
      <c r="E5">
        <f t="shared" si="0"/>
        <v>138</v>
      </c>
      <c r="F5" s="48">
        <f t="shared" si="1"/>
        <v>13.519283090060572</v>
      </c>
      <c r="I5">
        <v>3</v>
      </c>
      <c r="J5">
        <v>34</v>
      </c>
    </row>
    <row r="6" spans="1:10" x14ac:dyDescent="0.2">
      <c r="A6">
        <v>55</v>
      </c>
      <c r="B6" s="7">
        <v>140933</v>
      </c>
      <c r="C6">
        <v>91</v>
      </c>
      <c r="D6">
        <v>1</v>
      </c>
      <c r="E6">
        <f t="shared" si="0"/>
        <v>91</v>
      </c>
      <c r="F6" s="48">
        <f t="shared" si="1"/>
        <v>8.8524178333829813</v>
      </c>
      <c r="I6">
        <v>5</v>
      </c>
      <c r="J6">
        <v>54</v>
      </c>
    </row>
    <row r="7" spans="1:10" x14ac:dyDescent="0.2">
      <c r="A7">
        <v>20</v>
      </c>
      <c r="B7" s="7">
        <v>141372</v>
      </c>
      <c r="C7">
        <v>72</v>
      </c>
      <c r="D7">
        <v>1</v>
      </c>
      <c r="E7">
        <f t="shared" si="0"/>
        <v>72</v>
      </c>
      <c r="F7" s="48">
        <f t="shared" si="1"/>
        <v>6.9658127296197003</v>
      </c>
      <c r="I7">
        <v>8</v>
      </c>
      <c r="J7">
        <v>80</v>
      </c>
    </row>
    <row r="8" spans="1:10" x14ac:dyDescent="0.2">
      <c r="A8">
        <v>39</v>
      </c>
      <c r="B8" s="7">
        <v>141372</v>
      </c>
      <c r="C8">
        <v>63</v>
      </c>
      <c r="D8">
        <v>2</v>
      </c>
      <c r="E8">
        <f t="shared" si="0"/>
        <v>126</v>
      </c>
      <c r="F8" s="48">
        <f t="shared" si="1"/>
        <v>12.327743024525866</v>
      </c>
      <c r="I8">
        <v>10</v>
      </c>
      <c r="J8">
        <v>103</v>
      </c>
    </row>
    <row r="9" spans="1:10" x14ac:dyDescent="0.2">
      <c r="A9">
        <v>16</v>
      </c>
      <c r="B9" s="7">
        <v>272850</v>
      </c>
      <c r="C9">
        <v>33</v>
      </c>
      <c r="D9">
        <v>2</v>
      </c>
      <c r="E9">
        <f t="shared" si="0"/>
        <v>66</v>
      </c>
      <c r="F9" s="48">
        <f t="shared" si="1"/>
        <v>6.370042696852348</v>
      </c>
      <c r="I9" t="s">
        <v>116</v>
      </c>
    </row>
    <row r="10" spans="1:10" x14ac:dyDescent="0.2">
      <c r="A10">
        <v>35</v>
      </c>
      <c r="B10" s="7">
        <v>272850</v>
      </c>
      <c r="C10">
        <v>89</v>
      </c>
      <c r="D10">
        <v>1</v>
      </c>
      <c r="E10">
        <f t="shared" si="0"/>
        <v>89</v>
      </c>
      <c r="F10" s="48">
        <f t="shared" si="1"/>
        <v>8.6538278224605296</v>
      </c>
    </row>
    <row r="11" spans="1:10" x14ac:dyDescent="0.2">
      <c r="A11">
        <v>8</v>
      </c>
      <c r="B11" s="7">
        <v>272894</v>
      </c>
      <c r="C11">
        <v>79</v>
      </c>
      <c r="D11">
        <v>1</v>
      </c>
      <c r="E11">
        <f t="shared" si="0"/>
        <v>79</v>
      </c>
      <c r="F11" s="48">
        <f t="shared" si="1"/>
        <v>7.6608777678482767</v>
      </c>
    </row>
    <row r="12" spans="1:10" x14ac:dyDescent="0.2">
      <c r="A12">
        <v>24</v>
      </c>
      <c r="B12" s="7">
        <v>272894</v>
      </c>
      <c r="C12">
        <v>62</v>
      </c>
      <c r="D12">
        <v>2</v>
      </c>
      <c r="E12">
        <f t="shared" si="0"/>
        <v>124</v>
      </c>
      <c r="F12" s="48">
        <f t="shared" si="1"/>
        <v>12.129153013603416</v>
      </c>
    </row>
    <row r="13" spans="1:10" x14ac:dyDescent="0.2">
      <c r="A13">
        <v>25</v>
      </c>
      <c r="B13" s="7">
        <v>320550</v>
      </c>
      <c r="C13">
        <v>53</v>
      </c>
      <c r="D13">
        <v>1</v>
      </c>
      <c r="E13">
        <f t="shared" si="0"/>
        <v>53</v>
      </c>
      <c r="F13" s="48">
        <f t="shared" si="1"/>
        <v>5.0792076258564203</v>
      </c>
    </row>
    <row r="14" spans="1:10" x14ac:dyDescent="0.2">
      <c r="A14">
        <v>49</v>
      </c>
      <c r="B14" s="7">
        <v>320550</v>
      </c>
      <c r="C14">
        <v>50</v>
      </c>
      <c r="D14">
        <v>2</v>
      </c>
      <c r="E14">
        <f t="shared" si="0"/>
        <v>100</v>
      </c>
      <c r="F14" s="48">
        <f t="shared" si="1"/>
        <v>9.7460728825340084</v>
      </c>
    </row>
    <row r="15" spans="1:10" x14ac:dyDescent="0.2">
      <c r="A15">
        <v>45</v>
      </c>
      <c r="B15" s="7">
        <v>320575</v>
      </c>
      <c r="C15">
        <v>73</v>
      </c>
      <c r="D15">
        <v>1</v>
      </c>
      <c r="E15">
        <f t="shared" si="0"/>
        <v>73</v>
      </c>
      <c r="F15" s="48">
        <f t="shared" si="1"/>
        <v>7.0651077350809253</v>
      </c>
    </row>
    <row r="16" spans="1:10" x14ac:dyDescent="0.2">
      <c r="A16">
        <v>51</v>
      </c>
      <c r="B16" s="7">
        <v>320575</v>
      </c>
      <c r="C16">
        <v>115</v>
      </c>
      <c r="D16">
        <v>2</v>
      </c>
      <c r="E16">
        <f t="shared" si="0"/>
        <v>230</v>
      </c>
      <c r="F16" s="48">
        <f t="shared" si="1"/>
        <v>22.654423592493298</v>
      </c>
    </row>
    <row r="17" spans="1:10" x14ac:dyDescent="0.2">
      <c r="A17">
        <v>17</v>
      </c>
      <c r="B17" s="7">
        <v>410162</v>
      </c>
      <c r="C17">
        <v>65</v>
      </c>
      <c r="D17">
        <v>1</v>
      </c>
      <c r="E17">
        <f t="shared" si="0"/>
        <v>65</v>
      </c>
      <c r="F17" s="48">
        <f t="shared" si="1"/>
        <v>6.2707476913911231</v>
      </c>
    </row>
    <row r="18" spans="1:10" x14ac:dyDescent="0.2">
      <c r="A18">
        <v>26</v>
      </c>
      <c r="B18" s="7">
        <v>410162</v>
      </c>
      <c r="C18">
        <v>82</v>
      </c>
      <c r="D18">
        <v>1</v>
      </c>
      <c r="E18">
        <f t="shared" si="0"/>
        <v>82</v>
      </c>
      <c r="F18" s="48">
        <f t="shared" si="1"/>
        <v>7.9587627842319533</v>
      </c>
    </row>
    <row r="19" spans="1:10" x14ac:dyDescent="0.2">
      <c r="A19">
        <v>36</v>
      </c>
      <c r="B19" s="7">
        <v>410296</v>
      </c>
      <c r="C19">
        <v>62</v>
      </c>
      <c r="D19">
        <v>1</v>
      </c>
      <c r="E19">
        <f t="shared" si="0"/>
        <v>62</v>
      </c>
      <c r="F19" s="48">
        <f t="shared" si="1"/>
        <v>5.9728626750074474</v>
      </c>
    </row>
    <row r="20" spans="1:10" x14ac:dyDescent="0.2">
      <c r="A20">
        <v>54</v>
      </c>
      <c r="B20" s="7">
        <v>410296</v>
      </c>
      <c r="C20">
        <v>105</v>
      </c>
      <c r="D20">
        <v>1</v>
      </c>
      <c r="E20">
        <f t="shared" si="0"/>
        <v>105</v>
      </c>
      <c r="F20" s="48">
        <f t="shared" si="1"/>
        <v>10.242547909840136</v>
      </c>
    </row>
    <row r="21" spans="1:10" x14ac:dyDescent="0.2">
      <c r="A21">
        <v>12</v>
      </c>
      <c r="B21" s="7">
        <v>450176</v>
      </c>
      <c r="C21">
        <v>68</v>
      </c>
      <c r="D21">
        <v>1</v>
      </c>
      <c r="E21">
        <f t="shared" si="0"/>
        <v>68</v>
      </c>
      <c r="F21" s="48">
        <f t="shared" si="1"/>
        <v>6.5686327077747988</v>
      </c>
    </row>
    <row r="22" spans="1:10" x14ac:dyDescent="0.2">
      <c r="A22">
        <v>52</v>
      </c>
      <c r="B22" s="7">
        <v>450176</v>
      </c>
      <c r="C22">
        <v>107</v>
      </c>
      <c r="D22">
        <v>2</v>
      </c>
      <c r="E22">
        <f t="shared" si="0"/>
        <v>214</v>
      </c>
      <c r="F22" s="48">
        <f t="shared" si="1"/>
        <v>21.065703505113696</v>
      </c>
    </row>
    <row r="23" spans="1:10" x14ac:dyDescent="0.2">
      <c r="A23">
        <v>48</v>
      </c>
      <c r="B23" s="7">
        <v>490125</v>
      </c>
      <c r="C23">
        <v>78</v>
      </c>
      <c r="D23">
        <v>1</v>
      </c>
      <c r="E23">
        <f t="shared" si="0"/>
        <v>78</v>
      </c>
      <c r="F23" s="48">
        <f t="shared" si="1"/>
        <v>7.5615827623870517</v>
      </c>
    </row>
    <row r="24" spans="1:10" x14ac:dyDescent="0.2">
      <c r="A24">
        <v>50</v>
      </c>
      <c r="B24" s="7">
        <v>490125</v>
      </c>
      <c r="C24">
        <v>56</v>
      </c>
      <c r="D24">
        <v>2</v>
      </c>
      <c r="E24">
        <f t="shared" si="0"/>
        <v>112</v>
      </c>
      <c r="F24" s="48">
        <f t="shared" si="1"/>
        <v>10.937612948068711</v>
      </c>
    </row>
    <row r="25" spans="1:10" x14ac:dyDescent="0.2">
      <c r="A25">
        <v>18</v>
      </c>
      <c r="B25" s="7">
        <v>490300</v>
      </c>
      <c r="C25">
        <v>71</v>
      </c>
      <c r="D25">
        <v>1</v>
      </c>
      <c r="E25">
        <f t="shared" si="0"/>
        <v>71</v>
      </c>
      <c r="F25" s="48">
        <f t="shared" si="1"/>
        <v>6.8665177241584745</v>
      </c>
    </row>
    <row r="26" spans="1:10" x14ac:dyDescent="0.2">
      <c r="A26">
        <v>41</v>
      </c>
      <c r="B26" s="7">
        <v>490300</v>
      </c>
      <c r="C26">
        <v>114</v>
      </c>
      <c r="D26">
        <v>2</v>
      </c>
      <c r="E26">
        <f t="shared" si="0"/>
        <v>228</v>
      </c>
      <c r="F26" s="48">
        <f t="shared" si="1"/>
        <v>22.45583358157085</v>
      </c>
      <c r="I26" s="7"/>
      <c r="J26" s="7"/>
    </row>
    <row r="27" spans="1:10" x14ac:dyDescent="0.2">
      <c r="I27" s="7"/>
      <c r="J27" s="7"/>
    </row>
    <row r="28" spans="1:10" x14ac:dyDescent="0.2">
      <c r="A28" s="7"/>
      <c r="B28" s="7"/>
      <c r="C28" s="7"/>
      <c r="D28" s="7"/>
    </row>
    <row r="29" spans="1:10" x14ac:dyDescent="0.2">
      <c r="A29" s="7"/>
      <c r="B29" s="7"/>
      <c r="C29" s="7" t="s">
        <v>114</v>
      </c>
      <c r="D29" s="7" t="s">
        <v>112</v>
      </c>
    </row>
    <row r="30" spans="1:10" x14ac:dyDescent="0.2">
      <c r="A30" s="7">
        <v>11</v>
      </c>
      <c r="B30" s="7">
        <v>110158</v>
      </c>
      <c r="C30" s="7">
        <v>65</v>
      </c>
      <c r="D30" s="7">
        <v>4</v>
      </c>
      <c r="E30">
        <f t="shared" ref="E30:E31" si="2">C30*D30</f>
        <v>260</v>
      </c>
    </row>
    <row r="31" spans="1:10" x14ac:dyDescent="0.2">
      <c r="A31" s="7">
        <v>34</v>
      </c>
      <c r="B31" s="7">
        <v>110158</v>
      </c>
      <c r="C31" s="7">
        <v>54</v>
      </c>
      <c r="D31" s="7">
        <v>4</v>
      </c>
      <c r="E31">
        <f t="shared" si="2"/>
        <v>216</v>
      </c>
    </row>
    <row r="32" spans="1:10" x14ac:dyDescent="0.2">
      <c r="A32" s="7"/>
      <c r="B32" s="7"/>
      <c r="C32" s="7"/>
      <c r="D32" s="7"/>
    </row>
    <row r="33" spans="1:4" x14ac:dyDescent="0.2">
      <c r="A33" s="7"/>
      <c r="B33" s="7"/>
      <c r="C33" s="7"/>
      <c r="D33" s="7"/>
    </row>
    <row r="34" spans="1:4" x14ac:dyDescent="0.2">
      <c r="A34" s="7"/>
      <c r="B34" s="7"/>
      <c r="C34" s="7"/>
      <c r="D34" s="7"/>
    </row>
    <row r="35" spans="1:4" x14ac:dyDescent="0.2">
      <c r="A35" s="7"/>
      <c r="B35" s="7"/>
      <c r="C35" s="7"/>
      <c r="D35" s="7"/>
    </row>
    <row r="36" spans="1:4" x14ac:dyDescent="0.2">
      <c r="A36" s="7"/>
      <c r="B36" s="7"/>
      <c r="C36" s="7"/>
      <c r="D36" s="7"/>
    </row>
    <row r="37" spans="1:4" x14ac:dyDescent="0.2">
      <c r="A37" s="7"/>
      <c r="B37" s="7"/>
      <c r="C37" s="7"/>
      <c r="D37" s="7"/>
    </row>
    <row r="38" spans="1:4" x14ac:dyDescent="0.2">
      <c r="A38" s="7"/>
      <c r="B38" s="7"/>
      <c r="C38" s="7"/>
      <c r="D38" s="7"/>
    </row>
    <row r="39" spans="1:4" x14ac:dyDescent="0.2">
      <c r="A39" s="7"/>
      <c r="B39" s="7"/>
      <c r="C39" s="7"/>
      <c r="D39" s="7"/>
    </row>
    <row r="40" spans="1:4" x14ac:dyDescent="0.2">
      <c r="A40" s="7"/>
      <c r="B40" s="7"/>
      <c r="C40" s="7"/>
      <c r="D40" s="7"/>
    </row>
    <row r="41" spans="1:4" x14ac:dyDescent="0.2">
      <c r="A41" s="7"/>
      <c r="B41" s="7"/>
      <c r="C41" s="7"/>
      <c r="D41" s="7"/>
    </row>
    <row r="42" spans="1:4" x14ac:dyDescent="0.2">
      <c r="A42" s="7"/>
      <c r="B42" s="7"/>
      <c r="C42" s="7"/>
      <c r="D42" s="7"/>
    </row>
    <row r="43" spans="1:4" x14ac:dyDescent="0.2">
      <c r="A43" s="7"/>
      <c r="B43" s="7"/>
      <c r="C43" s="7"/>
      <c r="D43" s="7"/>
    </row>
    <row r="44" spans="1:4" x14ac:dyDescent="0.2">
      <c r="A44" s="7"/>
      <c r="B44" s="7"/>
      <c r="C44" s="7"/>
      <c r="D44" s="7"/>
    </row>
    <row r="45" spans="1:4" x14ac:dyDescent="0.2">
      <c r="A45" s="7"/>
      <c r="B45" s="7"/>
      <c r="C45" s="7"/>
      <c r="D45" s="7"/>
    </row>
    <row r="46" spans="1:4" x14ac:dyDescent="0.2">
      <c r="A46" s="7"/>
      <c r="B46" s="7"/>
      <c r="C46" s="7"/>
      <c r="D46" s="7"/>
    </row>
    <row r="47" spans="1:4" x14ac:dyDescent="0.2">
      <c r="A47" s="7"/>
      <c r="B47" s="7"/>
      <c r="C47" s="7"/>
      <c r="D47" s="7"/>
    </row>
    <row r="48" spans="1:4" x14ac:dyDescent="0.2">
      <c r="A48" s="7"/>
      <c r="B48" s="7"/>
      <c r="C48" s="7"/>
      <c r="D48" s="7"/>
    </row>
    <row r="49" spans="1:4" x14ac:dyDescent="0.2">
      <c r="A49" s="7"/>
      <c r="B49" s="7"/>
      <c r="C49" s="7"/>
      <c r="D49" s="7"/>
    </row>
    <row r="50" spans="1:4" x14ac:dyDescent="0.2">
      <c r="A50" s="7"/>
      <c r="B50" s="7"/>
      <c r="C50" s="7"/>
      <c r="D50" s="7"/>
    </row>
    <row r="51" spans="1:4" x14ac:dyDescent="0.2">
      <c r="A51" s="7"/>
      <c r="B51" s="7"/>
      <c r="C51" s="7"/>
      <c r="D51" s="7"/>
    </row>
    <row r="52" spans="1:4" x14ac:dyDescent="0.2">
      <c r="A52" s="7"/>
      <c r="B52" s="7"/>
      <c r="C52" s="7"/>
      <c r="D52" s="7"/>
    </row>
    <row r="53" spans="1:4" x14ac:dyDescent="0.2">
      <c r="A53" s="7"/>
      <c r="B53" s="7"/>
      <c r="C53" s="7"/>
      <c r="D53" s="7"/>
    </row>
    <row r="54" spans="1:4" x14ac:dyDescent="0.2">
      <c r="A54" s="7"/>
      <c r="B54" s="7"/>
      <c r="C54" s="7"/>
      <c r="D54" s="7"/>
    </row>
    <row r="55" spans="1:4" x14ac:dyDescent="0.2">
      <c r="A55" s="7"/>
      <c r="B55" s="7"/>
      <c r="C55" s="7"/>
      <c r="D55" s="7"/>
    </row>
    <row r="56" spans="1:4" x14ac:dyDescent="0.2">
      <c r="A56" s="7"/>
      <c r="B56" s="7"/>
      <c r="C56" s="7"/>
      <c r="D56" s="7"/>
    </row>
    <row r="57" spans="1:4" x14ac:dyDescent="0.2">
      <c r="A57" s="7"/>
      <c r="B57" s="7"/>
      <c r="C57" s="7"/>
      <c r="D57" s="7"/>
    </row>
    <row r="58" spans="1:4" x14ac:dyDescent="0.2">
      <c r="A58" s="7"/>
      <c r="B58" s="7"/>
      <c r="C58" s="7"/>
      <c r="D58" s="7"/>
    </row>
    <row r="59" spans="1:4" x14ac:dyDescent="0.2">
      <c r="A59" s="7"/>
      <c r="B59" s="7"/>
      <c r="C59" s="7"/>
      <c r="D59" s="7"/>
    </row>
    <row r="60" spans="1:4" x14ac:dyDescent="0.2">
      <c r="A60" s="7"/>
      <c r="B60" s="7"/>
      <c r="C60" s="7"/>
      <c r="D60" s="7"/>
    </row>
    <row r="61" spans="1:4" x14ac:dyDescent="0.2">
      <c r="A61" s="7"/>
      <c r="B61" s="7"/>
      <c r="C61" s="7"/>
      <c r="D61" s="7"/>
    </row>
    <row r="62" spans="1:4" x14ac:dyDescent="0.2">
      <c r="A62" s="7"/>
      <c r="B62" s="7"/>
      <c r="C62" s="7"/>
      <c r="D62" s="7"/>
    </row>
    <row r="63" spans="1:4" x14ac:dyDescent="0.2">
      <c r="A63" s="7"/>
      <c r="B63" s="7"/>
      <c r="C63" s="7"/>
      <c r="D63" s="7"/>
    </row>
    <row r="64" spans="1:4" x14ac:dyDescent="0.2">
      <c r="A64" s="7"/>
      <c r="B64" s="7"/>
      <c r="C64" s="7"/>
      <c r="D64" s="7"/>
    </row>
    <row r="65" spans="1:4" x14ac:dyDescent="0.2">
      <c r="A65" s="7"/>
      <c r="B65" s="7"/>
      <c r="C65" s="7"/>
      <c r="D65" s="7"/>
    </row>
    <row r="66" spans="1:4" x14ac:dyDescent="0.2">
      <c r="A66" s="7"/>
      <c r="B66" s="7"/>
      <c r="C66" s="7"/>
      <c r="D66" s="7"/>
    </row>
    <row r="67" spans="1:4" x14ac:dyDescent="0.2">
      <c r="A67" s="7"/>
      <c r="B67" s="7"/>
      <c r="C67" s="7"/>
      <c r="D67" s="7"/>
    </row>
    <row r="68" spans="1:4" x14ac:dyDescent="0.2">
      <c r="A68" s="7"/>
      <c r="B68" s="7"/>
      <c r="C68" s="7"/>
      <c r="D68" s="7"/>
    </row>
    <row r="69" spans="1:4" x14ac:dyDescent="0.2">
      <c r="A69" s="7"/>
      <c r="B69" s="7"/>
      <c r="C69" s="7"/>
      <c r="D69" s="7"/>
    </row>
    <row r="70" spans="1:4" x14ac:dyDescent="0.2">
      <c r="A70" s="7"/>
      <c r="B70" s="7"/>
      <c r="C70" s="7"/>
      <c r="D70" s="7"/>
    </row>
    <row r="71" spans="1:4" x14ac:dyDescent="0.2">
      <c r="A71" s="7"/>
      <c r="B71" s="7"/>
      <c r="C71" s="7"/>
      <c r="D71" s="7"/>
    </row>
    <row r="72" spans="1:4" x14ac:dyDescent="0.2">
      <c r="A72" s="7"/>
      <c r="B72" s="7"/>
      <c r="C72" s="7"/>
      <c r="D72" s="7"/>
    </row>
    <row r="73" spans="1:4" x14ac:dyDescent="0.2">
      <c r="A73" s="7"/>
      <c r="B73" s="7"/>
      <c r="C73" s="7"/>
      <c r="D73" s="7"/>
    </row>
    <row r="74" spans="1:4" x14ac:dyDescent="0.2">
      <c r="A74" s="7"/>
      <c r="B74" s="7"/>
      <c r="C74" s="7"/>
      <c r="D74" s="7"/>
    </row>
    <row r="75" spans="1:4" x14ac:dyDescent="0.2">
      <c r="A75" s="7"/>
      <c r="B75" s="7"/>
      <c r="C75" s="7"/>
      <c r="D75" s="7"/>
    </row>
    <row r="76" spans="1:4" x14ac:dyDescent="0.2">
      <c r="A76" s="7"/>
      <c r="B76" s="7"/>
      <c r="C76" s="7"/>
      <c r="D76" s="7"/>
    </row>
    <row r="77" spans="1:4" x14ac:dyDescent="0.2">
      <c r="A77" s="7"/>
      <c r="B77" s="7"/>
      <c r="C77" s="7"/>
      <c r="D77" s="7"/>
    </row>
    <row r="78" spans="1:4" x14ac:dyDescent="0.2">
      <c r="A78" s="7"/>
      <c r="B78" s="7"/>
      <c r="C78" s="7"/>
      <c r="D78" s="7"/>
    </row>
    <row r="79" spans="1:4" x14ac:dyDescent="0.2">
      <c r="A79" s="7"/>
      <c r="B79" s="7"/>
      <c r="C79" s="7"/>
      <c r="D79" s="7"/>
    </row>
    <row r="80" spans="1:4" x14ac:dyDescent="0.2">
      <c r="A80" s="7"/>
      <c r="B80" s="7"/>
      <c r="C80" s="7"/>
      <c r="D80" s="7"/>
    </row>
    <row r="81" spans="1:4" x14ac:dyDescent="0.2">
      <c r="A81" s="7"/>
      <c r="B81" s="7"/>
      <c r="C81" s="7"/>
      <c r="D81" s="7"/>
    </row>
    <row r="82" spans="1:4" x14ac:dyDescent="0.2">
      <c r="A82" s="7"/>
      <c r="B82" s="7"/>
      <c r="C82" s="7"/>
      <c r="D82" s="7"/>
    </row>
    <row r="83" spans="1:4" x14ac:dyDescent="0.2">
      <c r="A83" s="7"/>
      <c r="B83" s="7"/>
      <c r="C83" s="7"/>
      <c r="D83" s="7"/>
    </row>
    <row r="84" spans="1:4" x14ac:dyDescent="0.2">
      <c r="A84" s="7"/>
      <c r="B84" s="7"/>
      <c r="C84" s="7"/>
      <c r="D84" s="7"/>
    </row>
    <row r="85" spans="1:4" x14ac:dyDescent="0.2">
      <c r="A85" s="7"/>
      <c r="B85" s="7"/>
      <c r="C85" s="7"/>
      <c r="D85" s="7"/>
    </row>
  </sheetData>
  <autoFilter ref="A2:E2" xr:uid="{C45E4539-F0A8-4B5C-9664-2F352980925D}">
    <sortState xmlns:xlrd2="http://schemas.microsoft.com/office/spreadsheetml/2017/richdata2" ref="A3:E26">
      <sortCondition ref="B2"/>
    </sortState>
  </autoFilter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Resumen_Rabanales_biochar_2019</vt:lpstr>
      <vt:lpstr>Resumen_Suelos_forestales</vt:lpstr>
      <vt:lpstr>271119_Datos brutos análisis_19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A. D.</dc:creator>
  <cp:lastModifiedBy>A. D.</cp:lastModifiedBy>
  <dcterms:created xsi:type="dcterms:W3CDTF">2019-12-10T10:59:00Z</dcterms:created>
  <dcterms:modified xsi:type="dcterms:W3CDTF">2020-06-04T11:53:12Z</dcterms:modified>
</cp:coreProperties>
</file>