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evision Log" sheetId="1" state="visible" r:id="rId2"/>
    <sheet name="Manufacturers info" sheetId="2" state="visible" r:id="rId3"/>
    <sheet name="SystemInfo" sheetId="3" state="visible" r:id="rId4"/>
    <sheet name="Data" sheetId="4" state="visible" r:id="rId5"/>
    <sheet name="Configurations" sheetId="5" state="visible" r:id="rId6"/>
    <sheet name="FATPOSITIONS" sheetId="6" state="visible" r:id="rId7"/>
    <sheet name="Tests" sheetId="7" state="visible" r:id="rId8"/>
    <sheet name="Tango" sheetId="8" state="visible" r:id="rId9"/>
    <sheet name="MOTION1" sheetId="9" state="visible" r:id="rId10"/>
    <sheet name="MOTION3" sheetId="10" state="visible" r:id="rId11"/>
    <sheet name="DISABLE" sheetId="11" state="visible" r:id="rId12"/>
    <sheet name="MOTORS" sheetId="12" state="visible" r:id="rId13"/>
  </sheets>
  <definedNames>
    <definedName function="false" hidden="false" localSheetId="3" name="_xlnm.Print_Area" vbProcedure="false">Data!$A$1</definedName>
    <definedName function="false" hidden="false" localSheetId="6" name="_xlnm.Print_Area" vbProcedure="false">Tests!$A$1</definedName>
    <definedName function="false" hidden="false" localSheetId="6" name="_xlnm.Print_Titles" vbProcedure="false">Tests!$A:$D;Tests!$1:$1</definedName>
    <definedName function="false" hidden="false" localSheetId="3" name="_xlnm.Print_Area" vbProcedure="false">Data!$A$1</definedName>
    <definedName function="false" hidden="false" localSheetId="6" name="_xlnm.Print_Area" vbProcedure="false">Tests!$A$1</definedName>
    <definedName function="false" hidden="false" localSheetId="6" name="_xlnm.Print_Titles" vbProcedure="false">(Tests!$A:$D~Tests!$1:$1)</definedName>
    <definedName function="false" hidden="false" localSheetId="6" name="__xlnm.Print_Area" vbProcedure="false">Tests!$A:$CR</definedName>
    <definedName function="false" hidden="false" localSheetId="6" name="__xlnm.Print_Titles" vbProcedure="false">(Tests!$A:$D~Tests!$1:$1)</definedName>
  </definedNames>
  <calcPr iterateCount="100" refMode="A1" iterate="false" iterateDelta="0.0001"/>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
  </authors>
  <commentList>
    <comment ref="G1" authorId="0">
      <text>
        <r>
          <rPr>
            <sz val="9"/>
            <color rgb="FF000000"/>
            <rFont val="Tahoma"/>
            <family val="2"/>
            <charset val="1"/>
          </rPr>
          <t xml:space="preserve">encoder value when connected to icepap first time</t>
        </r>
      </text>
    </comment>
  </commentList>
</comments>
</file>

<file path=xl/comments7.xml><?xml version="1.0" encoding="utf-8"?>
<comments xmlns="http://schemas.openxmlformats.org/spreadsheetml/2006/main" xmlns:xdr="http://schemas.openxmlformats.org/drawingml/2006/spreadsheetDrawing">
  <authors>
    <author/>
  </authors>
  <commentList>
    <comment ref="AK1" authorId="0">
      <text>
        <r>
          <rPr>
            <sz val="9"/>
            <color rgb="FF000000"/>
            <rFont val="Tahoma"/>
            <family val="2"/>
            <charset val="1"/>
          </rPr>
          <t xml:space="preserve">encoder value after SAT</t>
        </r>
      </text>
    </comment>
  </commentList>
</comments>
</file>

<file path=xl/sharedStrings.xml><?xml version="1.0" encoding="utf-8"?>
<sst xmlns="http://schemas.openxmlformats.org/spreadsheetml/2006/main" count="2840" uniqueCount="844">
  <si>
    <t xml:space="preserve">Remove this sheet. It is just for in-document template purposes</t>
  </si>
  <si>
    <t xml:space="preserve">Date</t>
  </si>
  <si>
    <t xml:space="preserve">Who</t>
  </si>
  <si>
    <t xml:space="preserve">Comments</t>
  </si>
  <si>
    <t xml:space="preserve">Julio Lidón-Simón</t>
  </si>
  <si>
    <t xml:space="preserve">Added Standa, Fulling, Trinamic, OM PK244-01 parallel motors. Added RLS LMA encoders</t>
  </si>
  <si>
    <t xml:space="preserve">Additions to 'Tests' sheet: </t>
  </si>
  <si>
    <t xml:space="preserve">Independent axis (Y/N)</t>
  </si>
  <si>
    <t xml:space="preserve">Can axis collide (Y/N)</t>
  </si>
  <si>
    <t xml:space="preserve">Motor phase mH</t>
  </si>
  <si>
    <t xml:space="preserve">Motor phase Ohms</t>
  </si>
  <si>
    <t xml:space="preserve">R Cable (Ohms)</t>
  </si>
  <si>
    <t xml:space="preserve">Lim- position (ects or st) from FAT</t>
  </si>
  <si>
    <t xml:space="preserve">Lim+ position (ects or st) from FAT</t>
  </si>
  <si>
    <t xml:space="preserve">Time between limits (s)</t>
  </si>
  <si>
    <t xml:space="preserve">Datasheet stroke (units)</t>
  </si>
  <si>
    <t xml:space="preserve">Lim- position (ects prehoming) to compare with FAT</t>
  </si>
  <si>
    <t xml:space="preserve">Lim+ position (ects prehoming) to compare with FAT</t>
  </si>
  <si>
    <t xml:space="preserve">Columns of Motor R and L in the 'tests' sheet were inverted. Corrected</t>
  </si>
  <si>
    <t xml:space="preserve">Added  McLennan 23HS-309 series</t>
  </si>
  <si>
    <t xml:space="preserve">Added 'DISABLE' cable sheet</t>
  </si>
  <si>
    <t xml:space="preserve">Added Disable cable tests in the 'tests' sheet</t>
  </si>
  <si>
    <t xml:space="preserve">In Sheet 'Tests' there's an extra column for the ects/motor turn configured (apart from the other two calculated from theoretical 'Data' and st/ects between limits</t>
  </si>
  <si>
    <t xml:space="preserve">Corrected:</t>
  </si>
  <si>
    <t xml:space="preserve">Phytron VSS axes resistance</t>
  </si>
  <si>
    <t xml:space="preserve">Added:</t>
  </si>
  <si>
    <t xml:space="preserve">Phytron VSS 25.200.0.6 parallel</t>
  </si>
  <si>
    <t xml:space="preserve">Phytron VSS 33.200.0.6 parallel</t>
  </si>
  <si>
    <t xml:space="preserve">McLennan 23HS-309 series</t>
  </si>
  <si>
    <t xml:space="preserve">Motors sheet: Removed NVOLT and IVOLT</t>
  </si>
  <si>
    <t xml:space="preserve">Motors sheet: Corrected Nanotech R and L values</t>
  </si>
  <si>
    <t xml:space="preserve">Motors sheet: PKP268MD28x-x inductance updated</t>
  </si>
  <si>
    <t xml:space="preserve">Added TANGO sheet</t>
  </si>
  <si>
    <t xml:space="preserve">Sheet 'System info' changed to 'SystemInfo'.</t>
  </si>
  <si>
    <t xml:space="preserve">Changes to new 'SystemInfo'. Added number of cables</t>
  </si>
  <si>
    <t xml:space="preserve">Data sheet: Full change of structure</t>
  </si>
  <si>
    <t xml:space="preserve">Added POSITIONS sheet</t>
  </si>
  <si>
    <t xml:space="preserve">Added DISABLE sheet</t>
  </si>
  <si>
    <t xml:space="preserve">Tests sheet: Renamed and added a big number of columns</t>
  </si>
  <si>
    <t xml:space="preserve">List of steps to update to this version:</t>
  </si>
  <si>
    <t xml:space="preserve">Update motor PKP268MD28x-x</t>
  </si>
  <si>
    <t xml:space="preserve">+ Modify 'Data'</t>
  </si>
  <si>
    <t xml:space="preserve">- Unhide hidden data columns (E) in 'Data' sheet</t>
  </si>
  <si>
    <t xml:space="preserve">- Add two new columns in A and B shifting right everything.</t>
  </si>
  <si>
    <t xml:space="preserve">- Copy in the empty lines at the end of your data in 'Data' the info from columns A-D in 'Tests'. The information in 'Data' will have that structure in the new layout.</t>
  </si>
  <si>
    <t xml:space="preserve">- In the rest of the fields for those lines you just fill cols A-D fill the information from the lines already present in the 'Data' sheet (take the info from its equipment type).</t>
  </si>
  <si>
    <t xml:space="preserve">- Rename the sheet 'System info' to 'SystemInfo'</t>
  </si>
  <si>
    <t xml:space="preserve">- Once that is done, write the number of cables in SystemInfo!$B$1 from Data!$C$2 (initially was in A2 but was moved there when the two columns were added in step 2).</t>
  </si>
  <si>
    <t xml:space="preserve">- Using Replace Within:Workbook, Look in: Formulas Find what: Data!$C$2, Replace with: SystemInfo!$B$1 update all the formulas so that Data!$C$1 is taken instead</t>
  </si>
  <si>
    <t xml:space="preserve">- Remove all the rows in 'Data' between the first row and the row with the column titles (the column titles will be now in row 2).</t>
  </si>
  <si>
    <t xml:space="preserve">- In the sheet 'Data' correct the formulas in the columns N-Q (taking info from 'MOTORS') so that they have NO spaces in the formulas :o (dirty one).</t>
  </si>
  <si>
    <t xml:space="preserve">- Using Replace Within:Workbook, Look in: Formulas Find what: $1;0, Replace with: $2;0 update all the formulas (we're going to remove the first row from 'Data' too).</t>
  </si>
  <si>
    <t xml:space="preserve">- Using Replace Within:Workbook, Look in: Formulas Find what:'MATCH(CONCATENATE($C' , Replace with: 'MATCH(CONCATENATE($B'</t>
  </si>
  <si>
    <t xml:space="preserve">- At the end, Add column F (sardana name) and fill it with the scientist and column AE (TC tango device)</t>
  </si>
  <si>
    <t xml:space="preserve">+ Create 'POSITIONS' sheet</t>
  </si>
  <si>
    <t xml:space="preserve">- Fill columns till E</t>
  </si>
  <si>
    <t xml:space="preserve">- Get columns F-G from the formulas</t>
  </si>
  <si>
    <t xml:space="preserve">- Fill Columns I-N from the info in Data (just copy)</t>
  </si>
  <si>
    <t xml:space="preserve">- Fill Columns O and P with the info you get from your scientist (these values will be used to calculate the soft limits in sardana from the hard limits position info you get during testing).</t>
  </si>
  <si>
    <t xml:space="preserve">+ Modify 'Tests' sheet</t>
  </si>
  <si>
    <t xml:space="preserve">- Add E column (Sardana axis name) (takes info from Data)</t>
  </si>
  <si>
    <t xml:space="preserve">- Add columns S(I*R) to V(IVOLT configured).</t>
  </si>
  <si>
    <t xml:space="preserve">-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</si>
  <si>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 xml:space="preserve">This aims to separate ABSOFFSET from the fat home position.</t>
  </si>
  <si>
    <t xml:space="preserve">- Inserts columns BC (stroke from encoder counts)-BO(Soft lim-). This is information for sardana configuration. Sign has to be +1 or -1. Offset defaults to 0</t>
  </si>
  <si>
    <t xml:space="preserve">- Insert column BQ (gets tc device from Data)</t>
  </si>
  <si>
    <t xml:space="preserve">- Insert column CB with the text chain for the tango attributes</t>
  </si>
  <si>
    <t xml:space="preserve">Motors sheet:</t>
  </si>
  <si>
    <t xml:space="preserve">Added NVOLT and IVOLT again.</t>
  </si>
  <si>
    <t xml:space="preserve">Added following motors</t>
  </si>
  <si>
    <t xml:space="preserve">Oriental PK245DB</t>
  </si>
  <si>
    <t xml:space="preserve">Oriental PK245MD15B</t>
  </si>
  <si>
    <t xml:space="preserve">Oriental PK245M-02B unipolar 1 coil</t>
  </si>
  <si>
    <t xml:space="preserve">Oriental PK266D14B</t>
  </si>
  <si>
    <t xml:space="preserve">Oriental PK268D14B</t>
  </si>
  <si>
    <t xml:space="preserve">Oriental PKP264MU20B-L unipolar 1 coil</t>
  </si>
  <si>
    <t xml:space="preserve">Gabriela Todorescu</t>
  </si>
  <si>
    <t xml:space="preserve">Data sheet:</t>
  </si>
  <si>
    <t xml:space="preserve">renaming TGT encoder to 1st encoder</t>
  </si>
  <si>
    <t xml:space="preserve">1st encoder source and 2nd encoder source added</t>
  </si>
  <si>
    <t xml:space="preserve">Tests sheet:</t>
  </si>
  <si>
    <t xml:space="preserve">2nd encoder cable column added</t>
  </si>
  <si>
    <t xml:space="preserve">columns CI to CW related to 2nd encoder added</t>
  </si>
  <si>
    <t xml:space="preserve">Julio Lidón Simón</t>
  </si>
  <si>
    <t xml:space="preserve">Added all 3 missing motors to the motor sheet of the excel</t>
  </si>
  <si>
    <t xml:space="preserve">Oriental PK268M-01 half coil</t>
  </si>
  <si>
    <t xml:space="preserve">Nanotech AS4118L1804-E</t>
  </si>
  <si>
    <t xml:space="preserve">Nanotech AS5918L4204-E</t>
  </si>
  <si>
    <t xml:space="preserve">Added Renishaw 32bits MSBMSKNB 1 (31b)</t>
  </si>
  <si>
    <t xml:space="preserve">Changed unipolar 1 coil motors to half coil</t>
  </si>
  <si>
    <t xml:space="preserve">Added a column for NRES in TESTS</t>
  </si>
  <si>
    <t xml:space="preserve">Added two columns for repeatability and resolution in Data</t>
  </si>
  <si>
    <t xml:space="preserve">Julio Lidón</t>
  </si>
  <si>
    <t xml:space="preserve">- Data.Repeatabilty header changed (AN)</t>
  </si>
  <si>
    <t xml:space="preserve">- Data. Disable signals (AL) changed to: Disable signals: External_PLC 2xOvertravel + Disable + TC: E(2O+D+TC); Internal 2xOvertravel: 2O; open;gnd</t>
  </si>
  <si>
    <t xml:space="preserve">- Configurations. C1 changed to: Axis name (ccdb)</t>
  </si>
  <si>
    <t xml:space="preserve">- Configurations. I column formula was wrong (taken from 2 rows below than expected (from row 4 for row 2).</t>
  </si>
  <si>
    <t xml:space="preserve">- FATPOSITIONS column F formula was wrong (taken from 2 rows below than expected (from row 4 for row 2).</t>
  </si>
  <si>
    <t xml:space="preserve">- Tests. Column D header changed to: Axis name (ccdb)</t>
  </si>
  <si>
    <t xml:space="preserve">- Tests. Column AA header changed to: NRES (?MEAS R)</t>
  </si>
  <si>
    <t xml:space="preserve">- Tests. Column AF header changed to: Disable signals: External_PLC 2xOvertravel + Disable + TC: E(2O+D+TC); Internal 2xOvertravel: 2O; open;gnd</t>
  </si>
  <si>
    <t xml:space="preserve">- Tests.AY. Inserted new column with header: Encoder noise pkpk (ects)</t>
  </si>
  <si>
    <t xml:space="preserve">- Tests.BR. Formula changed to have into account UseEncoderSource to: =IF(BP17="FALSE";($BM17*($AQ17/$BL17)+$BQ17);($BM17*($AR17/$AN17)+$BQ17))</t>
  </si>
  <si>
    <t xml:space="preserve">- Tests.BP. Formula changed to have into account UseEncoderSource to: =IF(BP17="FALSE";($BM17*($AS17/$BL17)+$BQ17);($BM17*($AT17/$AN17)+$BQ17))</t>
  </si>
  <si>
    <t xml:space="preserve">- Tests.BP column header changed to: UseEncoderSourceFormula: TRUE/FALSE</t>
  </si>
  <si>
    <t xml:space="preserve">- Tests CA column: Inserted new column with header: Warning temperature</t>
  </si>
  <si>
    <t xml:space="preserve">- Tests CB column: Inserted new column with header: Alarm temperature</t>
  </si>
  <si>
    <t xml:space="preserve">- Tests CG column: Inserted new column with header: Encoder noise pkpk (units). Formula: =$AY2/$AN2</t>
  </si>
  <si>
    <t xml:space="preserve">- Tests CH column: Inserted new column with header:Deadband in (units). Formula:=$CF2/($AP2*$AM2)</t>
  </si>
  <si>
    <t xml:space="preserve">- Tests CI column: Inserted new column with header: Aimed repeatability (units). Formula:=Data!$AN2</t>
  </si>
  <si>
    <t xml:space="preserve">- Tests CJ column: Inserted new column with header: Aimed resolution (units). Formula:=Data!$AO2</t>
  </si>
  <si>
    <t xml:space="preserve">- Motors. Phytron ZSS.52.200.2.5 parallel appeared twice</t>
  </si>
  <si>
    <t xml:space="preserve">- Motors. Oriental PK243-01-SGXX series renamed to Oriental PK243-01 series</t>
  </si>
  <si>
    <t xml:space="preserve">- Motors. Oriental PK243-02-SGXX series renamed to Oriental PK243-02 series</t>
  </si>
  <si>
    <t xml:space="preserve">- Motors. Oriental PK245DA is renamed to Oriental PK245D (since DA and DB are the same motor with just single or double shaft).</t>
  </si>
  <si>
    <t xml:space="preserve">- Motors. Oriental PK245MD15B renamed to Oriental PK245MD15 (since A or B stand for the double shaft version)</t>
  </si>
  <si>
    <t xml:space="preserve">- Motors. Oriental Oriental PK245M-02B series renamed to Oriental PK245M-02 series (final B stands for double shaft version)</t>
  </si>
  <si>
    <t xml:space="preserve">- Motors. Oriental PK245M-02B half coil renamed to Oriental PK245M-02 half coil</t>
  </si>
  <si>
    <t xml:space="preserve">- Motors. Oriental PK245M-02 half coil rated  current increased by a factor 1.4</t>
  </si>
  <si>
    <t xml:space="preserve">- Motors. Oriental PK266D14B renamed to Oriental PK266D14</t>
  </si>
  <si>
    <t xml:space="preserve">- Motors. Oriental PK264JD renamed to Oriental PK264JD</t>
  </si>
  <si>
    <t xml:space="preserve">- Motors. Oriental PK267JA series renamed to Oriental PK267J series</t>
  </si>
  <si>
    <t xml:space="preserve">- Motors. Added Oriental PK267JD series</t>
  </si>
  <si>
    <t xml:space="preserve">- Motors. Oriental PK268D14B renamed to Oriental PK268D14</t>
  </si>
  <si>
    <t xml:space="preserve">- Motors. Oriental PK268M-01 half coil rated current increased by a factor 1.4</t>
  </si>
  <si>
    <t xml:space="preserve">- Motors. Oriental PK296-AE-SGxx series renamed to Oriental PK296AE-SGxx series</t>
  </si>
  <si>
    <t xml:space="preserve">- Motors. Oriental PK296-AE-SGxx parallel renamed to Oriental PK296AE-SGxx parallel</t>
  </si>
  <si>
    <t xml:space="preserve">- Data. Added column AP for settling time constraints for fast step scans</t>
  </si>
  <si>
    <t xml:space="preserve">- Tests. Added column CP for settling time constraints for fast step scans</t>
  </si>
  <si>
    <t xml:space="preserve">- Tests. Added column CQ for validation text with who and when</t>
  </si>
  <si>
    <t xml:space="preserve">- Manufacturers info sheet updated with document: https://alfresco.maxlab.lu.se/share/page/site/maxiv/document-details?nodeRef=workspace://SpacesStore/7adbde15-a2e8-41ef-a236-9060bda8fe38#</t>
  </si>
  <si>
    <t xml:space="preserve">- Motors. NVOLT has been limited to 48V in the excel (to avoid driving motors with low resistance, low inductance and high rated currents with short test cables on too much voltage, you can increase the voltage if you need it for speed reasons yourself)</t>
  </si>
  <si>
    <t xml:space="preserve">- Tests. Column CS with tango attribs chain. CONCATENATE function does not keep the number formatting and creates problems with . and , as separator for decimals. The symbol &amp; solves that problem.</t>
  </si>
  <si>
    <t xml:space="preserve">Therefore the column now has the following formula:</t>
  </si>
  <si>
    <t xml:space="preserve">="Step_per_unit:"&amp;$BL2&amp;";"&amp;"Offset:"&amp;$BQ2&amp;";"&amp;"Sign:"&amp;$BM2&amp;";"&amp;"EncoderSource:"&amp;$BN2&amp;";"&amp;"EncoderSourceFormula:"&amp;$BO2&amp;";"&amp;"UseEncoderSource:"&amp;$BP2</t>
  </si>
  <si>
    <t xml:space="preserve">Tango sheet</t>
  </si>
  <si>
    <t xml:space="preserve">"device" -&gt; "devicename"</t>
  </si>
  <si>
    <t xml:space="preserve">"controller sardana" -&gt; "controller"</t>
  </si>
  <si>
    <t xml:space="preserve">"axis name sardana" -&gt; "name"</t>
  </si>
  <si>
    <t xml:space="preserve">"axis nr" -&gt; "axis"</t>
  </si>
  <si>
    <t xml:space="preserve">"attribute chain" -&gt; "attributes"</t>
  </si>
  <si>
    <t xml:space="preserve">"units" -&gt; "unit"</t>
  </si>
  <si>
    <t xml:space="preserve">Ready. (N or blank: don't take the data here)</t>
  </si>
  <si>
    <t xml:space="preserve">Instrument column added</t>
  </si>
  <si>
    <t xml:space="preserve">Data sheet</t>
  </si>
  <si>
    <t xml:space="preserve">column AB added; Motor mechanical resolution (full steps /2nd unit)</t>
  </si>
  <si>
    <t xml:space="preserve">Tests sheet</t>
  </si>
  <si>
    <t xml:space="preserve">column CY added; Motor resolution (fst per mm/deg)</t>
  </si>
  <si>
    <t xml:space="preserve">column DC formula changed to =IF(K2="-";"-";(CZ2/CY2)*AO2); Theoretical 2nd encoder counts per motor turn</t>
  </si>
  <si>
    <t xml:space="preserve">S2995</t>
  </si>
  <si>
    <t xml:space="preserve">Motion Axes</t>
  </si>
  <si>
    <t xml:space="preserve">Note: Motors wired in Parallel: Run Current = 1.4 x Rating Plate Current</t>
  </si>
  <si>
    <t xml:space="preserve">Last edited</t>
  </si>
  <si>
    <t xml:space="preserve">Note: Motors wired in Series: Run Current = 0.7 x Rating Plate Current</t>
  </si>
  <si>
    <t xml:space="preserve">by</t>
  </si>
  <si>
    <t xml:space="preserve">Adam Young</t>
  </si>
  <si>
    <t xml:space="preserve">fst full step, hst half step</t>
  </si>
  <si>
    <t xml:space="preserve">Component</t>
  </si>
  <si>
    <t xml:space="preserve">Actuation</t>
  </si>
  <si>
    <t xml:space="preserve">Motor model</t>
  </si>
  <si>
    <t xml:space="preserve">Mechanical transmission details</t>
  </si>
  <si>
    <t xml:space="preserve">Air/Vacuum</t>
  </si>
  <si>
    <t xml:space="preserve">Step operation</t>
  </si>
  <si>
    <t xml:space="preserve">Wiring (parallel/series)</t>
  </si>
  <si>
    <t xml:space="preserve">Rated current (for specified wiring)</t>
  </si>
  <si>
    <t xml:space="preserve">Rated idle Current</t>
  </si>
  <si>
    <t xml:space="preserve">Motor mechanical resolution (meter or angle per step)</t>
  </si>
  <si>
    <t xml:space="preserve">Range (fst or m)</t>
  </si>
  <si>
    <t xml:space="preserve">Speed (cts/msec)</t>
  </si>
  <si>
    <t xml:space="preserve">Encoder Res. (meter/count)</t>
  </si>
  <si>
    <t xml:space="preserve">Encoder readhead, interpolator and scale model</t>
  </si>
  <si>
    <t xml:space="preserve">Home switch</t>
  </si>
  <si>
    <t xml:space="preserve">Limits</t>
  </si>
  <si>
    <t xml:space="preserve">Overtravel Limits</t>
  </si>
  <si>
    <t xml:space="preserve">Thermocouples for EPS / Motor</t>
  </si>
  <si>
    <t xml:space="preserve">Serial Device</t>
  </si>
  <si>
    <t xml:space="preserve">Camera</t>
  </si>
  <si>
    <t xml:space="preserve">Mech. Drwg</t>
  </si>
  <si>
    <t xml:space="preserve">Elec. Drwg</t>
  </si>
  <si>
    <t xml:space="preserve">Number of rows/cables:</t>
  </si>
  <si>
    <t xml:space="preserve">IcePAP system master name</t>
  </si>
  <si>
    <t xml:space="preserve">B316A-A101630-CAB05-CTL-IPAP-01.maxiv.lu.se</t>
  </si>
  <si>
    <t xml:space="preserve">IcePAP system master mac</t>
  </si>
  <si>
    <t xml:space="preserve">00-0C-C6-79-BA-74</t>
  </si>
  <si>
    <t xml:space="preserve">IcePAP system master IP</t>
  </si>
  <si>
    <t xml:space="preserve">172.16.134.41</t>
  </si>
  <si>
    <t xml:space="preserve">Number of chassis</t>
  </si>
  <si>
    <t xml:space="preserve">Number of drivers</t>
  </si>
  <si>
    <t xml:space="preserve">Alfresco link to cable drawings</t>
  </si>
  <si>
    <t xml:space="preserve">Alfresco link to hardware overview</t>
  </si>
  <si>
    <t xml:space="preserve">https://alfresco.maxiv.lu.se/share/page/site/veritas/document-details?nodeRef=workspace://SpacesStore/084a3503-983a-4853-b86b-86f0f70c4258</t>
  </si>
  <si>
    <t xml:space="preserve">Alfresco link to motorization information excel SAT</t>
  </si>
  <si>
    <t xml:space="preserve">https://alfresco.maxiv.lu.se/share/page/site/veritas/document-details?nodeRef=workspace://SpacesStore/c9defc2e-3bb9-4f23-bca2-48ae0c309118</t>
  </si>
  <si>
    <t xml:space="preserve">Labels printed</t>
  </si>
  <si>
    <t xml:space="preserve">Client computer</t>
  </si>
  <si>
    <t xml:space="preserve">b-v-veritas-cc-0.maxiv.lu.se</t>
  </si>
  <si>
    <t xml:space="preserve">Machine hosting icepapcms database</t>
  </si>
  <si>
    <t xml:space="preserve">b-v-veritas-csdb-0.maxiv.lu.se</t>
  </si>
  <si>
    <t xml:space="preserve">Sardana pool generated</t>
  </si>
  <si>
    <t xml:space="preserve">B316A/Pool/01</t>
  </si>
  <si>
    <t xml:space="preserve">Axis nr</t>
  </si>
  <si>
    <t xml:space="preserve">Equipment code</t>
  </si>
  <si>
    <t xml:space="preserve">Equiment name</t>
  </si>
  <si>
    <t xml:space="preserve">Axis name (ccdb)</t>
  </si>
  <si>
    <t xml:space="preserve">Axis name (sardana)</t>
  </si>
  <si>
    <t xml:space="preserve">Motor model and wiring (=template)</t>
  </si>
  <si>
    <t xml:space="preserve">Unit</t>
  </si>
  <si>
    <t xml:space="preserve">Step division operation</t>
  </si>
  <si>
    <t xml:space="preserve">Sinusoidal peak current (A)</t>
  </si>
  <si>
    <t xml:space="preserve">Resistance per phase (Ohm)</t>
  </si>
  <si>
    <t xml:space="preserve">Inductance per phase(mH)</t>
  </si>
  <si>
    <t xml:space="preserve">Motor full steps</t>
  </si>
  <si>
    <t xml:space="preserve">Recommended idle current % of nominial</t>
  </si>
  <si>
    <t xml:space="preserve">Motor mechanical resolution (full steps /unit)</t>
  </si>
  <si>
    <t xml:space="preserve">Range (units)</t>
  </si>
  <si>
    <t xml:space="preserve">Max speed(fst/s)</t>
  </si>
  <si>
    <t xml:space="preserve">1st encoder source (ABSENC, ENCIN, INPOS, NONE)</t>
  </si>
  <si>
    <t xml:space="preserve">Theoretical 1st encoder counts per motor turn</t>
  </si>
  <si>
    <t xml:space="preserve">1st encoder Res. (counts/unit)</t>
  </si>
  <si>
    <t xml:space="preserve">1st encoder readhead, interpolator and scale model</t>
  </si>
  <si>
    <t xml:space="preserve">1st encoder template (if absolute)</t>
  </si>
  <si>
    <t xml:space="preserve">Home origin (absolute, limit-, encoder, homesw)</t>
  </si>
  <si>
    <t xml:space="preserve">1st encoder supply (Voltage supply, signal levels (TTL/RS422) and current consumption)</t>
  </si>
  <si>
    <t xml:space="preserve">Motor mechanical resolution (full steps /2nd unit)</t>
  </si>
  <si>
    <t xml:space="preserve">2nd encoder source (ABSENC, ENCIN, INPOS, NONE)</t>
  </si>
  <si>
    <t xml:space="preserve">Theoretical 2nd encoder counts per motor turn</t>
  </si>
  <si>
    <t xml:space="preserve">2nd encoder Res. (counts/unit)</t>
  </si>
  <si>
    <t xml:space="preserve">2nd encoder readhead, interpolator and scale model</t>
  </si>
  <si>
    <t xml:space="preserve">2nd encoder template (if absolute)</t>
  </si>
  <si>
    <t xml:space="preserve">2nd encoder supply (Voltage supply, signal levels (TTL/RS422) and current consumption)</t>
  </si>
  <si>
    <t xml:space="preserve">Limits  ('-' if none)</t>
  </si>
  <si>
    <t xml:space="preserve">Overtravel Limits ('-' if none)</t>
  </si>
  <si>
    <t xml:space="preserve">Thermocouples for EPS / Motor ('-' if none)</t>
  </si>
  <si>
    <t xml:space="preserve">Associated TC device</t>
  </si>
  <si>
    <t xml:space="preserve">Disable signals: External_PLC 2xOvertravel + Disable + TC: E(2O+D+TC); Internal 2xOvertravel: 2O; open;gnd</t>
  </si>
  <si>
    <t xml:space="preserve">Limit switches type</t>
  </si>
  <si>
    <t xml:space="preserve">Repeatability (units)</t>
  </si>
  <si>
    <t xml:space="preserve">Resolution  (units)</t>
  </si>
  <si>
    <t xml:space="preserve">Settling time (if fast step scans needed)</t>
  </si>
  <si>
    <t xml:space="preserve">Motor direction</t>
  </si>
  <si>
    <t xml:space="preserve">Backlash</t>
  </si>
  <si>
    <t xml:space="preserve">Parasitic effects</t>
  </si>
  <si>
    <t xml:space="preserve">B316A-EA03-OPT-BAFF-01</t>
  </si>
  <si>
    <t xml:space="preserve">M4 Baffles VERITAS</t>
  </si>
  <si>
    <t xml:space="preserve">VT</t>
  </si>
  <si>
    <t xml:space="preserve">a_m4_baff_vt</t>
  </si>
  <si>
    <t xml:space="preserve">Nanotec L4118S1404-M6X1</t>
  </si>
  <si>
    <t xml:space="preserve">Y</t>
  </si>
  <si>
    <t xml:space="preserve">N</t>
  </si>
  <si>
    <t xml:space="preserve">No damper; 1mm thread pitch</t>
  </si>
  <si>
    <t xml:space="preserve">mm</t>
  </si>
  <si>
    <t xml:space="preserve">Air</t>
  </si>
  <si>
    <t xml:space="preserve">30mm</t>
  </si>
  <si>
    <t xml:space="preserve">-</t>
  </si>
  <si>
    <t xml:space="preserve">ABSENC</t>
  </si>
  <si>
    <t xml:space="preserve">Renishaw RL32BAT001B05F, RLTA-S scale</t>
  </si>
  <si>
    <t xml:space="preserve">Renishaw Resolute 32 bits BISS-C</t>
  </si>
  <si>
    <t xml:space="preserve">absolute</t>
  </si>
  <si>
    <t xml:space="preserve">5V ± 10%; 250mA; RS422</t>
  </si>
  <si>
    <t xml:space="preserve">VB</t>
  </si>
  <si>
    <t xml:space="preserve">a_m4_baff_vb</t>
  </si>
  <si>
    <t xml:space="preserve">HL</t>
  </si>
  <si>
    <t xml:space="preserve">a_m4_baff_hl</t>
  </si>
  <si>
    <t xml:space="preserve">20mm</t>
  </si>
  <si>
    <t xml:space="preserve">HR</t>
  </si>
  <si>
    <t xml:space="preserve">a_m4_baff_hr</t>
  </si>
  <si>
    <t xml:space="preserve">B316A-EA03-DIA-BPM-01</t>
  </si>
  <si>
    <t xml:space="preserve">M4 BPM VERITAS</t>
  </si>
  <si>
    <t xml:space="preserve">V</t>
  </si>
  <si>
    <t xml:space="preserve">a_m4_bpm_v</t>
  </si>
  <si>
    <t xml:space="preserve">Oriental PKP268MD28B-L</t>
  </si>
  <si>
    <t xml:space="preserve">Clean Damper D6CL-8.0F;</t>
  </si>
  <si>
    <t xml:space="preserve">50mm</t>
  </si>
  <si>
    <t xml:space="preserve">Renishaw RL32BAT001B15F, RLTA-S scale</t>
  </si>
  <si>
    <t xml:space="preserve">2O</t>
  </si>
  <si>
    <t xml:space="preserve">Cherry D45X </t>
  </si>
  <si>
    <t xml:space="preserve">B316A-EA03-OPT-MIR-04</t>
  </si>
  <si>
    <t xml:space="preserve">Focusing Mirror M4 VERITAS</t>
  </si>
  <si>
    <t xml:space="preserve">V1</t>
  </si>
  <si>
    <t xml:space="preserve">a_m4_v1</t>
  </si>
  <si>
    <t xml:space="preserve">Clean Damper D4CL-5.0F; Harmonic Drive 100:1 Gearbox; 1mm spindle pitch</t>
  </si>
  <si>
    <t xml:space="preserve">um</t>
  </si>
  <si>
    <t xml:space="preserve">10mm (±5mm)</t>
  </si>
  <si>
    <t xml:space="preserve">Cherry DB1C-A1AA normally closed</t>
  </si>
  <si>
    <t xml:space="preserve">V2</t>
  </si>
  <si>
    <t xml:space="preserve">a_m4_v2</t>
  </si>
  <si>
    <t xml:space="preserve">V3</t>
  </si>
  <si>
    <t xml:space="preserve">a_m4_v3</t>
  </si>
  <si>
    <t xml:space="preserve">H4</t>
  </si>
  <si>
    <t xml:space="preserve">a_m4_h4</t>
  </si>
  <si>
    <t xml:space="preserve">H5</t>
  </si>
  <si>
    <t xml:space="preserve">a_m4_h5</t>
  </si>
  <si>
    <t xml:space="preserve">B316A-EA04-DIA-MP-01</t>
  </si>
  <si>
    <t xml:space="preserve">Manipulator VERITAS</t>
  </si>
  <si>
    <t xml:space="preserve">X</t>
  </si>
  <si>
    <t xml:space="preserve">a_mp1_x</t>
  </si>
  <si>
    <t xml:space="preserve">Oriental PK245M-02B series</t>
  </si>
  <si>
    <t xml:space="preserve">2mm pitch</t>
  </si>
  <si>
    <t xml:space="preserve">±15mm</t>
  </si>
  <si>
    <t xml:space="preserve">OPEN</t>
  </si>
  <si>
    <t xml:space="preserve">Z</t>
  </si>
  <si>
    <t xml:space="preserve">a_mp1_z</t>
  </si>
  <si>
    <t xml:space="preserve">a_mp1_y</t>
  </si>
  <si>
    <t xml:space="preserve">Oriental PK264M-E2.0 parallel</t>
  </si>
  <si>
    <t xml:space="preserve">2:1, 4mm pitch</t>
  </si>
  <si>
    <t xml:space="preserve">358mm(400mm)</t>
  </si>
  <si>
    <t xml:space="preserve">YAW</t>
  </si>
  <si>
    <t xml:space="preserve">a_mp1_yaw</t>
  </si>
  <si>
    <t xml:space="preserve">deg</t>
  </si>
  <si>
    <t xml:space="preserve">Renishaw RA32BAA100B10A</t>
  </si>
  <si>
    <t xml:space="preserve">B316A-EA05-DIA-SPC-01</t>
  </si>
  <si>
    <t xml:space="preserve">Q-Chamber VERITAS</t>
  </si>
  <si>
    <t xml:space="preserve">a_spc1_yaw</t>
  </si>
  <si>
    <t xml:space="preserve">Oriental PK296-E4.5 parallel</t>
  </si>
  <si>
    <t xml:space="preserve">RE36SC0613B10A2A06</t>
  </si>
  <si>
    <t xml:space="preserve">B316A-EA07-OPT-BAFF-01</t>
  </si>
  <si>
    <t xml:space="preserve">Grating Baffles VERITAS</t>
  </si>
  <si>
    <t xml:space="preserve">a_gr_baff_vt</t>
  </si>
  <si>
    <t xml:space="preserve">a_gr_baff_vb</t>
  </si>
  <si>
    <t xml:space="preserve">a_gr_baff_hr</t>
  </si>
  <si>
    <t xml:space="preserve">a_gr_baff_hl</t>
  </si>
  <si>
    <t xml:space="preserve">B316A-EA07-OPT-GRA-01</t>
  </si>
  <si>
    <t xml:space="preserve">Grating VERITAS</t>
  </si>
  <si>
    <t xml:space="preserve">Y1</t>
  </si>
  <si>
    <t xml:space="preserve">a_gra1_y1</t>
  </si>
  <si>
    <t xml:space="preserve">Newport 8301-UHV</t>
  </si>
  <si>
    <t xml:space="preserve">Microsense, 4800 UHV + Motrona UZ210</t>
  </si>
  <si>
    <t xml:space="preserve">Y2</t>
  </si>
  <si>
    <t xml:space="preserve">a_gra1_y2</t>
  </si>
  <si>
    <t xml:space="preserve">Y3</t>
  </si>
  <si>
    <t xml:space="preserve">a_gra1_y3</t>
  </si>
  <si>
    <t xml:space="preserve">B316A-EA07-OPT-GRA-02</t>
  </si>
  <si>
    <t xml:space="preserve">a_gra2_y1</t>
  </si>
  <si>
    <t xml:space="preserve">a_gra2_y2</t>
  </si>
  <si>
    <t xml:space="preserve">a_gra2_y3</t>
  </si>
  <si>
    <t xml:space="preserve">B316A-EA08-OPT-FLT-01</t>
  </si>
  <si>
    <t xml:space="preserve">Filter Unit VERITAS</t>
  </si>
  <si>
    <t xml:space="preserve">a_flt1_x</t>
  </si>
  <si>
    <t xml:space="preserve">Renishaw RL32BAT001B10A, RLTA-S scale</t>
  </si>
  <si>
    <t xml:space="preserve">B316A-EA08-DIA-DETMC-01</t>
  </si>
  <si>
    <t xml:space="preserve">Detector VERITAS</t>
  </si>
  <si>
    <t xml:space="preserve">a_detmc1_y</t>
  </si>
  <si>
    <t xml:space="preserve">B316A-EA08-DIA-DETMC-02</t>
  </si>
  <si>
    <t xml:space="preserve">a_detmc2_y</t>
  </si>
  <si>
    <t xml:space="preserve">B316A-EA09-OPT-MM-01</t>
  </si>
  <si>
    <t xml:space="preserve">Movable Mask VERITAS</t>
  </si>
  <si>
    <t xml:space="preserve">a_mm1_y</t>
  </si>
  <si>
    <t xml:space="preserve">Oriental PK268M-E2.0 series</t>
  </si>
  <si>
    <t xml:space="preserve">B316A-EA09-OPT-MM-02</t>
  </si>
  <si>
    <t xml:space="preserve">a_mm2_y</t>
  </si>
  <si>
    <t xml:space="preserve">B316A-EA09-OPT-POL-01</t>
  </si>
  <si>
    <t xml:space="preserve">Multilayer Mirror VERITAS</t>
  </si>
  <si>
    <t xml:space="preserve">a_pol1_y</t>
  </si>
  <si>
    <t xml:space="preserve">B316A-EA09-OPT-POL-02</t>
  </si>
  <si>
    <t xml:space="preserve">PIT</t>
  </si>
  <si>
    <t xml:space="preserve">a_pol2_pit</t>
  </si>
  <si>
    <t xml:space="preserve">a_pol2_x</t>
  </si>
  <si>
    <t xml:space="preserve">B316A-EA09-DIA-TABLED-01</t>
  </si>
  <si>
    <t xml:space="preserve">Detector Table VERITAS</t>
  </si>
  <si>
    <t xml:space="preserve">a_tabled_z</t>
  </si>
  <si>
    <t xml:space="preserve">Givi misure AGS</t>
  </si>
  <si>
    <t xml:space="preserve">B316A-EA10-DIA-DETMC-01</t>
  </si>
  <si>
    <t xml:space="preserve">a10_detmc1_pit</t>
  </si>
  <si>
    <t xml:space="preserve">a10_detmc1_y</t>
  </si>
  <si>
    <t xml:space="preserve">B316A-EA10-DIA-DETMC-02</t>
  </si>
  <si>
    <t xml:space="preserve">PIT1</t>
  </si>
  <si>
    <t xml:space="preserve">a_detmc2_pit1</t>
  </si>
  <si>
    <t xml:space="preserve">Renishaw RA32BAA199B10A</t>
  </si>
  <si>
    <t xml:space="preserve">PIT2</t>
  </si>
  <si>
    <t xml:space="preserve">a_detmc2_pit2</t>
  </si>
  <si>
    <t xml:space="preserve">Renishaw RA32BAA150B10A</t>
  </si>
  <si>
    <t xml:space="preserve">B316A-EA11-DIA-SPC-01</t>
  </si>
  <si>
    <t xml:space="preserve">Spectrometer VERITAS</t>
  </si>
  <si>
    <t xml:space="preserve">a11_spc1_yaw</t>
  </si>
  <si>
    <t xml:space="preserve">B316A-EA04-DIA-MP-02</t>
  </si>
  <si>
    <t xml:space="preserve">a_mp2_x</t>
  </si>
  <si>
    <t xml:space="preserve">a_mp2_z</t>
  </si>
  <si>
    <t xml:space="preserve">a_mp2_y</t>
  </si>
  <si>
    <t xml:space="preserve">B316A-EB03-OPT-BAFF-01</t>
  </si>
  <si>
    <t xml:space="preserve">b_m4_baff_vt</t>
  </si>
  <si>
    <t xml:space="preserve">b_m4_baff_vb</t>
  </si>
  <si>
    <t xml:space="preserve">b_m4_baff_hl</t>
  </si>
  <si>
    <t xml:space="preserve">b_m4_baff_hr</t>
  </si>
  <si>
    <t xml:space="preserve">B316A-EB03-DIA-BPM-01</t>
  </si>
  <si>
    <t xml:space="preserve">b_m4_bpm_v</t>
  </si>
  <si>
    <t xml:space="preserve">B316A-EB03-OPT-MIR-04</t>
  </si>
  <si>
    <t xml:space="preserve">b_m4_v1</t>
  </si>
  <si>
    <t xml:space="preserve">b_m4_v2</t>
  </si>
  <si>
    <t xml:space="preserve">b_m4_v3</t>
  </si>
  <si>
    <t xml:space="preserve">b_m4_h4</t>
  </si>
  <si>
    <t xml:space="preserve">b_m4_h5</t>
  </si>
  <si>
    <t xml:space="preserve">Motor cable</t>
  </si>
  <si>
    <t xml:space="preserve">Encoder cable  ('-' if none)</t>
  </si>
  <si>
    <t xml:space="preserve">ANSTEP</t>
  </si>
  <si>
    <t xml:space="preserve">ANTURN</t>
  </si>
  <si>
    <t xml:space="preserve">TGTENC</t>
  </si>
  <si>
    <t xml:space="preserve">ABSNSTEP</t>
  </si>
  <si>
    <t xml:space="preserve">ABSNTURN</t>
  </si>
  <si>
    <t xml:space="preserve">EINNSTEP</t>
  </si>
  <si>
    <t xml:space="preserve">EINNTURN</t>
  </si>
  <si>
    <t xml:space="preserve">Units</t>
  </si>
  <si>
    <t xml:space="preserve">Encoder input</t>
  </si>
  <si>
    <t xml:space="preserve">Home Nominal position (ects)</t>
  </si>
  <si>
    <t xml:space="preserve">FAT Home mark (ects)</t>
  </si>
  <si>
    <t xml:space="preserve">FAT LIM- (ects)</t>
  </si>
  <si>
    <t xml:space="preserve">FAT LIM+ (ects)</t>
  </si>
  <si>
    <t xml:space="preserve">FAT Home (units)</t>
  </si>
  <si>
    <t xml:space="preserve">FAT LIM- (units)</t>
  </si>
  <si>
    <t xml:space="preserve">FAT LIM+ (units)</t>
  </si>
  <si>
    <t xml:space="preserve">Margin soft limit- (units)</t>
  </si>
  <si>
    <t xml:space="preserve">Margin soft limit+ (units)</t>
  </si>
  <si>
    <t xml:space="preserve">Test docs W002033-03; Vertical Blade Upper</t>
  </si>
  <si>
    <t xml:space="preserve">Test docs W002033-03; Vertical Blade Lower</t>
  </si>
  <si>
    <t xml:space="preserve">Test docs W002033-03; Horizontal Blade LHS</t>
  </si>
  <si>
    <t xml:space="preserve">Test docs W002033-03; Horizontal Blade RHS</t>
  </si>
  <si>
    <t xml:space="preserve">20140073_CL-RABER-Linear_Legdrive_11b</t>
  </si>
  <si>
    <t xml:space="preserve">20140073_CL-RABER-Linear_Legdrive_18b_final</t>
  </si>
  <si>
    <t xml:space="preserve">20140073_CL-RABER-Linear_Legdrive_35b2</t>
  </si>
  <si>
    <t xml:space="preserve">20140073_CL-RABER-Linear_Legdrive_38b5</t>
  </si>
  <si>
    <t xml:space="preserve">20140073_CL-RABER-Linear_Legdrive_41b</t>
  </si>
  <si>
    <t xml:space="preserve">Disable signals: External_PLC 2xOvertravel + Disable + TC: E(2O+D+TC); Internal 2xOvertravel: 2O; open;gnd
; open;gnd)</t>
  </si>
  <si>
    <t xml:space="preserve">1st encoder cable  ('-' if none)</t>
  </si>
  <si>
    <t xml:space="preserve">2nd encoder cable  ('-' if none)</t>
  </si>
  <si>
    <t xml:space="preserve">Disable cable ('-' if none)</t>
  </si>
  <si>
    <t xml:space="preserve">Cables labling checked</t>
  </si>
  <si>
    <t xml:space="preserve">Motor template</t>
  </si>
  <si>
    <t xml:space="preserve">Encoder template</t>
  </si>
  <si>
    <t xml:space="preserve">measured mH</t>
  </si>
  <si>
    <t xml:space="preserve">measured Ohms</t>
  </si>
  <si>
    <t xml:space="preserve">I*R</t>
  </si>
  <si>
    <t xml:space="preserve">Vinductance (per 1khsts)</t>
  </si>
  <si>
    <t xml:space="preserve">NVOLT</t>
  </si>
  <si>
    <t xml:space="preserve">IVOLT</t>
  </si>
  <si>
    <t xml:space="preserve">NCURR</t>
  </si>
  <si>
    <t xml:space="preserve">ICURR</t>
  </si>
  <si>
    <t xml:space="preserve">NRES (?MEAS R)</t>
  </si>
  <si>
    <t xml:space="preserve">Lim- polarity (NORMAL/INVERTED)</t>
  </si>
  <si>
    <t xml:space="preserve">Lim+ polarity(NORMAL/INVERTED)</t>
  </si>
  <si>
    <t xml:space="preserve">Motor direction (NORMAL/INVERTED)</t>
  </si>
  <si>
    <t xml:space="preserve">Encoder direction (NORMAL/INVERTED)</t>
  </si>
  <si>
    <t xml:space="preserve">Disable tests</t>
  </si>
  <si>
    <t xml:space="preserve">FAT Home  position</t>
  </si>
  <si>
    <t xml:space="preserve">Absolute encoder offset (ects) (0 if no absolute encoder)</t>
  </si>
  <si>
    <t xml:space="preserve">Home position (steps)</t>
  </si>
  <si>
    <t xml:space="preserve">Home done</t>
  </si>
  <si>
    <t xml:space="preserve">Motor resolution (fst per mm/deg)</t>
  </si>
  <si>
    <t xml:space="preserve">Encoder Res. (counts/mm or deg)</t>
  </si>
  <si>
    <t xml:space="preserve">Motor steps</t>
  </si>
  <si>
    <t xml:space="preserve">ustep factor</t>
  </si>
  <si>
    <t xml:space="preserve">lim- steps (releasing switch)</t>
  </si>
  <si>
    <t xml:space="preserve">lim- ects  ('-' if none) (releasing switch)</t>
  </si>
  <si>
    <t xml:space="preserve">lim+ steps (releasing switch)</t>
  </si>
  <si>
    <t xml:space="preserve">lim+ects (releasing switch)</t>
  </si>
  <si>
    <t xml:space="preserve">Encoder noise pkpk (ects)</t>
  </si>
  <si>
    <t xml:space="preserve">Speed</t>
  </si>
  <si>
    <t xml:space="preserve">Acctime</t>
  </si>
  <si>
    <t xml:space="preserve">Theoretical encoder counts per motor turn</t>
  </si>
  <si>
    <t xml:space="preserve">encoder counts per motor turn</t>
  </si>
  <si>
    <t xml:space="preserve">Encoder counts per motor turn configured</t>
  </si>
  <si>
    <t xml:space="preserve">stroke (from motor steps) in mm or deg</t>
  </si>
  <si>
    <t xml:space="preserve">stroke (from encoder counts) in mm or deg</t>
  </si>
  <si>
    <t xml:space="preserve">Steps per unit (as calculated from motor steps)</t>
  </si>
  <si>
    <t xml:space="preserve">Steps per unit (as calculated from encoder)</t>
  </si>
  <si>
    <t xml:space="preserve">Tango Step_per_unit</t>
  </si>
  <si>
    <t xml:space="preserve">Tango motor Sign(+1 or -1)</t>
  </si>
  <si>
    <t xml:space="preserve">EncoderSource</t>
  </si>
  <si>
    <t xml:space="preserve">EncoderSourceFormula</t>
  </si>
  <si>
    <t xml:space="preserve">UseEncoderSourceFormula: TRUE/FALSE</t>
  </si>
  <si>
    <t xml:space="preserve">Tango motor Offset (units)</t>
  </si>
  <si>
    <t xml:space="preserve">Lim- position (units)</t>
  </si>
  <si>
    <t xml:space="preserve">Lim+ position (units)</t>
  </si>
  <si>
    <t xml:space="preserve">FAT lim- position (units)</t>
  </si>
  <si>
    <t xml:space="preserve">FAT lim+ position (units)</t>
  </si>
  <si>
    <t xml:space="preserve">Soft lim- margin (units)</t>
  </si>
  <si>
    <t xml:space="preserve">Soft lim+ margin (units)</t>
  </si>
  <si>
    <t xml:space="preserve">TC(MPS/Motor)</t>
  </si>
  <si>
    <t xml:space="preserve">In vacuum motor temperature after 5min operation (wherever it applies, otherwise '-')</t>
  </si>
  <si>
    <t xml:space="preserve">Warning temperature</t>
  </si>
  <si>
    <t xml:space="preserve">Alarm temperature</t>
  </si>
  <si>
    <t xml:space="preserve">Disable cable and conditions tested (without plc, with final plc, final setup…)</t>
  </si>
  <si>
    <t xml:space="preserve">Disable config</t>
  </si>
  <si>
    <t xml:space="preserve">CL time constant</t>
  </si>
  <si>
    <t xml:space="preserve">CL deadband</t>
  </si>
  <si>
    <t xml:space="preserve">Encoder noise pkpk (units)</t>
  </si>
  <si>
    <t xml:space="preserve">Deadband in (units)</t>
  </si>
  <si>
    <t xml:space="preserve">Aimed repeatability (units)</t>
  </si>
  <si>
    <t xml:space="preserve">Aimed resolution (units)</t>
  </si>
  <si>
    <t xml:space="preserve">CL error allowed</t>
  </si>
  <si>
    <t xml:space="preserve">Start velocity</t>
  </si>
  <si>
    <t xml:space="preserve">Settle window (steps)</t>
  </si>
  <si>
    <t xml:space="preserve">Settle time(s)</t>
  </si>
  <si>
    <t xml:space="preserve">Fast settling time required for fast scan</t>
  </si>
  <si>
    <t xml:space="preserve">Measured settling time (s)</t>
  </si>
  <si>
    <t xml:space="preserve">Validation (who, when)</t>
  </si>
  <si>
    <t xml:space="preserve">Tango attribs chain</t>
  </si>
  <si>
    <t xml:space="preserve">2nd encoder template</t>
  </si>
  <si>
    <t xml:space="preserve">2nd Encoder direction (NORMAL/INVERTED)</t>
  </si>
  <si>
    <t xml:space="preserve">lim- 2nd ects  ('-' if none) (releasing switch)</t>
  </si>
  <si>
    <t xml:space="preserve">lim+ 2nd ects (releasing switch)</t>
  </si>
  <si>
    <t xml:space="preserve">2nd encoder counts per motor turn</t>
  </si>
  <si>
    <t xml:space="preserve">2nd encoder counts per motor turn configured</t>
  </si>
  <si>
    <t xml:space="preserve">stroke (from 2nd encoder counts) (units)</t>
  </si>
  <si>
    <t xml:space="preserve">Steps per unit (as calculated from 2nd encoder)</t>
  </si>
  <si>
    <t xml:space="preserve">INV</t>
  </si>
  <si>
    <t xml:space="preserve">N/A</t>
  </si>
  <si>
    <t xml:space="preserve">attr://EncAbsEnc</t>
  </si>
  <si>
    <t xml:space="preserve">VALUE/1000000</t>
  </si>
  <si>
    <t xml:space="preserve">TRUE</t>
  </si>
  <si>
    <t xml:space="preserve">NONE</t>
  </si>
  <si>
    <t xml:space="preserve">S020773; motor marked W002034/03; </t>
  </si>
  <si>
    <t xml:space="preserve">S020773; motor marked W002048/03; </t>
  </si>
  <si>
    <t xml:space="preserve">S020773; motor marked W002035/03; </t>
  </si>
  <si>
    <t xml:space="preserve">S020773; motor marked W002047/03; </t>
  </si>
  <si>
    <t xml:space="preserve">OT- OK, OT+ OK</t>
  </si>
  <si>
    <t xml:space="preserve">DISABLE</t>
  </si>
  <si>
    <t xml:space="preserve">S020773; </t>
  </si>
  <si>
    <t xml:space="preserve">VALUE/1000</t>
  </si>
  <si>
    <t xml:space="preserve">S020771; motor marked 11; </t>
  </si>
  <si>
    <t xml:space="preserve">S020771; motor marked 18; </t>
  </si>
  <si>
    <t xml:space="preserve">S020771; motor marked  35; </t>
  </si>
  <si>
    <t xml:space="preserve">S020771; motor marked 38;</t>
  </si>
  <si>
    <t xml:space="preserve">S020771; motor marked 41;</t>
  </si>
  <si>
    <t xml:space="preserve">100</t>
  </si>
  <si>
    <t xml:space="preserve">2000000</t>
  </si>
  <si>
    <t xml:space="preserve">400</t>
  </si>
  <si>
    <t xml:space="preserve">2000</t>
  </si>
  <si>
    <t xml:space="preserve">2800000</t>
  </si>
  <si>
    <t xml:space="preserve">VALUE/11930445,5027191</t>
  </si>
  <si>
    <t xml:space="preserve">S035537; 692-23-50-00; 2018-04-20 SAT with movable rack</t>
  </si>
  <si>
    <t xml:space="preserve">S035536; 692-23-06-00; mark 251; 2018-04-20 SAT with movable rack</t>
  </si>
  <si>
    <t xml:space="preserve">S035536; 692-23-06-00; mark 248; 2018-04-20 SAT with movable rack</t>
  </si>
  <si>
    <t xml:space="preserve">S035536; 692-23-06-00; mark 247; 2018-04-20 SAT with movable rack</t>
  </si>
  <si>
    <t xml:space="preserve">S035536; 692-23-06-00; mark 249; 2018-04-20 SAT with movable rack</t>
  </si>
  <si>
    <t xml:space="preserve">S035536; 692-23-06-00; mark 250; 2018-04-20 SAT with movable rack</t>
  </si>
  <si>
    <t xml:space="preserve">axis</t>
  </si>
  <si>
    <t xml:space="preserve">Axis name</t>
  </si>
  <si>
    <t xml:space="preserve">Controller dns name</t>
  </si>
  <si>
    <t xml:space="preserve">controller</t>
  </si>
  <si>
    <t xml:space="preserve">Instrument</t>
  </si>
  <si>
    <t xml:space="preserve">devicename</t>
  </si>
  <si>
    <t xml:space="preserve">name</t>
  </si>
  <si>
    <t xml:space="preserve">Steps per unit</t>
  </si>
  <si>
    <t xml:space="preserve">attributes</t>
  </si>
  <si>
    <t xml:space="preserve">unit</t>
  </si>
  <si>
    <t xml:space="preserve">Soft lim- (units)</t>
  </si>
  <si>
    <t xml:space="preserve">Soft lim+ (units)</t>
  </si>
  <si>
    <t xml:space="preserve">Ready</t>
  </si>
  <si>
    <t xml:space="preserve">b316a-a101630-cab05-ctl-ipap-01</t>
  </si>
  <si>
    <t xml:space="preserve">icepap_ctrl_2</t>
  </si>
  <si>
    <t xml:space="preserve">/EA03</t>
  </si>
  <si>
    <t xml:space="preserve">b316a-ea03/opt/baff-01-vt</t>
  </si>
  <si>
    <t xml:space="preserve">Yes</t>
  </si>
  <si>
    <t xml:space="preserve">b316a-ea03/opt/baff-01-vb</t>
  </si>
  <si>
    <t xml:space="preserve">b316a-ea03/opt/baff-01-hl</t>
  </si>
  <si>
    <t xml:space="preserve">b316a-ea03/opt/baff-01-hr</t>
  </si>
  <si>
    <t xml:space="preserve">b316a-ea03/dia/bpm-01-v</t>
  </si>
  <si>
    <t xml:space="preserve">b316a-ea03/opt/mir-04-v1</t>
  </si>
  <si>
    <t xml:space="preserve">b316a-ea03/opt/mir-04-v2</t>
  </si>
  <si>
    <t xml:space="preserve">b316a-ea03/opt/mir-04-v3</t>
  </si>
  <si>
    <t xml:space="preserve">b316a-ea03/opt/mir-04-h4</t>
  </si>
  <si>
    <t xml:space="preserve">b316a-ea03/opt/mir-04-h5</t>
  </si>
  <si>
    <t xml:space="preserve">/EA04</t>
  </si>
  <si>
    <t xml:space="preserve">b316a-ea04/dia/mp-01-x</t>
  </si>
  <si>
    <t xml:space="preserve">b316a-ea04/dia/mp-01-z</t>
  </si>
  <si>
    <t xml:space="preserve">b316a-ea04/dia/mp-01-y</t>
  </si>
  <si>
    <t xml:space="preserve">b316a-ea04/dia/mp-01-yaw</t>
  </si>
  <si>
    <t xml:space="preserve">/EA05</t>
  </si>
  <si>
    <t xml:space="preserve">/EA07</t>
  </si>
  <si>
    <t xml:space="preserve">/EA08</t>
  </si>
  <si>
    <t xml:space="preserve">/EA09</t>
  </si>
  <si>
    <t xml:space="preserve">/EA10</t>
  </si>
  <si>
    <t xml:space="preserve">/EA11</t>
  </si>
  <si>
    <t xml:space="preserve">/EB03</t>
  </si>
  <si>
    <t xml:space="preserve">b316a-eb03/opt/baff-01-vt</t>
  </si>
  <si>
    <t xml:space="preserve">b316a-eb03/opt/baff-01-vb</t>
  </si>
  <si>
    <t xml:space="preserve">b316a-eb03/opt/baff-01-hl</t>
  </si>
  <si>
    <t xml:space="preserve">b316a-eb03/opt/baff-01-hr</t>
  </si>
  <si>
    <t xml:space="preserve">b316a-eb03/dia/bpm-01-y</t>
  </si>
  <si>
    <t xml:space="preserve">b316a-eb03/opt/mir-04-v1</t>
  </si>
  <si>
    <t xml:space="preserve">b316a-eb03/opt/mir-04-v2</t>
  </si>
  <si>
    <t xml:space="preserve">b316a-eb03/opt/mir-04-v3</t>
  </si>
  <si>
    <t xml:space="preserve">b316a-eb03/opt/mir-04-h4</t>
  </si>
  <si>
    <t xml:space="preserve">b316a-eb03/opt/mir-04-h5</t>
  </si>
  <si>
    <t xml:space="preserve">Cable ID</t>
  </si>
  <si>
    <t xml:space="preserve">Conf. Code</t>
  </si>
  <si>
    <t xml:space="preserve">Equip. A</t>
  </si>
  <si>
    <t xml:space="preserve">Type A</t>
  </si>
  <si>
    <t xml:space="preserve">Chan. A</t>
  </si>
  <si>
    <t xml:space="preserve">Equip. B</t>
  </si>
  <si>
    <t xml:space="preserve">Type B</t>
  </si>
  <si>
    <t xml:space="preserve">Chan. B</t>
  </si>
  <si>
    <t xml:space="preserve">Chan. B cleaned</t>
  </si>
  <si>
    <t xml:space="preserve">AUX</t>
  </si>
  <si>
    <t xml:space="preserve">W032648</t>
  </si>
  <si>
    <t xml:space="preserve">MOTION-01</t>
  </si>
  <si>
    <t xml:space="preserve">B316A-A101630-CAB05-CTL-IPAP-01</t>
  </si>
  <si>
    <t xml:space="preserve">ESRF IcePAP MASTER</t>
  </si>
  <si>
    <t xml:space="preserve">ML1</t>
  </si>
  <si>
    <t xml:space="preserve">Baffle Veritas</t>
  </si>
  <si>
    <t xml:space="preserve">VTML</t>
  </si>
  <si>
    <t xml:space="preserve">W032650</t>
  </si>
  <si>
    <t xml:space="preserve">ML2</t>
  </si>
  <si>
    <t xml:space="preserve">VBML</t>
  </si>
  <si>
    <t xml:space="preserve">W032652</t>
  </si>
  <si>
    <t xml:space="preserve">ML3</t>
  </si>
  <si>
    <t xml:space="preserve">HLML</t>
  </si>
  <si>
    <t xml:space="preserve">W032654</t>
  </si>
  <si>
    <t xml:space="preserve">ML4</t>
  </si>
  <si>
    <t xml:space="preserve">HRML</t>
  </si>
  <si>
    <t xml:space="preserve">W032656</t>
  </si>
  <si>
    <t xml:space="preserve">ML5</t>
  </si>
  <si>
    <t xml:space="preserve">BPM Veritas</t>
  </si>
  <si>
    <t xml:space="preserve">VML</t>
  </si>
  <si>
    <t xml:space="preserve">W032658</t>
  </si>
  <si>
    <t xml:space="preserve">ML6</t>
  </si>
  <si>
    <t xml:space="preserve">Mirror Veritas</t>
  </si>
  <si>
    <t xml:space="preserve">V1ML</t>
  </si>
  <si>
    <t xml:space="preserve">W032660</t>
  </si>
  <si>
    <t xml:space="preserve">ML7</t>
  </si>
  <si>
    <t xml:space="preserve">V2ML</t>
  </si>
  <si>
    <t xml:space="preserve">W032662</t>
  </si>
  <si>
    <t xml:space="preserve">ML8</t>
  </si>
  <si>
    <t xml:space="preserve">V3ML</t>
  </si>
  <si>
    <t xml:space="preserve">W032664</t>
  </si>
  <si>
    <t xml:space="preserve">B316A-A101630-CAB05-CTL-IPAP-02</t>
  </si>
  <si>
    <t xml:space="preserve">ESRF IcePAP SLAVE</t>
  </si>
  <si>
    <t xml:space="preserve">H4ML</t>
  </si>
  <si>
    <t xml:space="preserve">W032666</t>
  </si>
  <si>
    <t xml:space="preserve">H5ML</t>
  </si>
  <si>
    <t xml:space="preserve">W050216</t>
  </si>
  <si>
    <t xml:space="preserve">Manipulator Veritas</t>
  </si>
  <si>
    <t xml:space="preserve">XML</t>
  </si>
  <si>
    <t xml:space="preserve">W050218</t>
  </si>
  <si>
    <t xml:space="preserve">ZML</t>
  </si>
  <si>
    <t xml:space="preserve">W050220</t>
  </si>
  <si>
    <t xml:space="preserve">YML</t>
  </si>
  <si>
    <t xml:space="preserve">W050222</t>
  </si>
  <si>
    <t xml:space="preserve">YAWML</t>
  </si>
  <si>
    <t xml:space="preserve">W050829</t>
  </si>
  <si>
    <t xml:space="preserve">B316A-A101630-CAB05-CTL-IPAP-06</t>
  </si>
  <si>
    <t xml:space="preserve">W050831</t>
  </si>
  <si>
    <t xml:space="preserve">W050833</t>
  </si>
  <si>
    <t xml:space="preserve">W050835</t>
  </si>
  <si>
    <t xml:space="preserve">W050837</t>
  </si>
  <si>
    <t xml:space="preserve">W050839</t>
  </si>
  <si>
    <t xml:space="preserve">W050841</t>
  </si>
  <si>
    <t xml:space="preserve">B316A-A101630-CAB05-CTL-IPAP-07</t>
  </si>
  <si>
    <t xml:space="preserve">W050843</t>
  </si>
  <si>
    <t xml:space="preserve">W050845</t>
  </si>
  <si>
    <t xml:space="preserve">W050847</t>
  </si>
  <si>
    <t xml:space="preserve">W032649</t>
  </si>
  <si>
    <t xml:space="preserve">MOTION-03</t>
  </si>
  <si>
    <t xml:space="preserve">EC1</t>
  </si>
  <si>
    <t xml:space="preserve">VTEC</t>
  </si>
  <si>
    <t xml:space="preserve">W032651</t>
  </si>
  <si>
    <t xml:space="preserve">EC2</t>
  </si>
  <si>
    <t xml:space="preserve">VBEC</t>
  </si>
  <si>
    <t xml:space="preserve">W032653</t>
  </si>
  <si>
    <t xml:space="preserve">EC3</t>
  </si>
  <si>
    <t xml:space="preserve">HLEC</t>
  </si>
  <si>
    <t xml:space="preserve">W032655</t>
  </si>
  <si>
    <t xml:space="preserve">EC4</t>
  </si>
  <si>
    <t xml:space="preserve">HREC</t>
  </si>
  <si>
    <t xml:space="preserve">W032657</t>
  </si>
  <si>
    <t xml:space="preserve">EC5</t>
  </si>
  <si>
    <t xml:space="preserve">VEC</t>
  </si>
  <si>
    <t xml:space="preserve">W032659</t>
  </si>
  <si>
    <t xml:space="preserve">EC6</t>
  </si>
  <si>
    <t xml:space="preserve">V1EC</t>
  </si>
  <si>
    <t xml:space="preserve">W032661</t>
  </si>
  <si>
    <t xml:space="preserve">EC7</t>
  </si>
  <si>
    <t xml:space="preserve">V2EC</t>
  </si>
  <si>
    <t xml:space="preserve">W032663</t>
  </si>
  <si>
    <t xml:space="preserve">EC8</t>
  </si>
  <si>
    <t xml:space="preserve">V3EC</t>
  </si>
  <si>
    <t xml:space="preserve">W032665</t>
  </si>
  <si>
    <t xml:space="preserve">H4EC</t>
  </si>
  <si>
    <t xml:space="preserve">W032667</t>
  </si>
  <si>
    <t xml:space="preserve">H5EC</t>
  </si>
  <si>
    <t xml:space="preserve">W050217</t>
  </si>
  <si>
    <t xml:space="preserve">XEC</t>
  </si>
  <si>
    <t xml:space="preserve">W050219</t>
  </si>
  <si>
    <t xml:space="preserve">ZEC</t>
  </si>
  <si>
    <t xml:space="preserve">W050221</t>
  </si>
  <si>
    <t xml:space="preserve">YEC</t>
  </si>
  <si>
    <t xml:space="preserve">W050223</t>
  </si>
  <si>
    <t xml:space="preserve">YAWEC</t>
  </si>
  <si>
    <t xml:space="preserve">W050830</t>
  </si>
  <si>
    <t xml:space="preserve">W050832</t>
  </si>
  <si>
    <t xml:space="preserve">W050834</t>
  </si>
  <si>
    <t xml:space="preserve">W050836</t>
  </si>
  <si>
    <t xml:space="preserve">W050838</t>
  </si>
  <si>
    <t xml:space="preserve">W050840</t>
  </si>
  <si>
    <t xml:space="preserve">W050842</t>
  </si>
  <si>
    <t xml:space="preserve">W050844</t>
  </si>
  <si>
    <t xml:space="preserve">W050846</t>
  </si>
  <si>
    <t xml:space="preserve">W050848</t>
  </si>
  <si>
    <t xml:space="preserve">DIS1</t>
  </si>
  <si>
    <t xml:space="preserve">VTDIS</t>
  </si>
  <si>
    <t xml:space="preserve">DIS2</t>
  </si>
  <si>
    <t xml:space="preserve">VBDIS</t>
  </si>
  <si>
    <t xml:space="preserve">DIS3</t>
  </si>
  <si>
    <t xml:space="preserve">HLDIS</t>
  </si>
  <si>
    <t xml:space="preserve">DIS4</t>
  </si>
  <si>
    <t xml:space="preserve">HRDIS</t>
  </si>
  <si>
    <t xml:space="preserve">DIS5</t>
  </si>
  <si>
    <t xml:space="preserve">VDIS</t>
  </si>
  <si>
    <t xml:space="preserve">DIS6</t>
  </si>
  <si>
    <t xml:space="preserve">V1DIS</t>
  </si>
  <si>
    <t xml:space="preserve">DIS7</t>
  </si>
  <si>
    <t xml:space="preserve">V2DIS</t>
  </si>
  <si>
    <t xml:space="preserve">DIS8</t>
  </si>
  <si>
    <t xml:space="preserve">V3DIS</t>
  </si>
  <si>
    <t xml:space="preserve">H4DIS</t>
  </si>
  <si>
    <t xml:space="preserve">H5DIS</t>
  </si>
  <si>
    <t xml:space="preserve">Number of motors:</t>
  </si>
  <si>
    <t xml:space="preserve">Motor model and wiring (if many)</t>
  </si>
  <si>
    <t xml:space="preserve">Vnominal</t>
  </si>
  <si>
    <t xml:space="preserve">Iphase(A)</t>
  </si>
  <si>
    <t xml:space="preserve">Rphase(Ohm)</t>
  </si>
  <si>
    <t xml:space="preserve">Lphase(mH)</t>
  </si>
  <si>
    <t xml:space="preserve">full steps</t>
  </si>
  <si>
    <t xml:space="preserve">MOTPOLES</t>
  </si>
  <si>
    <t xml:space="preserve">DEFVEL</t>
  </si>
  <si>
    <t xml:space="preserve">DEFACCT</t>
  </si>
  <si>
    <t xml:space="preserve">MREGMODE</t>
  </si>
  <si>
    <t xml:space="preserve">CURRGAIN</t>
  </si>
  <si>
    <t xml:space="preserve">HOMEVEL</t>
  </si>
  <si>
    <t xml:space="preserve">ABSMODE</t>
  </si>
  <si>
    <t xml:space="preserve">SSIDBITS</t>
  </si>
  <si>
    <t xml:space="preserve">SSICODE</t>
  </si>
  <si>
    <t xml:space="preserve">SSICLOCK</t>
  </si>
  <si>
    <t xml:space="preserve">SSIDELAY</t>
  </si>
  <si>
    <t xml:space="preserve">SSISTATUS</t>
  </si>
  <si>
    <t xml:space="preserve">SSISTRTB</t>
  </si>
  <si>
    <t xml:space="preserve">SSIMSKNB</t>
  </si>
  <si>
    <t xml:space="preserve">SSIMSKMSB</t>
  </si>
  <si>
    <t xml:space="preserve">SSILDC</t>
  </si>
  <si>
    <t xml:space="preserve">SSIALDC</t>
  </si>
  <si>
    <t xml:space="preserve">SSIEWCHK</t>
  </si>
  <si>
    <t xml:space="preserve">SSIEWPOL</t>
  </si>
  <si>
    <t xml:space="preserve">SSIEWPOS</t>
  </si>
  <si>
    <t xml:space="preserve">SSIEECHK</t>
  </si>
  <si>
    <t xml:space="preserve">SSIEEPOL</t>
  </si>
  <si>
    <t xml:space="preserve">SSIEEPOS</t>
  </si>
  <si>
    <t xml:space="preserve">Stoegra Sm 56.2.18 j3</t>
  </si>
  <si>
    <t xml:space="preserve">CURR</t>
  </si>
  <si>
    <t xml:space="preserve">LOW</t>
  </si>
  <si>
    <t xml:space="preserve">Stoegra SM 56.1.18.J1</t>
  </si>
  <si>
    <t xml:space="preserve">Stoegra SM 56.3.18.J4</t>
  </si>
  <si>
    <t xml:space="preserve">Phytron ZSS 19.200.0.6 parallel</t>
  </si>
  <si>
    <t xml:space="preserve">Phytron ZSS 25.200.1.2 parallel</t>
  </si>
  <si>
    <t xml:space="preserve">Phytron ZSS 32.200.1.2 parallel</t>
  </si>
  <si>
    <t xml:space="preserve">Phytron ZSS 32.200.2.5 parallel</t>
  </si>
  <si>
    <t xml:space="preserve">Phytron ZSS 41.500.0.6 parallel</t>
  </si>
  <si>
    <t xml:space="preserve">Phytron ZSS 42.200.1.2 parallel</t>
  </si>
  <si>
    <t xml:space="preserve">Phytron ZSS 43.500.2.5 parallel</t>
  </si>
  <si>
    <t xml:space="preserve">Phytron ZSS 52.200.2.5 parallel</t>
  </si>
  <si>
    <t xml:space="preserve">Phytron ZSS.52.200.2.5 parallel</t>
  </si>
  <si>
    <t xml:space="preserve">Phytron ZSS.52.200.2.5 series</t>
  </si>
  <si>
    <t xml:space="preserve">Phytron ZSS 57.200.1.2 parallel</t>
  </si>
  <si>
    <t xml:space="preserve">Phytron ZSS 57.200.2.5 parallel</t>
  </si>
  <si>
    <t xml:space="preserve">Phytron ZSH 57-3.200.6.5 parallel</t>
  </si>
  <si>
    <t xml:space="preserve">Phytron ZSH 88/3.200.8 parallel</t>
  </si>
  <si>
    <t xml:space="preserve">Phytron ZSH 87/2.200.6.5 parallel</t>
  </si>
  <si>
    <t xml:space="preserve">Phytron ZSH 87/2.200.8.4 parallel</t>
  </si>
  <si>
    <t xml:space="preserve">Phytron ZSH 88/2.200.8 parallel</t>
  </si>
  <si>
    <t xml:space="preserve">Phytron VSS 19.200.0.6 parallel</t>
  </si>
  <si>
    <t xml:space="preserve">Phytron VSS 25.200.1.2 parallel</t>
  </si>
  <si>
    <t xml:space="preserve">Phytron VSS 32.200.1.2 parallel</t>
  </si>
  <si>
    <t xml:space="preserve">Phytron VSS 33.200.1.2 parallel</t>
  </si>
  <si>
    <t xml:space="preserve">Phytron VSS 42.200.1.2 parallel</t>
  </si>
  <si>
    <t xml:space="preserve">Phytron VSS 42.500.2.5 parallel</t>
  </si>
  <si>
    <t xml:space="preserve">Phytron VSS 43.200.1.2 parallel</t>
  </si>
  <si>
    <t xml:space="preserve">Phytron VSS 43.200.2.5 parallel</t>
  </si>
  <si>
    <t xml:space="preserve">Phytron VSS 52.200.1.2 parallel</t>
  </si>
  <si>
    <t xml:space="preserve">Phytron VSS 52.200.2.5 parallel</t>
  </si>
  <si>
    <t xml:space="preserve">Phytron VSS 52.200.5 parallel</t>
  </si>
  <si>
    <t xml:space="preserve">Phytron VSS 57.200.1.2 parallel</t>
  </si>
  <si>
    <t xml:space="preserve">Phytron VSS 57.200.2.5 parallel</t>
  </si>
  <si>
    <t xml:space="preserve">Superior Slo-syn KML062F13</t>
  </si>
  <si>
    <t xml:space="preserve">Superior Slo-syn KML061F05</t>
  </si>
  <si>
    <t xml:space="preserve">Superior Slo-syn KML061F02</t>
  </si>
  <si>
    <t xml:space="preserve">Oriental PK223PB series</t>
  </si>
  <si>
    <t xml:space="preserve">Oriental PK243-01-SGxx series</t>
  </si>
  <si>
    <t xml:space="preserve">Oriental PK243-02-SGxx series</t>
  </si>
  <si>
    <t xml:space="preserve">Oriental PK244-01 series</t>
  </si>
  <si>
    <t xml:space="preserve">Oriental PK244-01 parallel</t>
  </si>
  <si>
    <t xml:space="preserve">Oriental PK245-01 series</t>
  </si>
  <si>
    <t xml:space="preserve">Oriental PK264-02 series</t>
  </si>
  <si>
    <t xml:space="preserve">Oriental PK264-E2.0 series</t>
  </si>
  <si>
    <t xml:space="preserve">Oriental PK264BE-SGxx series</t>
  </si>
  <si>
    <t xml:space="preserve">Oriental PK264BE-SGxx parallel</t>
  </si>
  <si>
    <t xml:space="preserve">Oriental PK264JDA</t>
  </si>
  <si>
    <t xml:space="preserve">Oriental PK266-02 series</t>
  </si>
  <si>
    <t xml:space="preserve">Oriental PK267JA series</t>
  </si>
  <si>
    <t xml:space="preserve">Oriental PK268-E2.0 series</t>
  </si>
  <si>
    <t xml:space="preserve">Oriental PK268M-E2.0 parallel</t>
  </si>
  <si>
    <t xml:space="preserve">Oriental PK268-01 series</t>
  </si>
  <si>
    <t xml:space="preserve">Oriental PK268-02 series</t>
  </si>
  <si>
    <t xml:space="preserve">Oriental PK268M-02 series</t>
  </si>
  <si>
    <t xml:space="preserve">Oriental PK268-03 series</t>
  </si>
  <si>
    <t xml:space="preserve">Oriental PK269JD</t>
  </si>
  <si>
    <t xml:space="preserve">Oriental PK296-E4.5 series</t>
  </si>
  <si>
    <t xml:space="preserve">Oriental PK296-AE-SGxx series</t>
  </si>
  <si>
    <t xml:space="preserve">Oriental PK296-AE-SGxx parallel</t>
  </si>
  <si>
    <t xml:space="preserve">Oriental PK299-E4.5 series</t>
  </si>
  <si>
    <t xml:space="preserve">Oriental PK299-E4.5 parallel</t>
  </si>
  <si>
    <t xml:space="preserve">Faulhaber Precistep AM1524-2R-A-0,25-12,5</t>
  </si>
  <si>
    <t xml:space="preserve">Faulhaber Precistep AM1524-2R-A-0,45-3,6</t>
  </si>
  <si>
    <t xml:space="preserve">McLennan 23HT18C230 parallel</t>
  </si>
  <si>
    <t xml:space="preserve">McLennan 23HS-309 parallel</t>
  </si>
  <si>
    <t xml:space="preserve">McLennan 17HS-240E</t>
  </si>
  <si>
    <t xml:space="preserve">McLennan 23HS-108 Mk2</t>
  </si>
  <si>
    <t xml:space="preserve">McLennan 23HSX-206 parallel</t>
  </si>
  <si>
    <t xml:space="preserve">McLennan 23HSX-306E parallel</t>
  </si>
  <si>
    <t xml:space="preserve">Berger Lahr VRDM 268/50L3G8A</t>
  </si>
  <si>
    <t xml:space="preserve">PowerMaxII P21NRXD-LNF-NS-00</t>
  </si>
  <si>
    <t xml:space="preserve">Linear Engineering 3518X-04D-0</t>
  </si>
  <si>
    <t xml:space="preserve">Linear Engineering 5718X-18DE-01 series</t>
  </si>
  <si>
    <t xml:space="preserve">Linear Engineering 5718X-18DE-01 parallel</t>
  </si>
  <si>
    <t xml:space="preserve">Linear engineering 41185-04PD-23RO parallel</t>
  </si>
  <si>
    <t xml:space="preserve">Linear engineering 4118S-04s series</t>
  </si>
  <si>
    <t xml:space="preserve">Linear engineering 4118S-04s parallel</t>
  </si>
  <si>
    <t xml:space="preserve">Nanotec ST5918L3008 series</t>
  </si>
  <si>
    <t xml:space="preserve">Nanotec ST5918L3008 parallel</t>
  </si>
  <si>
    <t xml:space="preserve">Standa 8cma20-8/15</t>
  </si>
  <si>
    <t xml:space="preserve">Standa PG15/50</t>
  </si>
  <si>
    <t xml:space="preserve">Fulling 28STH45B2-096 series</t>
  </si>
  <si>
    <t xml:space="preserve">Trinamic Qmot QSH-4128-35-10-27</t>
  </si>
  <si>
    <t xml:space="preserve">Newport TraXXppd</t>
  </si>
  <si>
    <t xml:space="preserve">Renishaw Resolute 32 bits</t>
  </si>
  <si>
    <t xml:space="preserve">BISSC</t>
  </si>
  <si>
    <t xml:space="preserve">BINARY</t>
  </si>
  <si>
    <t xml:space="preserve">1.25MHz</t>
  </si>
  <si>
    <t xml:space="preserve">S</t>
  </si>
  <si>
    <t xml:space="preserve">LSB</t>
  </si>
  <si>
    <t xml:space="preserve">AUTO</t>
  </si>
  <si>
    <t xml:space="preserve">YES</t>
  </si>
  <si>
    <t xml:space="preserve">Renishaw Resolute 26 bits</t>
  </si>
  <si>
    <t xml:space="preserve">Renishaw Resolute 36 bits</t>
  </si>
  <si>
    <t xml:space="preserve">RLS LMA10DCxxxxxxxx</t>
  </si>
  <si>
    <t xml:space="preserve">NO</t>
  </si>
  <si>
    <t xml:space="preserve">HIGH</t>
  </si>
</sst>
</file>

<file path=xl/styles.xml><?xml version="1.0" encoding="utf-8"?>
<styleSheet xmlns="http://schemas.openxmlformats.org/spreadsheetml/2006/main">
  <numFmts count="8">
    <numFmt numFmtId="164" formatCode="General"/>
    <numFmt numFmtId="165" formatCode="@"/>
    <numFmt numFmtId="166" formatCode="YYYY/MM/DD"/>
    <numFmt numFmtId="167" formatCode="0.00"/>
    <numFmt numFmtId="168" formatCode="0"/>
    <numFmt numFmtId="169" formatCode="0.00E+00"/>
    <numFmt numFmtId="170" formatCode="0.0"/>
    <numFmt numFmtId="171" formatCode="0.0000"/>
  </numFmts>
  <fonts count="21">
    <font>
      <sz val="11"/>
      <color rgb="FF000000"/>
      <name val="Calibri"/>
      <family val="2"/>
      <charset val="1"/>
    </font>
    <font>
      <sz val="10"/>
      <name val="Arial"/>
      <family val="0"/>
    </font>
    <font>
      <sz val="10"/>
      <name val="Arial"/>
      <family val="0"/>
    </font>
    <font>
      <sz val="10"/>
      <name val="Arial"/>
      <family val="0"/>
    </font>
    <font>
      <sz val="10"/>
      <name val="Calibri"/>
      <family val="2"/>
      <charset val="1"/>
    </font>
    <font>
      <sz val="11"/>
      <name val="Calibri"/>
      <family val="2"/>
      <charset val="1"/>
    </font>
    <font>
      <sz val="10"/>
      <name val="Arial"/>
      <family val="2"/>
      <charset val="1"/>
    </font>
    <font>
      <sz val="11"/>
      <color rgb="FFA6A6A6"/>
      <name val="Calibri"/>
      <family val="2"/>
      <charset val="1"/>
    </font>
    <font>
      <sz val="11"/>
      <color rgb="FFA6A6A6"/>
      <name val="Source Sans Pro"/>
      <family val="2"/>
      <charset val="1"/>
    </font>
    <font>
      <sz val="11"/>
      <color rgb="FF252525"/>
      <name val="Source Sans Pro"/>
      <family val="2"/>
      <charset val="1"/>
    </font>
    <font>
      <sz val="12"/>
      <color rgb="FF000000"/>
      <name val="Times New Roman"/>
      <family val="1"/>
      <charset val="1"/>
    </font>
    <font>
      <sz val="8"/>
      <color rgb="FF000000"/>
      <name val="Calibri"/>
      <family val="2"/>
      <charset val="1"/>
    </font>
    <font>
      <b val="true"/>
      <sz val="11"/>
      <color rgb="FF000000"/>
      <name val="Calibri"/>
      <family val="2"/>
      <charset val="1"/>
    </font>
    <font>
      <b val="true"/>
      <sz val="9"/>
      <color rgb="FF000000"/>
      <name val="Calibri"/>
      <family val="2"/>
      <charset val="1"/>
    </font>
    <font>
      <sz val="10"/>
      <color rgb="FF000000"/>
      <name val="Calibri"/>
      <family val="2"/>
      <charset val="1"/>
    </font>
    <font>
      <u val="single"/>
      <sz val="11"/>
      <color rgb="FF0000FF"/>
      <name val="Calibri"/>
      <family val="2"/>
      <charset val="1"/>
    </font>
    <font>
      <b val="true"/>
      <sz val="8"/>
      <color rgb="FF000000"/>
      <name val="Calibri"/>
      <family val="2"/>
      <charset val="1"/>
    </font>
    <font>
      <sz val="8"/>
      <name val="Calibri"/>
      <family val="2"/>
      <charset val="1"/>
    </font>
    <font>
      <sz val="8"/>
      <color rgb="FFFF0000"/>
      <name val="Calibri"/>
      <family val="2"/>
      <charset val="1"/>
    </font>
    <font>
      <sz val="9"/>
      <color rgb="FF000000"/>
      <name val="Tahoma"/>
      <family val="2"/>
      <charset val="1"/>
    </font>
    <font>
      <sz val="10"/>
      <name val="Arial"/>
      <family val="0"/>
      <charset val="1"/>
    </font>
  </fonts>
  <fills count="14">
    <fill>
      <patternFill patternType="none"/>
    </fill>
    <fill>
      <patternFill patternType="gray125"/>
    </fill>
    <fill>
      <patternFill patternType="solid">
        <fgColor rgb="FFFFFFFF"/>
        <bgColor rgb="FFEBF1DE"/>
      </patternFill>
    </fill>
    <fill>
      <patternFill patternType="solid">
        <fgColor rgb="FFB7DEE8"/>
        <bgColor rgb="FF99CCFF"/>
      </patternFill>
    </fill>
    <fill>
      <patternFill patternType="solid">
        <fgColor rgb="FFE6B9B8"/>
        <bgColor rgb="FFFF99CC"/>
      </patternFill>
    </fill>
    <fill>
      <patternFill patternType="solid">
        <fgColor rgb="FFD7E4BD"/>
        <bgColor rgb="FFE6E0EC"/>
      </patternFill>
    </fill>
    <fill>
      <patternFill patternType="solid">
        <fgColor rgb="FF000000"/>
        <bgColor rgb="FF252525"/>
      </patternFill>
    </fill>
    <fill>
      <patternFill patternType="solid">
        <fgColor rgb="FFFFFF00"/>
        <bgColor rgb="FFFFFF00"/>
      </patternFill>
    </fill>
    <fill>
      <patternFill patternType="solid">
        <fgColor rgb="FFF2DCDB"/>
        <bgColor rgb="FFFBE5D6"/>
      </patternFill>
    </fill>
    <fill>
      <patternFill patternType="solid">
        <fgColor rgb="FFEBF1DE"/>
        <bgColor rgb="FFFDEADA"/>
      </patternFill>
    </fill>
    <fill>
      <patternFill patternType="solid">
        <fgColor rgb="FFFF0000"/>
        <bgColor rgb="FF993300"/>
      </patternFill>
    </fill>
    <fill>
      <patternFill patternType="solid">
        <fgColor rgb="FFE6E0EC"/>
        <bgColor rgb="FFF2DCDB"/>
      </patternFill>
    </fill>
    <fill>
      <patternFill patternType="solid">
        <fgColor rgb="FFFDEADA"/>
        <bgColor rgb="FFFBE5D6"/>
      </patternFill>
    </fill>
    <fill>
      <patternFill patternType="solid">
        <fgColor rgb="FFFBE5D6"/>
        <bgColor rgb="FFFDEADA"/>
      </patternFill>
    </fill>
  </fills>
  <borders count="12">
    <border diagonalUp="false" diagonalDown="false">
      <left/>
      <right/>
      <top/>
      <bottom/>
      <diagonal/>
    </border>
    <border diagonalUp="false" diagonalDown="false">
      <left style="thick">
        <color rgb="FF808080"/>
      </left>
      <right style="thick">
        <color rgb="FF808080"/>
      </right>
      <top style="thick">
        <color rgb="FF808080"/>
      </top>
      <bottom style="thick">
        <color rgb="FF808080"/>
      </bottom>
      <diagonal/>
    </border>
    <border diagonalUp="false" diagonalDown="false">
      <left style="thick">
        <color rgb="FF808080"/>
      </left>
      <right style="thick">
        <color rgb="FF808080"/>
      </right>
      <top/>
      <bottom style="thick">
        <color rgb="FF808080"/>
      </bottom>
      <diagonal/>
    </border>
    <border diagonalUp="false" diagonalDown="false">
      <left style="thick">
        <color rgb="FF808080"/>
      </left>
      <right style="thick">
        <color rgb="FF808080"/>
      </right>
      <top style="thick">
        <color rgb="FF808080"/>
      </top>
      <bottom/>
      <diagonal/>
    </border>
    <border diagonalUp="false" diagonalDown="false">
      <left style="thick">
        <color rgb="FF808080"/>
      </left>
      <right/>
      <top style="thick">
        <color rgb="FF808080"/>
      </top>
      <bottom style="thick">
        <color rgb="FF808080"/>
      </bottom>
      <diagonal/>
    </border>
    <border diagonalUp="false" diagonalDown="false">
      <left style="thick">
        <color rgb="FF808080"/>
      </left>
      <right style="thick">
        <color rgb="FF808080"/>
      </right>
      <top/>
      <bottom/>
      <diagonal/>
    </border>
    <border diagonalUp="false" diagonalDown="false">
      <left style="thick"/>
      <right style="thick"/>
      <top style="thick"/>
      <bottom/>
      <diagonal/>
    </border>
    <border diagonalUp="false" diagonalDown="false">
      <left style="thick"/>
      <right style="thick"/>
      <top/>
      <bottom style="thick"/>
      <diagonal/>
    </border>
    <border diagonalUp="false" diagonalDown="false">
      <left style="thin"/>
      <right style="thin"/>
      <top style="thin"/>
      <bottom style="thin"/>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color rgb="FF808080"/>
      </left>
      <right style="thin">
        <color rgb="FF808080"/>
      </right>
      <top style="thin">
        <color rgb="FF808080"/>
      </top>
      <bottom style="thin">
        <color rgb="FF808080"/>
      </botto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false" applyBorder="true" applyAlignment="false" applyProtection="false">
      <alignment horizontal="general" vertical="bottom" textRotation="0" wrapText="false" indent="0" shrinkToFit="false"/>
      <protection locked="true" hidden="false"/>
    </xf>
    <xf numFmtId="165" fontId="0" fillId="0" borderId="0"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true" applyAlignment="true" applyProtection="false">
      <alignment horizontal="center" vertical="bottom" textRotation="0" wrapText="false" indent="0" shrinkToFit="false"/>
      <protection locked="true" hidden="false"/>
    </xf>
    <xf numFmtId="165" fontId="0" fillId="0" borderId="0" xfId="21" applyFont="fals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true" applyProtection="false">
      <alignment horizontal="right" vertical="bottom" textRotation="0" wrapText="false" indent="0" shrinkToFit="false"/>
      <protection locked="true" hidden="false"/>
    </xf>
    <xf numFmtId="166" fontId="5" fillId="0" borderId="0" xfId="21" applyFont="true" applyBorder="true" applyAlignment="true" applyProtection="false">
      <alignment horizontal="left"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0" fillId="0" borderId="1" xfId="21" applyFont="false" applyBorder="true" applyAlignment="true" applyProtection="false">
      <alignment horizontal="general" vertical="center" textRotation="0" wrapText="true" indent="0" shrinkToFit="false"/>
      <protection locked="true" hidden="false"/>
    </xf>
    <xf numFmtId="164" fontId="12" fillId="0" borderId="1" xfId="21" applyFont="true" applyBorder="true" applyAlignment="true" applyProtection="false">
      <alignment horizontal="center" vertical="center" textRotation="0" wrapText="true" indent="0" shrinkToFit="false"/>
      <protection locked="true" hidden="false"/>
    </xf>
    <xf numFmtId="165" fontId="12" fillId="0" borderId="1" xfId="21" applyFont="true" applyBorder="true" applyAlignment="true" applyProtection="false">
      <alignment horizontal="center" vertical="center" textRotation="0" wrapText="true" indent="0" shrinkToFit="false"/>
      <protection locked="true" hidden="false"/>
    </xf>
    <xf numFmtId="165" fontId="13" fillId="0" borderId="1" xfId="21" applyFont="true" applyBorder="true" applyAlignment="true" applyProtection="false">
      <alignment horizontal="center" vertical="center" textRotation="0" wrapText="true" indent="0" shrinkToFit="false"/>
      <protection locked="true" hidden="false"/>
    </xf>
    <xf numFmtId="164" fontId="13" fillId="0" borderId="1" xfId="21" applyFont="true" applyBorder="true" applyAlignment="true" applyProtection="false">
      <alignment horizontal="center" vertical="center" textRotation="0" wrapText="true" indent="0" shrinkToFit="false"/>
      <protection locked="true" hidden="false"/>
    </xf>
    <xf numFmtId="164" fontId="12" fillId="0" borderId="2" xfId="21" applyFont="true" applyBorder="true" applyAlignment="true" applyProtection="false">
      <alignment horizontal="left" vertical="center" textRotation="0" wrapText="false" indent="0" shrinkToFit="false"/>
      <protection locked="true" hidden="false"/>
    </xf>
    <xf numFmtId="164" fontId="0" fillId="0" borderId="2" xfId="21" applyFont="true" applyBorder="true" applyAlignment="true" applyProtection="false">
      <alignment horizontal="left" vertical="center" textRotation="0" wrapText="false" indent="0" shrinkToFit="false"/>
      <protection locked="true" hidden="false"/>
    </xf>
    <xf numFmtId="165" fontId="0" fillId="2" borderId="1" xfId="21" applyFont="true" applyBorder="true" applyAlignment="true" applyProtection="false">
      <alignment horizontal="left" vertical="center" textRotation="0" wrapText="false" indent="0" shrinkToFit="false"/>
      <protection locked="true" hidden="false"/>
    </xf>
    <xf numFmtId="165" fontId="0" fillId="0" borderId="2" xfId="21" applyFont="true" applyBorder="true" applyAlignment="true" applyProtection="false">
      <alignment horizontal="left" vertical="center" textRotation="0" wrapText="false" indent="0" shrinkToFit="false"/>
      <protection locked="true" hidden="false"/>
    </xf>
    <xf numFmtId="165" fontId="0" fillId="0" borderId="2" xfId="21" applyFont="true" applyBorder="true" applyAlignment="true" applyProtection="false">
      <alignment horizontal="left" vertical="center" textRotation="0" wrapText="false" indent="0" shrinkToFit="false"/>
      <protection locked="true" hidden="false"/>
    </xf>
    <xf numFmtId="164" fontId="0" fillId="0" borderId="1" xfId="21" applyFont="true" applyBorder="true" applyAlignment="true" applyProtection="false">
      <alignment horizontal="left" vertical="center" textRotation="0" wrapText="false" indent="0" shrinkToFit="false"/>
      <protection locked="true" hidden="false"/>
    </xf>
    <xf numFmtId="164" fontId="0" fillId="0" borderId="1" xfId="21" applyFont="false" applyBorder="true" applyAlignment="true" applyProtection="false">
      <alignment horizontal="left" vertical="center" textRotation="0" wrapText="false" indent="0" shrinkToFit="false"/>
      <protection locked="true" hidden="false"/>
    </xf>
    <xf numFmtId="165" fontId="0" fillId="0" borderId="1" xfId="21" applyFont="true" applyBorder="true" applyAlignment="true" applyProtection="false">
      <alignment horizontal="left" vertical="center" textRotation="0" wrapText="false" indent="0" shrinkToFit="false"/>
      <protection locked="true" hidden="false"/>
    </xf>
    <xf numFmtId="165" fontId="0" fillId="0" borderId="1" xfId="21" applyFont="true" applyBorder="true" applyAlignment="true" applyProtection="false">
      <alignment horizontal="left" vertical="center" textRotation="0" wrapText="false" indent="0" shrinkToFit="false"/>
      <protection locked="true" hidden="false"/>
    </xf>
    <xf numFmtId="165" fontId="0" fillId="0" borderId="0" xfId="21" applyFont="true" applyBorder="false" applyAlignment="false" applyProtection="false">
      <alignment horizontal="general" vertical="bottom" textRotation="0" wrapText="false" indent="0" shrinkToFit="false"/>
      <protection locked="true" hidden="false"/>
    </xf>
    <xf numFmtId="165" fontId="0" fillId="0" borderId="1" xfId="21" applyFont="true" applyBorder="true" applyAlignment="false" applyProtection="false">
      <alignment horizontal="general" vertical="bottom" textRotation="0" wrapText="false" indent="0" shrinkToFit="false"/>
      <protection locked="true" hidden="false"/>
    </xf>
    <xf numFmtId="165" fontId="0" fillId="0" borderId="1" xfId="21" applyFont="true" applyBorder="true" applyAlignment="false" applyProtection="false">
      <alignment horizontal="general" vertical="bottom" textRotation="0" wrapText="false" indent="0" shrinkToFit="false"/>
      <protection locked="true" hidden="false"/>
    </xf>
    <xf numFmtId="165" fontId="0" fillId="0" borderId="0" xfId="21" applyFont="true" applyBorder="false" applyAlignment="false" applyProtection="false">
      <alignment horizontal="general" vertical="bottom" textRotation="0" wrapText="false" indent="0" shrinkToFit="false"/>
      <protection locked="true" hidden="false"/>
    </xf>
    <xf numFmtId="164" fontId="0" fillId="0" borderId="3" xfId="21" applyFont="false" applyBorder="true" applyAlignment="true" applyProtection="false">
      <alignment horizontal="left" vertical="center" textRotation="0" wrapText="false" indent="0" shrinkToFit="false"/>
      <protection locked="true" hidden="false"/>
    </xf>
    <xf numFmtId="164" fontId="0" fillId="0" borderId="3" xfId="21" applyFont="true" applyBorder="true" applyAlignment="true" applyProtection="false">
      <alignment horizontal="left" vertical="center" textRotation="0" wrapText="false" indent="0" shrinkToFit="false"/>
      <protection locked="true" hidden="false"/>
    </xf>
    <xf numFmtId="165" fontId="0" fillId="0" borderId="3" xfId="21" applyFont="true" applyBorder="true" applyAlignment="true" applyProtection="false">
      <alignment horizontal="left" vertical="center" textRotation="0" wrapText="false" indent="0" shrinkToFit="false"/>
      <protection locked="true" hidden="false"/>
    </xf>
    <xf numFmtId="165" fontId="0" fillId="0" borderId="3" xfId="21" applyFont="true" applyBorder="true" applyAlignment="true" applyProtection="false">
      <alignment horizontal="left" vertical="center" textRotation="0" wrapText="false" indent="0" shrinkToFit="false"/>
      <protection locked="true" hidden="false"/>
    </xf>
    <xf numFmtId="165" fontId="0" fillId="0" borderId="4" xfId="21" applyFont="true" applyBorder="true" applyAlignment="false" applyProtection="false">
      <alignment horizontal="general" vertical="bottom" textRotation="0" wrapText="false" indent="0" shrinkToFit="false"/>
      <protection locked="true" hidden="false"/>
    </xf>
    <xf numFmtId="164" fontId="12" fillId="0" borderId="1" xfId="21" applyFont="true" applyBorder="true" applyAlignment="true" applyProtection="false">
      <alignment horizontal="left" vertical="center" textRotation="0" wrapText="false" indent="0" shrinkToFit="false"/>
      <protection locked="true" hidden="false"/>
    </xf>
    <xf numFmtId="164" fontId="0"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true" applyBorder="true" applyAlignment="true" applyProtection="false">
      <alignment horizontal="left" vertical="center" textRotation="0" wrapText="false" indent="0" shrinkToFit="false"/>
      <protection locked="true" hidden="false"/>
    </xf>
    <xf numFmtId="164" fontId="5" fillId="0" borderId="3" xfId="21" applyFont="true" applyBorder="true" applyAlignment="true" applyProtection="false">
      <alignment horizontal="left" vertical="center" textRotation="0" wrapText="false" indent="0" shrinkToFit="false"/>
      <protection locked="true" hidden="false"/>
    </xf>
    <xf numFmtId="164" fontId="0" fillId="0" borderId="1" xfId="21" applyFont="false" applyBorder="true" applyAlignment="true" applyProtection="false">
      <alignment horizontal="left" vertical="center" textRotation="0" wrapText="false" indent="0" shrinkToFit="false"/>
      <protection locked="true" hidden="false"/>
    </xf>
    <xf numFmtId="165" fontId="5" fillId="0" borderId="3" xfId="21" applyFont="true" applyBorder="true" applyAlignment="true" applyProtection="false">
      <alignment horizontal="left" vertical="center" textRotation="0" wrapText="false" indent="0" shrinkToFit="false"/>
      <protection locked="true" hidden="false"/>
    </xf>
    <xf numFmtId="164" fontId="5" fillId="0" borderId="2" xfId="21" applyFont="true" applyBorder="true" applyAlignment="true" applyProtection="false">
      <alignment horizontal="left" vertical="center" textRotation="0" wrapText="false" indent="0" shrinkToFit="false"/>
      <protection locked="true" hidden="false"/>
    </xf>
    <xf numFmtId="164" fontId="12" fillId="0" borderId="1" xfId="21" applyFont="true" applyBorder="true" applyAlignment="true" applyProtection="false">
      <alignment horizontal="left" vertical="center" textRotation="0" wrapText="false" indent="0" shrinkToFit="false"/>
      <protection locked="true" hidden="false"/>
    </xf>
    <xf numFmtId="164" fontId="0" fillId="0" borderId="3" xfId="21" applyFont="false" applyBorder="true" applyAlignment="true" applyProtection="false">
      <alignment horizontal="left" vertical="center" textRotation="0" wrapText="false" indent="0" shrinkToFit="false"/>
      <protection locked="true" hidden="false"/>
    </xf>
    <xf numFmtId="164" fontId="0" fillId="0" borderId="1" xfId="21" applyFont="true" applyBorder="true" applyAlignment="false" applyProtection="false">
      <alignment horizontal="general" vertical="bottom" textRotation="0" wrapText="false" indent="0" shrinkToFit="false"/>
      <protection locked="true" hidden="false"/>
    </xf>
    <xf numFmtId="164" fontId="0" fillId="0" borderId="5" xfId="21" applyFont="true" applyBorder="true" applyAlignment="true" applyProtection="false">
      <alignment horizontal="left" vertical="center" textRotation="0" wrapText="fals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0" fillId="0" borderId="2" xfId="21" applyFont="true" applyBorder="true" applyAlignment="true" applyProtection="false">
      <alignment horizontal="left" vertical="center" textRotation="0" wrapText="false" indent="0" shrinkToFit="false"/>
      <protection locked="true" hidden="false"/>
    </xf>
    <xf numFmtId="164" fontId="0" fillId="0" borderId="2" xfId="21" applyFont="true" applyBorder="true" applyAlignment="true" applyProtection="false">
      <alignment horizontal="left" vertical="bottom" textRotation="0" wrapText="false" indent="0" shrinkToFit="false"/>
      <protection locked="true" hidden="false"/>
    </xf>
    <xf numFmtId="165" fontId="0" fillId="0" borderId="2" xfId="21" applyFont="true" applyBorder="true" applyAlignment="true" applyProtection="false">
      <alignment horizontal="left" vertical="bottom" textRotation="0" wrapText="false" indent="0" shrinkToFit="false"/>
      <protection locked="true" hidden="false"/>
    </xf>
    <xf numFmtId="165" fontId="0" fillId="0" borderId="5" xfId="21" applyFont="true" applyBorder="true" applyAlignment="true" applyProtection="false">
      <alignment horizontal="left" vertical="bottom" textRotation="0" wrapText="false" indent="0" shrinkToFit="false"/>
      <protection locked="true" hidden="false"/>
    </xf>
    <xf numFmtId="164" fontId="0" fillId="0" borderId="5" xfId="21" applyFont="true" applyBorder="true" applyAlignment="true" applyProtection="false">
      <alignment horizontal="left" vertical="bottom" textRotation="0" wrapText="false" indent="0" shrinkToFit="false"/>
      <protection locked="true" hidden="false"/>
    </xf>
    <xf numFmtId="164" fontId="12" fillId="0" borderId="1" xfId="21" applyFont="true" applyBorder="true" applyAlignment="true" applyProtection="false">
      <alignment horizontal="left" vertical="bottom" textRotation="0" wrapText="false" indent="0" shrinkToFit="false"/>
      <protection locked="true" hidden="false"/>
    </xf>
    <xf numFmtId="164" fontId="0" fillId="0" borderId="1" xfId="21" applyFont="true" applyBorder="true" applyAlignment="true" applyProtection="false">
      <alignment horizontal="left" vertical="bottom" textRotation="0" wrapText="false" indent="0" shrinkToFit="false"/>
      <protection locked="true" hidden="false"/>
    </xf>
    <xf numFmtId="165" fontId="0" fillId="0" borderId="1" xfId="21" applyFont="true" applyBorder="true" applyAlignment="true" applyProtection="false">
      <alignment horizontal="left" vertical="bottom" textRotation="0" wrapText="false" indent="0" shrinkToFit="false"/>
      <protection locked="true" hidden="false"/>
    </xf>
    <xf numFmtId="165" fontId="0" fillId="0" borderId="3" xfId="21" applyFont="true" applyBorder="true" applyAlignment="true" applyProtection="false">
      <alignment horizontal="left" vertical="bottom" textRotation="0" wrapText="false" indent="0" shrinkToFit="false"/>
      <protection locked="true" hidden="false"/>
    </xf>
    <xf numFmtId="164" fontId="0" fillId="0" borderId="3" xfId="21" applyFont="false" applyBorder="true" applyAlignment="true" applyProtection="false">
      <alignment horizontal="left" vertical="bottom" textRotation="0" wrapText="false" indent="0" shrinkToFit="false"/>
      <protection locked="true" hidden="false"/>
    </xf>
    <xf numFmtId="164" fontId="0" fillId="0" borderId="3" xfId="21" applyFont="true" applyBorder="true" applyAlignment="true" applyProtection="false">
      <alignment horizontal="left" vertical="center" textRotation="0" wrapText="false" indent="0" shrinkToFit="false"/>
      <protection locked="true" hidden="false"/>
    </xf>
    <xf numFmtId="164" fontId="0" fillId="0" borderId="3" xfId="21" applyFont="tru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14" fillId="0" borderId="0" xfId="21"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0" borderId="0" xfId="21" applyFont="true" applyBorder="false" applyAlignment="true" applyProtection="false">
      <alignment horizontal="left"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1" fillId="3" borderId="8" xfId="0" applyFont="true" applyBorder="true" applyAlignment="true" applyProtection="true">
      <alignment horizontal="left" vertical="center" textRotation="0" wrapText="false" indent="0" shrinkToFit="false"/>
      <protection locked="true" hidden="false"/>
    </xf>
    <xf numFmtId="165" fontId="11" fillId="3" borderId="8" xfId="0" applyFont="true" applyBorder="true" applyAlignment="true" applyProtection="tru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bottom" textRotation="0" wrapText="false" indent="0" shrinkToFit="false"/>
      <protection locked="true" hidden="false"/>
    </xf>
    <xf numFmtId="164" fontId="11" fillId="3" borderId="8" xfId="0" applyFont="true" applyBorder="true" applyAlignment="true" applyProtection="false">
      <alignment horizontal="general" vertical="bottom" textRotation="0" wrapText="false" indent="0" shrinkToFit="false"/>
      <protection locked="true" hidden="false"/>
    </xf>
    <xf numFmtId="165" fontId="11" fillId="0" borderId="8" xfId="0" applyFont="true" applyBorder="true" applyAlignment="true" applyProtection="false">
      <alignment horizontal="general" vertical="bottom" textRotation="0" wrapText="false" indent="0" shrinkToFit="false"/>
      <protection locked="true" hidden="false"/>
    </xf>
    <xf numFmtId="165" fontId="11" fillId="3" borderId="8" xfId="0" applyFont="true" applyBorder="true" applyAlignment="false" applyProtection="false">
      <alignment horizontal="general"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7" fontId="11" fillId="3" borderId="8" xfId="0" applyFont="true" applyBorder="true" applyAlignment="false" applyProtection="false">
      <alignment horizontal="general" vertical="bottom" textRotation="0" wrapText="false" indent="0" shrinkToFit="false"/>
      <protection locked="true" hidden="false"/>
    </xf>
    <xf numFmtId="167" fontId="11" fillId="4" borderId="8" xfId="0" applyFont="true" applyBorder="true" applyAlignment="false" applyProtection="false">
      <alignment horizontal="general" vertical="bottom" textRotation="0" wrapText="false" indent="0" shrinkToFit="false"/>
      <protection locked="true" hidden="false"/>
    </xf>
    <xf numFmtId="168" fontId="11" fillId="4" borderId="8" xfId="0" applyFont="true" applyBorder="true" applyAlignment="false" applyProtection="false">
      <alignment horizontal="general" vertical="bottom" textRotation="0" wrapText="false" indent="0" shrinkToFit="false"/>
      <protection locked="true" hidden="false"/>
    </xf>
    <xf numFmtId="164" fontId="11" fillId="3" borderId="8" xfId="0" applyFont="true" applyBorder="tru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7" fontId="11" fillId="5"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5" fontId="16" fillId="0" borderId="8" xfId="0" applyFont="true" applyBorder="true" applyAlignment="true" applyProtection="false">
      <alignment horizontal="center" vertical="center" textRotation="0" wrapText="true" indent="0" shrinkToFit="false"/>
      <protection locked="true" hidden="false"/>
    </xf>
    <xf numFmtId="167" fontId="16" fillId="5" borderId="8" xfId="0" applyFont="true" applyBorder="true" applyAlignment="true" applyProtection="false">
      <alignment horizontal="center" vertical="center" textRotation="0" wrapText="true" indent="0" shrinkToFit="false"/>
      <protection locked="true" hidden="false"/>
    </xf>
    <xf numFmtId="164" fontId="16" fillId="3" borderId="8"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16" fillId="3" borderId="8" xfId="27" applyFont="true" applyBorder="true" applyAlignment="true" applyProtection="false">
      <alignment horizontal="center" vertical="center" textRotation="0" wrapText="true" indent="0" shrinkToFit="false"/>
      <protection locked="true" hidden="false"/>
    </xf>
    <xf numFmtId="164" fontId="16" fillId="3" borderId="8" xfId="0" applyFont="true" applyBorder="true" applyAlignment="true" applyProtection="false">
      <alignment horizontal="general" vertical="center" textRotation="0" wrapText="true" indent="0" shrinkToFit="false"/>
      <protection locked="true" hidden="false"/>
    </xf>
    <xf numFmtId="164" fontId="16" fillId="3" borderId="8" xfId="21" applyFont="true" applyBorder="true" applyAlignment="true" applyProtection="false">
      <alignment horizontal="center" vertical="center" textRotation="0" wrapText="true" indent="0" shrinkToFit="false"/>
      <protection locked="true" hidden="false"/>
    </xf>
    <xf numFmtId="165" fontId="16" fillId="3" borderId="8" xfId="0" applyFont="true" applyBorder="true" applyAlignment="true" applyProtection="false">
      <alignment horizontal="center" vertical="center" textRotation="0" wrapText="true" indent="0" shrinkToFit="false"/>
      <protection locked="true" hidden="false"/>
    </xf>
    <xf numFmtId="168" fontId="16" fillId="3" borderId="8" xfId="0" applyFont="true" applyBorder="true" applyAlignment="true" applyProtection="true">
      <alignment horizontal="center" vertical="center" textRotation="0" wrapText="true" indent="0" shrinkToFit="false"/>
      <protection locked="true" hidden="false"/>
    </xf>
    <xf numFmtId="167" fontId="16" fillId="4" borderId="8" xfId="0" applyFont="true" applyBorder="true" applyAlignment="true" applyProtection="false">
      <alignment horizontal="center" vertical="center" textRotation="0" wrapText="true" indent="0" shrinkToFit="false"/>
      <protection locked="true" hidden="false"/>
    </xf>
    <xf numFmtId="168" fontId="16" fillId="4" borderId="8" xfId="0" applyFont="true" applyBorder="true" applyAlignment="true" applyProtection="false">
      <alignment horizontal="center" vertical="center" textRotation="0" wrapText="true" indent="0" shrinkToFit="false"/>
      <protection locked="true" hidden="false"/>
    </xf>
    <xf numFmtId="167" fontId="16" fillId="3" borderId="8" xfId="0" applyFont="true" applyBorder="true" applyAlignment="true" applyProtection="false">
      <alignment horizontal="center" vertical="center" textRotation="0" wrapText="true" indent="0" shrinkToFit="false"/>
      <protection locked="true" hidden="false"/>
    </xf>
    <xf numFmtId="164" fontId="16" fillId="3" borderId="9" xfId="0" applyFont="true" applyBorder="true" applyAlignment="true" applyProtection="true">
      <alignment horizontal="center" vertical="center" textRotation="0" wrapText="true" indent="0" shrinkToFit="false"/>
      <protection locked="true" hidden="false"/>
    </xf>
    <xf numFmtId="165" fontId="16" fillId="3" borderId="8" xfId="0" applyFont="true" applyBorder="true" applyAlignment="true" applyProtection="true">
      <alignment horizontal="center" vertical="center" textRotation="0" wrapText="tru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11" fillId="3" borderId="8" xfId="0" applyFont="true" applyBorder="true" applyAlignment="true" applyProtection="false">
      <alignment horizontal="center" vertical="center" textRotation="0" wrapText="false" indent="0" shrinkToFit="false"/>
      <protection locked="true" hidden="false"/>
    </xf>
    <xf numFmtId="165" fontId="11" fillId="3" borderId="8" xfId="0" applyFont="true" applyBorder="true" applyAlignment="true" applyProtection="false">
      <alignment horizontal="left" vertical="center" textRotation="0" wrapText="false" indent="0" shrinkToFit="false"/>
      <protection locked="true" hidden="false"/>
    </xf>
    <xf numFmtId="165" fontId="11" fillId="3" borderId="8" xfId="0" applyFont="true" applyBorder="true" applyAlignment="true" applyProtection="false">
      <alignment horizontal="center" vertical="center" textRotation="0" wrapText="false" indent="0" shrinkToFit="false"/>
      <protection locked="true" hidden="false"/>
    </xf>
    <xf numFmtId="165" fontId="11" fillId="0" borderId="8" xfId="0" applyFont="true" applyBorder="true" applyAlignment="true" applyProtection="false">
      <alignment horizontal="left" vertical="center" textRotation="0" wrapText="true" indent="0" shrinkToFit="false"/>
      <protection locked="true" hidden="false"/>
    </xf>
    <xf numFmtId="165" fontId="11" fillId="0" borderId="8" xfId="0" applyFont="true" applyBorder="true" applyAlignment="true" applyProtection="false">
      <alignment horizontal="center" vertical="center" textRotation="0" wrapText="false" indent="0" shrinkToFit="false"/>
      <protection locked="true" hidden="false"/>
    </xf>
    <xf numFmtId="168" fontId="11" fillId="3" borderId="8" xfId="0" applyFont="true" applyBorder="true" applyAlignment="true" applyProtection="true">
      <alignment horizontal="center" vertical="center" textRotation="0" wrapText="true" indent="0" shrinkToFit="false"/>
      <protection locked="true" hidden="false"/>
    </xf>
    <xf numFmtId="167" fontId="11" fillId="4" borderId="8" xfId="0" applyFont="true" applyBorder="true" applyAlignment="true" applyProtection="false">
      <alignment horizontal="left" vertical="center" textRotation="0" wrapText="false" indent="0" shrinkToFit="false"/>
      <protection locked="true" hidden="false"/>
    </xf>
    <xf numFmtId="168" fontId="11" fillId="4" borderId="8" xfId="0" applyFont="true" applyBorder="true" applyAlignment="true" applyProtection="false">
      <alignment horizontal="left" vertical="center" textRotation="0" wrapText="false" indent="0" shrinkToFit="false"/>
      <protection locked="true" hidden="false"/>
    </xf>
    <xf numFmtId="167" fontId="11" fillId="3" borderId="8"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left" vertical="center" textRotation="0" wrapText="true" indent="0" shrinkToFit="false"/>
      <protection locked="true" hidden="false"/>
    </xf>
    <xf numFmtId="165" fontId="11" fillId="0" borderId="8" xfId="0" applyFont="true" applyBorder="true" applyAlignment="true" applyProtection="false">
      <alignment horizontal="center" vertical="center" textRotation="0" wrapText="true" indent="0" shrinkToFit="false"/>
      <protection locked="true" hidden="false"/>
    </xf>
    <xf numFmtId="168" fontId="11" fillId="3"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left" vertical="center" textRotation="0" wrapText="false" indent="0" shrinkToFit="false"/>
      <protection locked="true" hidden="false"/>
    </xf>
    <xf numFmtId="164" fontId="11" fillId="3" borderId="8" xfId="0" applyFont="true" applyBorder="true" applyAlignment="true" applyProtection="false">
      <alignment horizontal="left"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5" fontId="11" fillId="3" borderId="8" xfId="0" applyFont="true" applyBorder="true" applyAlignment="true" applyProtection="false">
      <alignment horizontal="left" vertical="center" textRotation="0" wrapText="true" indent="0" shrinkToFit="false"/>
      <protection locked="true" hidden="false"/>
    </xf>
    <xf numFmtId="165" fontId="11" fillId="3" borderId="8" xfId="0" applyFont="true" applyBorder="true" applyAlignment="true" applyProtection="true">
      <alignment horizontal="left" vertical="center" textRotation="0" wrapText="true" indent="0" shrinkToFit="false"/>
      <protection locked="true" hidden="false"/>
    </xf>
    <xf numFmtId="165" fontId="11" fillId="3" borderId="8" xfId="0" applyFont="true" applyBorder="true" applyAlignment="true" applyProtection="false">
      <alignment horizontal="center" vertical="center" textRotation="0" wrapText="tru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general" vertical="bottom" textRotation="0" wrapText="true" indent="0" shrinkToFit="false"/>
      <protection locked="true" hidden="false"/>
    </xf>
    <xf numFmtId="165" fontId="17" fillId="0" borderId="8" xfId="0" applyFont="true" applyBorder="true" applyAlignment="true" applyProtection="false">
      <alignment horizontal="left" vertical="center" textRotation="0" wrapText="false" indent="0" shrinkToFit="false"/>
      <protection locked="true" hidden="false"/>
    </xf>
    <xf numFmtId="165" fontId="17" fillId="3" borderId="8" xfId="0" applyFont="true" applyBorder="true" applyAlignment="true" applyProtection="false">
      <alignment horizontal="center" vertical="center" textRotation="0" wrapText="false" indent="0" shrinkToFit="false"/>
      <protection locked="true" hidden="false"/>
    </xf>
    <xf numFmtId="167" fontId="11" fillId="3" borderId="8" xfId="0" applyFont="true" applyBorder="true" applyAlignment="true" applyProtection="false">
      <alignment horizontal="center" vertical="center" textRotation="0" wrapText="true" indent="0" shrinkToFit="false"/>
      <protection locked="true" hidden="false"/>
    </xf>
    <xf numFmtId="168" fontId="11" fillId="3"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left" vertical="center" textRotation="0" wrapText="true" indent="0" shrinkToFit="false"/>
      <protection locked="true" hidden="false"/>
    </xf>
    <xf numFmtId="167" fontId="17" fillId="3" borderId="8" xfId="0" applyFont="true" applyBorder="true" applyAlignment="true" applyProtection="false">
      <alignment horizontal="center" vertical="center" textRotation="0" wrapText="false" indent="0" shrinkToFit="false"/>
      <protection locked="true" hidden="false"/>
    </xf>
    <xf numFmtId="169" fontId="17" fillId="3" borderId="8" xfId="0" applyFont="true" applyBorder="true" applyAlignment="true" applyProtection="false">
      <alignment horizontal="left" vertical="center" textRotation="0" wrapText="false" indent="0" shrinkToFit="false"/>
      <protection locked="true" hidden="false"/>
    </xf>
    <xf numFmtId="164" fontId="17" fillId="3" borderId="8"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left" vertical="center" textRotation="0" wrapText="false" indent="0" shrinkToFit="false"/>
      <protection locked="true" hidden="false"/>
    </xf>
    <xf numFmtId="164" fontId="17" fillId="3" borderId="8" xfId="0" applyFont="true" applyBorder="true" applyAlignment="true" applyProtection="false">
      <alignment horizontal="left" vertical="center" textRotation="0" wrapText="false" indent="0" shrinkToFit="false"/>
      <protection locked="true" hidden="false"/>
    </xf>
    <xf numFmtId="165" fontId="11" fillId="0" borderId="8" xfId="0" applyFont="true" applyBorder="true" applyAlignment="true" applyProtection="false">
      <alignment horizontal="center" vertical="bottom" textRotation="0" wrapText="false" indent="0" shrinkToFit="false"/>
      <protection locked="true" hidden="false"/>
    </xf>
    <xf numFmtId="165" fontId="11" fillId="6" borderId="8" xfId="0" applyFont="true" applyBorder="true" applyAlignment="true" applyProtection="true">
      <alignment horizontal="left" vertical="center" textRotation="0" wrapText="false" indent="0" shrinkToFit="false"/>
      <protection locked="true" hidden="false"/>
    </xf>
    <xf numFmtId="165" fontId="11" fillId="6" borderId="8" xfId="0" applyFont="true" applyBorder="true" applyAlignment="true" applyProtection="true">
      <alignment horizontal="center" vertical="center" textRotation="0" wrapText="false" indent="0" shrinkToFit="false"/>
      <protection locked="true" hidden="false"/>
    </xf>
    <xf numFmtId="164" fontId="11" fillId="6" borderId="8" xfId="27" applyFont="true" applyBorder="true" applyAlignment="true" applyProtection="false">
      <alignment horizontal="center" vertical="center" textRotation="0" wrapText="true" indent="0" shrinkToFit="false"/>
      <protection locked="true" hidden="false"/>
    </xf>
    <xf numFmtId="164" fontId="11" fillId="6" borderId="8" xfId="0" applyFont="true" applyBorder="true" applyAlignment="true" applyProtection="false">
      <alignment horizontal="general" vertical="center" textRotation="0" wrapText="true" indent="0" shrinkToFit="false"/>
      <protection locked="true" hidden="false"/>
    </xf>
    <xf numFmtId="164" fontId="11" fillId="6" borderId="8" xfId="21" applyFont="true" applyBorder="true" applyAlignment="true" applyProtection="false">
      <alignment horizontal="center" vertical="center" textRotation="0" wrapText="true" indent="0" shrinkToFit="false"/>
      <protection locked="true" hidden="false"/>
    </xf>
    <xf numFmtId="165" fontId="11" fillId="6" borderId="8" xfId="0" applyFont="true" applyBorder="true" applyAlignment="true" applyProtection="false">
      <alignment horizontal="center" vertical="center" textRotation="0" wrapText="true" indent="0" shrinkToFit="false"/>
      <protection locked="true" hidden="false"/>
    </xf>
    <xf numFmtId="168" fontId="11" fillId="6" borderId="8" xfId="0" applyFont="true" applyBorder="true" applyAlignment="true" applyProtection="true">
      <alignment horizontal="center" vertical="center" textRotation="0" wrapText="true" indent="0" shrinkToFit="false"/>
      <protection locked="true" hidden="false"/>
    </xf>
    <xf numFmtId="167" fontId="11" fillId="6" borderId="8" xfId="0" applyFont="true" applyBorder="true" applyAlignment="true" applyProtection="false">
      <alignment horizontal="center" vertical="center" textRotation="0" wrapText="true" indent="0" shrinkToFit="false"/>
      <protection locked="true" hidden="false"/>
    </xf>
    <xf numFmtId="168" fontId="11" fillId="6" borderId="8" xfId="0" applyFont="true" applyBorder="true" applyAlignment="true" applyProtection="false">
      <alignment horizontal="center" vertical="center" textRotation="0" wrapText="true" indent="0" shrinkToFit="false"/>
      <protection locked="true" hidden="false"/>
    </xf>
    <xf numFmtId="164" fontId="11" fillId="6" borderId="8" xfId="0" applyFont="true" applyBorder="true" applyAlignment="true" applyProtection="false">
      <alignment horizontal="center" vertical="center" textRotation="0" wrapText="true" indent="0" shrinkToFit="false"/>
      <protection locked="true" hidden="false"/>
    </xf>
    <xf numFmtId="164" fontId="11" fillId="6" borderId="10" xfId="0" applyFont="true" applyBorder="true" applyAlignment="true" applyProtection="true">
      <alignment horizontal="center" vertical="center" textRotation="0" wrapText="true" indent="0" shrinkToFit="false"/>
      <protection locked="true" hidden="false"/>
    </xf>
    <xf numFmtId="165" fontId="16" fillId="6" borderId="8" xfId="0" applyFont="true" applyBorder="true" applyAlignment="true" applyProtection="false">
      <alignment horizontal="center" vertical="center" textRotation="0" wrapText="true" indent="0" shrinkToFit="false"/>
      <protection locked="true" hidden="false"/>
    </xf>
    <xf numFmtId="167" fontId="16" fillId="6" borderId="8" xfId="0" applyFont="true" applyBorder="true" applyAlignment="true" applyProtection="false">
      <alignment horizontal="center" vertical="center" textRotation="0" wrapText="true" indent="0" shrinkToFit="false"/>
      <protection locked="true" hidden="false"/>
    </xf>
    <xf numFmtId="164" fontId="16" fillId="6" borderId="8" xfId="0" applyFont="true" applyBorder="true" applyAlignment="true" applyProtection="false">
      <alignment horizontal="center" vertical="center" textRotation="0" wrapText="true" indent="0" shrinkToFit="false"/>
      <protection locked="true" hidden="false"/>
    </xf>
    <xf numFmtId="165" fontId="11" fillId="6" borderId="8" xfId="0" applyFont="true" applyBorder="true" applyAlignment="true" applyProtection="true">
      <alignment horizontal="center" vertical="center" textRotation="0" wrapText="true" indent="0" shrinkToFit="false"/>
      <protection locked="true" hidden="false"/>
    </xf>
    <xf numFmtId="164" fontId="11" fillId="6" borderId="8" xfId="0" applyFont="true" applyBorder="true" applyAlignment="true" applyProtection="false">
      <alignment horizontal="general" vertical="bottom" textRotation="0" wrapText="true" indent="0" shrinkToFit="false"/>
      <protection locked="true" hidden="false"/>
    </xf>
    <xf numFmtId="164" fontId="11" fillId="3" borderId="8" xfId="27" applyFont="true" applyBorder="true" applyAlignment="true" applyProtection="false">
      <alignment horizontal="center" vertical="center" textRotation="0" wrapText="true" indent="0" shrinkToFit="false"/>
      <protection locked="true" hidden="false"/>
    </xf>
    <xf numFmtId="164" fontId="11" fillId="3" borderId="8" xfId="0" applyFont="true" applyBorder="true" applyAlignment="true" applyProtection="false">
      <alignment horizontal="general" vertical="center" textRotation="0" wrapText="true" indent="0" shrinkToFit="false"/>
      <protection locked="true" hidden="false"/>
    </xf>
    <xf numFmtId="165" fontId="11" fillId="0" borderId="8" xfId="0" applyFont="true" applyBorder="true" applyAlignment="true" applyProtection="false">
      <alignment horizontal="left" vertical="center" textRotation="0" wrapText="true" indent="0" shrinkToFit="false"/>
      <protection locked="true" hidden="false"/>
    </xf>
    <xf numFmtId="165" fontId="11" fillId="0" borderId="8" xfId="0" applyFont="true" applyBorder="true" applyAlignment="true" applyProtection="false">
      <alignment horizontal="center" vertical="center" textRotation="0" wrapText="true" indent="0" shrinkToFit="false"/>
      <protection locked="true" hidden="false"/>
    </xf>
    <xf numFmtId="167" fontId="11" fillId="2" borderId="8"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true">
      <alignment horizontal="center" vertical="center" textRotation="0" wrapText="true" indent="0" shrinkToFit="false"/>
      <protection locked="true" hidden="false"/>
    </xf>
    <xf numFmtId="164" fontId="11" fillId="0" borderId="8" xfId="0" applyFont="true" applyBorder="true" applyAlignment="true" applyProtection="false">
      <alignment horizontal="left"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5" fontId="11" fillId="2" borderId="8" xfId="0" applyFont="true" applyBorder="true" applyAlignment="true" applyProtection="false">
      <alignment horizontal="left" vertical="center" textRotation="0" wrapText="false" indent="0" shrinkToFit="false"/>
      <protection locked="true" hidden="false"/>
    </xf>
    <xf numFmtId="165" fontId="11" fillId="0" borderId="8" xfId="0" applyFont="true" applyBorder="true" applyAlignment="true" applyProtection="false">
      <alignment horizontal="left" vertical="center" textRotation="0" wrapText="false" indent="0" shrinkToFit="false"/>
      <protection locked="true" hidden="false"/>
    </xf>
    <xf numFmtId="167" fontId="11" fillId="0" borderId="8" xfId="0" applyFont="true" applyBorder="true" applyAlignment="true" applyProtection="false">
      <alignment horizontal="center" vertical="center" textRotation="0" wrapText="false" indent="0" shrinkToFit="false"/>
      <protection locked="true" hidden="false"/>
    </xf>
    <xf numFmtId="165" fontId="11" fillId="0" borderId="8" xfId="0" applyFont="true" applyBorder="true" applyAlignment="true" applyProtection="false">
      <alignment horizontal="left" vertical="center" textRotation="0" wrapText="false" indent="0" shrinkToFit="false"/>
      <protection locked="true" hidden="false"/>
    </xf>
    <xf numFmtId="169" fontId="11" fillId="3" borderId="8" xfId="0" applyFont="true" applyBorder="true" applyAlignment="true" applyProtection="false">
      <alignment horizontal="left" vertical="center" textRotation="0" wrapText="false" indent="0" shrinkToFit="false"/>
      <protection locked="true" hidden="false"/>
    </xf>
    <xf numFmtId="164" fontId="17" fillId="0" borderId="8" xfId="0" applyFont="true" applyBorder="true" applyAlignment="true" applyProtection="false">
      <alignment horizontal="left" vertical="center" textRotation="0" wrapText="true" indent="0" shrinkToFit="false"/>
      <protection locked="true" hidden="false"/>
    </xf>
    <xf numFmtId="167" fontId="11" fillId="3" borderId="8" xfId="0" applyFont="true" applyBorder="true" applyAlignment="true" applyProtection="false">
      <alignment horizontal="center" vertical="bottom" textRotation="0" wrapText="false" indent="0" shrinkToFit="false"/>
      <protection locked="true" hidden="false"/>
    </xf>
    <xf numFmtId="165" fontId="18" fillId="3" borderId="8" xfId="0" applyFont="true" applyBorder="true" applyAlignment="true" applyProtection="true">
      <alignment horizontal="left" vertical="center" textRotation="0" wrapText="false" indent="0" shrinkToFit="false"/>
      <protection locked="true" hidden="false"/>
    </xf>
    <xf numFmtId="164" fontId="18" fillId="0" borderId="8" xfId="0" applyFont="true" applyBorder="true" applyAlignment="true" applyProtection="false">
      <alignment horizontal="left"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5" fontId="18" fillId="6" borderId="8" xfId="0" applyFont="true" applyBorder="true" applyAlignment="true" applyProtection="true">
      <alignment horizontal="left" vertical="center" textRotation="0" wrapText="false" indent="0" shrinkToFit="false"/>
      <protection locked="true" hidden="false"/>
    </xf>
    <xf numFmtId="164" fontId="16" fillId="6" borderId="8" xfId="27" applyFont="true" applyBorder="true" applyAlignment="true" applyProtection="false">
      <alignment horizontal="center" vertical="center" textRotation="0" wrapText="true" indent="0" shrinkToFit="false"/>
      <protection locked="true" hidden="false"/>
    </xf>
    <xf numFmtId="164" fontId="16" fillId="6" borderId="8" xfId="0" applyFont="true" applyBorder="true" applyAlignment="true" applyProtection="false">
      <alignment horizontal="general" vertical="center" textRotation="0" wrapText="true" indent="0" shrinkToFit="false"/>
      <protection locked="true" hidden="false"/>
    </xf>
    <xf numFmtId="164" fontId="16" fillId="6" borderId="8" xfId="21" applyFont="true" applyBorder="true" applyAlignment="true" applyProtection="false">
      <alignment horizontal="center" vertical="center" textRotation="0" wrapText="true" indent="0" shrinkToFit="false"/>
      <protection locked="true" hidden="false"/>
    </xf>
    <xf numFmtId="168" fontId="16" fillId="6" borderId="8" xfId="0" applyFont="true" applyBorder="true" applyAlignment="true" applyProtection="true">
      <alignment horizontal="center" vertical="center" textRotation="0" wrapText="true" indent="0" shrinkToFit="false"/>
      <protection locked="true" hidden="false"/>
    </xf>
    <xf numFmtId="168" fontId="16" fillId="6" borderId="8" xfId="0" applyFont="true" applyBorder="true" applyAlignment="true" applyProtection="false">
      <alignment horizontal="center" vertical="center" textRotation="0" wrapText="true" indent="0" shrinkToFit="false"/>
      <protection locked="true" hidden="false"/>
    </xf>
    <xf numFmtId="164" fontId="16" fillId="6" borderId="10" xfId="0" applyFont="true" applyBorder="true" applyAlignment="true" applyProtection="true">
      <alignment horizontal="center" vertical="center" textRotation="0" wrapText="true" indent="0" shrinkToFit="false"/>
      <protection locked="true" hidden="false"/>
    </xf>
    <xf numFmtId="165" fontId="16" fillId="6" borderId="8" xfId="0" applyFont="true" applyBorder="true" applyAlignment="true" applyProtection="true">
      <alignment horizontal="center" vertical="center" textRotation="0" wrapText="true" indent="0" shrinkToFit="false"/>
      <protection locked="true" hidden="false"/>
    </xf>
    <xf numFmtId="164" fontId="16" fillId="6" borderId="8" xfId="0" applyFont="true" applyBorder="true" applyAlignment="true" applyProtection="false">
      <alignment horizontal="general" vertical="bottom" textRotation="0" wrapText="true" indent="0" shrinkToFit="false"/>
      <protection locked="true" hidden="false"/>
    </xf>
    <xf numFmtId="164" fontId="11" fillId="7" borderId="8" xfId="0" applyFont="true" applyBorder="true" applyAlignment="false" applyProtection="false">
      <alignment horizontal="general" vertical="bottom" textRotation="0" wrapText="false" indent="0" shrinkToFit="false"/>
      <protection locked="true" hidden="false"/>
    </xf>
    <xf numFmtId="167" fontId="11" fillId="3" borderId="8" xfId="0" applyFont="true" applyBorder="true" applyAlignment="true" applyProtection="false">
      <alignment horizontal="left" vertical="center" textRotation="0" wrapText="false" indent="0" shrinkToFit="false"/>
      <protection locked="true" hidden="false"/>
    </xf>
    <xf numFmtId="165" fontId="11" fillId="0" borderId="8" xfId="0" applyFont="true" applyBorder="true" applyAlignment="true" applyProtection="false">
      <alignment horizontal="left" vertical="bottom" textRotation="0" wrapText="false" indent="0" shrinkToFit="false"/>
      <protection locked="true" hidden="false"/>
    </xf>
    <xf numFmtId="167" fontId="11" fillId="3" borderId="8" xfId="0" applyFont="true" applyBorder="true" applyAlignment="true" applyProtection="false">
      <alignment horizontal="left" vertical="bottom" textRotation="0" wrapText="false" indent="0" shrinkToFit="false"/>
      <protection locked="true" hidden="false"/>
    </xf>
    <xf numFmtId="164" fontId="11" fillId="3" borderId="8" xfId="0" applyFont="true" applyBorder="true" applyAlignment="true" applyProtection="false">
      <alignment horizontal="left" vertical="bottom" textRotation="0" wrapText="false" indent="0" shrinkToFit="false"/>
      <protection locked="true" hidden="false"/>
    </xf>
    <xf numFmtId="164" fontId="11" fillId="0" borderId="8" xfId="0" applyFont="true" applyBorder="true" applyAlignment="true" applyProtection="false">
      <alignment horizontal="left" vertical="bottom" textRotation="0" wrapText="false" indent="0" shrinkToFit="false"/>
      <protection locked="true" hidden="false"/>
    </xf>
    <xf numFmtId="167" fontId="17" fillId="0" borderId="8"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center" vertical="center" textRotation="0" wrapText="false" indent="0" shrinkToFit="false"/>
      <protection locked="true" hidden="false"/>
    </xf>
    <xf numFmtId="165" fontId="17" fillId="3" borderId="8" xfId="0" applyFont="true" applyBorder="true" applyAlignment="true" applyProtection="false">
      <alignment horizontal="left" vertical="center" textRotation="0" wrapText="false" indent="0" shrinkToFit="false"/>
      <protection locked="true" hidden="false"/>
    </xf>
    <xf numFmtId="165" fontId="16" fillId="0" borderId="8"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11" fillId="3" borderId="8" xfId="0" applyFont="true" applyBorder="true" applyAlignment="true" applyProtection="true">
      <alignment horizontal="left" vertical="center" textRotation="0" wrapText="false" indent="0" shrinkToFit="false"/>
      <protection locked="true" hidden="false"/>
    </xf>
    <xf numFmtId="164" fontId="16" fillId="3" borderId="8" xfId="0" applyFont="true" applyBorder="true" applyAlignment="true" applyProtection="false">
      <alignment horizontal="general" vertical="bottom" textRotation="0" wrapText="true" indent="0" shrinkToFit="false"/>
      <protection locked="true" hidden="false"/>
    </xf>
    <xf numFmtId="165" fontId="18" fillId="3" borderId="8" xfId="0" applyFont="true" applyBorder="true" applyAlignment="true" applyProtection="false">
      <alignment horizontal="left" vertical="center" textRotation="0" wrapText="false" indent="0" shrinkToFit="false"/>
      <protection locked="true" hidden="false"/>
    </xf>
    <xf numFmtId="165" fontId="11" fillId="7" borderId="8" xfId="0" applyFont="true" applyBorder="true" applyAlignment="true" applyProtection="true">
      <alignment horizontal="center" vertical="center" textRotation="0" wrapText="false" indent="0" shrinkToFit="false"/>
      <protection locked="true" hidden="false"/>
    </xf>
    <xf numFmtId="167" fontId="17" fillId="3" borderId="8" xfId="0" applyFont="true" applyBorder="true" applyAlignment="true" applyProtection="false">
      <alignment horizontal="left" vertical="center" textRotation="0" wrapText="false" indent="0" shrinkToFit="false"/>
      <protection locked="true" hidden="false"/>
    </xf>
    <xf numFmtId="167" fontId="11" fillId="0" borderId="8" xfId="0" applyFont="true" applyBorder="true" applyAlignment="true" applyProtection="false">
      <alignment horizontal="center" vertical="bottom" textRotation="0" wrapText="false" indent="0" shrinkToFit="false"/>
      <protection locked="true" hidden="false"/>
    </xf>
    <xf numFmtId="164" fontId="11" fillId="8" borderId="8" xfId="0" applyFont="true" applyBorder="true" applyAlignment="true" applyProtection="false">
      <alignment horizontal="general" vertical="bottom"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9"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11" fillId="8" borderId="8" xfId="0" applyFont="true" applyBorder="true" applyAlignment="true" applyProtection="false">
      <alignment horizontal="left" vertical="center" textRotation="0" wrapText="true" indent="0" shrinkToFit="false"/>
      <protection locked="true" hidden="false"/>
    </xf>
    <xf numFmtId="164" fontId="11" fillId="8" borderId="8" xfId="0" applyFont="true" applyBorder="true" applyAlignment="true" applyProtection="true">
      <alignment horizontal="left" vertical="center" textRotation="0" wrapText="true" indent="0" shrinkToFit="false"/>
      <protection locked="true" hidden="false"/>
    </xf>
    <xf numFmtId="164" fontId="11" fillId="9" borderId="8" xfId="0" applyFont="true" applyBorder="true" applyAlignment="true" applyProtection="true">
      <alignment horizontal="left" vertical="center" textRotation="0" wrapText="true" indent="0" shrinkToFit="false"/>
      <protection locked="true" hidden="false"/>
    </xf>
    <xf numFmtId="164" fontId="11" fillId="2" borderId="8" xfId="0" applyFont="true" applyBorder="true" applyAlignment="true" applyProtection="true">
      <alignment horizontal="left" vertical="center" textRotation="0" wrapText="true" indent="0" shrinkToFit="false"/>
      <protection locked="true" hidden="false"/>
    </xf>
    <xf numFmtId="164" fontId="11" fillId="0" borderId="8" xfId="0" applyFont="true" applyBorder="true" applyAlignment="true" applyProtection="true">
      <alignment horizontal="left" vertical="center" textRotation="0" wrapText="true" indent="0" shrinkToFit="false"/>
      <protection locked="true" hidden="false"/>
    </xf>
    <xf numFmtId="164" fontId="11" fillId="8" borderId="8" xfId="0" applyFont="true" applyBorder="true" applyAlignment="true" applyProtection="true">
      <alignment horizontal="left" vertical="center" textRotation="0" wrapText="false" indent="0" shrinkToFit="false"/>
      <protection locked="true" hidden="false"/>
    </xf>
    <xf numFmtId="164" fontId="11" fillId="9" borderId="8" xfId="0" applyFont="true" applyBorder="true" applyAlignment="true" applyProtection="true">
      <alignment horizontal="left" vertical="center" textRotation="0" wrapText="false" indent="0" shrinkToFit="false"/>
      <protection locked="true" hidden="false"/>
    </xf>
    <xf numFmtId="164" fontId="11" fillId="2" borderId="8" xfId="0" applyFont="true" applyBorder="true" applyAlignment="true" applyProtection="true">
      <alignment horizontal="left" vertical="center" textRotation="0" wrapText="false" indent="0" shrinkToFit="false"/>
      <protection locked="true" hidden="false"/>
    </xf>
    <xf numFmtId="164" fontId="11" fillId="0" borderId="8" xfId="0" applyFont="true" applyBorder="true" applyAlignment="true" applyProtection="true">
      <alignment horizontal="left" vertical="center" textRotation="0" wrapText="false" indent="0" shrinkToFit="false"/>
      <protection locked="true" hidden="false"/>
    </xf>
    <xf numFmtId="164" fontId="11" fillId="6" borderId="8" xfId="0" applyFont="true" applyBorder="tru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true">
      <alignment horizontal="left" vertical="center" textRotation="0" wrapText="false" indent="0" shrinkToFit="false"/>
      <protection locked="true" hidden="false"/>
    </xf>
    <xf numFmtId="164" fontId="0" fillId="6" borderId="8" xfId="0" applyFont="true" applyBorder="true" applyAlignment="true" applyProtection="true">
      <alignment horizontal="general" vertical="bottom" textRotation="0" wrapText="false" indent="0" shrinkToFit="false"/>
      <protection locked="true" hidden="false"/>
    </xf>
    <xf numFmtId="164" fontId="11" fillId="4" borderId="8" xfId="0" applyFont="true" applyBorder="true" applyAlignment="true" applyProtection="false">
      <alignment horizontal="general" vertical="center" textRotation="0" wrapText="false" indent="0" shrinkToFit="false"/>
      <protection locked="true" hidden="false"/>
    </xf>
    <xf numFmtId="164" fontId="11" fillId="0" borderId="8" xfId="0" applyFont="true" applyBorder="true" applyAlignment="true" applyProtection="false">
      <alignment horizontal="general" vertical="center" textRotation="0" wrapText="false" indent="0" shrinkToFit="false"/>
      <protection locked="true" hidden="false"/>
    </xf>
    <xf numFmtId="164" fontId="11" fillId="3" borderId="8" xfId="0" applyFont="true" applyBorder="true" applyAlignment="true" applyProtection="false">
      <alignment horizontal="general" vertical="center" textRotation="0" wrapText="false" indent="0" shrinkToFit="false"/>
      <protection locked="true" hidden="false"/>
    </xf>
    <xf numFmtId="164" fontId="11" fillId="4" borderId="8" xfId="0" applyFont="true" applyBorder="true" applyAlignment="true" applyProtection="false">
      <alignment horizontal="general" vertical="center" textRotation="0" wrapText="true" indent="0" shrinkToFit="false"/>
      <protection locked="true" hidden="false"/>
    </xf>
    <xf numFmtId="164" fontId="11" fillId="4" borderId="8" xfId="27" applyFont="true" applyBorder="true" applyAlignment="true" applyProtection="false">
      <alignment horizontal="general" vertical="center" textRotation="0" wrapText="true" indent="0" shrinkToFit="false"/>
      <protection locked="true" hidden="false"/>
    </xf>
    <xf numFmtId="164" fontId="11" fillId="0" borderId="8" xfId="27" applyFont="true" applyBorder="true" applyAlignment="true" applyProtection="false">
      <alignment horizontal="general" vertical="center" textRotation="0" wrapText="true" indent="0" shrinkToFit="false"/>
      <protection locked="true" hidden="false"/>
    </xf>
    <xf numFmtId="164" fontId="11" fillId="3" borderId="8" xfId="27" applyFont="true" applyBorder="true" applyAlignment="true" applyProtection="false">
      <alignment horizontal="general" vertical="center" textRotation="0" wrapText="true" indent="0" shrinkToFit="false"/>
      <protection locked="true" hidden="false"/>
    </xf>
    <xf numFmtId="164" fontId="11" fillId="3" borderId="8"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general" vertical="center" textRotation="0" wrapText="false" indent="0" shrinkToFit="false"/>
      <protection locked="true" hidden="false"/>
    </xf>
    <xf numFmtId="165" fontId="11" fillId="4" borderId="8" xfId="0" applyFont="true" applyBorder="true" applyAlignment="true" applyProtection="false">
      <alignment horizontal="left" vertical="center" textRotation="0" wrapText="false" indent="0" shrinkToFit="false"/>
      <protection locked="true" hidden="false"/>
    </xf>
    <xf numFmtId="164" fontId="11" fillId="4" borderId="8" xfId="0" applyFont="true" applyBorder="true" applyAlignment="true" applyProtection="false">
      <alignment horizontal="left" vertical="center" textRotation="0" wrapText="false" indent="0" shrinkToFit="false"/>
      <protection locked="true" hidden="false"/>
    </xf>
    <xf numFmtId="164" fontId="11" fillId="4" borderId="8" xfId="0" applyFont="true" applyBorder="true" applyAlignment="true" applyProtection="false">
      <alignment horizontal="center" vertical="center" textRotation="0" wrapText="false" indent="0" shrinkToFit="false"/>
      <protection locked="true" hidden="false"/>
    </xf>
    <xf numFmtId="164" fontId="11" fillId="4" borderId="8" xfId="0" applyFont="true" applyBorder="true" applyAlignment="true" applyProtection="false">
      <alignment horizontal="center" vertical="center" textRotation="0" wrapText="false" indent="0" shrinkToFit="false"/>
      <protection locked="true" hidden="false"/>
    </xf>
    <xf numFmtId="164" fontId="11" fillId="10" borderId="8" xfId="0" applyFont="true" applyBorder="true" applyAlignment="true" applyProtection="false">
      <alignment horizontal="center" vertical="center" textRotation="0" wrapText="false" indent="0" shrinkToFit="false"/>
      <protection locked="true" hidden="false"/>
    </xf>
    <xf numFmtId="170" fontId="11" fillId="0" borderId="8" xfId="0" applyFont="true" applyBorder="true" applyAlignment="true" applyProtection="false">
      <alignment horizontal="left" vertical="center" textRotation="0" wrapText="false" indent="0" shrinkToFit="false"/>
      <protection locked="true" hidden="false"/>
    </xf>
    <xf numFmtId="170" fontId="11" fillId="5" borderId="8" xfId="0" applyFont="true" applyBorder="true" applyAlignment="true" applyProtection="false">
      <alignment horizontal="left" vertical="center" textRotation="0" wrapText="false" indent="0" shrinkToFit="false"/>
      <protection locked="true" hidden="false"/>
    </xf>
    <xf numFmtId="170" fontId="11" fillId="0" borderId="8" xfId="0" applyFont="true" applyBorder="true" applyAlignment="true" applyProtection="false">
      <alignment horizontal="left" vertical="center" textRotation="0" wrapText="false" indent="0" shrinkToFit="false"/>
      <protection locked="true" hidden="false"/>
    </xf>
    <xf numFmtId="170" fontId="11" fillId="4" borderId="8" xfId="0" applyFont="true" applyBorder="true" applyAlignment="true" applyProtection="false">
      <alignment horizontal="left" vertical="center" textRotation="0" wrapText="false" indent="0" shrinkToFit="false"/>
      <protection locked="true" hidden="false"/>
    </xf>
    <xf numFmtId="168" fontId="11" fillId="0" borderId="8" xfId="0" applyFont="true" applyBorder="true" applyAlignment="true" applyProtection="false">
      <alignment horizontal="left" vertical="center" textRotation="0" wrapText="false" indent="0" shrinkToFit="false"/>
      <protection locked="true" hidden="false"/>
    </xf>
    <xf numFmtId="168" fontId="11" fillId="5" borderId="8" xfId="0" applyFont="true" applyBorder="true" applyAlignment="true" applyProtection="false">
      <alignment horizontal="left" vertical="center" textRotation="0" wrapText="false" indent="0" shrinkToFit="false"/>
      <protection locked="true" hidden="false"/>
    </xf>
    <xf numFmtId="164" fontId="11" fillId="5" borderId="8" xfId="0" applyFont="true" applyBorder="true" applyAlignment="true" applyProtection="false">
      <alignment horizontal="left" vertical="center" textRotation="0" wrapText="false" indent="0" shrinkToFit="false"/>
      <protection locked="true" hidden="false"/>
    </xf>
    <xf numFmtId="164" fontId="11" fillId="4" borderId="8" xfId="0" applyFont="true" applyBorder="true" applyAlignment="true" applyProtection="false">
      <alignment horizontal="left" vertical="center" textRotation="0" wrapText="false" indent="0" shrinkToFit="false"/>
      <protection locked="true" hidden="false"/>
    </xf>
    <xf numFmtId="169" fontId="11" fillId="5" borderId="8" xfId="0" applyFont="true" applyBorder="true" applyAlignment="true" applyProtection="false">
      <alignment horizontal="left" vertical="center" textRotation="0" wrapText="false" indent="0" shrinkToFit="false"/>
      <protection locked="true" hidden="false"/>
    </xf>
    <xf numFmtId="169" fontId="11" fillId="4" borderId="8" xfId="0" applyFont="true" applyBorder="true" applyAlignment="true" applyProtection="false">
      <alignment horizontal="left" vertical="center" textRotation="0" wrapText="false" indent="0" shrinkToFit="false"/>
      <protection locked="true" hidden="false"/>
    </xf>
    <xf numFmtId="167" fontId="11" fillId="5" borderId="8" xfId="0" applyFont="true" applyBorder="true" applyAlignment="true" applyProtection="false">
      <alignment horizontal="left" vertical="center" textRotation="0" wrapText="false" indent="0" shrinkToFit="false"/>
      <protection locked="true" hidden="false"/>
    </xf>
    <xf numFmtId="169" fontId="11" fillId="3" borderId="8" xfId="0" applyFont="true" applyBorder="true" applyAlignment="true" applyProtection="false">
      <alignment horizontal="center" vertical="center" textRotation="0" wrapText="false" indent="0" shrinkToFit="false"/>
      <protection locked="true" hidden="false"/>
    </xf>
    <xf numFmtId="165" fontId="11" fillId="4" borderId="8" xfId="0" applyFont="true" applyBorder="true" applyAlignment="true" applyProtection="false">
      <alignment horizontal="left" vertical="center" textRotation="0" wrapText="true" indent="0" shrinkToFit="false"/>
      <protection locked="true" hidden="false"/>
    </xf>
    <xf numFmtId="164" fontId="11" fillId="4" borderId="8" xfId="0" applyFont="true" applyBorder="true" applyAlignment="true" applyProtection="false">
      <alignment horizontal="left" vertical="center" textRotation="0" wrapText="true" indent="0" shrinkToFit="false"/>
      <protection locked="true" hidden="false"/>
    </xf>
    <xf numFmtId="164" fontId="11" fillId="4" borderId="8" xfId="0" applyFont="true" applyBorder="true" applyAlignment="true" applyProtection="false">
      <alignment horizontal="center" vertical="center" textRotation="0" wrapText="true" indent="0" shrinkToFit="false"/>
      <protection locked="true" hidden="false"/>
    </xf>
    <xf numFmtId="164" fontId="11" fillId="4" borderId="8" xfId="0" applyFont="true" applyBorder="true" applyAlignment="true" applyProtection="false">
      <alignment horizontal="center" vertical="center" textRotation="0" wrapText="true" indent="0" shrinkToFit="false"/>
      <protection locked="true" hidden="false"/>
    </xf>
    <xf numFmtId="164" fontId="11" fillId="10" borderId="8" xfId="0" applyFont="true" applyBorder="true" applyAlignment="true" applyProtection="false">
      <alignment horizontal="center" vertical="center" textRotation="0" wrapText="true" indent="0" shrinkToFit="false"/>
      <protection locked="true" hidden="false"/>
    </xf>
    <xf numFmtId="170" fontId="11" fillId="0" borderId="8" xfId="0" applyFont="true" applyBorder="true" applyAlignment="true" applyProtection="false">
      <alignment horizontal="left" vertical="center" textRotation="0" wrapText="true" indent="0" shrinkToFit="false"/>
      <protection locked="true" hidden="false"/>
    </xf>
    <xf numFmtId="170" fontId="11" fillId="5" borderId="8" xfId="26" applyFont="true" applyBorder="true" applyAlignment="true" applyProtection="false">
      <alignment horizontal="left" vertical="center" textRotation="0" wrapText="true" indent="0" shrinkToFit="false"/>
      <protection locked="true" hidden="false"/>
    </xf>
    <xf numFmtId="170" fontId="11" fillId="0" borderId="8" xfId="26" applyFont="true" applyBorder="true" applyAlignment="true" applyProtection="false">
      <alignment horizontal="left" vertical="center" textRotation="0" wrapText="true" indent="0" shrinkToFit="false"/>
      <protection locked="true" hidden="false"/>
    </xf>
    <xf numFmtId="170" fontId="11" fillId="0" borderId="8" xfId="26" applyFont="true" applyBorder="true" applyAlignment="true" applyProtection="false">
      <alignment horizontal="center" vertical="center" textRotation="0" wrapText="true" indent="0" shrinkToFit="false"/>
      <protection locked="true" hidden="false"/>
    </xf>
    <xf numFmtId="165" fontId="11" fillId="4" borderId="8" xfId="27" applyFont="true" applyBorder="true" applyAlignment="true" applyProtection="false">
      <alignment horizontal="left" vertical="center" textRotation="0" wrapText="true" indent="0" shrinkToFit="false"/>
      <protection locked="true" hidden="false"/>
    </xf>
    <xf numFmtId="165" fontId="11" fillId="0" borderId="8" xfId="27" applyFont="true" applyBorder="true" applyAlignment="true" applyProtection="false">
      <alignment horizontal="left" vertical="center" textRotation="0" wrapText="true" indent="0" shrinkToFit="false"/>
      <protection locked="true" hidden="false"/>
    </xf>
    <xf numFmtId="165" fontId="11" fillId="0" borderId="8" xfId="0" applyFont="true" applyBorder="true" applyAlignment="true" applyProtection="true">
      <alignment horizontal="left" vertical="center" textRotation="0" wrapText="true" indent="0" shrinkToFit="false"/>
      <protection locked="true" hidden="false"/>
    </xf>
    <xf numFmtId="170" fontId="11" fillId="4" borderId="8" xfId="0" applyFont="true" applyBorder="true" applyAlignment="true" applyProtection="false">
      <alignment horizontal="left" vertical="center" textRotation="0" wrapText="true" indent="0" shrinkToFit="false"/>
      <protection locked="true" hidden="false"/>
    </xf>
    <xf numFmtId="168" fontId="11" fillId="0" borderId="8" xfId="0" applyFont="true" applyBorder="true" applyAlignment="true" applyProtection="false">
      <alignment horizontal="left" vertical="center" textRotation="0" wrapText="true" indent="0" shrinkToFit="false"/>
      <protection locked="true" hidden="false"/>
    </xf>
    <xf numFmtId="164" fontId="11" fillId="5" borderId="8" xfId="26" applyFont="true" applyBorder="true" applyAlignment="true" applyProtection="false">
      <alignment horizontal="left" vertical="center" textRotation="0" wrapText="true" indent="0" shrinkToFit="false"/>
      <protection locked="true" hidden="false"/>
    </xf>
    <xf numFmtId="164" fontId="11" fillId="5" borderId="8" xfId="0" applyFont="true" applyBorder="true" applyAlignment="true" applyProtection="false">
      <alignment horizontal="left" vertical="center" textRotation="0" wrapText="true" indent="0" shrinkToFit="false"/>
      <protection locked="true" hidden="false"/>
    </xf>
    <xf numFmtId="168" fontId="11" fillId="4" borderId="8" xfId="0" applyFont="true" applyBorder="true" applyAlignment="true" applyProtection="false">
      <alignment horizontal="left" vertical="center" textRotation="0" wrapText="true" indent="0" shrinkToFit="false"/>
      <protection locked="true" hidden="false"/>
    </xf>
    <xf numFmtId="168" fontId="11" fillId="5" borderId="8" xfId="0" applyFont="true" applyBorder="true" applyAlignment="true" applyProtection="false">
      <alignment horizontal="left" vertical="center" textRotation="0" wrapText="true" indent="0" shrinkToFit="false"/>
      <protection locked="true" hidden="false"/>
    </xf>
    <xf numFmtId="164" fontId="11" fillId="4" borderId="8" xfId="0" applyFont="true" applyBorder="true" applyAlignment="true" applyProtection="true">
      <alignment horizontal="left" vertical="center" textRotation="0" wrapText="true" indent="0" shrinkToFit="false"/>
      <protection locked="true" hidden="false"/>
    </xf>
    <xf numFmtId="169" fontId="11" fillId="5" borderId="8" xfId="0" applyFont="true" applyBorder="true" applyAlignment="true" applyProtection="false">
      <alignment horizontal="left" vertical="center" textRotation="0" wrapText="true" indent="0" shrinkToFit="false"/>
      <protection locked="true" hidden="false"/>
    </xf>
    <xf numFmtId="164" fontId="11" fillId="4" borderId="8" xfId="27" applyFont="true" applyBorder="true" applyAlignment="true" applyProtection="false">
      <alignment horizontal="left" vertical="center" textRotation="0" wrapText="true" indent="0" shrinkToFit="false"/>
      <protection locked="true" hidden="false"/>
    </xf>
    <xf numFmtId="167" fontId="11" fillId="5" borderId="8" xfId="27" applyFont="true" applyBorder="true" applyAlignment="true" applyProtection="false">
      <alignment horizontal="left" vertical="center" textRotation="0" wrapText="true" indent="0" shrinkToFit="false"/>
      <protection locked="true" hidden="false"/>
    </xf>
    <xf numFmtId="164" fontId="11" fillId="3" borderId="8" xfId="21" applyFont="true" applyBorder="true" applyAlignment="true" applyProtection="false">
      <alignment horizontal="center" vertical="center" textRotation="0" wrapText="true" indent="0" shrinkToFit="false"/>
      <protection locked="true" hidden="false"/>
    </xf>
    <xf numFmtId="164" fontId="11" fillId="0" borderId="8" xfId="27" applyFont="true" applyBorder="true" applyAlignment="true" applyProtection="false">
      <alignment horizontal="left" vertical="center" textRotation="0" wrapText="true" indent="0" shrinkToFit="false"/>
      <protection locked="true" hidden="false"/>
    </xf>
    <xf numFmtId="165" fontId="11" fillId="0" borderId="8" xfId="27" applyFont="true" applyBorder="true" applyAlignment="true" applyProtection="false">
      <alignment horizontal="center" vertical="center" textRotation="0" wrapText="true" indent="0" shrinkToFit="false"/>
      <protection locked="true" hidden="false"/>
    </xf>
    <xf numFmtId="164" fontId="11" fillId="5" borderId="8" xfId="27" applyFont="true" applyBorder="true" applyAlignment="true" applyProtection="false">
      <alignment horizontal="left" vertical="center" textRotation="0" wrapText="true" indent="0" shrinkToFit="false"/>
      <protection locked="true" hidden="false"/>
    </xf>
    <xf numFmtId="164" fontId="11" fillId="0" borderId="8" xfId="29" applyFont="true" applyBorder="true" applyAlignment="true" applyProtection="true">
      <alignment horizontal="left" vertical="center" textRotation="0" wrapText="true" indent="0" shrinkToFit="false"/>
      <protection locked="true" hidden="false"/>
    </xf>
    <xf numFmtId="164" fontId="11" fillId="4" borderId="8" xfId="0" applyFont="true" applyBorder="true" applyAlignment="true" applyProtection="false">
      <alignment horizontal="left" vertical="center" textRotation="0" wrapText="true" indent="0" shrinkToFit="false"/>
      <protection locked="true" hidden="false"/>
    </xf>
    <xf numFmtId="165" fontId="11" fillId="0" borderId="8" xfId="31" applyFont="true" applyBorder="true" applyAlignment="true" applyProtection="false">
      <alignment horizontal="left" vertical="center" textRotation="0" wrapText="true" indent="0" shrinkToFit="false"/>
      <protection locked="true" hidden="false"/>
    </xf>
    <xf numFmtId="165" fontId="11" fillId="4" borderId="8" xfId="0" applyFont="true" applyBorder="true" applyAlignment="true" applyProtection="false">
      <alignment horizontal="center" vertical="center" textRotation="0" wrapText="false" indent="0" shrinkToFit="false"/>
      <protection locked="true" hidden="false"/>
    </xf>
    <xf numFmtId="164" fontId="11" fillId="10" borderId="11" xfId="0" applyFont="true" applyBorder="true" applyAlignment="true" applyProtection="false">
      <alignment horizontal="center" vertical="center" textRotation="0" wrapText="false" indent="0" shrinkToFit="false"/>
      <protection locked="true" hidden="false"/>
    </xf>
    <xf numFmtId="170"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left" vertical="center" textRotation="0" wrapText="false" indent="0" shrinkToFit="false"/>
      <protection locked="true" hidden="false"/>
    </xf>
    <xf numFmtId="164" fontId="11" fillId="0" borderId="8" xfId="0" applyFont="true" applyBorder="true" applyAlignment="true" applyProtection="false">
      <alignment horizontal="left" vertical="center" textRotation="0" wrapText="false" indent="0" shrinkToFit="false"/>
      <protection locked="true" hidden="false"/>
    </xf>
    <xf numFmtId="164" fontId="11" fillId="3" borderId="8" xfId="0" applyFont="true" applyBorder="true" applyAlignment="true" applyProtection="true">
      <alignment horizontal="center" vertical="center" textRotation="0" wrapText="false" indent="0" shrinkToFit="false"/>
      <protection locked="true" hidden="false"/>
    </xf>
    <xf numFmtId="165" fontId="11" fillId="0" borderId="8"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left" vertical="center" textRotation="0" wrapText="false" indent="0" shrinkToFit="false"/>
      <protection locked="true" hidden="false"/>
    </xf>
    <xf numFmtId="170" fontId="11" fillId="6" borderId="8" xfId="0" applyFont="true" applyBorder="true" applyAlignment="true" applyProtection="false">
      <alignment horizontal="left" vertical="center" textRotation="0" wrapText="false" indent="0" shrinkToFit="false"/>
      <protection locked="true" hidden="false"/>
    </xf>
    <xf numFmtId="165" fontId="11" fillId="6" borderId="8" xfId="0" applyFont="true" applyBorder="true" applyAlignment="true" applyProtection="false">
      <alignment horizontal="left" vertical="center" textRotation="0" wrapText="false" indent="0" shrinkToFit="false"/>
      <protection locked="true" hidden="false"/>
    </xf>
    <xf numFmtId="168" fontId="11" fillId="6" borderId="8" xfId="0" applyFont="true" applyBorder="true" applyAlignment="true" applyProtection="false">
      <alignment horizontal="left" vertical="center" textRotation="0" wrapText="false" indent="0" shrinkToFit="false"/>
      <protection locked="true" hidden="false"/>
    </xf>
    <xf numFmtId="164" fontId="11" fillId="6" borderId="8" xfId="0" applyFont="true" applyBorder="true" applyAlignment="true" applyProtection="false">
      <alignment horizontal="left" vertical="center" textRotation="0" wrapText="false" indent="0" shrinkToFit="false"/>
      <protection locked="true" hidden="false"/>
    </xf>
    <xf numFmtId="167" fontId="11" fillId="6" borderId="8" xfId="0" applyFont="true" applyBorder="true" applyAlignment="true" applyProtection="false">
      <alignment horizontal="left" vertical="center" textRotation="0" wrapText="false" indent="0" shrinkToFit="false"/>
      <protection locked="true" hidden="false"/>
    </xf>
    <xf numFmtId="169" fontId="11" fillId="6" borderId="8" xfId="0" applyFont="true" applyBorder="true" applyAlignment="true" applyProtection="false">
      <alignment horizontal="left" vertical="center" textRotation="0" wrapText="false" indent="0" shrinkToFit="false"/>
      <protection locked="true" hidden="false"/>
    </xf>
    <xf numFmtId="167" fontId="11" fillId="6" borderId="8" xfId="0" applyFont="true" applyBorder="true" applyAlignment="true" applyProtection="false">
      <alignment horizontal="center" vertical="center" textRotation="0" wrapText="false" indent="0" shrinkToFit="false"/>
      <protection locked="true" hidden="false"/>
    </xf>
    <xf numFmtId="165" fontId="11" fillId="6" borderId="8" xfId="0" applyFont="true" applyBorder="true" applyAlignment="true" applyProtection="false">
      <alignment horizontal="center" vertical="center" textRotation="0" wrapText="false" indent="0" shrinkToFit="false"/>
      <protection locked="true" hidden="false"/>
    </xf>
    <xf numFmtId="167" fontId="11" fillId="0" borderId="8" xfId="0" applyFont="true" applyBorder="true" applyAlignment="true" applyProtection="false">
      <alignment horizontal="left" vertical="center" textRotation="0" wrapText="false" indent="0" shrinkToFit="false"/>
      <protection locked="true" hidden="false"/>
    </xf>
    <xf numFmtId="164" fontId="11" fillId="2" borderId="8" xfId="0" applyFont="true" applyBorder="true" applyAlignment="true" applyProtection="false">
      <alignment horizontal="left" vertical="center" textRotation="0" wrapText="false" indent="0" shrinkToFit="false"/>
      <protection locked="true" hidden="false"/>
    </xf>
    <xf numFmtId="171" fontId="11" fillId="6" borderId="8" xfId="0" applyFont="true" applyBorder="true" applyAlignment="true" applyProtection="false">
      <alignment horizontal="left" vertical="center" textRotation="0" wrapText="false" indent="0" shrinkToFit="false"/>
      <protection locked="true" hidden="false"/>
    </xf>
    <xf numFmtId="169" fontId="11" fillId="0" borderId="8" xfId="0" applyFont="true" applyBorder="true" applyAlignment="true" applyProtection="false">
      <alignment horizontal="left" vertical="center" textRotation="0" wrapText="false" indent="0" shrinkToFit="false"/>
      <protection locked="true" hidden="false"/>
    </xf>
    <xf numFmtId="164" fontId="11" fillId="8"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64" fontId="11" fillId="8" borderId="8" xfId="0" applyFont="true" applyBorder="true" applyAlignment="true" applyProtection="false">
      <alignment horizontal="center" vertical="center" textRotation="0" wrapText="true" indent="0" shrinkToFit="false"/>
      <protection locked="true" hidden="false"/>
    </xf>
    <xf numFmtId="164" fontId="11" fillId="2" borderId="8" xfId="0" applyFont="true" applyBorder="true" applyAlignment="true" applyProtection="false">
      <alignment horizontal="left" vertical="center" textRotation="0" wrapText="true" indent="0" shrinkToFit="false"/>
      <protection locked="true" hidden="false"/>
    </xf>
    <xf numFmtId="164" fontId="11" fillId="11" borderId="8" xfId="0" applyFont="true" applyBorder="true" applyAlignment="true" applyProtection="false">
      <alignment horizontal="center" vertical="center" textRotation="0" wrapText="true" indent="0" shrinkToFit="false"/>
      <protection locked="true" hidden="false"/>
    </xf>
    <xf numFmtId="164" fontId="11" fillId="11" borderId="8" xfId="27" applyFont="true" applyBorder="true" applyAlignment="true" applyProtection="false">
      <alignment horizontal="left" vertical="center" textRotation="0" wrapText="true" indent="0" shrinkToFit="false"/>
      <protection locked="true" hidden="false"/>
    </xf>
    <xf numFmtId="164" fontId="11" fillId="11" borderId="8" xfId="0" applyFont="true" applyBorder="true" applyAlignment="true" applyProtection="false">
      <alignment horizontal="general" vertical="center" textRotation="0" wrapText="false" indent="0" shrinkToFit="false"/>
      <protection locked="true" hidden="false"/>
    </xf>
    <xf numFmtId="164" fontId="11" fillId="12" borderId="8" xfId="0" applyFont="true" applyBorder="true" applyAlignment="true" applyProtection="false">
      <alignment horizontal="center" vertical="center" textRotation="0" wrapText="false" indent="0" shrinkToFit="false"/>
      <protection locked="true" hidden="false"/>
    </xf>
    <xf numFmtId="167" fontId="11" fillId="12" borderId="8" xfId="0" applyFont="true" applyBorder="true" applyAlignment="true" applyProtection="false">
      <alignment horizontal="left" vertical="center" textRotation="0" wrapText="true" indent="0" shrinkToFit="false"/>
      <protection locked="true" hidden="false"/>
    </xf>
    <xf numFmtId="164" fontId="11" fillId="5" borderId="8" xfId="0" applyFont="true" applyBorder="true" applyAlignment="true" applyProtection="false">
      <alignment horizontal="general" vertical="bottom" textRotation="0" wrapText="false" indent="0" shrinkToFit="false"/>
      <protection locked="true" hidden="false"/>
    </xf>
    <xf numFmtId="164" fontId="11" fillId="11" borderId="8" xfId="0" applyFont="true" applyBorder="true" applyAlignment="true" applyProtection="false">
      <alignment horizontal="center" vertical="bottom" textRotation="0" wrapText="false" indent="0" shrinkToFit="false"/>
      <protection locked="true" hidden="false"/>
    </xf>
    <xf numFmtId="167" fontId="11" fillId="11" borderId="8" xfId="0" applyFont="true" applyBorder="true" applyAlignment="true" applyProtection="false">
      <alignment horizontal="center" vertical="bottom" textRotation="0" wrapText="false" indent="0" shrinkToFit="false"/>
      <protection locked="true" hidden="false"/>
    </xf>
    <xf numFmtId="164" fontId="11" fillId="11" borderId="8" xfId="0" applyFont="true" applyBorder="true" applyAlignment="true" applyProtection="false">
      <alignment horizontal="general" vertical="bottom" textRotation="0" wrapText="false" indent="0" shrinkToFit="false"/>
      <protection locked="true" hidden="false"/>
    </xf>
    <xf numFmtId="165" fontId="11" fillId="12" borderId="8" xfId="0" applyFont="true" applyBorder="true" applyAlignment="true" applyProtection="false">
      <alignment horizontal="center" vertical="bottom" textRotation="0" wrapText="false" indent="0" shrinkToFit="false"/>
      <protection locked="true" hidden="false"/>
    </xf>
    <xf numFmtId="167" fontId="11" fillId="12" borderId="8" xfId="0" applyFont="true" applyBorder="tru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center" vertical="bottom" textRotation="0" wrapText="false" indent="0" shrinkToFit="false"/>
      <protection locked="true" hidden="false"/>
    </xf>
    <xf numFmtId="164" fontId="11" fillId="6" borderId="8" xfId="0" applyFont="true" applyBorder="true" applyAlignment="fals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center" vertical="bottom" textRotation="0" wrapText="false" indent="0" shrinkToFit="false"/>
      <protection locked="true" hidden="false"/>
    </xf>
    <xf numFmtId="167" fontId="11" fillId="6" borderId="8" xfId="0" applyFont="true" applyBorder="true" applyAlignment="true" applyProtection="false">
      <alignment horizontal="center" vertical="bottom" textRotation="0" wrapText="false" indent="0" shrinkToFit="false"/>
      <protection locked="true" hidden="false"/>
    </xf>
    <xf numFmtId="165" fontId="11" fillId="6" borderId="8" xfId="0" applyFont="true" applyBorder="true" applyAlignment="true" applyProtection="false">
      <alignment horizontal="center" vertical="bottom" textRotation="0" wrapText="false" indent="0" shrinkToFit="false"/>
      <protection locked="true" hidden="false"/>
    </xf>
    <xf numFmtId="167" fontId="11" fillId="6" borderId="8" xfId="0" applyFont="true" applyBorder="tru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general" vertical="bottom" textRotation="0" wrapText="false" indent="0" shrinkToFit="false"/>
      <protection locked="true" hidden="false"/>
    </xf>
    <xf numFmtId="164" fontId="11" fillId="6" borderId="8" xfId="0" applyFont="true" applyBorder="true" applyAlignment="false" applyProtection="false">
      <alignment horizontal="general" vertical="bottom" textRotation="0" wrapText="false" indent="0" shrinkToFit="false"/>
      <protection locked="true" hidden="false"/>
    </xf>
    <xf numFmtId="165" fontId="11" fillId="8" borderId="8" xfId="0" applyFont="true" applyBorder="tru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8" borderId="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6" fillId="0" borderId="0" xfId="28"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2 2" xfId="22" builtinId="53" customBuiltin="true"/>
    <cellStyle name="Normal 3" xfId="23" builtinId="53" customBuiltin="true"/>
    <cellStyle name="Normal 3 2" xfId="24" builtinId="53" customBuiltin="true"/>
    <cellStyle name="Normal 3 2 2" xfId="25" builtinId="53" customBuiltin="true"/>
    <cellStyle name="Normal 4" xfId="26" builtinId="53" customBuiltin="true"/>
    <cellStyle name="Normal 5" xfId="27" builtinId="53" customBuiltin="true"/>
    <cellStyle name="Normal 6" xfId="28" builtinId="53" customBuiltin="true"/>
    <cellStyle name="Normal 7" xfId="29" builtinId="53" customBuiltin="true"/>
    <cellStyle name="TableStyleLight1" xfId="30" builtinId="53" customBuiltin="true"/>
    <cellStyle name="TableStyleLight1 3" xfId="3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EBF1DE"/>
      <rgbColor rgb="FFE6E0EC"/>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FBE5D6"/>
      <rgbColor rgb="FFD7E4BD"/>
      <rgbColor rgb="FFFDEADA"/>
      <rgbColor rgb="FF99CCFF"/>
      <rgbColor rgb="FFFF99CC"/>
      <rgbColor rgb="FFCC99FF"/>
      <rgbColor rgb="FFF2DCDB"/>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alfresco.maxiv.lu.se/share/page/site/veritas/document-details?nodeRef=workspace://SpacesStore/084a3503-983a-4853-b86b-86f0f70c4258" TargetMode="External"/><Relationship Id="rId2" Type="http://schemas.openxmlformats.org/officeDocument/2006/relationships/hyperlink" Target="https://alfresco.maxiv.lu.se/share/page/site/veritas/document-details?nodeRef=workspace://SpacesStore/c9defc2e-3bb9-4f23-bca2-48ae0c309118"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55"/>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L154" activeCellId="1" sqref="O61:O64 L154"/>
    </sheetView>
  </sheetViews>
  <sheetFormatPr defaultRowHeight="14.4" outlineLevelRow="0" outlineLevelCol="0"/>
  <cols>
    <col collapsed="false" customWidth="true" hidden="false" outlineLevel="0" max="1" min="1" style="0" width="10.45"/>
    <col collapsed="false" customWidth="true" hidden="false" outlineLevel="0" max="1025" min="2" style="0" width="8.67"/>
  </cols>
  <sheetData>
    <row r="1" customFormat="false" ht="14.4" hidden="false" customHeight="false" outlineLevel="0" collapsed="false">
      <c r="A1" s="0" t="s">
        <v>0</v>
      </c>
    </row>
    <row r="2" customFormat="false" ht="14.4" hidden="false" customHeight="false" outlineLevel="0" collapsed="false">
      <c r="A2" s="0" t="s">
        <v>1</v>
      </c>
      <c r="B2" s="0" t="s">
        <v>2</v>
      </c>
      <c r="C2" s="0" t="s">
        <v>3</v>
      </c>
    </row>
    <row r="3" customFormat="false" ht="14.4" hidden="false" customHeight="false" outlineLevel="0" collapsed="false">
      <c r="A3" s="0" t="n">
        <v>150701</v>
      </c>
      <c r="B3" s="0" t="s">
        <v>4</v>
      </c>
      <c r="C3" s="0" t="s">
        <v>5</v>
      </c>
    </row>
    <row r="4" customFormat="false" ht="14.4" hidden="false" customHeight="false" outlineLevel="0" collapsed="false">
      <c r="C4" s="0" t="s">
        <v>6</v>
      </c>
    </row>
    <row r="5" customFormat="false" ht="14.4" hidden="false" customHeight="false" outlineLevel="0" collapsed="false">
      <c r="D5" s="0" t="s">
        <v>7</v>
      </c>
    </row>
    <row r="6" customFormat="false" ht="14.4" hidden="false" customHeight="false" outlineLevel="0" collapsed="false">
      <c r="D6" s="0" t="s">
        <v>8</v>
      </c>
    </row>
    <row r="7" customFormat="false" ht="14.4" hidden="false" customHeight="false" outlineLevel="0" collapsed="false">
      <c r="D7" s="0" t="s">
        <v>9</v>
      </c>
    </row>
    <row r="8" customFormat="false" ht="14.4" hidden="false" customHeight="false" outlineLevel="0" collapsed="false">
      <c r="D8" s="0" t="s">
        <v>10</v>
      </c>
    </row>
    <row r="9" customFormat="false" ht="14.4" hidden="false" customHeight="false" outlineLevel="0" collapsed="false">
      <c r="D9" s="0" t="s">
        <v>11</v>
      </c>
    </row>
    <row r="10" customFormat="false" ht="14.4" hidden="false" customHeight="false" outlineLevel="0" collapsed="false">
      <c r="D10" s="0" t="s">
        <v>12</v>
      </c>
    </row>
    <row r="11" customFormat="false" ht="14.4" hidden="false" customHeight="false" outlineLevel="0" collapsed="false">
      <c r="D11" s="0" t="s">
        <v>13</v>
      </c>
    </row>
    <row r="12" customFormat="false" ht="14.4" hidden="false" customHeight="false" outlineLevel="0" collapsed="false">
      <c r="D12" s="0" t="s">
        <v>14</v>
      </c>
    </row>
    <row r="13" customFormat="false" ht="14.4" hidden="false" customHeight="false" outlineLevel="0" collapsed="false">
      <c r="D13" s="0" t="s">
        <v>15</v>
      </c>
    </row>
    <row r="14" customFormat="false" ht="14.4" hidden="false" customHeight="false" outlineLevel="0" collapsed="false">
      <c r="D14" s="0" t="s">
        <v>16</v>
      </c>
    </row>
    <row r="15" customFormat="false" ht="14.4" hidden="false" customHeight="false" outlineLevel="0" collapsed="false">
      <c r="D15" s="0" t="s">
        <v>17</v>
      </c>
    </row>
    <row r="16" customFormat="false" ht="14.4" hidden="false" customHeight="false" outlineLevel="0" collapsed="false">
      <c r="A16" s="0" t="n">
        <v>150706</v>
      </c>
      <c r="B16" s="0" t="s">
        <v>4</v>
      </c>
      <c r="C16" s="0" t="s">
        <v>18</v>
      </c>
    </row>
    <row r="17" customFormat="false" ht="14.4" hidden="false" customHeight="false" outlineLevel="0" collapsed="false">
      <c r="C17" s="0" t="s">
        <v>19</v>
      </c>
    </row>
    <row r="18" customFormat="false" ht="14.4" hidden="false" customHeight="false" outlineLevel="0" collapsed="false">
      <c r="C18" s="0" t="s">
        <v>20</v>
      </c>
    </row>
    <row r="19" customFormat="false" ht="14.4" hidden="false" customHeight="false" outlineLevel="0" collapsed="false">
      <c r="C19" s="0" t="s">
        <v>21</v>
      </c>
    </row>
    <row r="20" customFormat="false" ht="14.4" hidden="false" customHeight="false" outlineLevel="0" collapsed="false">
      <c r="A20" s="0" t="n">
        <v>150714</v>
      </c>
      <c r="B20" s="0" t="s">
        <v>4</v>
      </c>
      <c r="C20" s="0" t="s">
        <v>22</v>
      </c>
    </row>
    <row r="21" customFormat="false" ht="14.4" hidden="false" customHeight="false" outlineLevel="0" collapsed="false">
      <c r="C21" s="0" t="s">
        <v>23</v>
      </c>
      <c r="D21" s="0" t="s">
        <v>24</v>
      </c>
    </row>
    <row r="22" customFormat="false" ht="14.4" hidden="false" customHeight="false" outlineLevel="0" collapsed="false">
      <c r="C22" s="0" t="s">
        <v>25</v>
      </c>
      <c r="D22" s="0" t="s">
        <v>26</v>
      </c>
    </row>
    <row r="23" customFormat="false" ht="14.4" hidden="false" customHeight="false" outlineLevel="0" collapsed="false">
      <c r="D23" s="0" t="s">
        <v>27</v>
      </c>
    </row>
    <row r="24" customFormat="false" ht="14.4" hidden="false" customHeight="false" outlineLevel="0" collapsed="false">
      <c r="D24" s="0" t="s">
        <v>28</v>
      </c>
    </row>
    <row r="25" customFormat="false" ht="14.4" hidden="false" customHeight="false" outlineLevel="0" collapsed="false">
      <c r="A25" s="0" t="n">
        <v>150911</v>
      </c>
      <c r="B25" s="0" t="s">
        <v>4</v>
      </c>
      <c r="C25" s="0" t="s">
        <v>29</v>
      </c>
    </row>
    <row r="26" customFormat="false" ht="14.4" hidden="false" customHeight="false" outlineLevel="0" collapsed="false">
      <c r="C26" s="0" t="s">
        <v>30</v>
      </c>
    </row>
    <row r="27" customFormat="false" ht="14.4" hidden="false" customHeight="false" outlineLevel="0" collapsed="false">
      <c r="C27" s="0" t="s">
        <v>31</v>
      </c>
    </row>
    <row r="28" customFormat="false" ht="14.4" hidden="false" customHeight="false" outlineLevel="0" collapsed="false">
      <c r="C28" s="0" t="s">
        <v>32</v>
      </c>
    </row>
    <row r="29" customFormat="false" ht="14.4" hidden="false" customHeight="false" outlineLevel="0" collapsed="false">
      <c r="C29" s="0" t="s">
        <v>33</v>
      </c>
    </row>
    <row r="30" customFormat="false" ht="14.4" hidden="false" customHeight="false" outlineLevel="0" collapsed="false">
      <c r="C30" s="0" t="s">
        <v>34</v>
      </c>
    </row>
    <row r="31" customFormat="false" ht="14.4" hidden="false" customHeight="false" outlineLevel="0" collapsed="false">
      <c r="C31" s="0" t="s">
        <v>35</v>
      </c>
    </row>
    <row r="32" customFormat="false" ht="14.4" hidden="false" customHeight="false" outlineLevel="0" collapsed="false">
      <c r="C32" s="0" t="s">
        <v>36</v>
      </c>
    </row>
    <row r="33" customFormat="false" ht="14.4" hidden="false" customHeight="false" outlineLevel="0" collapsed="false">
      <c r="C33" s="0" t="s">
        <v>37</v>
      </c>
    </row>
    <row r="34" customFormat="false" ht="14.4" hidden="false" customHeight="false" outlineLevel="0" collapsed="false">
      <c r="C34" s="0" t="s">
        <v>38</v>
      </c>
    </row>
    <row r="36" customFormat="false" ht="14.4" hidden="false" customHeight="false" outlineLevel="0" collapsed="false">
      <c r="C36" s="0" t="s">
        <v>39</v>
      </c>
    </row>
    <row r="37" customFormat="false" ht="14.4" hidden="false" customHeight="false" outlineLevel="0" collapsed="false">
      <c r="C37" s="0" t="s">
        <v>40</v>
      </c>
    </row>
    <row r="38" customFormat="false" ht="14.4" hidden="false" customHeight="false" outlineLevel="0" collapsed="false">
      <c r="C38" s="0" t="s">
        <v>41</v>
      </c>
    </row>
    <row r="39" customFormat="false" ht="14.4" hidden="false" customHeight="false" outlineLevel="0" collapsed="false">
      <c r="C39" s="0" t="s">
        <v>42</v>
      </c>
    </row>
    <row r="40" customFormat="false" ht="14.4" hidden="false" customHeight="false" outlineLevel="0" collapsed="false">
      <c r="C40" s="0" t="s">
        <v>43</v>
      </c>
    </row>
    <row r="41" customFormat="false" ht="14.4" hidden="false" customHeight="false" outlineLevel="0" collapsed="false">
      <c r="C41" s="0" t="s">
        <v>44</v>
      </c>
    </row>
    <row r="42" customFormat="false" ht="14.4" hidden="false" customHeight="false" outlineLevel="0" collapsed="false">
      <c r="C42" s="0" t="s">
        <v>45</v>
      </c>
    </row>
    <row r="43" customFormat="false" ht="14.4" hidden="false" customHeight="false" outlineLevel="0" collapsed="false">
      <c r="C43" s="0" t="s">
        <v>46</v>
      </c>
    </row>
    <row r="44" customFormat="false" ht="14.4" hidden="false" customHeight="false" outlineLevel="0" collapsed="false">
      <c r="C44" s="0" t="s">
        <v>47</v>
      </c>
    </row>
    <row r="45" customFormat="false" ht="14.4" hidden="false" customHeight="false" outlineLevel="0" collapsed="false">
      <c r="C45" s="0" t="s">
        <v>48</v>
      </c>
    </row>
    <row r="46" customFormat="false" ht="14.4" hidden="false" customHeight="false" outlineLevel="0" collapsed="false">
      <c r="C46" s="0" t="s">
        <v>49</v>
      </c>
    </row>
    <row r="47" customFormat="false" ht="14.4" hidden="false" customHeight="false" outlineLevel="0" collapsed="false">
      <c r="C47" s="0" t="s">
        <v>50</v>
      </c>
    </row>
    <row r="48" customFormat="false" ht="14.4" hidden="false" customHeight="false" outlineLevel="0" collapsed="false">
      <c r="C48" s="0" t="s">
        <v>51</v>
      </c>
    </row>
    <row r="49" customFormat="false" ht="14.4" hidden="false" customHeight="false" outlineLevel="0" collapsed="false">
      <c r="C49" s="0" t="s">
        <v>52</v>
      </c>
    </row>
    <row r="50" customFormat="false" ht="14.4" hidden="false" customHeight="false" outlineLevel="0" collapsed="false">
      <c r="C50" s="0" t="s">
        <v>53</v>
      </c>
    </row>
    <row r="53" customFormat="false" ht="14.4" hidden="false" customHeight="false" outlineLevel="0" collapsed="false">
      <c r="C53" s="0" t="s">
        <v>54</v>
      </c>
    </row>
    <row r="54" customFormat="false" ht="14.4" hidden="false" customHeight="false" outlineLevel="0" collapsed="false">
      <c r="C54" s="0" t="s">
        <v>55</v>
      </c>
    </row>
    <row r="55" customFormat="false" ht="14.4" hidden="false" customHeight="false" outlineLevel="0" collapsed="false">
      <c r="C55" s="0" t="s">
        <v>56</v>
      </c>
    </row>
    <row r="56" customFormat="false" ht="14.4" hidden="false" customHeight="false" outlineLevel="0" collapsed="false">
      <c r="C56" s="0" t="s">
        <v>57</v>
      </c>
    </row>
    <row r="57" customFormat="false" ht="14.4" hidden="false" customHeight="false" outlineLevel="0" collapsed="false">
      <c r="C57" s="0" t="s">
        <v>58</v>
      </c>
    </row>
    <row r="58" customFormat="false" ht="14.4" hidden="false" customHeight="false" outlineLevel="0" collapsed="false">
      <c r="C58" s="0" t="s">
        <v>59</v>
      </c>
    </row>
    <row r="59" customFormat="false" ht="14.4" hidden="false" customHeight="false" outlineLevel="0" collapsed="false">
      <c r="C59" s="0" t="s">
        <v>60</v>
      </c>
    </row>
    <row r="60" customFormat="false" ht="14.4" hidden="false" customHeight="false" outlineLevel="0" collapsed="false">
      <c r="C60" s="0" t="s">
        <v>61</v>
      </c>
    </row>
    <row r="61" customFormat="false" ht="14.4" hidden="false" customHeight="false" outlineLevel="0" collapsed="false">
      <c r="C61" s="0" t="s">
        <v>62</v>
      </c>
    </row>
    <row r="62" customFormat="false" ht="14.4" hidden="false" customHeight="false" outlineLevel="0" collapsed="false">
      <c r="C62" s="0" t="s">
        <v>63</v>
      </c>
    </row>
    <row r="63" customFormat="false" ht="14.4" hidden="false" customHeight="false" outlineLevel="0" collapsed="false">
      <c r="C63" s="0" t="s">
        <v>64</v>
      </c>
    </row>
    <row r="64" customFormat="false" ht="14.4" hidden="false" customHeight="false" outlineLevel="0" collapsed="false">
      <c r="C64" s="0" t="s">
        <v>65</v>
      </c>
    </row>
    <row r="65" customFormat="false" ht="14.4" hidden="false" customHeight="false" outlineLevel="0" collapsed="false">
      <c r="C65" s="0" t="s">
        <v>66</v>
      </c>
    </row>
    <row r="67" customFormat="false" ht="14.4" hidden="false" customHeight="false" outlineLevel="0" collapsed="false">
      <c r="A67" s="0" t="n">
        <v>160113</v>
      </c>
      <c r="B67" s="0" t="s">
        <v>4</v>
      </c>
      <c r="C67" s="0" t="s">
        <v>67</v>
      </c>
    </row>
    <row r="68" customFormat="false" ht="14.4" hidden="false" customHeight="false" outlineLevel="0" collapsed="false">
      <c r="D68" s="0" t="s">
        <v>68</v>
      </c>
    </row>
    <row r="69" customFormat="false" ht="14.4" hidden="false" customHeight="false" outlineLevel="0" collapsed="false">
      <c r="D69" s="0" t="s">
        <v>69</v>
      </c>
    </row>
    <row r="70" customFormat="false" ht="14.4" hidden="false" customHeight="false" outlineLevel="0" collapsed="false">
      <c r="D70" s="0" t="s">
        <v>70</v>
      </c>
    </row>
    <row r="71" customFormat="false" ht="14.4" hidden="false" customHeight="false" outlineLevel="0" collapsed="false">
      <c r="D71" s="0" t="s">
        <v>71</v>
      </c>
    </row>
    <row r="72" customFormat="false" ht="14.4" hidden="false" customHeight="false" outlineLevel="0" collapsed="false">
      <c r="D72" s="0" t="s">
        <v>72</v>
      </c>
    </row>
    <row r="73" customFormat="false" ht="14.4" hidden="false" customHeight="false" outlineLevel="0" collapsed="false">
      <c r="D73" s="0" t="s">
        <v>73</v>
      </c>
    </row>
    <row r="74" customFormat="false" ht="14.4" hidden="false" customHeight="false" outlineLevel="0" collapsed="false">
      <c r="D74" s="0" t="s">
        <v>74</v>
      </c>
    </row>
    <row r="75" customFormat="false" ht="14.4" hidden="false" customHeight="false" outlineLevel="0" collapsed="false">
      <c r="D75" s="0" t="s">
        <v>75</v>
      </c>
    </row>
    <row r="77" customFormat="false" ht="14.4" hidden="false" customHeight="false" outlineLevel="0" collapsed="false">
      <c r="A77" s="0" t="n">
        <v>161111</v>
      </c>
      <c r="B77" s="0" t="s">
        <v>76</v>
      </c>
      <c r="C77" s="1" t="s">
        <v>77</v>
      </c>
    </row>
    <row r="78" customFormat="false" ht="14.4" hidden="false" customHeight="false" outlineLevel="0" collapsed="false">
      <c r="C78" s="1" t="s">
        <v>78</v>
      </c>
    </row>
    <row r="79" customFormat="false" ht="14.4" hidden="false" customHeight="false" outlineLevel="0" collapsed="false">
      <c r="C79" s="1" t="s">
        <v>79</v>
      </c>
    </row>
    <row r="80" customFormat="false" ht="14.4" hidden="false" customHeight="false" outlineLevel="0" collapsed="false">
      <c r="C80" s="1" t="s">
        <v>80</v>
      </c>
    </row>
    <row r="81" customFormat="false" ht="14.4" hidden="false" customHeight="false" outlineLevel="0" collapsed="false">
      <c r="C81" s="1" t="s">
        <v>81</v>
      </c>
    </row>
    <row r="82" customFormat="false" ht="14.4" hidden="false" customHeight="false" outlineLevel="0" collapsed="false">
      <c r="C82" s="1" t="s">
        <v>82</v>
      </c>
    </row>
    <row r="83" customFormat="false" ht="14.4" hidden="false" customHeight="false" outlineLevel="0" collapsed="false">
      <c r="C83" s="1"/>
    </row>
    <row r="84" customFormat="false" ht="14.4" hidden="false" customHeight="false" outlineLevel="0" collapsed="false">
      <c r="A84" s="0" t="n">
        <v>161121</v>
      </c>
      <c r="B84" s="0" t="s">
        <v>83</v>
      </c>
      <c r="C84" s="2" t="s">
        <v>67</v>
      </c>
    </row>
    <row r="85" customFormat="false" ht="14.4" hidden="false" customHeight="false" outlineLevel="0" collapsed="false">
      <c r="C85" s="3" t="s">
        <v>84</v>
      </c>
    </row>
    <row r="86" customFormat="false" ht="14.4" hidden="false" customHeight="false" outlineLevel="0" collapsed="false">
      <c r="C86" s="2" t="s">
        <v>85</v>
      </c>
    </row>
    <row r="87" customFormat="false" ht="14.4" hidden="false" customHeight="false" outlineLevel="0" collapsed="false">
      <c r="C87" s="2" t="s">
        <v>86</v>
      </c>
    </row>
    <row r="88" customFormat="false" ht="14.4" hidden="false" customHeight="false" outlineLevel="0" collapsed="false">
      <c r="C88" s="2" t="s">
        <v>87</v>
      </c>
    </row>
    <row r="89" customFormat="false" ht="14.4" hidden="false" customHeight="false" outlineLevel="0" collapsed="false">
      <c r="C89" s="3" t="s">
        <v>88</v>
      </c>
    </row>
    <row r="90" customFormat="false" ht="14.4" hidden="false" customHeight="false" outlineLevel="0" collapsed="false">
      <c r="C90" s="3" t="s">
        <v>89</v>
      </c>
    </row>
    <row r="91" customFormat="false" ht="14.4" hidden="false" customHeight="false" outlineLevel="0" collapsed="false">
      <c r="C91" s="4" t="s">
        <v>80</v>
      </c>
    </row>
    <row r="92" customFormat="false" ht="14.4" hidden="false" customHeight="false" outlineLevel="0" collapsed="false">
      <c r="C92" s="4" t="s">
        <v>90</v>
      </c>
    </row>
    <row r="93" customFormat="false" ht="14.4" hidden="false" customHeight="false" outlineLevel="0" collapsed="false">
      <c r="C93" s="4" t="s">
        <v>77</v>
      </c>
    </row>
    <row r="94" customFormat="false" ht="14.4" hidden="false" customHeight="false" outlineLevel="0" collapsed="false">
      <c r="C94" s="4" t="s">
        <v>91</v>
      </c>
    </row>
    <row r="95" customFormat="false" ht="14.4" hidden="false" customHeight="false" outlineLevel="0" collapsed="false">
      <c r="C95" s="1"/>
    </row>
    <row r="96" customFormat="false" ht="14.4" hidden="false" customHeight="false" outlineLevel="0" collapsed="false">
      <c r="A96" s="0" t="n">
        <v>161206</v>
      </c>
      <c r="B96" s="0" t="s">
        <v>92</v>
      </c>
      <c r="C96" s="1"/>
    </row>
    <row r="97" customFormat="false" ht="14.4" hidden="false" customHeight="false" outlineLevel="0" collapsed="false">
      <c r="C97" s="1" t="s">
        <v>93</v>
      </c>
    </row>
    <row r="98" customFormat="false" ht="14.4" hidden="false" customHeight="false" outlineLevel="0" collapsed="false">
      <c r="C98" s="1" t="s">
        <v>94</v>
      </c>
    </row>
    <row r="99" customFormat="false" ht="14.4" hidden="false" customHeight="false" outlineLevel="0" collapsed="false">
      <c r="C99" s="1" t="s">
        <v>95</v>
      </c>
    </row>
    <row r="100" customFormat="false" ht="14.4" hidden="false" customHeight="false" outlineLevel="0" collapsed="false">
      <c r="C100" s="1" t="s">
        <v>96</v>
      </c>
    </row>
    <row r="101" customFormat="false" ht="14.4" hidden="false" customHeight="false" outlineLevel="0" collapsed="false">
      <c r="C101" s="1" t="s">
        <v>97</v>
      </c>
    </row>
    <row r="102" customFormat="false" ht="14.4" hidden="false" customHeight="false" outlineLevel="0" collapsed="false">
      <c r="C102" s="1" t="s">
        <v>98</v>
      </c>
    </row>
    <row r="103" customFormat="false" ht="14.4" hidden="false" customHeight="false" outlineLevel="0" collapsed="false">
      <c r="C103" s="1" t="s">
        <v>99</v>
      </c>
    </row>
    <row r="104" customFormat="false" ht="14.4" hidden="false" customHeight="false" outlineLevel="0" collapsed="false">
      <c r="C104" s="1" t="s">
        <v>100</v>
      </c>
    </row>
    <row r="105" customFormat="false" ht="14.4" hidden="false" customHeight="false" outlineLevel="0" collapsed="false">
      <c r="C105" s="1" t="s">
        <v>101</v>
      </c>
    </row>
    <row r="106" customFormat="false" ht="14.4" hidden="false" customHeight="false" outlineLevel="0" collapsed="false">
      <c r="C106" s="1" t="s">
        <v>102</v>
      </c>
    </row>
    <row r="107" customFormat="false" ht="14.4" hidden="false" customHeight="false" outlineLevel="0" collapsed="false">
      <c r="C107" s="1" t="s">
        <v>103</v>
      </c>
    </row>
    <row r="108" customFormat="false" ht="14.4" hidden="false" customHeight="false" outlineLevel="0" collapsed="false">
      <c r="C108" s="1" t="s">
        <v>104</v>
      </c>
    </row>
    <row r="109" customFormat="false" ht="14.4" hidden="false" customHeight="false" outlineLevel="0" collapsed="false">
      <c r="C109" s="1" t="s">
        <v>105</v>
      </c>
    </row>
    <row r="110" customFormat="false" ht="14.4" hidden="false" customHeight="false" outlineLevel="0" collapsed="false">
      <c r="C110" s="1" t="s">
        <v>106</v>
      </c>
    </row>
    <row r="111" customFormat="false" ht="14.4" hidden="false" customHeight="false" outlineLevel="0" collapsed="false">
      <c r="C111" s="1" t="s">
        <v>107</v>
      </c>
    </row>
    <row r="112" customFormat="false" ht="14.4" hidden="false" customHeight="false" outlineLevel="0" collapsed="false">
      <c r="C112" s="1" t="s">
        <v>108</v>
      </c>
    </row>
    <row r="113" customFormat="false" ht="14.4" hidden="false" customHeight="false" outlineLevel="0" collapsed="false">
      <c r="C113" s="1" t="s">
        <v>109</v>
      </c>
    </row>
    <row r="114" customFormat="false" ht="14.4" hidden="false" customHeight="false" outlineLevel="0" collapsed="false">
      <c r="C114" s="1" t="s">
        <v>110</v>
      </c>
    </row>
    <row r="115" customFormat="false" ht="14.4" hidden="false" customHeight="false" outlineLevel="0" collapsed="false">
      <c r="C115" s="2" t="s">
        <v>111</v>
      </c>
    </row>
    <row r="116" customFormat="false" ht="14.4" hidden="false" customHeight="false" outlineLevel="0" collapsed="false">
      <c r="C116" s="2" t="s">
        <v>112</v>
      </c>
    </row>
    <row r="117" customFormat="false" ht="14.4" hidden="false" customHeight="false" outlineLevel="0" collapsed="false">
      <c r="C117" s="2" t="s">
        <v>113</v>
      </c>
    </row>
    <row r="118" customFormat="false" ht="14.4" hidden="false" customHeight="false" outlineLevel="0" collapsed="false">
      <c r="C118" s="2" t="s">
        <v>114</v>
      </c>
    </row>
    <row r="119" customFormat="false" ht="14.4" hidden="false" customHeight="false" outlineLevel="0" collapsed="false">
      <c r="C119" s="2" t="s">
        <v>115</v>
      </c>
    </row>
    <row r="120" customFormat="false" ht="14.4" hidden="false" customHeight="false" outlineLevel="0" collapsed="false">
      <c r="C120" s="2" t="s">
        <v>116</v>
      </c>
    </row>
    <row r="121" customFormat="false" ht="14.4" hidden="false" customHeight="false" outlineLevel="0" collapsed="false">
      <c r="C121" s="2" t="s">
        <v>117</v>
      </c>
    </row>
    <row r="122" customFormat="false" ht="14.4" hidden="false" customHeight="false" outlineLevel="0" collapsed="false">
      <c r="C122" s="2" t="s">
        <v>118</v>
      </c>
    </row>
    <row r="123" customFormat="false" ht="14.4" hidden="false" customHeight="false" outlineLevel="0" collapsed="false">
      <c r="C123" s="2" t="s">
        <v>119</v>
      </c>
    </row>
    <row r="124" customFormat="false" ht="14.4" hidden="false" customHeight="false" outlineLevel="0" collapsed="false">
      <c r="C124" s="2" t="s">
        <v>120</v>
      </c>
    </row>
    <row r="125" customFormat="false" ht="14.4" hidden="false" customHeight="false" outlineLevel="0" collapsed="false">
      <c r="C125" s="2" t="s">
        <v>121</v>
      </c>
    </row>
    <row r="126" customFormat="false" ht="14.4" hidden="false" customHeight="false" outlineLevel="0" collapsed="false">
      <c r="C126" s="2" t="s">
        <v>122</v>
      </c>
    </row>
    <row r="127" customFormat="false" ht="14.4" hidden="false" customHeight="false" outlineLevel="0" collapsed="false">
      <c r="C127" s="2" t="s">
        <v>123</v>
      </c>
    </row>
    <row r="128" customFormat="false" ht="14.4" hidden="false" customHeight="false" outlineLevel="0" collapsed="false">
      <c r="C128" s="2" t="s">
        <v>124</v>
      </c>
    </row>
    <row r="129" customFormat="false" ht="14.4" hidden="false" customHeight="false" outlineLevel="0" collapsed="false">
      <c r="C129" s="2" t="s">
        <v>125</v>
      </c>
    </row>
    <row r="130" customFormat="false" ht="14.4" hidden="false" customHeight="false" outlineLevel="0" collapsed="false">
      <c r="C130" s="2" t="s">
        <v>126</v>
      </c>
    </row>
    <row r="131" customFormat="false" ht="14.4" hidden="false" customHeight="false" outlineLevel="0" collapsed="false">
      <c r="C131" s="1" t="s">
        <v>127</v>
      </c>
    </row>
    <row r="132" customFormat="false" ht="14.4" hidden="false" customHeight="false" outlineLevel="0" collapsed="false">
      <c r="C132" s="1" t="s">
        <v>128</v>
      </c>
    </row>
    <row r="133" customFormat="false" ht="14.4" hidden="false" customHeight="false" outlineLevel="0" collapsed="false">
      <c r="C133" s="1" t="s">
        <v>129</v>
      </c>
    </row>
    <row r="134" customFormat="false" ht="14.4" hidden="false" customHeight="false" outlineLevel="0" collapsed="false">
      <c r="C134" s="2" t="s">
        <v>130</v>
      </c>
    </row>
    <row r="135" customFormat="false" ht="14.4" hidden="false" customHeight="false" outlineLevel="0" collapsed="false">
      <c r="C135" s="2" t="s">
        <v>131</v>
      </c>
    </row>
    <row r="136" customFormat="false" ht="14.4" hidden="false" customHeight="false" outlineLevel="0" collapsed="false">
      <c r="C136" s="1"/>
    </row>
    <row r="137" customFormat="false" ht="14.4" hidden="false" customHeight="false" outlineLevel="0" collapsed="false">
      <c r="A137" s="0" t="n">
        <v>170116</v>
      </c>
      <c r="B137" s="0" t="s">
        <v>92</v>
      </c>
      <c r="C137" s="1" t="s">
        <v>132</v>
      </c>
    </row>
    <row r="138" customFormat="false" ht="14.4" hidden="false" customHeight="false" outlineLevel="0" collapsed="false">
      <c r="C138" s="1"/>
      <c r="D138" s="0" t="s">
        <v>133</v>
      </c>
    </row>
    <row r="139" customFormat="false" ht="14.4" hidden="false" customHeight="false" outlineLevel="0" collapsed="false">
      <c r="C139" s="1"/>
      <c r="D139" s="1" t="s">
        <v>134</v>
      </c>
    </row>
    <row r="140" customFormat="false" ht="14.4" hidden="false" customHeight="false" outlineLevel="0" collapsed="false">
      <c r="C140" s="1"/>
    </row>
    <row r="141" customFormat="false" ht="14.4" hidden="false" customHeight="false" outlineLevel="0" collapsed="false">
      <c r="A141" s="0" t="n">
        <v>170130</v>
      </c>
      <c r="B141" s="0" t="s">
        <v>76</v>
      </c>
      <c r="C141" s="1"/>
    </row>
    <row r="142" customFormat="false" ht="14.4" hidden="false" customHeight="false" outlineLevel="0" collapsed="false">
      <c r="C142" s="1" t="s">
        <v>135</v>
      </c>
    </row>
    <row r="143" customFormat="false" ht="15.6" hidden="false" customHeight="false" outlineLevel="0" collapsed="false">
      <c r="C143" s="5" t="s">
        <v>136</v>
      </c>
    </row>
    <row r="144" customFormat="false" ht="15.6" hidden="false" customHeight="false" outlineLevel="0" collapsed="false">
      <c r="C144" s="5" t="s">
        <v>137</v>
      </c>
    </row>
    <row r="145" customFormat="false" ht="15.6" hidden="false" customHeight="false" outlineLevel="0" collapsed="false">
      <c r="C145" s="5" t="s">
        <v>138</v>
      </c>
    </row>
    <row r="146" customFormat="false" ht="15.6" hidden="false" customHeight="false" outlineLevel="0" collapsed="false">
      <c r="C146" s="5" t="s">
        <v>139</v>
      </c>
    </row>
    <row r="147" customFormat="false" ht="15.6" hidden="false" customHeight="false" outlineLevel="0" collapsed="false">
      <c r="C147" s="5" t="s">
        <v>140</v>
      </c>
    </row>
    <row r="148" customFormat="false" ht="15.6" hidden="false" customHeight="false" outlineLevel="0" collapsed="false">
      <c r="C148" s="5" t="s">
        <v>141</v>
      </c>
    </row>
    <row r="149" customFormat="false" ht="14.4" hidden="false" customHeight="false" outlineLevel="0" collapsed="false">
      <c r="C149" s="1" t="s">
        <v>142</v>
      </c>
    </row>
    <row r="150" customFormat="false" ht="14.4" hidden="false" customHeight="false" outlineLevel="0" collapsed="false">
      <c r="C150" s="1" t="s">
        <v>143</v>
      </c>
    </row>
    <row r="151" customFormat="false" ht="15.6" hidden="false" customHeight="false" outlineLevel="0" collapsed="false">
      <c r="C151" s="5" t="s">
        <v>144</v>
      </c>
    </row>
    <row r="152" customFormat="false" ht="15.6" hidden="false" customHeight="false" outlineLevel="0" collapsed="false">
      <c r="C152" s="5" t="s">
        <v>145</v>
      </c>
    </row>
    <row r="153" customFormat="false" ht="15.6" hidden="false" customHeight="false" outlineLevel="0" collapsed="false">
      <c r="C153" s="5" t="s">
        <v>146</v>
      </c>
    </row>
    <row r="154" customFormat="false" ht="15.6" hidden="false" customHeight="false" outlineLevel="0" collapsed="false">
      <c r="C154" s="5" t="s">
        <v>147</v>
      </c>
    </row>
    <row r="155" customFormat="false" ht="15.6" hidden="false" customHeight="false" outlineLevel="0" collapsed="false">
      <c r="C155" s="5" t="s">
        <v>148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44"/>
  <sheetViews>
    <sheetView showFormulas="false" showGridLines="true" showRowColHeaders="true" showZeros="true" rightToLeft="false" tabSelected="false" showOutlineSymbols="true" defaultGridColor="true" view="normal" topLeftCell="A11" colorId="64" zoomScale="85" zoomScaleNormal="85" zoomScalePageLayoutView="100" workbookViewId="0">
      <selection pane="topLeft" activeCell="G43" activeCellId="1" sqref="O61:O64 G43"/>
    </sheetView>
  </sheetViews>
  <sheetFormatPr defaultRowHeight="14.4" outlineLevelRow="0" outlineLevelCol="0"/>
  <cols>
    <col collapsed="false" customWidth="true" hidden="false" outlineLevel="0" max="1" min="1" style="0" width="8.89"/>
    <col collapsed="false" customWidth="true" hidden="false" outlineLevel="0" max="2" min="2" style="0" width="10.33"/>
    <col collapsed="false" customWidth="true" hidden="false" outlineLevel="0" max="3" min="3" style="0" width="32.88"/>
    <col collapsed="false" customWidth="true" hidden="false" outlineLevel="0" max="4" min="4" style="0" width="21.56"/>
    <col collapsed="false" customWidth="true" hidden="false" outlineLevel="0" max="5" min="5" style="0" width="7"/>
    <col collapsed="false" customWidth="true" hidden="false" outlineLevel="0" max="6" min="6" style="0" width="23.44"/>
    <col collapsed="false" customWidth="true" hidden="false" outlineLevel="0" max="7" min="7" style="0" width="32.44"/>
    <col collapsed="false" customWidth="true" hidden="false" outlineLevel="0" max="8" min="8" style="0" width="7.88"/>
    <col collapsed="false" customWidth="true" hidden="false" outlineLevel="0" max="9" min="9" style="314" width="13.89"/>
    <col collapsed="false" customWidth="true" hidden="false" outlineLevel="0" max="10" min="10" style="314" width="27.56"/>
    <col collapsed="false" customWidth="true" hidden="false" outlineLevel="0" max="1025" min="11" style="0" width="8.67"/>
  </cols>
  <sheetData>
    <row r="1" customFormat="false" ht="14.4" hidden="false" customHeight="false" outlineLevel="0" collapsed="false">
      <c r="A1" s="315" t="s">
        <v>583</v>
      </c>
      <c r="B1" s="315" t="s">
        <v>584</v>
      </c>
      <c r="C1" s="315" t="s">
        <v>585</v>
      </c>
      <c r="D1" s="315" t="s">
        <v>586</v>
      </c>
      <c r="E1" s="315" t="s">
        <v>587</v>
      </c>
      <c r="F1" s="315" t="s">
        <v>588</v>
      </c>
      <c r="G1" s="315" t="s">
        <v>589</v>
      </c>
      <c r="H1" s="315" t="s">
        <v>590</v>
      </c>
      <c r="I1" s="316" t="s">
        <v>591</v>
      </c>
      <c r="J1" s="316" t="s">
        <v>592</v>
      </c>
    </row>
    <row r="2" customFormat="false" ht="14.4" hidden="false" customHeight="false" outlineLevel="0" collapsed="false">
      <c r="A2" s="317" t="s">
        <v>650</v>
      </c>
      <c r="B2" s="317" t="s">
        <v>651</v>
      </c>
      <c r="C2" s="317" t="s">
        <v>595</v>
      </c>
      <c r="D2" s="317" t="s">
        <v>596</v>
      </c>
      <c r="E2" s="317" t="s">
        <v>652</v>
      </c>
      <c r="F2" s="317" t="s">
        <v>242</v>
      </c>
      <c r="G2" s="317" t="s">
        <v>598</v>
      </c>
      <c r="H2" s="317" t="s">
        <v>653</v>
      </c>
      <c r="I2" s="314" t="str">
        <f aca="false">IF(RIGHT($H2,2)="EC", LEFT($H2,LEN($H2)-2), $H2)</f>
        <v>VT</v>
      </c>
      <c r="J2" s="316" t="str">
        <f aca="false">CONCATENATE(F2,I2)</f>
        <v>B316A-EA03-OPT-BAFF-01VT</v>
      </c>
    </row>
    <row r="3" customFormat="false" ht="14.4" hidden="false" customHeight="false" outlineLevel="0" collapsed="false">
      <c r="A3" s="317" t="s">
        <v>654</v>
      </c>
      <c r="B3" s="317" t="s">
        <v>651</v>
      </c>
      <c r="C3" s="317" t="s">
        <v>595</v>
      </c>
      <c r="D3" s="317" t="s">
        <v>596</v>
      </c>
      <c r="E3" s="317" t="s">
        <v>655</v>
      </c>
      <c r="F3" s="317" t="s">
        <v>242</v>
      </c>
      <c r="G3" s="317" t="s">
        <v>598</v>
      </c>
      <c r="H3" s="317" t="s">
        <v>656</v>
      </c>
      <c r="I3" s="314" t="str">
        <f aca="false">IF(RIGHT($H3,2)="EC", LEFT($H3,LEN($H3)-2), $H3)</f>
        <v>VB</v>
      </c>
      <c r="J3" s="316" t="str">
        <f aca="false">CONCATENATE(F3,I3)</f>
        <v>B316A-EA03-OPT-BAFF-01VB</v>
      </c>
    </row>
    <row r="4" customFormat="false" ht="14.4" hidden="false" customHeight="false" outlineLevel="0" collapsed="false">
      <c r="A4" s="317" t="s">
        <v>657</v>
      </c>
      <c r="B4" s="317" t="s">
        <v>651</v>
      </c>
      <c r="C4" s="317" t="s">
        <v>595</v>
      </c>
      <c r="D4" s="317" t="s">
        <v>596</v>
      </c>
      <c r="E4" s="317" t="s">
        <v>658</v>
      </c>
      <c r="F4" s="317" t="s">
        <v>242</v>
      </c>
      <c r="G4" s="317" t="s">
        <v>598</v>
      </c>
      <c r="H4" s="317" t="s">
        <v>659</v>
      </c>
      <c r="I4" s="314" t="str">
        <f aca="false">IF(RIGHT($H4,2)="EC", LEFT($H4,LEN($H4)-2), $H4)</f>
        <v>HL</v>
      </c>
      <c r="J4" s="316" t="str">
        <f aca="false">CONCATENATE(F4,I4)</f>
        <v>B316A-EA03-OPT-BAFF-01HL</v>
      </c>
    </row>
    <row r="5" customFormat="false" ht="14.4" hidden="false" customHeight="false" outlineLevel="0" collapsed="false">
      <c r="A5" s="317" t="s">
        <v>660</v>
      </c>
      <c r="B5" s="317" t="s">
        <v>651</v>
      </c>
      <c r="C5" s="317" t="s">
        <v>595</v>
      </c>
      <c r="D5" s="317" t="s">
        <v>596</v>
      </c>
      <c r="E5" s="317" t="s">
        <v>661</v>
      </c>
      <c r="F5" s="317" t="s">
        <v>242</v>
      </c>
      <c r="G5" s="317" t="s">
        <v>598</v>
      </c>
      <c r="H5" s="317" t="s">
        <v>662</v>
      </c>
      <c r="I5" s="314" t="str">
        <f aca="false">IF(RIGHT($H5,2)="EC", LEFT($H5,LEN($H5)-2), $H5)</f>
        <v>HR</v>
      </c>
      <c r="J5" s="316" t="str">
        <f aca="false">CONCATENATE(F5,I5)</f>
        <v>B316A-EA03-OPT-BAFF-01HR</v>
      </c>
    </row>
    <row r="6" customFormat="false" ht="14.4" hidden="false" customHeight="false" outlineLevel="0" collapsed="false">
      <c r="A6" s="317" t="s">
        <v>663</v>
      </c>
      <c r="B6" s="317" t="s">
        <v>651</v>
      </c>
      <c r="C6" s="317" t="s">
        <v>595</v>
      </c>
      <c r="D6" s="317" t="s">
        <v>596</v>
      </c>
      <c r="E6" s="317" t="s">
        <v>664</v>
      </c>
      <c r="F6" s="317" t="s">
        <v>266</v>
      </c>
      <c r="G6" s="317" t="s">
        <v>611</v>
      </c>
      <c r="H6" s="317" t="s">
        <v>665</v>
      </c>
      <c r="I6" s="314" t="str">
        <f aca="false">IF(RIGHT($H6,2)="EC", LEFT($H6,LEN($H6)-2), $H6)</f>
        <v>V</v>
      </c>
      <c r="J6" s="316" t="str">
        <f aca="false">CONCATENATE(F6,I6)</f>
        <v>B316A-EA03-DIA-BPM-01V</v>
      </c>
    </row>
    <row r="7" customFormat="false" ht="14.4" hidden="false" customHeight="false" outlineLevel="0" collapsed="false">
      <c r="A7" s="317" t="s">
        <v>666</v>
      </c>
      <c r="B7" s="317" t="s">
        <v>651</v>
      </c>
      <c r="C7" s="317" t="s">
        <v>595</v>
      </c>
      <c r="D7" s="317" t="s">
        <v>596</v>
      </c>
      <c r="E7" s="317" t="s">
        <v>667</v>
      </c>
      <c r="F7" s="317" t="s">
        <v>276</v>
      </c>
      <c r="G7" s="317" t="s">
        <v>615</v>
      </c>
      <c r="H7" s="317" t="s">
        <v>668</v>
      </c>
      <c r="I7" s="314" t="str">
        <f aca="false">IF(RIGHT($H7,2)="EC", LEFT($H7,LEN($H7)-2), $H7)</f>
        <v>V1</v>
      </c>
      <c r="J7" s="316" t="str">
        <f aca="false">CONCATENATE(F7,I7)</f>
        <v>B316A-EA03-OPT-MIR-04V1</v>
      </c>
    </row>
    <row r="8" customFormat="false" ht="14.4" hidden="false" customHeight="false" outlineLevel="0" collapsed="false">
      <c r="A8" s="317" t="s">
        <v>669</v>
      </c>
      <c r="B8" s="317" t="s">
        <v>651</v>
      </c>
      <c r="C8" s="317" t="s">
        <v>595</v>
      </c>
      <c r="D8" s="317" t="s">
        <v>596</v>
      </c>
      <c r="E8" s="317" t="s">
        <v>670</v>
      </c>
      <c r="F8" s="317" t="s">
        <v>276</v>
      </c>
      <c r="G8" s="317" t="s">
        <v>615</v>
      </c>
      <c r="H8" s="317" t="s">
        <v>671</v>
      </c>
      <c r="I8" s="314" t="str">
        <f aca="false">IF(RIGHT($H8,2)="EC", LEFT($H8,LEN($H8)-2), $H8)</f>
        <v>V2</v>
      </c>
      <c r="J8" s="316" t="str">
        <f aca="false">CONCATENATE(F8,I8)</f>
        <v>B316A-EA03-OPT-MIR-04V2</v>
      </c>
    </row>
    <row r="9" customFormat="false" ht="14.4" hidden="false" customHeight="false" outlineLevel="0" collapsed="false">
      <c r="A9" s="317" t="s">
        <v>672</v>
      </c>
      <c r="B9" s="317" t="s">
        <v>651</v>
      </c>
      <c r="C9" s="317" t="s">
        <v>595</v>
      </c>
      <c r="D9" s="317" t="s">
        <v>596</v>
      </c>
      <c r="E9" s="317" t="s">
        <v>673</v>
      </c>
      <c r="F9" s="317" t="s">
        <v>276</v>
      </c>
      <c r="G9" s="317" t="s">
        <v>615</v>
      </c>
      <c r="H9" s="317" t="s">
        <v>674</v>
      </c>
      <c r="I9" s="314" t="str">
        <f aca="false">IF(RIGHT($H9,2)="EC", LEFT($H9,LEN($H9)-2), $H9)</f>
        <v>V3</v>
      </c>
      <c r="J9" s="316" t="str">
        <f aca="false">CONCATENATE(F9,I9)</f>
        <v>B316A-EA03-OPT-MIR-04V3</v>
      </c>
    </row>
    <row r="10" customFormat="false" ht="14.4" hidden="false" customHeight="false" outlineLevel="0" collapsed="false">
      <c r="A10" s="317" t="s">
        <v>675</v>
      </c>
      <c r="B10" s="317" t="s">
        <v>651</v>
      </c>
      <c r="C10" s="317" t="s">
        <v>624</v>
      </c>
      <c r="D10" s="317" t="s">
        <v>625</v>
      </c>
      <c r="E10" s="317" t="s">
        <v>652</v>
      </c>
      <c r="F10" s="317" t="s">
        <v>276</v>
      </c>
      <c r="G10" s="317" t="s">
        <v>615</v>
      </c>
      <c r="H10" s="317" t="s">
        <v>676</v>
      </c>
      <c r="I10" s="314" t="str">
        <f aca="false">IF(RIGHT($H10,2)="EC", LEFT($H10,LEN($H10)-2), $H10)</f>
        <v>H4</v>
      </c>
      <c r="J10" s="316" t="str">
        <f aca="false">CONCATENATE(F10,I10)</f>
        <v>B316A-EA03-OPT-MIR-04H4</v>
      </c>
    </row>
    <row r="11" customFormat="false" ht="14.4" hidden="false" customHeight="false" outlineLevel="0" collapsed="false">
      <c r="A11" s="317" t="s">
        <v>677</v>
      </c>
      <c r="B11" s="317" t="s">
        <v>651</v>
      </c>
      <c r="C11" s="317" t="s">
        <v>624</v>
      </c>
      <c r="D11" s="317" t="s">
        <v>625</v>
      </c>
      <c r="E11" s="317" t="s">
        <v>655</v>
      </c>
      <c r="F11" s="317" t="s">
        <v>276</v>
      </c>
      <c r="G11" s="317" t="s">
        <v>615</v>
      </c>
      <c r="H11" s="317" t="s">
        <v>678</v>
      </c>
      <c r="I11" s="314" t="str">
        <f aca="false">IF(RIGHT($H11,2)="EC", LEFT($H11,LEN($H11)-2), $H11)</f>
        <v>H5</v>
      </c>
      <c r="J11" s="316" t="str">
        <f aca="false">CONCATENATE(F11,I11)</f>
        <v>B316A-EA03-OPT-MIR-04H5</v>
      </c>
    </row>
    <row r="12" customFormat="false" ht="14.4" hidden="false" customHeight="false" outlineLevel="0" collapsed="false">
      <c r="A12" s="315" t="s">
        <v>253</v>
      </c>
      <c r="B12" s="315" t="s">
        <v>651</v>
      </c>
      <c r="C12" s="315" t="s">
        <v>624</v>
      </c>
      <c r="D12" s="315" t="s">
        <v>625</v>
      </c>
      <c r="E12" s="315" t="s">
        <v>658</v>
      </c>
      <c r="F12" s="315"/>
      <c r="G12" s="315"/>
      <c r="H12" s="315"/>
      <c r="I12" s="314" t="n">
        <f aca="false">IF(RIGHT($H12,2)="EC", LEFT($H12,LEN($H12)-2), $H12)</f>
        <v>0</v>
      </c>
      <c r="J12" s="316" t="str">
        <f aca="false">CONCATENATE(F12,I12)</f>
        <v>0</v>
      </c>
    </row>
    <row r="13" customFormat="false" ht="14.4" hidden="false" customHeight="false" outlineLevel="0" collapsed="false">
      <c r="A13" s="315" t="s">
        <v>253</v>
      </c>
      <c r="B13" s="315" t="s">
        <v>651</v>
      </c>
      <c r="C13" s="315" t="s">
        <v>624</v>
      </c>
      <c r="D13" s="315" t="s">
        <v>625</v>
      </c>
      <c r="E13" s="315" t="s">
        <v>661</v>
      </c>
      <c r="F13" s="315"/>
      <c r="G13" s="315"/>
      <c r="H13" s="315"/>
      <c r="I13" s="314" t="n">
        <f aca="false">IF(RIGHT($H13,2)="EC", LEFT($H13,LEN($H13)-2), $H13)</f>
        <v>0</v>
      </c>
      <c r="J13" s="316" t="str">
        <f aca="false">CONCATENATE(F13,I13)</f>
        <v>0</v>
      </c>
    </row>
    <row r="14" customFormat="false" ht="14.4" hidden="false" customHeight="false" outlineLevel="0" collapsed="false">
      <c r="A14" s="315" t="s">
        <v>253</v>
      </c>
      <c r="B14" s="315" t="s">
        <v>651</v>
      </c>
      <c r="C14" s="315" t="s">
        <v>624</v>
      </c>
      <c r="D14" s="315" t="s">
        <v>625</v>
      </c>
      <c r="E14" s="315" t="s">
        <v>664</v>
      </c>
      <c r="F14" s="315"/>
      <c r="G14" s="315"/>
      <c r="H14" s="315"/>
      <c r="I14" s="314" t="n">
        <f aca="false">IF(RIGHT($H14,2)="EC", LEFT($H14,LEN($H14)-2), $H14)</f>
        <v>0</v>
      </c>
      <c r="J14" s="316" t="str">
        <f aca="false">CONCATENATE(F14,I14)</f>
        <v>0</v>
      </c>
    </row>
    <row r="15" customFormat="false" ht="14.4" hidden="false" customHeight="false" outlineLevel="0" collapsed="false">
      <c r="A15" s="315" t="s">
        <v>253</v>
      </c>
      <c r="B15" s="315" t="s">
        <v>651</v>
      </c>
      <c r="C15" s="315" t="s">
        <v>624</v>
      </c>
      <c r="D15" s="315" t="s">
        <v>625</v>
      </c>
      <c r="E15" s="315" t="s">
        <v>667</v>
      </c>
      <c r="F15" s="315"/>
      <c r="G15" s="315"/>
      <c r="H15" s="315"/>
      <c r="I15" s="314" t="n">
        <f aca="false">IF(RIGHT($H15,2)="EC", LEFT($H15,LEN($H15)-2), $H15)</f>
        <v>0</v>
      </c>
      <c r="J15" s="316" t="str">
        <f aca="false">CONCATENATE(F15,I15)</f>
        <v>0</v>
      </c>
    </row>
    <row r="16" customFormat="false" ht="14.4" hidden="false" customHeight="false" outlineLevel="0" collapsed="false">
      <c r="A16" s="315" t="s">
        <v>253</v>
      </c>
      <c r="B16" s="315" t="s">
        <v>651</v>
      </c>
      <c r="C16" s="315" t="s">
        <v>624</v>
      </c>
      <c r="D16" s="315" t="s">
        <v>625</v>
      </c>
      <c r="E16" s="315" t="s">
        <v>670</v>
      </c>
      <c r="F16" s="315"/>
      <c r="G16" s="315"/>
      <c r="H16" s="315"/>
      <c r="I16" s="314" t="n">
        <f aca="false">IF(RIGHT($H16,2)="EC", LEFT($H16,LEN($H16)-2), $H16)</f>
        <v>0</v>
      </c>
      <c r="J16" s="316" t="str">
        <f aca="false">CONCATENATE(F16,I16)</f>
        <v>0</v>
      </c>
    </row>
    <row r="17" customFormat="false" ht="14.4" hidden="false" customHeight="false" outlineLevel="0" collapsed="false">
      <c r="A17" s="315" t="s">
        <v>253</v>
      </c>
      <c r="B17" s="315" t="s">
        <v>651</v>
      </c>
      <c r="C17" s="315" t="s">
        <v>624</v>
      </c>
      <c r="D17" s="315" t="s">
        <v>625</v>
      </c>
      <c r="E17" s="315" t="s">
        <v>673</v>
      </c>
      <c r="F17" s="315"/>
      <c r="G17" s="315"/>
      <c r="H17" s="315"/>
      <c r="I17" s="314" t="n">
        <f aca="false">IF(RIGHT($H17,2)="EC", LEFT($H17,LEN($H17)-2), $H17)</f>
        <v>0</v>
      </c>
      <c r="J17" s="316" t="str">
        <f aca="false">CONCATENATE(F17,I17)</f>
        <v>0</v>
      </c>
    </row>
    <row r="18" customFormat="false" ht="14.4" hidden="false" customHeight="false" outlineLevel="0" collapsed="false">
      <c r="A18" s="320" t="s">
        <v>650</v>
      </c>
      <c r="B18" s="320" t="s">
        <v>651</v>
      </c>
      <c r="C18" s="320" t="s">
        <v>595</v>
      </c>
      <c r="D18" s="320" t="s">
        <v>596</v>
      </c>
      <c r="E18" s="320" t="s">
        <v>652</v>
      </c>
      <c r="F18" s="320" t="s">
        <v>242</v>
      </c>
      <c r="G18" s="320" t="s">
        <v>598</v>
      </c>
      <c r="H18" s="320" t="s">
        <v>653</v>
      </c>
      <c r="I18" s="314" t="str">
        <f aca="false">IF(RIGHT($H18,2)="EC", LEFT($H18,LEN($H18)-2), $H18)</f>
        <v>VT</v>
      </c>
      <c r="J18" s="316" t="str">
        <f aca="false">CONCATENATE(F18,I18)</f>
        <v>B316A-EA03-OPT-BAFF-01VT</v>
      </c>
    </row>
    <row r="19" customFormat="false" ht="14.4" hidden="false" customHeight="false" outlineLevel="0" collapsed="false">
      <c r="A19" s="320" t="s">
        <v>654</v>
      </c>
      <c r="B19" s="320" t="s">
        <v>651</v>
      </c>
      <c r="C19" s="320" t="s">
        <v>595</v>
      </c>
      <c r="D19" s="320" t="s">
        <v>596</v>
      </c>
      <c r="E19" s="320" t="s">
        <v>655</v>
      </c>
      <c r="F19" s="320" t="s">
        <v>242</v>
      </c>
      <c r="G19" s="320" t="s">
        <v>598</v>
      </c>
      <c r="H19" s="320" t="s">
        <v>656</v>
      </c>
      <c r="I19" s="314" t="str">
        <f aca="false">IF(RIGHT($H19,2)="EC", LEFT($H19,LEN($H19)-2), $H19)</f>
        <v>VB</v>
      </c>
      <c r="J19" s="316" t="str">
        <f aca="false">CONCATENATE(F19,I19)</f>
        <v>B316A-EA03-OPT-BAFF-01VB</v>
      </c>
    </row>
    <row r="20" customFormat="false" ht="14.4" hidden="false" customHeight="false" outlineLevel="0" collapsed="false">
      <c r="A20" s="320" t="s">
        <v>657</v>
      </c>
      <c r="B20" s="320" t="s">
        <v>651</v>
      </c>
      <c r="C20" s="320" t="s">
        <v>595</v>
      </c>
      <c r="D20" s="320" t="s">
        <v>596</v>
      </c>
      <c r="E20" s="320" t="s">
        <v>658</v>
      </c>
      <c r="F20" s="320" t="s">
        <v>242</v>
      </c>
      <c r="G20" s="320" t="s">
        <v>598</v>
      </c>
      <c r="H20" s="320" t="s">
        <v>659</v>
      </c>
      <c r="I20" s="314" t="str">
        <f aca="false">IF(RIGHT($H20,2)="EC", LEFT($H20,LEN($H20)-2), $H20)</f>
        <v>HL</v>
      </c>
      <c r="J20" s="316" t="str">
        <f aca="false">CONCATENATE(F20,I20)</f>
        <v>B316A-EA03-OPT-BAFF-01HL</v>
      </c>
    </row>
    <row r="21" customFormat="false" ht="14.4" hidden="false" customHeight="false" outlineLevel="0" collapsed="false">
      <c r="A21" s="320" t="s">
        <v>660</v>
      </c>
      <c r="B21" s="320" t="s">
        <v>651</v>
      </c>
      <c r="C21" s="320" t="s">
        <v>595</v>
      </c>
      <c r="D21" s="320" t="s">
        <v>596</v>
      </c>
      <c r="E21" s="320" t="s">
        <v>661</v>
      </c>
      <c r="F21" s="320" t="s">
        <v>242</v>
      </c>
      <c r="G21" s="320" t="s">
        <v>598</v>
      </c>
      <c r="H21" s="320" t="s">
        <v>662</v>
      </c>
      <c r="I21" s="314" t="str">
        <f aca="false">IF(RIGHT($H21,2)="EC", LEFT($H21,LEN($H21)-2), $H21)</f>
        <v>HR</v>
      </c>
      <c r="J21" s="316" t="str">
        <f aca="false">CONCATENATE(F21,I21)</f>
        <v>B316A-EA03-OPT-BAFF-01HR</v>
      </c>
    </row>
    <row r="22" customFormat="false" ht="14.4" hidden="false" customHeight="false" outlineLevel="0" collapsed="false">
      <c r="A22" s="320" t="s">
        <v>663</v>
      </c>
      <c r="B22" s="320" t="s">
        <v>651</v>
      </c>
      <c r="C22" s="320" t="s">
        <v>595</v>
      </c>
      <c r="D22" s="320" t="s">
        <v>596</v>
      </c>
      <c r="E22" s="320" t="s">
        <v>664</v>
      </c>
      <c r="F22" s="320" t="s">
        <v>266</v>
      </c>
      <c r="G22" s="320" t="s">
        <v>611</v>
      </c>
      <c r="H22" s="320" t="s">
        <v>665</v>
      </c>
      <c r="I22" s="314" t="str">
        <f aca="false">IF(RIGHT($H22,2)="EC", LEFT($H22,LEN($H22)-2), $H22)</f>
        <v>V</v>
      </c>
      <c r="J22" s="316" t="str">
        <f aca="false">CONCATENATE(F22,I22)</f>
        <v>B316A-EA03-DIA-BPM-01V</v>
      </c>
    </row>
    <row r="23" customFormat="false" ht="14.4" hidden="false" customHeight="false" outlineLevel="0" collapsed="false">
      <c r="A23" s="320" t="s">
        <v>666</v>
      </c>
      <c r="B23" s="320" t="s">
        <v>651</v>
      </c>
      <c r="C23" s="320" t="s">
        <v>595</v>
      </c>
      <c r="D23" s="320" t="s">
        <v>596</v>
      </c>
      <c r="E23" s="320" t="s">
        <v>667</v>
      </c>
      <c r="F23" s="320" t="s">
        <v>276</v>
      </c>
      <c r="G23" s="320" t="s">
        <v>615</v>
      </c>
      <c r="H23" s="320" t="s">
        <v>668</v>
      </c>
      <c r="I23" s="314" t="str">
        <f aca="false">IF(RIGHT($H23,2)="EC", LEFT($H23,LEN($H23)-2), $H23)</f>
        <v>V1</v>
      </c>
      <c r="J23" s="316" t="str">
        <f aca="false">CONCATENATE(F23,I23)</f>
        <v>B316A-EA03-OPT-MIR-04V1</v>
      </c>
    </row>
    <row r="24" customFormat="false" ht="14.4" hidden="false" customHeight="false" outlineLevel="0" collapsed="false">
      <c r="A24" s="320" t="s">
        <v>669</v>
      </c>
      <c r="B24" s="320" t="s">
        <v>651</v>
      </c>
      <c r="C24" s="320" t="s">
        <v>595</v>
      </c>
      <c r="D24" s="320" t="s">
        <v>596</v>
      </c>
      <c r="E24" s="320" t="s">
        <v>670</v>
      </c>
      <c r="F24" s="320" t="s">
        <v>276</v>
      </c>
      <c r="G24" s="320" t="s">
        <v>615</v>
      </c>
      <c r="H24" s="320" t="s">
        <v>671</v>
      </c>
      <c r="I24" s="314" t="str">
        <f aca="false">IF(RIGHT($H24,2)="EC", LEFT($H24,LEN($H24)-2), $H24)</f>
        <v>V2</v>
      </c>
      <c r="J24" s="316" t="str">
        <f aca="false">CONCATENATE(F24,I24)</f>
        <v>B316A-EA03-OPT-MIR-04V2</v>
      </c>
    </row>
    <row r="25" customFormat="false" ht="14.4" hidden="false" customHeight="false" outlineLevel="0" collapsed="false">
      <c r="A25" s="320" t="s">
        <v>672</v>
      </c>
      <c r="B25" s="320" t="s">
        <v>651</v>
      </c>
      <c r="C25" s="320" t="s">
        <v>595</v>
      </c>
      <c r="D25" s="320" t="s">
        <v>596</v>
      </c>
      <c r="E25" s="320" t="s">
        <v>673</v>
      </c>
      <c r="F25" s="320" t="s">
        <v>276</v>
      </c>
      <c r="G25" s="320" t="s">
        <v>615</v>
      </c>
      <c r="H25" s="320" t="s">
        <v>674</v>
      </c>
      <c r="I25" s="314" t="str">
        <f aca="false">IF(RIGHT($H25,2)="EC", LEFT($H25,LEN($H25)-2), $H25)</f>
        <v>V3</v>
      </c>
      <c r="J25" s="316" t="str">
        <f aca="false">CONCATENATE(F25,I25)</f>
        <v>B316A-EA03-OPT-MIR-04V3</v>
      </c>
    </row>
    <row r="26" customFormat="false" ht="14.4" hidden="false" customHeight="false" outlineLevel="0" collapsed="false">
      <c r="A26" s="320" t="s">
        <v>675</v>
      </c>
      <c r="B26" s="320" t="s">
        <v>651</v>
      </c>
      <c r="C26" s="320" t="s">
        <v>624</v>
      </c>
      <c r="D26" s="320" t="s">
        <v>625</v>
      </c>
      <c r="E26" s="320" t="s">
        <v>652</v>
      </c>
      <c r="F26" s="320" t="s">
        <v>276</v>
      </c>
      <c r="G26" s="320" t="s">
        <v>615</v>
      </c>
      <c r="H26" s="320" t="s">
        <v>676</v>
      </c>
      <c r="I26" s="314" t="str">
        <f aca="false">IF(RIGHT($H26,2)="EC", LEFT($H26,LEN($H26)-2), $H26)</f>
        <v>H4</v>
      </c>
      <c r="J26" s="316" t="str">
        <f aca="false">CONCATENATE(F26,I26)</f>
        <v>B316A-EA03-OPT-MIR-04H4</v>
      </c>
    </row>
    <row r="27" customFormat="false" ht="14.4" hidden="false" customHeight="false" outlineLevel="0" collapsed="false">
      <c r="A27" s="320" t="s">
        <v>677</v>
      </c>
      <c r="B27" s="320" t="s">
        <v>651</v>
      </c>
      <c r="C27" s="320" t="s">
        <v>624</v>
      </c>
      <c r="D27" s="320" t="s">
        <v>625</v>
      </c>
      <c r="E27" s="320" t="s">
        <v>655</v>
      </c>
      <c r="F27" s="320" t="s">
        <v>276</v>
      </c>
      <c r="G27" s="320" t="s">
        <v>615</v>
      </c>
      <c r="H27" s="320" t="s">
        <v>678</v>
      </c>
      <c r="I27" s="314" t="str">
        <f aca="false">IF(RIGHT($H27,2)="EC", LEFT($H27,LEN($H27)-2), $H27)</f>
        <v>H5</v>
      </c>
      <c r="J27" s="316" t="str">
        <f aca="false">CONCATENATE(F27,I27)</f>
        <v>B316A-EA03-OPT-MIR-04H5</v>
      </c>
    </row>
    <row r="28" customFormat="false" ht="14.4" hidden="false" customHeight="false" outlineLevel="0" collapsed="false">
      <c r="A28" s="320" t="s">
        <v>679</v>
      </c>
      <c r="B28" s="320" t="s">
        <v>651</v>
      </c>
      <c r="C28" s="320" t="s">
        <v>624</v>
      </c>
      <c r="D28" s="320" t="s">
        <v>625</v>
      </c>
      <c r="E28" s="320" t="s">
        <v>658</v>
      </c>
      <c r="F28" s="320" t="s">
        <v>292</v>
      </c>
      <c r="G28" s="320" t="s">
        <v>630</v>
      </c>
      <c r="H28" s="320" t="s">
        <v>680</v>
      </c>
      <c r="I28" s="314" t="str">
        <f aca="false">IF(RIGHT($H28,2)="EC", LEFT($H28,LEN($H28)-2), $H28)</f>
        <v>X</v>
      </c>
      <c r="J28" s="316" t="str">
        <f aca="false">CONCATENATE(F28,I28)</f>
        <v>B316A-EA04-DIA-MP-01X</v>
      </c>
    </row>
    <row r="29" customFormat="false" ht="14.4" hidden="false" customHeight="false" outlineLevel="0" collapsed="false">
      <c r="A29" s="320" t="s">
        <v>681</v>
      </c>
      <c r="B29" s="320" t="s">
        <v>651</v>
      </c>
      <c r="C29" s="320" t="s">
        <v>624</v>
      </c>
      <c r="D29" s="320" t="s">
        <v>625</v>
      </c>
      <c r="E29" s="320" t="s">
        <v>661</v>
      </c>
      <c r="F29" s="320" t="s">
        <v>292</v>
      </c>
      <c r="G29" s="320" t="s">
        <v>630</v>
      </c>
      <c r="H29" s="320" t="s">
        <v>682</v>
      </c>
      <c r="I29" s="314" t="str">
        <f aca="false">IF(RIGHT($H29,2)="EC", LEFT($H29,LEN($H29)-2), $H29)</f>
        <v>Z</v>
      </c>
      <c r="J29" s="316" t="str">
        <f aca="false">CONCATENATE(F29,I29)</f>
        <v>B316A-EA04-DIA-MP-01Z</v>
      </c>
    </row>
    <row r="30" customFormat="false" ht="14.4" hidden="false" customHeight="false" outlineLevel="0" collapsed="false">
      <c r="A30" s="320" t="s">
        <v>683</v>
      </c>
      <c r="B30" s="320" t="s">
        <v>651</v>
      </c>
      <c r="C30" s="320" t="s">
        <v>624</v>
      </c>
      <c r="D30" s="320" t="s">
        <v>625</v>
      </c>
      <c r="E30" s="320" t="s">
        <v>664</v>
      </c>
      <c r="F30" s="320" t="s">
        <v>292</v>
      </c>
      <c r="G30" s="320" t="s">
        <v>630</v>
      </c>
      <c r="H30" s="320" t="s">
        <v>684</v>
      </c>
      <c r="I30" s="314" t="str">
        <f aca="false">IF(RIGHT($H30,2)="EC", LEFT($H30,LEN($H30)-2), $H30)</f>
        <v>Y</v>
      </c>
      <c r="J30" s="316" t="str">
        <f aca="false">CONCATENATE(F30,I30)</f>
        <v>B316A-EA04-DIA-MP-01Y</v>
      </c>
    </row>
    <row r="31" customFormat="false" ht="14.4" hidden="false" customHeight="false" outlineLevel="0" collapsed="false">
      <c r="A31" s="320" t="s">
        <v>685</v>
      </c>
      <c r="B31" s="320" t="s">
        <v>651</v>
      </c>
      <c r="C31" s="320" t="s">
        <v>624</v>
      </c>
      <c r="D31" s="320" t="s">
        <v>625</v>
      </c>
      <c r="E31" s="320" t="s">
        <v>667</v>
      </c>
      <c r="F31" s="320" t="s">
        <v>292</v>
      </c>
      <c r="G31" s="320" t="s">
        <v>630</v>
      </c>
      <c r="H31" s="320" t="s">
        <v>686</v>
      </c>
      <c r="I31" s="314" t="str">
        <f aca="false">IF(RIGHT($H31,2)="EC", LEFT($H31,LEN($H31)-2), $H31)</f>
        <v>YAW</v>
      </c>
      <c r="J31" s="316" t="str">
        <f aca="false">CONCATENATE(F31,I31)</f>
        <v>B316A-EA04-DIA-MP-01YAW</v>
      </c>
    </row>
    <row r="32" customFormat="false" ht="14.4" hidden="false" customHeight="false" outlineLevel="0" collapsed="false">
      <c r="A32" s="320" t="s">
        <v>687</v>
      </c>
      <c r="B32" s="320" t="s">
        <v>651</v>
      </c>
      <c r="C32" s="320" t="s">
        <v>639</v>
      </c>
      <c r="D32" s="320" t="s">
        <v>625</v>
      </c>
      <c r="E32" s="320" t="s">
        <v>658</v>
      </c>
      <c r="F32" s="320" t="s">
        <v>378</v>
      </c>
      <c r="G32" s="320" t="s">
        <v>598</v>
      </c>
      <c r="H32" s="320" t="s">
        <v>653</v>
      </c>
      <c r="I32" s="314" t="str">
        <f aca="false">IF(RIGHT($H32,2)="EC", LEFT($H32,LEN($H32)-2), $H32)</f>
        <v>VT</v>
      </c>
      <c r="J32" s="316" t="str">
        <f aca="false">CONCATENATE(F32,I32)</f>
        <v>B316A-EB03-OPT-BAFF-01VT</v>
      </c>
    </row>
    <row r="33" customFormat="false" ht="14.4" hidden="false" customHeight="false" outlineLevel="0" collapsed="false">
      <c r="A33" s="320" t="s">
        <v>688</v>
      </c>
      <c r="B33" s="320" t="s">
        <v>651</v>
      </c>
      <c r="C33" s="320" t="s">
        <v>639</v>
      </c>
      <c r="D33" s="320" t="s">
        <v>625</v>
      </c>
      <c r="E33" s="320" t="s">
        <v>661</v>
      </c>
      <c r="F33" s="320" t="s">
        <v>378</v>
      </c>
      <c r="G33" s="320" t="s">
        <v>598</v>
      </c>
      <c r="H33" s="320" t="s">
        <v>656</v>
      </c>
      <c r="I33" s="314" t="str">
        <f aca="false">IF(RIGHT($H33,2)="EC", LEFT($H33,LEN($H33)-2), $H33)</f>
        <v>VB</v>
      </c>
      <c r="J33" s="316" t="str">
        <f aca="false">CONCATENATE(F33,I33)</f>
        <v>B316A-EB03-OPT-BAFF-01VB</v>
      </c>
    </row>
    <row r="34" customFormat="false" ht="14.4" hidden="false" customHeight="false" outlineLevel="0" collapsed="false">
      <c r="A34" s="320" t="s">
        <v>689</v>
      </c>
      <c r="B34" s="320" t="s">
        <v>651</v>
      </c>
      <c r="C34" s="320" t="s">
        <v>639</v>
      </c>
      <c r="D34" s="320" t="s">
        <v>625</v>
      </c>
      <c r="E34" s="320" t="s">
        <v>664</v>
      </c>
      <c r="F34" s="320" t="s">
        <v>378</v>
      </c>
      <c r="G34" s="320" t="s">
        <v>598</v>
      </c>
      <c r="H34" s="320" t="s">
        <v>659</v>
      </c>
      <c r="I34" s="314" t="str">
        <f aca="false">IF(RIGHT($H34,2)="EC", LEFT($H34,LEN($H34)-2), $H34)</f>
        <v>HL</v>
      </c>
      <c r="J34" s="316" t="str">
        <f aca="false">CONCATENATE(F34,I34)</f>
        <v>B316A-EB03-OPT-BAFF-01HL</v>
      </c>
    </row>
    <row r="35" customFormat="false" ht="14.4" hidden="false" customHeight="false" outlineLevel="0" collapsed="false">
      <c r="A35" s="320" t="s">
        <v>690</v>
      </c>
      <c r="B35" s="320" t="s">
        <v>651</v>
      </c>
      <c r="C35" s="320" t="s">
        <v>639</v>
      </c>
      <c r="D35" s="320" t="s">
        <v>625</v>
      </c>
      <c r="E35" s="320" t="s">
        <v>667</v>
      </c>
      <c r="F35" s="320" t="s">
        <v>378</v>
      </c>
      <c r="G35" s="320" t="s">
        <v>598</v>
      </c>
      <c r="H35" s="320" t="s">
        <v>662</v>
      </c>
      <c r="I35" s="314" t="str">
        <f aca="false">IF(RIGHT($H35,2)="EC", LEFT($H35,LEN($H35)-2), $H35)</f>
        <v>HR</v>
      </c>
      <c r="J35" s="316" t="str">
        <f aca="false">CONCATENATE(F35,I35)</f>
        <v>B316A-EB03-OPT-BAFF-01HR</v>
      </c>
    </row>
    <row r="36" customFormat="false" ht="14.4" hidden="false" customHeight="false" outlineLevel="0" collapsed="false">
      <c r="A36" s="320" t="s">
        <v>691</v>
      </c>
      <c r="B36" s="320" t="s">
        <v>651</v>
      </c>
      <c r="C36" s="320" t="s">
        <v>639</v>
      </c>
      <c r="D36" s="320" t="s">
        <v>625</v>
      </c>
      <c r="E36" s="320" t="s">
        <v>670</v>
      </c>
      <c r="F36" s="320" t="s">
        <v>383</v>
      </c>
      <c r="G36" s="320" t="s">
        <v>611</v>
      </c>
      <c r="H36" s="320" t="s">
        <v>665</v>
      </c>
      <c r="I36" s="314" t="str">
        <f aca="false">IF(RIGHT($H36,2)="EC", LEFT($H36,LEN($H36)-2), $H36)</f>
        <v>V</v>
      </c>
      <c r="J36" s="316" t="str">
        <f aca="false">CONCATENATE(F36,I36)</f>
        <v>B316A-EB03-DIA-BPM-01V</v>
      </c>
    </row>
    <row r="37" customFormat="false" ht="14.4" hidden="false" customHeight="false" outlineLevel="0" collapsed="false">
      <c r="A37" s="320" t="s">
        <v>692</v>
      </c>
      <c r="B37" s="320" t="s">
        <v>651</v>
      </c>
      <c r="C37" s="320" t="s">
        <v>639</v>
      </c>
      <c r="D37" s="320" t="s">
        <v>625</v>
      </c>
      <c r="E37" s="320" t="s">
        <v>673</v>
      </c>
      <c r="F37" s="320" t="s">
        <v>385</v>
      </c>
      <c r="G37" s="320" t="s">
        <v>615</v>
      </c>
      <c r="H37" s="320" t="s">
        <v>668</v>
      </c>
      <c r="I37" s="314" t="str">
        <f aca="false">IF(RIGHT($H37,2)="EC", LEFT($H37,LEN($H37)-2), $H37)</f>
        <v>V1</v>
      </c>
      <c r="J37" s="316" t="str">
        <f aca="false">CONCATENATE(F37,I37)</f>
        <v>B316A-EB03-OPT-MIR-04V1</v>
      </c>
    </row>
    <row r="38" customFormat="false" ht="14.4" hidden="false" customHeight="false" outlineLevel="0" collapsed="false">
      <c r="A38" s="320" t="s">
        <v>693</v>
      </c>
      <c r="B38" s="320" t="s">
        <v>651</v>
      </c>
      <c r="C38" s="320" t="s">
        <v>646</v>
      </c>
      <c r="D38" s="320" t="s">
        <v>625</v>
      </c>
      <c r="E38" s="320" t="s">
        <v>652</v>
      </c>
      <c r="F38" s="320" t="s">
        <v>385</v>
      </c>
      <c r="G38" s="320" t="s">
        <v>615</v>
      </c>
      <c r="H38" s="320" t="s">
        <v>671</v>
      </c>
      <c r="I38" s="314" t="str">
        <f aca="false">IF(RIGHT($H38,2)="EC", LEFT($H38,LEN($H38)-2), $H38)</f>
        <v>V2</v>
      </c>
      <c r="J38" s="316" t="str">
        <f aca="false">CONCATENATE(F38,I38)</f>
        <v>B316A-EB03-OPT-MIR-04V2</v>
      </c>
    </row>
    <row r="39" customFormat="false" ht="14.4" hidden="false" customHeight="false" outlineLevel="0" collapsed="false">
      <c r="A39" s="320" t="s">
        <v>694</v>
      </c>
      <c r="B39" s="320" t="s">
        <v>651</v>
      </c>
      <c r="C39" s="320" t="s">
        <v>646</v>
      </c>
      <c r="D39" s="320" t="s">
        <v>625</v>
      </c>
      <c r="E39" s="320" t="s">
        <v>655</v>
      </c>
      <c r="F39" s="320" t="s">
        <v>385</v>
      </c>
      <c r="G39" s="320" t="s">
        <v>615</v>
      </c>
      <c r="H39" s="320" t="s">
        <v>674</v>
      </c>
      <c r="I39" s="314" t="str">
        <f aca="false">IF(RIGHT($H39,2)="EC", LEFT($H39,LEN($H39)-2), $H39)</f>
        <v>V3</v>
      </c>
      <c r="J39" s="316" t="str">
        <f aca="false">CONCATENATE(F39,I39)</f>
        <v>B316A-EB03-OPT-MIR-04V3</v>
      </c>
    </row>
    <row r="40" customFormat="false" ht="14.4" hidden="false" customHeight="false" outlineLevel="0" collapsed="false">
      <c r="A40" s="320" t="s">
        <v>695</v>
      </c>
      <c r="B40" s="320" t="s">
        <v>651</v>
      </c>
      <c r="C40" s="320" t="s">
        <v>646</v>
      </c>
      <c r="D40" s="320" t="s">
        <v>625</v>
      </c>
      <c r="E40" s="320" t="s">
        <v>658</v>
      </c>
      <c r="F40" s="320" t="s">
        <v>385</v>
      </c>
      <c r="G40" s="320" t="s">
        <v>615</v>
      </c>
      <c r="H40" s="320" t="s">
        <v>676</v>
      </c>
      <c r="I40" s="314" t="str">
        <f aca="false">IF(RIGHT($H40,2)="EC", LEFT($H40,LEN($H40)-2), $H40)</f>
        <v>H4</v>
      </c>
      <c r="J40" s="316" t="str">
        <f aca="false">CONCATENATE(F40,I40)</f>
        <v>B316A-EB03-OPT-MIR-04H4</v>
      </c>
    </row>
    <row r="41" customFormat="false" ht="14.4" hidden="false" customHeight="false" outlineLevel="0" collapsed="false">
      <c r="A41" s="320" t="s">
        <v>696</v>
      </c>
      <c r="B41" s="320" t="s">
        <v>651</v>
      </c>
      <c r="C41" s="320" t="s">
        <v>646</v>
      </c>
      <c r="D41" s="320" t="s">
        <v>625</v>
      </c>
      <c r="E41" s="320" t="s">
        <v>661</v>
      </c>
      <c r="F41" s="320" t="s">
        <v>385</v>
      </c>
      <c r="G41" s="320" t="s">
        <v>615</v>
      </c>
      <c r="H41" s="320" t="s">
        <v>678</v>
      </c>
      <c r="I41" s="314" t="str">
        <f aca="false">IF(RIGHT($H41,2)="EC", LEFT($H41,LEN($H41)-2), $H41)</f>
        <v>H5</v>
      </c>
      <c r="J41" s="316" t="str">
        <f aca="false">CONCATENATE(F41,I41)</f>
        <v>B316A-EB03-OPT-MIR-04H5</v>
      </c>
    </row>
    <row r="42" customFormat="false" ht="14.4" hidden="false" customHeight="false" outlineLevel="0" collapsed="false">
      <c r="A42" s="315"/>
      <c r="B42" s="315"/>
      <c r="C42" s="318"/>
      <c r="D42" s="315"/>
      <c r="E42" s="315"/>
      <c r="H42" s="318"/>
      <c r="I42" s="314" t="n">
        <f aca="false">IF(RIGHT($H42,2)="EC", LEFT($H42,LEN($H42)-2), $H42)</f>
        <v>0</v>
      </c>
      <c r="J42" s="316" t="str">
        <f aca="false">CONCATENATE(F42,I42)</f>
        <v>0</v>
      </c>
    </row>
    <row r="43" customFormat="false" ht="14.4" hidden="false" customHeight="false" outlineLevel="0" collapsed="false">
      <c r="A43" s="315"/>
      <c r="B43" s="315"/>
      <c r="C43" s="318"/>
      <c r="D43" s="315"/>
      <c r="E43" s="315"/>
      <c r="G43" s="321"/>
      <c r="H43" s="318"/>
      <c r="I43" s="314" t="n">
        <f aca="false">IF(RIGHT($H43,2)="EC", LEFT($H43,LEN($H43)-2), $H43)</f>
        <v>0</v>
      </c>
      <c r="J43" s="316" t="str">
        <f aca="false">CONCATENATE(F43,I43)</f>
        <v>0</v>
      </c>
    </row>
    <row r="44" customFormat="false" ht="14.4" hidden="false" customHeight="false" outlineLevel="0" collapsed="false">
      <c r="A44" s="315"/>
      <c r="B44" s="315"/>
      <c r="C44" s="318"/>
      <c r="D44" s="315"/>
      <c r="E44" s="315"/>
      <c r="G44" s="321"/>
      <c r="H44" s="318"/>
      <c r="I44" s="314" t="n">
        <f aca="false">IF(RIGHT($H44,2)="EC", LEFT($H44,LEN($H44)-2), $H44)</f>
        <v>0</v>
      </c>
      <c r="J44" s="316" t="str">
        <f aca="false">CONCATENATE(F44,I44)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G35" activeCellId="1" sqref="O61:O64 G35"/>
    </sheetView>
  </sheetViews>
  <sheetFormatPr defaultRowHeight="14.4" outlineLevelRow="0" outlineLevelCol="0"/>
  <cols>
    <col collapsed="false" customWidth="true" hidden="false" outlineLevel="0" max="1" min="1" style="0" width="8.89"/>
    <col collapsed="false" customWidth="true" hidden="false" outlineLevel="0" max="2" min="2" style="0" width="11.33"/>
    <col collapsed="false" customWidth="true" hidden="false" outlineLevel="0" max="3" min="3" style="0" width="33"/>
    <col collapsed="false" customWidth="true" hidden="false" outlineLevel="0" max="4" min="4" style="0" width="15.34"/>
    <col collapsed="false" customWidth="true" hidden="false" outlineLevel="0" max="5" min="5" style="0" width="8.89"/>
    <col collapsed="false" customWidth="true" hidden="false" outlineLevel="0" max="6" min="6" style="0" width="23.11"/>
    <col collapsed="false" customWidth="true" hidden="false" outlineLevel="0" max="7" min="7" style="0" width="26.11"/>
    <col collapsed="false" customWidth="true" hidden="false" outlineLevel="0" max="8" min="8" style="0" width="6.88"/>
    <col collapsed="false" customWidth="true" hidden="false" outlineLevel="0" max="1025" min="9" style="0" width="8.67"/>
  </cols>
  <sheetData>
    <row r="1" customFormat="false" ht="14.4" hidden="false" customHeight="false" outlineLevel="0" collapsed="false">
      <c r="A1" s="318" t="s">
        <v>583</v>
      </c>
      <c r="B1" s="318" t="s">
        <v>584</v>
      </c>
      <c r="C1" s="318" t="s">
        <v>585</v>
      </c>
      <c r="D1" s="318" t="s">
        <v>586</v>
      </c>
      <c r="E1" s="318" t="s">
        <v>587</v>
      </c>
      <c r="F1" s="318" t="s">
        <v>588</v>
      </c>
      <c r="G1" s="318" t="s">
        <v>589</v>
      </c>
      <c r="H1" s="318" t="s">
        <v>590</v>
      </c>
      <c r="I1" s="322" t="s">
        <v>591</v>
      </c>
      <c r="J1" s="322" t="s">
        <v>592</v>
      </c>
    </row>
    <row r="2" customFormat="false" ht="14.4" hidden="false" customHeight="false" outlineLevel="0" collapsed="false">
      <c r="A2" s="315" t="s">
        <v>253</v>
      </c>
      <c r="B2" s="315" t="s">
        <v>253</v>
      </c>
      <c r="C2" s="315" t="s">
        <v>595</v>
      </c>
      <c r="D2" s="315" t="s">
        <v>625</v>
      </c>
      <c r="E2" s="315" t="s">
        <v>697</v>
      </c>
      <c r="F2" s="315" t="s">
        <v>242</v>
      </c>
      <c r="G2" s="315" t="s">
        <v>243</v>
      </c>
      <c r="H2" s="315" t="s">
        <v>698</v>
      </c>
      <c r="I2" s="71" t="str">
        <f aca="false">IF(RIGHT($H2,3)="DIS", LEFT($H2,LEN($H2)-3), $H2)</f>
        <v>VT</v>
      </c>
      <c r="J2" s="71" t="str">
        <f aca="false">CONCATENATE(F2,I2)</f>
        <v>B316A-EA03-OPT-BAFF-01VT</v>
      </c>
    </row>
    <row r="3" customFormat="false" ht="14.4" hidden="false" customHeight="false" outlineLevel="0" collapsed="false">
      <c r="A3" s="315" t="s">
        <v>253</v>
      </c>
      <c r="B3" s="315" t="s">
        <v>253</v>
      </c>
      <c r="C3" s="315" t="s">
        <v>595</v>
      </c>
      <c r="D3" s="315" t="s">
        <v>625</v>
      </c>
      <c r="E3" s="315" t="s">
        <v>699</v>
      </c>
      <c r="F3" s="315" t="s">
        <v>242</v>
      </c>
      <c r="G3" s="315" t="s">
        <v>243</v>
      </c>
      <c r="H3" s="315" t="s">
        <v>700</v>
      </c>
      <c r="I3" s="71" t="str">
        <f aca="false">IF(RIGHT($H3,3)="DIS", LEFT($H3,LEN($H3)-3), $H3)</f>
        <v>VB</v>
      </c>
      <c r="J3" s="71" t="str">
        <f aca="false">CONCATENATE(F3,I3)</f>
        <v>B316A-EA03-OPT-BAFF-01VB</v>
      </c>
    </row>
    <row r="4" customFormat="false" ht="14.4" hidden="false" customHeight="false" outlineLevel="0" collapsed="false">
      <c r="A4" s="315" t="s">
        <v>253</v>
      </c>
      <c r="B4" s="315" t="s">
        <v>253</v>
      </c>
      <c r="C4" s="315" t="s">
        <v>595</v>
      </c>
      <c r="D4" s="315" t="s">
        <v>625</v>
      </c>
      <c r="E4" s="315" t="s">
        <v>701</v>
      </c>
      <c r="F4" s="315" t="s">
        <v>242</v>
      </c>
      <c r="G4" s="315" t="s">
        <v>243</v>
      </c>
      <c r="H4" s="315" t="s">
        <v>702</v>
      </c>
      <c r="I4" s="71" t="str">
        <f aca="false">IF(RIGHT($H4,3)="DIS", LEFT($H4,LEN($H4)-3), $H4)</f>
        <v>HL</v>
      </c>
      <c r="J4" s="71" t="str">
        <f aca="false">CONCATENATE(F4,I4)</f>
        <v>B316A-EA03-OPT-BAFF-01HL</v>
      </c>
    </row>
    <row r="5" customFormat="false" ht="14.4" hidden="false" customHeight="false" outlineLevel="0" collapsed="false">
      <c r="A5" s="315" t="s">
        <v>253</v>
      </c>
      <c r="B5" s="315" t="s">
        <v>253</v>
      </c>
      <c r="C5" s="315" t="s">
        <v>595</v>
      </c>
      <c r="D5" s="315" t="s">
        <v>625</v>
      </c>
      <c r="E5" s="315" t="s">
        <v>703</v>
      </c>
      <c r="F5" s="315" t="s">
        <v>242</v>
      </c>
      <c r="G5" s="315" t="s">
        <v>243</v>
      </c>
      <c r="H5" s="315" t="s">
        <v>704</v>
      </c>
      <c r="I5" s="71" t="str">
        <f aca="false">IF(RIGHT($H5,3)="DIS", LEFT($H5,LEN($H5)-3), $H5)</f>
        <v>HR</v>
      </c>
      <c r="J5" s="71" t="str">
        <f aca="false">CONCATENATE(F5,I5)</f>
        <v>B316A-EA03-OPT-BAFF-01HR</v>
      </c>
    </row>
    <row r="6" customFormat="false" ht="14.4" hidden="false" customHeight="false" outlineLevel="0" collapsed="false">
      <c r="A6" s="315" t="s">
        <v>253</v>
      </c>
      <c r="B6" s="315" t="s">
        <v>253</v>
      </c>
      <c r="C6" s="315" t="s">
        <v>595</v>
      </c>
      <c r="D6" s="315" t="s">
        <v>625</v>
      </c>
      <c r="E6" s="315" t="s">
        <v>705</v>
      </c>
      <c r="F6" s="0" t="s">
        <v>266</v>
      </c>
      <c r="G6" s="318" t="s">
        <v>267</v>
      </c>
      <c r="H6" s="318" t="s">
        <v>706</v>
      </c>
      <c r="I6" s="71" t="str">
        <f aca="false">IF(RIGHT($H6,3)="DIS", LEFT($H6,LEN($H6)-3), $H6)</f>
        <v>V</v>
      </c>
      <c r="J6" s="71" t="str">
        <f aca="false">CONCATENATE(F6,I6)</f>
        <v>B316A-EA03-DIA-BPM-01V</v>
      </c>
    </row>
    <row r="7" customFormat="false" ht="14.4" hidden="false" customHeight="false" outlineLevel="0" collapsed="false">
      <c r="A7" s="315" t="s">
        <v>253</v>
      </c>
      <c r="B7" s="315" t="s">
        <v>253</v>
      </c>
      <c r="C7" s="315" t="s">
        <v>595</v>
      </c>
      <c r="D7" s="315" t="s">
        <v>625</v>
      </c>
      <c r="E7" s="315" t="s">
        <v>707</v>
      </c>
      <c r="F7" s="0" t="s">
        <v>276</v>
      </c>
      <c r="G7" s="0" t="s">
        <v>277</v>
      </c>
      <c r="H7" s="315" t="s">
        <v>708</v>
      </c>
      <c r="I7" s="71" t="str">
        <f aca="false">IF(RIGHT($H7,3)="DIS", LEFT($H7,LEN($H7)-3), $H7)</f>
        <v>V1</v>
      </c>
      <c r="J7" s="71" t="str">
        <f aca="false">CONCATENATE(F7,I7)</f>
        <v>B316A-EA03-OPT-MIR-04V1</v>
      </c>
    </row>
    <row r="8" customFormat="false" ht="14.4" hidden="false" customHeight="false" outlineLevel="0" collapsed="false">
      <c r="A8" s="315" t="s">
        <v>253</v>
      </c>
      <c r="B8" s="315" t="s">
        <v>253</v>
      </c>
      <c r="C8" s="315" t="s">
        <v>595</v>
      </c>
      <c r="D8" s="315" t="s">
        <v>625</v>
      </c>
      <c r="E8" s="315" t="s">
        <v>709</v>
      </c>
      <c r="F8" s="0" t="s">
        <v>276</v>
      </c>
      <c r="G8" s="0" t="s">
        <v>277</v>
      </c>
      <c r="H8" s="315" t="s">
        <v>710</v>
      </c>
      <c r="I8" s="71" t="str">
        <f aca="false">IF(RIGHT($H8,3)="DIS", LEFT($H8,LEN($H8)-3), $H8)</f>
        <v>V2</v>
      </c>
      <c r="J8" s="71" t="str">
        <f aca="false">CONCATENATE(F8,I8)</f>
        <v>B316A-EA03-OPT-MIR-04V2</v>
      </c>
    </row>
    <row r="9" customFormat="false" ht="14.4" hidden="false" customHeight="false" outlineLevel="0" collapsed="false">
      <c r="A9" s="315" t="s">
        <v>253</v>
      </c>
      <c r="B9" s="315" t="s">
        <v>253</v>
      </c>
      <c r="C9" s="315" t="s">
        <v>595</v>
      </c>
      <c r="D9" s="315" t="s">
        <v>625</v>
      </c>
      <c r="E9" s="315" t="s">
        <v>711</v>
      </c>
      <c r="F9" s="0" t="s">
        <v>276</v>
      </c>
      <c r="G9" s="0" t="s">
        <v>277</v>
      </c>
      <c r="H9" s="315" t="s">
        <v>712</v>
      </c>
      <c r="I9" s="71" t="str">
        <f aca="false">IF(RIGHT($H9,3)="DIS", LEFT($H9,LEN($H9)-3), $H9)</f>
        <v>V3</v>
      </c>
      <c r="J9" s="71" t="str">
        <f aca="false">CONCATENATE(F9,I9)</f>
        <v>B316A-EA03-OPT-MIR-04V3</v>
      </c>
    </row>
    <row r="10" customFormat="false" ht="14.4" hidden="false" customHeight="false" outlineLevel="0" collapsed="false">
      <c r="A10" s="315" t="s">
        <v>253</v>
      </c>
      <c r="B10" s="315" t="s">
        <v>253</v>
      </c>
      <c r="C10" s="315" t="s">
        <v>624</v>
      </c>
      <c r="D10" s="315" t="s">
        <v>625</v>
      </c>
      <c r="E10" s="315" t="s">
        <v>697</v>
      </c>
      <c r="F10" s="0" t="s">
        <v>276</v>
      </c>
      <c r="G10" s="0" t="s">
        <v>277</v>
      </c>
      <c r="H10" s="315" t="s">
        <v>713</v>
      </c>
      <c r="I10" s="71" t="str">
        <f aca="false">IF(RIGHT($H10,3)="DIS", LEFT($H10,LEN($H10)-3), $H10)</f>
        <v>H4</v>
      </c>
      <c r="J10" s="71" t="str">
        <f aca="false">CONCATENATE(F10,I10)</f>
        <v>B316A-EA03-OPT-MIR-04H4</v>
      </c>
    </row>
    <row r="11" customFormat="false" ht="14.4" hidden="false" customHeight="false" outlineLevel="0" collapsed="false">
      <c r="A11" s="315" t="s">
        <v>253</v>
      </c>
      <c r="B11" s="315" t="s">
        <v>253</v>
      </c>
      <c r="C11" s="315" t="s">
        <v>624</v>
      </c>
      <c r="D11" s="315" t="s">
        <v>625</v>
      </c>
      <c r="E11" s="315" t="s">
        <v>699</v>
      </c>
      <c r="F11" s="0" t="s">
        <v>276</v>
      </c>
      <c r="G11" s="0" t="s">
        <v>277</v>
      </c>
      <c r="H11" s="315" t="s">
        <v>714</v>
      </c>
      <c r="I11" s="71" t="str">
        <f aca="false">IF(RIGHT($H11,3)="DIS", LEFT($H11,LEN($H11)-3), $H11)</f>
        <v>H5</v>
      </c>
      <c r="J11" s="71" t="str">
        <f aca="false">CONCATENATE(F11,I11)</f>
        <v>B316A-EA03-OPT-MIR-04H5</v>
      </c>
    </row>
    <row r="12" customFormat="false" ht="14.4" hidden="false" customHeight="false" outlineLevel="0" collapsed="false">
      <c r="E12" s="315" t="s">
        <v>701</v>
      </c>
    </row>
    <row r="13" customFormat="false" ht="14.4" hidden="false" customHeight="false" outlineLevel="0" collapsed="false">
      <c r="E13" s="315" t="s">
        <v>703</v>
      </c>
    </row>
    <row r="14" customFormat="false" ht="14.4" hidden="false" customHeight="false" outlineLevel="0" collapsed="false">
      <c r="E14" s="315" t="s">
        <v>705</v>
      </c>
    </row>
    <row r="15" customFormat="false" ht="14.4" hidden="false" customHeight="false" outlineLevel="0" collapsed="false">
      <c r="E15" s="315" t="s">
        <v>707</v>
      </c>
    </row>
    <row r="16" customFormat="false" ht="14.4" hidden="false" customHeight="false" outlineLevel="0" collapsed="false">
      <c r="E16" s="315" t="s">
        <v>709</v>
      </c>
    </row>
    <row r="17" customFormat="false" ht="14.4" hidden="false" customHeight="false" outlineLevel="0" collapsed="false">
      <c r="E17" s="315" t="s">
        <v>711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I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84" activePane="bottomRight" state="frozen"/>
      <selection pane="topLeft" activeCell="A1" activeCellId="0" sqref="A1"/>
      <selection pane="topRight" activeCell="B1" activeCellId="0" sqref="B1"/>
      <selection pane="bottomLeft" activeCell="A84" activeCellId="0" sqref="A84"/>
      <selection pane="bottomRight" activeCell="A1" activeCellId="1" sqref="O61:O64 A1"/>
    </sheetView>
  </sheetViews>
  <sheetFormatPr defaultRowHeight="14.4" outlineLevelRow="0" outlineLevelCol="0"/>
  <cols>
    <col collapsed="false" customWidth="true" hidden="false" outlineLevel="0" max="1" min="1" style="0" width="38.44"/>
    <col collapsed="false" customWidth="true" hidden="false" outlineLevel="0" max="23" min="2" style="0" width="8.67"/>
    <col collapsed="false" customWidth="true" hidden="false" outlineLevel="0" max="24" min="24" style="0" width="10.11"/>
    <col collapsed="false" customWidth="true" hidden="false" outlineLevel="0" max="1025" min="25" style="0" width="8.67"/>
  </cols>
  <sheetData>
    <row r="1" customFormat="false" ht="14.4" hidden="false" customHeight="false" outlineLevel="0" collapsed="false">
      <c r="A1" s="0" t="s">
        <v>715</v>
      </c>
      <c r="B1" s="0" t="n">
        <f aca="false">COUNTIF($A:$A,"&lt;&gt;"&amp;"")</f>
        <v>105</v>
      </c>
    </row>
    <row r="2" customFormat="false" ht="14.4" hidden="false" customHeight="false" outlineLevel="0" collapsed="false">
      <c r="A2" s="0" t="s">
        <v>716</v>
      </c>
      <c r="B2" s="0" t="s">
        <v>717</v>
      </c>
      <c r="C2" s="0" t="s">
        <v>718</v>
      </c>
      <c r="D2" s="0" t="s">
        <v>719</v>
      </c>
      <c r="E2" s="0" t="s">
        <v>720</v>
      </c>
      <c r="F2" s="0" t="s">
        <v>721</v>
      </c>
      <c r="G2" s="0" t="s">
        <v>431</v>
      </c>
      <c r="H2" s="0" t="s">
        <v>432</v>
      </c>
      <c r="I2" s="0" t="s">
        <v>433</v>
      </c>
      <c r="J2" s="0" t="s">
        <v>434</v>
      </c>
      <c r="K2" s="0" t="s">
        <v>722</v>
      </c>
      <c r="L2" s="0" t="s">
        <v>394</v>
      </c>
      <c r="M2" s="0" t="s">
        <v>393</v>
      </c>
      <c r="N2" s="0" t="s">
        <v>723</v>
      </c>
      <c r="O2" s="0" t="s">
        <v>724</v>
      </c>
      <c r="P2" s="0" t="s">
        <v>725</v>
      </c>
      <c r="Q2" s="0" t="s">
        <v>726</v>
      </c>
      <c r="R2" s="0" t="s">
        <v>727</v>
      </c>
      <c r="S2" s="0" t="s">
        <v>728</v>
      </c>
      <c r="T2" s="0" t="s">
        <v>729</v>
      </c>
      <c r="U2" s="0" t="s">
        <v>730</v>
      </c>
      <c r="V2" s="0" t="s">
        <v>731</v>
      </c>
      <c r="W2" s="0" t="s">
        <v>732</v>
      </c>
      <c r="X2" s="0" t="s">
        <v>733</v>
      </c>
      <c r="Y2" s="0" t="s">
        <v>734</v>
      </c>
      <c r="Z2" s="0" t="s">
        <v>735</v>
      </c>
      <c r="AA2" s="0" t="s">
        <v>736</v>
      </c>
      <c r="AB2" s="0" t="s">
        <v>737</v>
      </c>
      <c r="AC2" s="0" t="s">
        <v>738</v>
      </c>
      <c r="AD2" s="0" t="s">
        <v>739</v>
      </c>
      <c r="AE2" s="0" t="s">
        <v>740</v>
      </c>
      <c r="AF2" s="0" t="s">
        <v>741</v>
      </c>
      <c r="AG2" s="0" t="s">
        <v>742</v>
      </c>
      <c r="AH2" s="0" t="s">
        <v>743</v>
      </c>
      <c r="AI2" s="0" t="s">
        <v>744</v>
      </c>
    </row>
    <row r="3" customFormat="false" ht="14.4" hidden="false" customHeight="false" outlineLevel="0" collapsed="false">
      <c r="A3" s="0" t="s">
        <v>745</v>
      </c>
      <c r="B3" s="0" t="n">
        <v>60</v>
      </c>
      <c r="C3" s="0" t="n">
        <v>5.9</v>
      </c>
      <c r="D3" s="0" t="n">
        <v>1.2</v>
      </c>
      <c r="E3" s="0" t="n">
        <v>2.6</v>
      </c>
      <c r="F3" s="0" t="n">
        <v>200</v>
      </c>
      <c r="G3" s="0" t="n">
        <f aca="false">$B3</f>
        <v>60</v>
      </c>
      <c r="H3" s="0" t="n">
        <f aca="false">IF(I3&gt;5,20,12)</f>
        <v>20</v>
      </c>
      <c r="I3" s="0" t="n">
        <f aca="false">$C3</f>
        <v>5.9</v>
      </c>
      <c r="J3" s="0" t="n">
        <v>50</v>
      </c>
      <c r="K3" s="0" t="n">
        <f aca="false">INT($F3/4)</f>
        <v>50</v>
      </c>
      <c r="L3" s="0" t="n">
        <v>1</v>
      </c>
      <c r="M3" s="0" t="n">
        <f aca="false">$F3*2</f>
        <v>400</v>
      </c>
      <c r="N3" s="0" t="n">
        <f aca="false">5*$F3</f>
        <v>1000</v>
      </c>
      <c r="O3" s="0" t="n">
        <f aca="false">0.3</f>
        <v>0.3</v>
      </c>
      <c r="P3" s="0" t="s">
        <v>746</v>
      </c>
      <c r="Q3" s="0" t="s">
        <v>747</v>
      </c>
      <c r="R3" s="0" t="n">
        <f aca="false">INT($N3/2)</f>
        <v>500</v>
      </c>
    </row>
    <row r="4" customFormat="false" ht="14.4" hidden="false" customHeight="false" outlineLevel="0" collapsed="false">
      <c r="A4" s="0" t="s">
        <v>748</v>
      </c>
      <c r="B4" s="0" t="n">
        <v>60</v>
      </c>
      <c r="C4" s="0" t="n">
        <v>2</v>
      </c>
      <c r="D4" s="0" t="n">
        <v>4.75</v>
      </c>
      <c r="E4" s="0" t="n">
        <v>9</v>
      </c>
      <c r="F4" s="0" t="n">
        <v>200</v>
      </c>
      <c r="G4" s="0" t="n">
        <f aca="false">$B4</f>
        <v>60</v>
      </c>
      <c r="H4" s="0" t="n">
        <f aca="false">IF(I4&gt;5,20,12)</f>
        <v>12</v>
      </c>
      <c r="I4" s="0" t="n">
        <f aca="false">$C4</f>
        <v>2</v>
      </c>
      <c r="J4" s="0" t="n">
        <v>50</v>
      </c>
      <c r="K4" s="0" t="n">
        <f aca="false">INT($F4/4)</f>
        <v>50</v>
      </c>
      <c r="L4" s="0" t="n">
        <v>1</v>
      </c>
      <c r="M4" s="0" t="n">
        <f aca="false">$F4*2</f>
        <v>400</v>
      </c>
      <c r="N4" s="0" t="n">
        <f aca="false">5*$F4</f>
        <v>1000</v>
      </c>
      <c r="O4" s="0" t="n">
        <f aca="false">0.3</f>
        <v>0.3</v>
      </c>
      <c r="P4" s="0" t="s">
        <v>746</v>
      </c>
      <c r="Q4" s="0" t="s">
        <v>747</v>
      </c>
      <c r="R4" s="0" t="n">
        <f aca="false">INT($N4/2)</f>
        <v>500</v>
      </c>
    </row>
    <row r="5" customFormat="false" ht="14.4" hidden="false" customHeight="false" outlineLevel="0" collapsed="false">
      <c r="A5" s="0" t="s">
        <v>749</v>
      </c>
      <c r="B5" s="0" t="n">
        <v>55</v>
      </c>
      <c r="C5" s="0" t="n">
        <v>7.5</v>
      </c>
      <c r="D5" s="0" t="n">
        <v>0.72</v>
      </c>
      <c r="E5" s="0" t="n">
        <v>1.2</v>
      </c>
      <c r="F5" s="0" t="n">
        <v>200</v>
      </c>
      <c r="G5" s="0" t="n">
        <f aca="false">$B5</f>
        <v>55</v>
      </c>
      <c r="H5" s="0" t="n">
        <f aca="false">IF(I5&gt;5,20,12)</f>
        <v>20</v>
      </c>
      <c r="I5" s="0" t="n">
        <f aca="false">$C5</f>
        <v>7.5</v>
      </c>
      <c r="J5" s="0" t="n">
        <v>50</v>
      </c>
      <c r="K5" s="0" t="n">
        <f aca="false">INT($F5/4)</f>
        <v>50</v>
      </c>
      <c r="L5" s="0" t="n">
        <v>1</v>
      </c>
      <c r="M5" s="0" t="n">
        <f aca="false">$F5*2</f>
        <v>400</v>
      </c>
      <c r="N5" s="0" t="n">
        <f aca="false">5*$F5</f>
        <v>1000</v>
      </c>
      <c r="O5" s="0" t="n">
        <f aca="false">0.3</f>
        <v>0.3</v>
      </c>
      <c r="P5" s="0" t="s">
        <v>746</v>
      </c>
      <c r="Q5" s="0" t="s">
        <v>747</v>
      </c>
      <c r="R5" s="0" t="n">
        <f aca="false">INT($N5/2)</f>
        <v>500</v>
      </c>
    </row>
    <row r="6" customFormat="false" ht="14.4" hidden="false" customHeight="false" outlineLevel="0" collapsed="false">
      <c r="A6" s="0" t="s">
        <v>750</v>
      </c>
      <c r="B6" s="0" t="n">
        <v>25</v>
      </c>
      <c r="C6" s="0" t="n">
        <v>0.8</v>
      </c>
      <c r="D6" s="0" t="n">
        <v>1.9</v>
      </c>
      <c r="E6" s="0" t="n">
        <v>0.5</v>
      </c>
      <c r="F6" s="0" t="n">
        <v>200</v>
      </c>
      <c r="G6" s="0" t="n">
        <f aca="false">$B6</f>
        <v>25</v>
      </c>
      <c r="H6" s="0" t="n">
        <f aca="false">IF(I6&gt;5,20,12)</f>
        <v>12</v>
      </c>
      <c r="I6" s="0" t="n">
        <f aca="false">$C6</f>
        <v>0.8</v>
      </c>
      <c r="J6" s="0" t="n">
        <v>50</v>
      </c>
      <c r="K6" s="0" t="n">
        <f aca="false">INT($F6/4)</f>
        <v>50</v>
      </c>
      <c r="L6" s="0" t="n">
        <v>1</v>
      </c>
      <c r="M6" s="0" t="n">
        <f aca="false">$F6*2</f>
        <v>400</v>
      </c>
      <c r="N6" s="0" t="n">
        <f aca="false">5*$F6</f>
        <v>1000</v>
      </c>
      <c r="O6" s="0" t="n">
        <f aca="false">0.3</f>
        <v>0.3</v>
      </c>
      <c r="P6" s="0" t="s">
        <v>746</v>
      </c>
      <c r="Q6" s="0" t="s">
        <v>747</v>
      </c>
      <c r="R6" s="0" t="n">
        <f aca="false">INT($N6/2)</f>
        <v>500</v>
      </c>
    </row>
    <row r="7" customFormat="false" ht="14.4" hidden="false" customHeight="false" outlineLevel="0" collapsed="false">
      <c r="A7" s="0" t="s">
        <v>751</v>
      </c>
      <c r="B7" s="0" t="n">
        <v>25</v>
      </c>
      <c r="C7" s="0" t="n">
        <v>1.7</v>
      </c>
      <c r="D7" s="0" t="n">
        <v>0.95</v>
      </c>
      <c r="E7" s="0" t="n">
        <v>0.4</v>
      </c>
      <c r="F7" s="0" t="n">
        <v>200</v>
      </c>
      <c r="G7" s="0" t="n">
        <f aca="false">$B7</f>
        <v>25</v>
      </c>
      <c r="H7" s="0" t="n">
        <f aca="false">IF(I7&gt;5,20,12)</f>
        <v>12</v>
      </c>
      <c r="I7" s="0" t="n">
        <f aca="false">$C7</f>
        <v>1.7</v>
      </c>
      <c r="J7" s="0" t="n">
        <v>50</v>
      </c>
      <c r="K7" s="0" t="n">
        <f aca="false">INT($F7/4)</f>
        <v>50</v>
      </c>
      <c r="L7" s="0" t="n">
        <v>1</v>
      </c>
      <c r="M7" s="0" t="n">
        <f aca="false">$F7*2</f>
        <v>400</v>
      </c>
      <c r="N7" s="0" t="n">
        <f aca="false">5*$F7</f>
        <v>1000</v>
      </c>
      <c r="O7" s="0" t="n">
        <f aca="false">0.3</f>
        <v>0.3</v>
      </c>
      <c r="P7" s="0" t="s">
        <v>746</v>
      </c>
      <c r="Q7" s="0" t="s">
        <v>747</v>
      </c>
      <c r="R7" s="0" t="n">
        <f aca="false">INT($N7/2)</f>
        <v>500</v>
      </c>
    </row>
    <row r="8" customFormat="false" ht="14.4" hidden="false" customHeight="false" outlineLevel="0" collapsed="false">
      <c r="A8" s="0" t="s">
        <v>752</v>
      </c>
      <c r="B8" s="0" t="n">
        <v>42</v>
      </c>
      <c r="C8" s="0" t="n">
        <v>1.7</v>
      </c>
      <c r="D8" s="0" t="n">
        <v>1.25</v>
      </c>
      <c r="E8" s="0" t="n">
        <v>1.2</v>
      </c>
      <c r="F8" s="0" t="n">
        <v>200</v>
      </c>
      <c r="G8" s="0" t="n">
        <f aca="false">$B8</f>
        <v>42</v>
      </c>
      <c r="H8" s="0" t="n">
        <f aca="false">IF(I8&gt;5,20,12)</f>
        <v>12</v>
      </c>
      <c r="I8" s="0" t="n">
        <f aca="false">$C8</f>
        <v>1.7</v>
      </c>
      <c r="J8" s="0" t="n">
        <v>50</v>
      </c>
      <c r="K8" s="0" t="n">
        <f aca="false">INT($F8/4)</f>
        <v>50</v>
      </c>
      <c r="L8" s="0" t="n">
        <v>1</v>
      </c>
      <c r="M8" s="0" t="n">
        <f aca="false">$F8*2</f>
        <v>400</v>
      </c>
      <c r="N8" s="0" t="n">
        <f aca="false">5*$F8</f>
        <v>1000</v>
      </c>
      <c r="O8" s="0" t="n">
        <f aca="false">0.3</f>
        <v>0.3</v>
      </c>
      <c r="P8" s="0" t="s">
        <v>746</v>
      </c>
      <c r="Q8" s="0" t="s">
        <v>747</v>
      </c>
      <c r="R8" s="0" t="n">
        <f aca="false">INT($N8/2)</f>
        <v>500</v>
      </c>
    </row>
    <row r="9" customFormat="false" ht="14.4" hidden="false" customHeight="false" outlineLevel="0" collapsed="false">
      <c r="A9" s="0" t="s">
        <v>753</v>
      </c>
      <c r="B9" s="0" t="n">
        <v>25</v>
      </c>
      <c r="C9" s="0" t="n">
        <v>3.5</v>
      </c>
      <c r="D9" s="0" t="n">
        <v>0.3</v>
      </c>
      <c r="E9" s="0" t="n">
        <v>0.3</v>
      </c>
      <c r="F9" s="0" t="n">
        <v>200</v>
      </c>
      <c r="G9" s="0" t="n">
        <f aca="false">$B9</f>
        <v>25</v>
      </c>
      <c r="H9" s="0" t="n">
        <f aca="false">IF(I9&gt;5,20,12)</f>
        <v>12</v>
      </c>
      <c r="I9" s="0" t="n">
        <f aca="false">$C9</f>
        <v>3.5</v>
      </c>
      <c r="J9" s="0" t="n">
        <v>50</v>
      </c>
      <c r="K9" s="0" t="n">
        <f aca="false">INT($F9/4)</f>
        <v>50</v>
      </c>
      <c r="L9" s="0" t="n">
        <v>1</v>
      </c>
      <c r="M9" s="0" t="n">
        <f aca="false">$F9*2</f>
        <v>400</v>
      </c>
      <c r="N9" s="0" t="n">
        <f aca="false">5*$F9</f>
        <v>1000</v>
      </c>
      <c r="O9" s="0" t="n">
        <f aca="false">0.3</f>
        <v>0.3</v>
      </c>
      <c r="P9" s="0" t="s">
        <v>746</v>
      </c>
      <c r="Q9" s="0" t="s">
        <v>747</v>
      </c>
      <c r="R9" s="0" t="n">
        <f aca="false">INT($N9/2)</f>
        <v>500</v>
      </c>
    </row>
    <row r="10" customFormat="false" ht="14.4" hidden="false" customHeight="false" outlineLevel="0" collapsed="false">
      <c r="A10" s="0" t="s">
        <v>754</v>
      </c>
      <c r="B10" s="0" t="n">
        <v>42</v>
      </c>
      <c r="C10" s="0" t="n">
        <v>0.8</v>
      </c>
      <c r="D10" s="0" t="n">
        <v>5.1</v>
      </c>
      <c r="E10" s="0" t="n">
        <v>7.6</v>
      </c>
      <c r="F10" s="0" t="n">
        <v>500</v>
      </c>
      <c r="G10" s="0" t="n">
        <f aca="false">$B10</f>
        <v>42</v>
      </c>
      <c r="H10" s="0" t="n">
        <f aca="false">IF(I10&gt;5,20,12)</f>
        <v>12</v>
      </c>
      <c r="I10" s="0" t="n">
        <f aca="false">$C10</f>
        <v>0.8</v>
      </c>
      <c r="J10" s="0" t="n">
        <v>50</v>
      </c>
      <c r="K10" s="0" t="n">
        <f aca="false">INT($F10/4)</f>
        <v>125</v>
      </c>
      <c r="L10" s="0" t="n">
        <v>1</v>
      </c>
      <c r="M10" s="0" t="n">
        <f aca="false">$F10*2</f>
        <v>1000</v>
      </c>
      <c r="N10" s="0" t="n">
        <f aca="false">5*$F10</f>
        <v>2500</v>
      </c>
      <c r="O10" s="0" t="n">
        <f aca="false">0.3</f>
        <v>0.3</v>
      </c>
      <c r="P10" s="0" t="s">
        <v>746</v>
      </c>
      <c r="Q10" s="0" t="s">
        <v>747</v>
      </c>
      <c r="R10" s="0" t="n">
        <f aca="false">INT($N10/2)</f>
        <v>1250</v>
      </c>
    </row>
    <row r="11" customFormat="false" ht="14.4" hidden="false" customHeight="false" outlineLevel="0" collapsed="false">
      <c r="A11" s="0" t="s">
        <v>755</v>
      </c>
      <c r="B11" s="0" t="n">
        <v>42</v>
      </c>
      <c r="C11" s="0" t="n">
        <v>1.7</v>
      </c>
      <c r="D11" s="0" t="n">
        <v>1.7</v>
      </c>
      <c r="E11" s="0" t="n">
        <v>3</v>
      </c>
      <c r="F11" s="0" t="n">
        <v>200</v>
      </c>
      <c r="G11" s="0" t="n">
        <f aca="false">$B11</f>
        <v>42</v>
      </c>
      <c r="H11" s="0" t="n">
        <f aca="false">IF(I11&gt;5,20,12)</f>
        <v>12</v>
      </c>
      <c r="I11" s="0" t="n">
        <f aca="false">$C11</f>
        <v>1.7</v>
      </c>
      <c r="J11" s="0" t="n">
        <v>50</v>
      </c>
      <c r="K11" s="0" t="n">
        <f aca="false">INT($F11/4)</f>
        <v>50</v>
      </c>
      <c r="L11" s="0" t="n">
        <v>1</v>
      </c>
      <c r="M11" s="0" t="n">
        <f aca="false">$F11*2</f>
        <v>400</v>
      </c>
      <c r="N11" s="0" t="n">
        <f aca="false">5*$F11</f>
        <v>1000</v>
      </c>
      <c r="O11" s="0" t="n">
        <f aca="false">0.3</f>
        <v>0.3</v>
      </c>
      <c r="P11" s="0" t="s">
        <v>746</v>
      </c>
      <c r="Q11" s="0" t="s">
        <v>747</v>
      </c>
      <c r="R11" s="0" t="n">
        <f aca="false">INT($N11/2)</f>
        <v>500</v>
      </c>
    </row>
    <row r="12" customFormat="false" ht="14.4" hidden="false" customHeight="false" outlineLevel="0" collapsed="false">
      <c r="A12" s="0" t="s">
        <v>756</v>
      </c>
      <c r="B12" s="0" t="n">
        <v>42</v>
      </c>
      <c r="C12" s="0" t="n">
        <v>3.5</v>
      </c>
      <c r="D12" s="0" t="n">
        <v>0.5</v>
      </c>
      <c r="E12" s="0" t="n">
        <v>1.2</v>
      </c>
      <c r="F12" s="0" t="n">
        <v>200</v>
      </c>
      <c r="G12" s="0" t="n">
        <f aca="false">$B12</f>
        <v>42</v>
      </c>
      <c r="H12" s="0" t="n">
        <f aca="false">IF(I12&gt;5,20,12)</f>
        <v>12</v>
      </c>
      <c r="I12" s="0" t="n">
        <f aca="false">$C12</f>
        <v>3.5</v>
      </c>
      <c r="J12" s="0" t="n">
        <v>50</v>
      </c>
      <c r="K12" s="0" t="n">
        <f aca="false">INT($F12/4)</f>
        <v>50</v>
      </c>
      <c r="L12" s="0" t="n">
        <v>1</v>
      </c>
      <c r="M12" s="0" t="n">
        <f aca="false">$F12*2</f>
        <v>400</v>
      </c>
      <c r="N12" s="0" t="n">
        <f aca="false">5*$F12</f>
        <v>1000</v>
      </c>
      <c r="O12" s="0" t="n">
        <f aca="false">0.3</f>
        <v>0.3</v>
      </c>
      <c r="P12" s="0" t="s">
        <v>746</v>
      </c>
      <c r="Q12" s="0" t="s">
        <v>747</v>
      </c>
      <c r="R12" s="0" t="n">
        <f aca="false">INT($N12/2)</f>
        <v>500</v>
      </c>
    </row>
    <row r="13" customFormat="false" ht="14.4" hidden="false" customHeight="false" outlineLevel="0" collapsed="false">
      <c r="A13" s="0" t="s">
        <v>757</v>
      </c>
      <c r="B13" s="0" t="n">
        <v>48</v>
      </c>
      <c r="C13" s="0" t="n">
        <v>3.5</v>
      </c>
      <c r="D13" s="0" t="n">
        <v>0.6</v>
      </c>
      <c r="E13" s="0" t="n">
        <v>1.6</v>
      </c>
      <c r="F13" s="0" t="n">
        <v>200</v>
      </c>
      <c r="G13" s="0" t="n">
        <f aca="false">$B13</f>
        <v>48</v>
      </c>
      <c r="H13" s="0" t="n">
        <f aca="false">IF(I13&gt;5,20,12)</f>
        <v>12</v>
      </c>
      <c r="I13" s="0" t="n">
        <f aca="false">$C13</f>
        <v>3.5</v>
      </c>
      <c r="J13" s="0" t="n">
        <v>50</v>
      </c>
      <c r="K13" s="0" t="n">
        <f aca="false">INT($F13/4)</f>
        <v>50</v>
      </c>
      <c r="L13" s="0" t="n">
        <v>1</v>
      </c>
      <c r="M13" s="0" t="n">
        <f aca="false">$F13*2</f>
        <v>400</v>
      </c>
      <c r="N13" s="0" t="n">
        <f aca="false">5*$F13</f>
        <v>1000</v>
      </c>
      <c r="O13" s="0" t="n">
        <f aca="false">0.3</f>
        <v>0.3</v>
      </c>
      <c r="P13" s="0" t="s">
        <v>746</v>
      </c>
      <c r="Q13" s="0" t="s">
        <v>747</v>
      </c>
      <c r="R13" s="0" t="n">
        <f aca="false">INT($N13/2)</f>
        <v>500</v>
      </c>
    </row>
    <row r="14" customFormat="false" ht="14.4" hidden="false" customHeight="false" outlineLevel="0" collapsed="false">
      <c r="A14" s="0" t="s">
        <v>758</v>
      </c>
      <c r="B14" s="0" t="n">
        <v>48</v>
      </c>
      <c r="C14" s="0" t="n">
        <v>3.5</v>
      </c>
      <c r="D14" s="0" t="n">
        <v>0.6</v>
      </c>
      <c r="E14" s="0" t="n">
        <v>1.6</v>
      </c>
      <c r="F14" s="0" t="n">
        <v>200</v>
      </c>
      <c r="G14" s="0" t="n">
        <f aca="false">$B14</f>
        <v>48</v>
      </c>
      <c r="H14" s="0" t="n">
        <f aca="false">IF(I14&gt;5,20,12)</f>
        <v>12</v>
      </c>
      <c r="I14" s="0" t="n">
        <f aca="false">$C14</f>
        <v>3.5</v>
      </c>
      <c r="J14" s="0" t="n">
        <v>50</v>
      </c>
      <c r="K14" s="0" t="n">
        <f aca="false">INT($F14/4)</f>
        <v>50</v>
      </c>
      <c r="L14" s="0" t="n">
        <v>1</v>
      </c>
      <c r="M14" s="0" t="n">
        <f aca="false">$F14*2</f>
        <v>400</v>
      </c>
      <c r="N14" s="0" t="n">
        <f aca="false">5*$F14</f>
        <v>1000</v>
      </c>
      <c r="O14" s="0" t="n">
        <f aca="false">0.3</f>
        <v>0.3</v>
      </c>
      <c r="P14" s="0" t="s">
        <v>746</v>
      </c>
      <c r="Q14" s="0" t="s">
        <v>747</v>
      </c>
      <c r="R14" s="0" t="n">
        <f aca="false">INT($N14/2)</f>
        <v>500</v>
      </c>
    </row>
    <row r="15" customFormat="false" ht="14.4" hidden="false" customHeight="false" outlineLevel="0" collapsed="false">
      <c r="A15" s="0" t="s">
        <v>759</v>
      </c>
      <c r="B15" s="0" t="n">
        <v>48</v>
      </c>
      <c r="C15" s="0" t="n">
        <v>1.8</v>
      </c>
      <c r="D15" s="0" t="n">
        <v>2.4</v>
      </c>
      <c r="E15" s="0" t="n">
        <v>6.4</v>
      </c>
      <c r="F15" s="0" t="n">
        <v>200</v>
      </c>
      <c r="G15" s="0" t="n">
        <f aca="false">$B15</f>
        <v>48</v>
      </c>
      <c r="H15" s="0" t="n">
        <f aca="false">IF(I15&gt;5,20,12)</f>
        <v>12</v>
      </c>
      <c r="I15" s="0" t="n">
        <f aca="false">$C15</f>
        <v>1.8</v>
      </c>
      <c r="J15" s="0" t="n">
        <v>50</v>
      </c>
      <c r="K15" s="0" t="n">
        <f aca="false">INT($F15/4)</f>
        <v>50</v>
      </c>
      <c r="L15" s="0" t="n">
        <v>1</v>
      </c>
      <c r="M15" s="0" t="n">
        <f aca="false">$F15*2</f>
        <v>400</v>
      </c>
      <c r="N15" s="0" t="n">
        <f aca="false">5*$F15</f>
        <v>1000</v>
      </c>
      <c r="O15" s="0" t="n">
        <f aca="false">0.3</f>
        <v>0.3</v>
      </c>
      <c r="P15" s="0" t="s">
        <v>746</v>
      </c>
      <c r="Q15" s="0" t="s">
        <v>747</v>
      </c>
      <c r="R15" s="0" t="n">
        <f aca="false">INT($N15/2)</f>
        <v>500</v>
      </c>
    </row>
    <row r="16" customFormat="false" ht="14.4" hidden="false" customHeight="false" outlineLevel="0" collapsed="false">
      <c r="A16" s="0" t="s">
        <v>760</v>
      </c>
      <c r="B16" s="0" t="n">
        <v>48</v>
      </c>
      <c r="C16" s="0" t="n">
        <v>1.7</v>
      </c>
      <c r="D16" s="0" t="n">
        <v>3.9</v>
      </c>
      <c r="E16" s="0" t="n">
        <v>7.8</v>
      </c>
      <c r="F16" s="0" t="n">
        <v>200</v>
      </c>
      <c r="G16" s="0" t="n">
        <f aca="false">$B16</f>
        <v>48</v>
      </c>
      <c r="H16" s="0" t="n">
        <f aca="false">IF(I16&gt;5,20,12)</f>
        <v>12</v>
      </c>
      <c r="I16" s="0" t="n">
        <f aca="false">$C16</f>
        <v>1.7</v>
      </c>
      <c r="J16" s="0" t="n">
        <v>50</v>
      </c>
      <c r="K16" s="0" t="n">
        <f aca="false">INT($F16/4)</f>
        <v>50</v>
      </c>
      <c r="L16" s="0" t="n">
        <v>1</v>
      </c>
      <c r="M16" s="0" t="n">
        <f aca="false">$F16*2</f>
        <v>400</v>
      </c>
      <c r="N16" s="0" t="n">
        <f aca="false">5*$F16</f>
        <v>1000</v>
      </c>
      <c r="O16" s="0" t="n">
        <f aca="false">0.3</f>
        <v>0.3</v>
      </c>
      <c r="P16" s="0" t="s">
        <v>746</v>
      </c>
      <c r="Q16" s="0" t="s">
        <v>747</v>
      </c>
      <c r="R16" s="0" t="n">
        <f aca="false">INT($N16/2)</f>
        <v>500</v>
      </c>
    </row>
    <row r="17" customFormat="false" ht="14.4" hidden="false" customHeight="false" outlineLevel="0" collapsed="false">
      <c r="A17" s="0" t="s">
        <v>761</v>
      </c>
      <c r="B17" s="0" t="n">
        <v>48</v>
      </c>
      <c r="C17" s="0" t="n">
        <v>3.5</v>
      </c>
      <c r="D17" s="0" t="n">
        <v>0.8</v>
      </c>
      <c r="E17" s="0" t="n">
        <v>2.4</v>
      </c>
      <c r="F17" s="0" t="n">
        <v>200</v>
      </c>
      <c r="G17" s="0" t="n">
        <f aca="false">$B17</f>
        <v>48</v>
      </c>
      <c r="H17" s="0" t="n">
        <f aca="false">IF(I17&gt;5,20,12)</f>
        <v>12</v>
      </c>
      <c r="I17" s="0" t="n">
        <f aca="false">$C17</f>
        <v>3.5</v>
      </c>
      <c r="J17" s="0" t="n">
        <v>50</v>
      </c>
      <c r="K17" s="0" t="n">
        <f aca="false">INT($F17/4)</f>
        <v>50</v>
      </c>
      <c r="L17" s="0" t="n">
        <v>1</v>
      </c>
      <c r="M17" s="0" t="n">
        <f aca="false">$F17*2</f>
        <v>400</v>
      </c>
      <c r="N17" s="0" t="n">
        <f aca="false">5*$F17</f>
        <v>1000</v>
      </c>
      <c r="O17" s="0" t="n">
        <f aca="false">0.3</f>
        <v>0.3</v>
      </c>
      <c r="P17" s="0" t="s">
        <v>746</v>
      </c>
      <c r="Q17" s="0" t="s">
        <v>747</v>
      </c>
      <c r="R17" s="0" t="n">
        <f aca="false">INT($N17/2)</f>
        <v>500</v>
      </c>
    </row>
    <row r="18" customFormat="false" ht="14.4" hidden="false" customHeight="false" outlineLevel="0" collapsed="false">
      <c r="A18" s="0" t="s">
        <v>762</v>
      </c>
      <c r="B18" s="0" t="n">
        <v>48</v>
      </c>
      <c r="C18" s="0" t="n">
        <v>7.5</v>
      </c>
      <c r="D18" s="0" t="n">
        <v>0.4</v>
      </c>
      <c r="E18" s="0" t="n">
        <v>1.2</v>
      </c>
      <c r="F18" s="0" t="n">
        <v>200</v>
      </c>
      <c r="G18" s="0" t="n">
        <f aca="false">$B18</f>
        <v>48</v>
      </c>
      <c r="H18" s="0" t="n">
        <f aca="false">IF(I18&gt;5,20,12)</f>
        <v>20</v>
      </c>
      <c r="I18" s="0" t="n">
        <f aca="false">$C18</f>
        <v>7.5</v>
      </c>
      <c r="J18" s="0" t="n">
        <v>50</v>
      </c>
      <c r="K18" s="0" t="n">
        <f aca="false">INT($F18/4)</f>
        <v>50</v>
      </c>
      <c r="L18" s="0" t="n">
        <v>1</v>
      </c>
      <c r="M18" s="0" t="n">
        <f aca="false">$F18*2</f>
        <v>400</v>
      </c>
      <c r="N18" s="0" t="n">
        <f aca="false">5*$F18</f>
        <v>1000</v>
      </c>
      <c r="O18" s="0" t="n">
        <f aca="false">0.3</f>
        <v>0.3</v>
      </c>
      <c r="P18" s="0" t="s">
        <v>746</v>
      </c>
      <c r="Q18" s="0" t="s">
        <v>747</v>
      </c>
      <c r="R18" s="0" t="n">
        <f aca="false">INT($N18/2)</f>
        <v>500</v>
      </c>
    </row>
    <row r="19" customFormat="false" ht="14.4" hidden="false" customHeight="false" outlineLevel="0" collapsed="false">
      <c r="A19" s="0" t="s">
        <v>763</v>
      </c>
      <c r="B19" s="0" t="n">
        <v>55</v>
      </c>
      <c r="C19" s="0" t="n">
        <v>7.5</v>
      </c>
      <c r="D19" s="0" t="n">
        <v>0.14</v>
      </c>
      <c r="E19" s="0" t="n">
        <v>2.6</v>
      </c>
      <c r="F19" s="0" t="n">
        <v>200</v>
      </c>
      <c r="G19" s="0" t="n">
        <f aca="false">$B19</f>
        <v>55</v>
      </c>
      <c r="H19" s="0" t="n">
        <f aca="false">IF(I19&gt;5,20,12)</f>
        <v>20</v>
      </c>
      <c r="I19" s="0" t="n">
        <f aca="false">$C19</f>
        <v>7.5</v>
      </c>
      <c r="J19" s="0" t="n">
        <v>50</v>
      </c>
      <c r="K19" s="0" t="n">
        <f aca="false">INT($F19/4)</f>
        <v>50</v>
      </c>
      <c r="L19" s="0" t="n">
        <v>1</v>
      </c>
      <c r="M19" s="0" t="n">
        <f aca="false">$F19*2</f>
        <v>400</v>
      </c>
      <c r="N19" s="0" t="n">
        <f aca="false">5*$F19</f>
        <v>1000</v>
      </c>
      <c r="O19" s="0" t="n">
        <f aca="false">0.3</f>
        <v>0.3</v>
      </c>
      <c r="P19" s="0" t="s">
        <v>746</v>
      </c>
      <c r="Q19" s="0" t="s">
        <v>747</v>
      </c>
      <c r="R19" s="0" t="n">
        <f aca="false">INT($N19/2)</f>
        <v>500</v>
      </c>
    </row>
    <row r="20" customFormat="false" ht="14.4" hidden="false" customHeight="false" outlineLevel="0" collapsed="false">
      <c r="A20" s="0" t="s">
        <v>764</v>
      </c>
      <c r="B20" s="0" t="n">
        <v>55</v>
      </c>
      <c r="C20" s="0" t="n">
        <v>7.5</v>
      </c>
      <c r="D20" s="0" t="n">
        <v>0.25</v>
      </c>
      <c r="E20" s="0" t="n">
        <v>1.5</v>
      </c>
      <c r="F20" s="0" t="n">
        <v>200</v>
      </c>
      <c r="G20" s="0" t="n">
        <f aca="false">$B20</f>
        <v>55</v>
      </c>
      <c r="H20" s="0" t="n">
        <f aca="false">IF(I20&gt;5,20,12)</f>
        <v>20</v>
      </c>
      <c r="I20" s="0" t="n">
        <f aca="false">$C20</f>
        <v>7.5</v>
      </c>
      <c r="J20" s="0" t="n">
        <v>50</v>
      </c>
      <c r="K20" s="0" t="n">
        <f aca="false">INT($F20/4)</f>
        <v>50</v>
      </c>
      <c r="L20" s="0" t="n">
        <v>1</v>
      </c>
      <c r="M20" s="0" t="n">
        <f aca="false">$F20*2</f>
        <v>400</v>
      </c>
      <c r="N20" s="0" t="n">
        <f aca="false">5*$F20</f>
        <v>1000</v>
      </c>
      <c r="O20" s="0" t="n">
        <f aca="false">0.3</f>
        <v>0.3</v>
      </c>
      <c r="P20" s="0" t="s">
        <v>746</v>
      </c>
      <c r="Q20" s="0" t="s">
        <v>747</v>
      </c>
      <c r="R20" s="0" t="n">
        <f aca="false">INT($N20/2)</f>
        <v>500</v>
      </c>
    </row>
    <row r="21" customFormat="false" ht="14.4" hidden="false" customHeight="false" outlineLevel="0" collapsed="false">
      <c r="A21" s="0" t="s">
        <v>765</v>
      </c>
      <c r="B21" s="0" t="n">
        <v>55</v>
      </c>
      <c r="C21" s="0" t="n">
        <v>7.5</v>
      </c>
      <c r="D21" s="0" t="n">
        <v>0.15</v>
      </c>
      <c r="E21" s="0" t="n">
        <v>1</v>
      </c>
      <c r="F21" s="0" t="n">
        <v>200</v>
      </c>
      <c r="G21" s="0" t="n">
        <f aca="false">$B21</f>
        <v>55</v>
      </c>
      <c r="H21" s="0" t="n">
        <f aca="false">IF(I21&gt;5,20,12)</f>
        <v>20</v>
      </c>
      <c r="I21" s="0" t="n">
        <f aca="false">$C21</f>
        <v>7.5</v>
      </c>
      <c r="J21" s="0" t="n">
        <v>50</v>
      </c>
      <c r="K21" s="0" t="n">
        <f aca="false">INT($F21/4)</f>
        <v>50</v>
      </c>
      <c r="L21" s="0" t="n">
        <v>1</v>
      </c>
      <c r="M21" s="0" t="n">
        <f aca="false">$F21*2</f>
        <v>400</v>
      </c>
      <c r="N21" s="0" t="n">
        <f aca="false">5*$F21</f>
        <v>1000</v>
      </c>
      <c r="O21" s="0" t="n">
        <f aca="false">0.3</f>
        <v>0.3</v>
      </c>
      <c r="P21" s="0" t="s">
        <v>746</v>
      </c>
      <c r="Q21" s="0" t="s">
        <v>747</v>
      </c>
      <c r="R21" s="0" t="n">
        <f aca="false">INT($N21/2)</f>
        <v>500</v>
      </c>
    </row>
    <row r="22" customFormat="false" ht="14.4" hidden="false" customHeight="false" outlineLevel="0" collapsed="false">
      <c r="A22" s="0" t="s">
        <v>766</v>
      </c>
      <c r="B22" s="0" t="n">
        <v>55</v>
      </c>
      <c r="C22" s="0" t="n">
        <v>7.5</v>
      </c>
      <c r="D22" s="0" t="n">
        <v>0.1</v>
      </c>
      <c r="E22" s="0" t="n">
        <v>1.5</v>
      </c>
      <c r="F22" s="0" t="n">
        <v>200</v>
      </c>
      <c r="G22" s="0" t="n">
        <f aca="false">$B22</f>
        <v>55</v>
      </c>
      <c r="H22" s="0" t="n">
        <f aca="false">IF(I22&gt;5,20,12)</f>
        <v>20</v>
      </c>
      <c r="I22" s="0" t="n">
        <f aca="false">$C22</f>
        <v>7.5</v>
      </c>
      <c r="J22" s="0" t="n">
        <v>50</v>
      </c>
      <c r="K22" s="0" t="n">
        <f aca="false">INT($F22/4)</f>
        <v>50</v>
      </c>
      <c r="L22" s="0" t="n">
        <v>1</v>
      </c>
      <c r="M22" s="0" t="n">
        <f aca="false">$F22*2</f>
        <v>400</v>
      </c>
      <c r="N22" s="0" t="n">
        <f aca="false">5*$F22</f>
        <v>1000</v>
      </c>
      <c r="O22" s="0" t="n">
        <f aca="false">0.3</f>
        <v>0.3</v>
      </c>
      <c r="P22" s="0" t="s">
        <v>746</v>
      </c>
      <c r="Q22" s="0" t="s">
        <v>747</v>
      </c>
      <c r="R22" s="0" t="n">
        <f aca="false">INT($N22/2)</f>
        <v>500</v>
      </c>
    </row>
    <row r="23" customFormat="false" ht="14.4" hidden="false" customHeight="false" outlineLevel="0" collapsed="false">
      <c r="A23" s="0" t="s">
        <v>767</v>
      </c>
      <c r="B23" s="0" t="n">
        <v>25</v>
      </c>
      <c r="C23" s="0" t="n">
        <v>0.8</v>
      </c>
      <c r="D23" s="0" t="n">
        <v>1.05</v>
      </c>
      <c r="E23" s="0" t="n">
        <v>0.55</v>
      </c>
      <c r="F23" s="0" t="n">
        <v>200</v>
      </c>
      <c r="G23" s="0" t="n">
        <f aca="false">$B23</f>
        <v>25</v>
      </c>
      <c r="H23" s="0" t="n">
        <f aca="false">IF(I23&gt;5,20,12)</f>
        <v>12</v>
      </c>
      <c r="I23" s="0" t="n">
        <f aca="false">$C23</f>
        <v>0.8</v>
      </c>
      <c r="J23" s="0" t="n">
        <v>50</v>
      </c>
      <c r="K23" s="0" t="n">
        <v>50</v>
      </c>
      <c r="L23" s="0" t="n">
        <v>1</v>
      </c>
      <c r="M23" s="0" t="n">
        <v>400</v>
      </c>
      <c r="N23" s="0" t="n">
        <v>1000</v>
      </c>
      <c r="O23" s="0" t="n">
        <v>0.3</v>
      </c>
      <c r="P23" s="0" t="s">
        <v>746</v>
      </c>
      <c r="Q23" s="0" t="s">
        <v>747</v>
      </c>
      <c r="R23" s="0" t="n">
        <v>500</v>
      </c>
    </row>
    <row r="24" customFormat="false" ht="14.4" hidden="false" customHeight="false" outlineLevel="0" collapsed="false">
      <c r="A24" s="0" t="s">
        <v>768</v>
      </c>
      <c r="B24" s="0" t="n">
        <v>25</v>
      </c>
      <c r="C24" s="0" t="n">
        <v>1.7</v>
      </c>
      <c r="D24" s="0" t="n">
        <v>0.47</v>
      </c>
      <c r="E24" s="0" t="n">
        <v>0.4</v>
      </c>
      <c r="F24" s="0" t="n">
        <v>200</v>
      </c>
      <c r="G24" s="0" t="n">
        <f aca="false">$B24</f>
        <v>25</v>
      </c>
      <c r="H24" s="0" t="n">
        <f aca="false">IF(I24&gt;5,20,12)</f>
        <v>12</v>
      </c>
      <c r="I24" s="0" t="n">
        <f aca="false">$C24</f>
        <v>1.7</v>
      </c>
      <c r="J24" s="0" t="n">
        <v>50</v>
      </c>
      <c r="K24" s="0" t="n">
        <f aca="false">INT($F24/4)</f>
        <v>50</v>
      </c>
      <c r="L24" s="0" t="n">
        <v>1</v>
      </c>
      <c r="M24" s="0" t="n">
        <f aca="false">$F24*2</f>
        <v>400</v>
      </c>
      <c r="N24" s="0" t="n">
        <f aca="false">5*$F24</f>
        <v>1000</v>
      </c>
      <c r="O24" s="0" t="n">
        <f aca="false">0.3</f>
        <v>0.3</v>
      </c>
      <c r="P24" s="0" t="s">
        <v>746</v>
      </c>
      <c r="Q24" s="0" t="s">
        <v>747</v>
      </c>
      <c r="R24" s="0" t="n">
        <f aca="false">INT($N24/2)</f>
        <v>500</v>
      </c>
    </row>
    <row r="25" customFormat="false" ht="14.4" hidden="false" customHeight="false" outlineLevel="0" collapsed="false">
      <c r="A25" s="0" t="s">
        <v>769</v>
      </c>
      <c r="B25" s="0" t="n">
        <v>42</v>
      </c>
      <c r="C25" s="0" t="n">
        <v>1.7</v>
      </c>
      <c r="D25" s="0" t="n">
        <v>0.65</v>
      </c>
      <c r="E25" s="0" t="n">
        <v>1.2</v>
      </c>
      <c r="F25" s="0" t="n">
        <v>200</v>
      </c>
      <c r="G25" s="0" t="n">
        <f aca="false">$B25</f>
        <v>42</v>
      </c>
      <c r="H25" s="0" t="n">
        <f aca="false">IF(I25&gt;5,20,12)</f>
        <v>12</v>
      </c>
      <c r="I25" s="0" t="n">
        <f aca="false">$C25</f>
        <v>1.7</v>
      </c>
      <c r="J25" s="0" t="n">
        <v>50</v>
      </c>
      <c r="K25" s="0" t="n">
        <f aca="false">INT($F25/4)</f>
        <v>50</v>
      </c>
      <c r="L25" s="0" t="n">
        <v>1</v>
      </c>
      <c r="M25" s="0" t="n">
        <f aca="false">$F25*2</f>
        <v>400</v>
      </c>
      <c r="N25" s="0" t="n">
        <f aca="false">5*$F25</f>
        <v>1000</v>
      </c>
      <c r="O25" s="0" t="n">
        <f aca="false">0.3</f>
        <v>0.3</v>
      </c>
      <c r="P25" s="0" t="s">
        <v>746</v>
      </c>
      <c r="Q25" s="0" t="s">
        <v>747</v>
      </c>
      <c r="R25" s="0" t="n">
        <f aca="false">INT($N25/2)</f>
        <v>500</v>
      </c>
    </row>
    <row r="26" customFormat="false" ht="14.4" hidden="false" customHeight="false" outlineLevel="0" collapsed="false">
      <c r="A26" s="0" t="s">
        <v>770</v>
      </c>
      <c r="B26" s="0" t="n">
        <v>42</v>
      </c>
      <c r="C26" s="0" t="n">
        <v>1.7</v>
      </c>
      <c r="D26" s="0" t="n">
        <v>0.95</v>
      </c>
      <c r="E26" s="0" t="n">
        <v>2.2</v>
      </c>
      <c r="F26" s="0" t="n">
        <v>200</v>
      </c>
      <c r="G26" s="0" t="n">
        <f aca="false">$B26</f>
        <v>42</v>
      </c>
      <c r="H26" s="0" t="n">
        <f aca="false">IF(I26&gt;5,20,12)</f>
        <v>12</v>
      </c>
      <c r="I26" s="0" t="n">
        <f aca="false">$C26</f>
        <v>1.7</v>
      </c>
      <c r="J26" s="0" t="n">
        <v>50</v>
      </c>
      <c r="K26" s="0" t="n">
        <v>50</v>
      </c>
      <c r="L26" s="0" t="n">
        <v>1</v>
      </c>
      <c r="M26" s="0" t="n">
        <v>400</v>
      </c>
      <c r="N26" s="0" t="n">
        <v>1000</v>
      </c>
      <c r="O26" s="0" t="n">
        <v>0.3</v>
      </c>
      <c r="P26" s="0" t="s">
        <v>746</v>
      </c>
      <c r="Q26" s="0" t="s">
        <v>747</v>
      </c>
      <c r="R26" s="0" t="n">
        <v>500</v>
      </c>
    </row>
    <row r="27" customFormat="false" ht="14.4" hidden="false" customHeight="false" outlineLevel="0" collapsed="false">
      <c r="A27" s="0" t="s">
        <v>771</v>
      </c>
      <c r="B27" s="0" t="n">
        <v>42</v>
      </c>
      <c r="C27" s="0" t="n">
        <v>1.7</v>
      </c>
      <c r="D27" s="0" t="n">
        <v>0.85</v>
      </c>
      <c r="E27" s="0" t="n">
        <v>3</v>
      </c>
      <c r="F27" s="0" t="n">
        <v>200</v>
      </c>
      <c r="G27" s="0" t="n">
        <f aca="false">$B27</f>
        <v>42</v>
      </c>
      <c r="H27" s="0" t="n">
        <f aca="false">IF(I27&gt;5,20,12)</f>
        <v>12</v>
      </c>
      <c r="I27" s="0" t="n">
        <f aca="false">$C27</f>
        <v>1.7</v>
      </c>
      <c r="J27" s="0" t="n">
        <v>50</v>
      </c>
      <c r="K27" s="0" t="n">
        <f aca="false">INT($F27/4)</f>
        <v>50</v>
      </c>
      <c r="L27" s="0" t="n">
        <v>1</v>
      </c>
      <c r="M27" s="0" t="n">
        <f aca="false">$F27*2</f>
        <v>400</v>
      </c>
      <c r="N27" s="0" t="n">
        <f aca="false">5*$F27</f>
        <v>1000</v>
      </c>
      <c r="O27" s="0" t="n">
        <f aca="false">0.3</f>
        <v>0.3</v>
      </c>
      <c r="P27" s="0" t="s">
        <v>746</v>
      </c>
      <c r="Q27" s="0" t="s">
        <v>747</v>
      </c>
      <c r="R27" s="0" t="n">
        <f aca="false">INT($N27/2)</f>
        <v>500</v>
      </c>
    </row>
    <row r="28" customFormat="false" ht="14.4" hidden="false" customHeight="false" outlineLevel="0" collapsed="false">
      <c r="A28" s="0" t="s">
        <v>772</v>
      </c>
      <c r="B28" s="0" t="n">
        <v>25</v>
      </c>
      <c r="C28" s="0" t="n">
        <v>3.5</v>
      </c>
      <c r="D28" s="0" t="n">
        <v>0.17</v>
      </c>
      <c r="E28" s="0" t="n">
        <v>0.7</v>
      </c>
      <c r="F28" s="0" t="n">
        <v>500</v>
      </c>
      <c r="G28" s="0" t="n">
        <f aca="false">$B28</f>
        <v>25</v>
      </c>
      <c r="H28" s="0" t="n">
        <f aca="false">IF(I28&gt;5,20,12)</f>
        <v>12</v>
      </c>
      <c r="I28" s="0" t="n">
        <f aca="false">$C28</f>
        <v>3.5</v>
      </c>
      <c r="J28" s="0" t="n">
        <v>50</v>
      </c>
      <c r="K28" s="0" t="n">
        <f aca="false">INT($F28/4)</f>
        <v>125</v>
      </c>
      <c r="L28" s="0" t="n">
        <v>1</v>
      </c>
      <c r="M28" s="0" t="n">
        <f aca="false">$F28*2</f>
        <v>1000</v>
      </c>
      <c r="N28" s="0" t="n">
        <f aca="false">5*$F28</f>
        <v>2500</v>
      </c>
      <c r="O28" s="0" t="n">
        <f aca="false">0.3</f>
        <v>0.3</v>
      </c>
      <c r="P28" s="0" t="s">
        <v>746</v>
      </c>
      <c r="Q28" s="0" t="s">
        <v>747</v>
      </c>
      <c r="R28" s="0" t="n">
        <f aca="false">INT($N28/2)</f>
        <v>1250</v>
      </c>
    </row>
    <row r="29" customFormat="false" ht="14.4" hidden="false" customHeight="false" outlineLevel="0" collapsed="false">
      <c r="A29" s="0" t="s">
        <v>773</v>
      </c>
      <c r="B29" s="0" t="n">
        <v>42</v>
      </c>
      <c r="C29" s="0" t="n">
        <v>1.7</v>
      </c>
      <c r="D29" s="0" t="n">
        <v>1.3</v>
      </c>
      <c r="E29" s="0" t="n">
        <v>5.2</v>
      </c>
      <c r="F29" s="0" t="n">
        <v>200</v>
      </c>
      <c r="G29" s="0" t="n">
        <f aca="false">$B29</f>
        <v>42</v>
      </c>
      <c r="H29" s="0" t="n">
        <f aca="false">IF(I29&gt;5,20,12)</f>
        <v>12</v>
      </c>
      <c r="I29" s="0" t="n">
        <f aca="false">$C29</f>
        <v>1.7</v>
      </c>
      <c r="J29" s="0" t="n">
        <v>50</v>
      </c>
      <c r="K29" s="0" t="n">
        <f aca="false">INT($F29/4)</f>
        <v>50</v>
      </c>
      <c r="L29" s="0" t="n">
        <v>1</v>
      </c>
      <c r="M29" s="0" t="n">
        <f aca="false">$F29*2</f>
        <v>400</v>
      </c>
      <c r="N29" s="0" t="n">
        <f aca="false">5*$F29</f>
        <v>1000</v>
      </c>
      <c r="O29" s="0" t="n">
        <f aca="false">0.3</f>
        <v>0.3</v>
      </c>
      <c r="P29" s="0" t="s">
        <v>746</v>
      </c>
      <c r="Q29" s="0" t="s">
        <v>747</v>
      </c>
      <c r="R29" s="0" t="n">
        <f aca="false">INT($N29/2)</f>
        <v>500</v>
      </c>
    </row>
    <row r="30" customFormat="false" ht="14.4" hidden="false" customHeight="false" outlineLevel="0" collapsed="false">
      <c r="A30" s="0" t="s">
        <v>774</v>
      </c>
      <c r="B30" s="0" t="n">
        <v>42</v>
      </c>
      <c r="C30" s="0" t="n">
        <v>3.5</v>
      </c>
      <c r="D30" s="0" t="n">
        <v>0.25</v>
      </c>
      <c r="E30" s="0" t="n">
        <v>1.2</v>
      </c>
      <c r="F30" s="0" t="n">
        <v>200</v>
      </c>
      <c r="G30" s="0" t="n">
        <f aca="false">$B30</f>
        <v>42</v>
      </c>
      <c r="H30" s="0" t="n">
        <f aca="false">IF(I30&gt;5,20,12)</f>
        <v>12</v>
      </c>
      <c r="I30" s="0" t="n">
        <f aca="false">$C30</f>
        <v>3.5</v>
      </c>
      <c r="J30" s="0" t="n">
        <v>50</v>
      </c>
      <c r="K30" s="0" t="n">
        <f aca="false">INT($F30/4)</f>
        <v>50</v>
      </c>
      <c r="L30" s="0" t="n">
        <v>1</v>
      </c>
      <c r="M30" s="0" t="n">
        <f aca="false">$F30*2</f>
        <v>400</v>
      </c>
      <c r="N30" s="0" t="n">
        <f aca="false">5*$F30</f>
        <v>1000</v>
      </c>
      <c r="O30" s="0" t="n">
        <f aca="false">0.3</f>
        <v>0.3</v>
      </c>
      <c r="P30" s="0" t="s">
        <v>746</v>
      </c>
      <c r="Q30" s="0" t="s">
        <v>747</v>
      </c>
      <c r="R30" s="0" t="n">
        <f aca="false">INT($N30/2)</f>
        <v>500</v>
      </c>
    </row>
    <row r="31" customFormat="false" ht="14.4" hidden="false" customHeight="false" outlineLevel="0" collapsed="false">
      <c r="A31" s="0" t="s">
        <v>775</v>
      </c>
      <c r="B31" s="0" t="n">
        <v>42</v>
      </c>
      <c r="C31" s="0" t="n">
        <v>1.7</v>
      </c>
      <c r="D31" s="0" t="n">
        <v>1.33</v>
      </c>
      <c r="E31" s="0" t="n">
        <v>7</v>
      </c>
      <c r="F31" s="0" t="n">
        <v>200</v>
      </c>
      <c r="G31" s="0" t="n">
        <f aca="false">$B31</f>
        <v>42</v>
      </c>
      <c r="H31" s="0" t="n">
        <f aca="false">IF(I31&gt;5,20,12)</f>
        <v>12</v>
      </c>
      <c r="I31" s="0" t="n">
        <f aca="false">$C31</f>
        <v>1.7</v>
      </c>
      <c r="J31" s="0" t="n">
        <v>50</v>
      </c>
      <c r="K31" s="0" t="n">
        <f aca="false">INT($F31/4)</f>
        <v>50</v>
      </c>
      <c r="L31" s="0" t="n">
        <v>1</v>
      </c>
      <c r="M31" s="0" t="n">
        <f aca="false">$F31*2</f>
        <v>400</v>
      </c>
      <c r="N31" s="0" t="n">
        <f aca="false">5*$F31</f>
        <v>1000</v>
      </c>
      <c r="O31" s="0" t="n">
        <f aca="false">0.3</f>
        <v>0.3</v>
      </c>
      <c r="P31" s="0" t="s">
        <v>746</v>
      </c>
      <c r="Q31" s="0" t="s">
        <v>747</v>
      </c>
      <c r="R31" s="0" t="n">
        <f aca="false">INT($N31/2)</f>
        <v>500</v>
      </c>
    </row>
    <row r="32" customFormat="false" ht="14.4" hidden="false" customHeight="false" outlineLevel="0" collapsed="false">
      <c r="A32" s="0" t="s">
        <v>776</v>
      </c>
      <c r="B32" s="0" t="n">
        <v>42</v>
      </c>
      <c r="C32" s="0" t="n">
        <v>3.5</v>
      </c>
      <c r="D32" s="0" t="n">
        <v>0.3</v>
      </c>
      <c r="E32" s="0" t="n">
        <v>1.6</v>
      </c>
      <c r="F32" s="0" t="n">
        <v>200</v>
      </c>
      <c r="G32" s="0" t="n">
        <f aca="false">$B32</f>
        <v>42</v>
      </c>
      <c r="H32" s="0" t="n">
        <f aca="false">IF(I32&gt;5,20,12)</f>
        <v>12</v>
      </c>
      <c r="I32" s="0" t="n">
        <f aca="false">$C32</f>
        <v>3.5</v>
      </c>
      <c r="J32" s="0" t="n">
        <v>50</v>
      </c>
      <c r="K32" s="0" t="n">
        <f aca="false">INT($F32/4)</f>
        <v>50</v>
      </c>
      <c r="L32" s="0" t="n">
        <v>1</v>
      </c>
      <c r="M32" s="0" t="n">
        <f aca="false">$F32*2</f>
        <v>400</v>
      </c>
      <c r="N32" s="0" t="n">
        <f aca="false">5*$F32</f>
        <v>1000</v>
      </c>
      <c r="O32" s="0" t="n">
        <f aca="false">0.3</f>
        <v>0.3</v>
      </c>
      <c r="P32" s="0" t="s">
        <v>746</v>
      </c>
      <c r="Q32" s="0" t="s">
        <v>747</v>
      </c>
      <c r="R32" s="0" t="n">
        <f aca="false">INT($N32/2)</f>
        <v>500</v>
      </c>
    </row>
    <row r="33" customFormat="false" ht="14.4" hidden="false" customHeight="false" outlineLevel="0" collapsed="false">
      <c r="A33" s="0" t="s">
        <v>777</v>
      </c>
      <c r="B33" s="0" t="n">
        <v>25</v>
      </c>
      <c r="C33" s="0" t="n">
        <v>7</v>
      </c>
      <c r="D33" s="0" t="n">
        <v>0.08</v>
      </c>
      <c r="E33" s="0" t="n">
        <v>0.4</v>
      </c>
      <c r="F33" s="0" t="n">
        <v>200</v>
      </c>
      <c r="G33" s="0" t="n">
        <f aca="false">$B33</f>
        <v>25</v>
      </c>
      <c r="H33" s="0" t="n">
        <f aca="false">IF(I33&gt;5,20,12)</f>
        <v>20</v>
      </c>
      <c r="I33" s="0" t="n">
        <f aca="false">$C33</f>
        <v>7</v>
      </c>
      <c r="J33" s="0" t="n">
        <v>50</v>
      </c>
      <c r="K33" s="0" t="n">
        <f aca="false">INT($F33/4)</f>
        <v>50</v>
      </c>
      <c r="L33" s="0" t="n">
        <v>1</v>
      </c>
      <c r="M33" s="0" t="n">
        <f aca="false">$F33*2</f>
        <v>400</v>
      </c>
      <c r="N33" s="0" t="n">
        <f aca="false">5*$F33</f>
        <v>1000</v>
      </c>
      <c r="O33" s="0" t="n">
        <f aca="false">0.3</f>
        <v>0.3</v>
      </c>
      <c r="P33" s="0" t="s">
        <v>746</v>
      </c>
      <c r="Q33" s="0" t="s">
        <v>747</v>
      </c>
      <c r="R33" s="0" t="n">
        <f aca="false">INT($N33/2)</f>
        <v>500</v>
      </c>
    </row>
    <row r="34" customFormat="false" ht="14.4" hidden="false" customHeight="false" outlineLevel="0" collapsed="false">
      <c r="A34" s="0" t="s">
        <v>778</v>
      </c>
      <c r="B34" s="0" t="n">
        <v>42</v>
      </c>
      <c r="C34" s="0" t="n">
        <v>1.7</v>
      </c>
      <c r="D34" s="0" t="n">
        <v>2</v>
      </c>
      <c r="E34" s="0" t="n">
        <v>9.5</v>
      </c>
      <c r="F34" s="0" t="n">
        <v>200</v>
      </c>
      <c r="G34" s="0" t="n">
        <f aca="false">$B34</f>
        <v>42</v>
      </c>
      <c r="H34" s="0" t="n">
        <f aca="false">IF(I34&gt;5,20,12)</f>
        <v>12</v>
      </c>
      <c r="I34" s="0" t="n">
        <f aca="false">$C34</f>
        <v>1.7</v>
      </c>
      <c r="J34" s="0" t="n">
        <v>50</v>
      </c>
      <c r="K34" s="0" t="n">
        <f aca="false">INT($F34/4)</f>
        <v>50</v>
      </c>
      <c r="L34" s="0" t="n">
        <v>1</v>
      </c>
      <c r="M34" s="0" t="n">
        <f aca="false">$F34*2</f>
        <v>400</v>
      </c>
      <c r="N34" s="0" t="n">
        <f aca="false">5*$F34</f>
        <v>1000</v>
      </c>
      <c r="O34" s="0" t="n">
        <f aca="false">0.3</f>
        <v>0.3</v>
      </c>
      <c r="P34" s="0" t="s">
        <v>746</v>
      </c>
      <c r="Q34" s="0" t="s">
        <v>747</v>
      </c>
      <c r="R34" s="0" t="n">
        <f aca="false">INT($N34/2)</f>
        <v>500</v>
      </c>
    </row>
    <row r="35" customFormat="false" ht="14.4" hidden="false" customHeight="false" outlineLevel="0" collapsed="false">
      <c r="A35" s="0" t="s">
        <v>779</v>
      </c>
      <c r="B35" s="0" t="n">
        <v>42</v>
      </c>
      <c r="C35" s="0" t="n">
        <v>3.5</v>
      </c>
      <c r="D35" s="0" t="n">
        <v>0.4</v>
      </c>
      <c r="E35" s="0" t="n">
        <v>2.4</v>
      </c>
      <c r="F35" s="0" t="n">
        <v>200</v>
      </c>
      <c r="G35" s="0" t="n">
        <f aca="false">$B35</f>
        <v>42</v>
      </c>
      <c r="H35" s="0" t="n">
        <f aca="false">IF(I35&gt;5,20,12)</f>
        <v>12</v>
      </c>
      <c r="I35" s="0" t="n">
        <f aca="false">$C35</f>
        <v>3.5</v>
      </c>
      <c r="J35" s="0" t="n">
        <v>50</v>
      </c>
      <c r="K35" s="0" t="n">
        <f aca="false">INT($F35/4)</f>
        <v>50</v>
      </c>
      <c r="L35" s="0" t="n">
        <v>1</v>
      </c>
      <c r="M35" s="0" t="n">
        <f aca="false">$F35*2</f>
        <v>400</v>
      </c>
      <c r="N35" s="0" t="n">
        <f aca="false">5*$F35</f>
        <v>1000</v>
      </c>
      <c r="O35" s="0" t="n">
        <f aca="false">0.3</f>
        <v>0.3</v>
      </c>
      <c r="P35" s="0" t="s">
        <v>746</v>
      </c>
      <c r="Q35" s="0" t="s">
        <v>747</v>
      </c>
      <c r="R35" s="0" t="n">
        <f aca="false">INT($N35/2)</f>
        <v>500</v>
      </c>
    </row>
    <row r="36" customFormat="false" ht="14.4" hidden="false" customHeight="false" outlineLevel="0" collapsed="false">
      <c r="A36" s="0" t="s">
        <v>780</v>
      </c>
      <c r="B36" s="0" t="n">
        <v>48</v>
      </c>
      <c r="C36" s="0" t="n">
        <v>7.5</v>
      </c>
      <c r="D36" s="0" t="n">
        <v>0.2</v>
      </c>
      <c r="E36" s="0" t="n">
        <v>0.85</v>
      </c>
      <c r="F36" s="0" t="n">
        <v>200</v>
      </c>
      <c r="G36" s="0" t="n">
        <f aca="false">$B36</f>
        <v>48</v>
      </c>
      <c r="H36" s="0" t="n">
        <f aca="false">IF(I36&gt;5,20,12)</f>
        <v>20</v>
      </c>
      <c r="I36" s="0" t="n">
        <f aca="false">$C36</f>
        <v>7.5</v>
      </c>
      <c r="J36" s="0" t="n">
        <v>50</v>
      </c>
      <c r="K36" s="0" t="n">
        <f aca="false">INT($F36/4)</f>
        <v>50</v>
      </c>
      <c r="L36" s="0" t="n">
        <v>1</v>
      </c>
      <c r="M36" s="0" t="n">
        <f aca="false">$F36*2</f>
        <v>400</v>
      </c>
      <c r="N36" s="0" t="n">
        <f aca="false">5*$F36</f>
        <v>1000</v>
      </c>
      <c r="O36" s="0" t="n">
        <f aca="false">0.3</f>
        <v>0.3</v>
      </c>
      <c r="P36" s="0" t="s">
        <v>746</v>
      </c>
      <c r="Q36" s="0" t="s">
        <v>747</v>
      </c>
      <c r="R36" s="0" t="n">
        <f aca="false">INT($N36/2)</f>
        <v>500</v>
      </c>
    </row>
    <row r="37" customFormat="false" ht="14.4" hidden="false" customHeight="false" outlineLevel="0" collapsed="false">
      <c r="A37" s="0" t="s">
        <v>781</v>
      </c>
      <c r="B37" s="0" t="n">
        <v>48</v>
      </c>
      <c r="C37" s="0" t="n">
        <v>3.8</v>
      </c>
      <c r="D37" s="0" t="n">
        <v>0.85</v>
      </c>
      <c r="E37" s="0" t="n">
        <v>4.56</v>
      </c>
      <c r="F37" s="0" t="n">
        <v>200</v>
      </c>
      <c r="G37" s="0" t="n">
        <f aca="false">$B37</f>
        <v>48</v>
      </c>
      <c r="H37" s="0" t="n">
        <f aca="false">IF(I37&gt;5,20,12)</f>
        <v>12</v>
      </c>
      <c r="I37" s="0" t="n">
        <f aca="false">$C37</f>
        <v>3.8</v>
      </c>
      <c r="J37" s="0" t="n">
        <v>50</v>
      </c>
      <c r="K37" s="0" t="n">
        <f aca="false">INT($F37/4)</f>
        <v>50</v>
      </c>
      <c r="L37" s="0" t="n">
        <v>1</v>
      </c>
      <c r="M37" s="0" t="n">
        <f aca="false">$F37*2</f>
        <v>400</v>
      </c>
      <c r="N37" s="0" t="n">
        <f aca="false">5*$F37</f>
        <v>1000</v>
      </c>
      <c r="O37" s="0" t="n">
        <f aca="false">0.3</f>
        <v>0.3</v>
      </c>
      <c r="P37" s="0" t="s">
        <v>746</v>
      </c>
      <c r="Q37" s="0" t="s">
        <v>747</v>
      </c>
      <c r="R37" s="0" t="n">
        <f aca="false">INT($N37/2)</f>
        <v>500</v>
      </c>
    </row>
    <row r="38" customFormat="false" ht="14.4" hidden="false" customHeight="false" outlineLevel="0" collapsed="false">
      <c r="A38" s="0" t="s">
        <v>782</v>
      </c>
      <c r="B38" s="0" t="n">
        <v>48</v>
      </c>
      <c r="C38" s="0" t="n">
        <v>1.5</v>
      </c>
      <c r="D38" s="0" t="n">
        <v>4.94</v>
      </c>
      <c r="E38" s="0" t="n">
        <v>30.1</v>
      </c>
      <c r="F38" s="0" t="n">
        <v>200</v>
      </c>
      <c r="G38" s="0" t="n">
        <f aca="false">$B38</f>
        <v>48</v>
      </c>
      <c r="H38" s="0" t="n">
        <f aca="false">IF(I38&gt;5,20,12)</f>
        <v>12</v>
      </c>
      <c r="I38" s="0" t="n">
        <f aca="false">$C38</f>
        <v>1.5</v>
      </c>
      <c r="J38" s="0" t="n">
        <v>50</v>
      </c>
      <c r="K38" s="0" t="n">
        <f aca="false">INT($F38/4)</f>
        <v>50</v>
      </c>
      <c r="L38" s="0" t="n">
        <v>1</v>
      </c>
      <c r="M38" s="0" t="n">
        <f aca="false">$F38*2</f>
        <v>400</v>
      </c>
      <c r="N38" s="0" t="n">
        <f aca="false">5*$F38</f>
        <v>1000</v>
      </c>
      <c r="O38" s="0" t="n">
        <f aca="false">0.3</f>
        <v>0.3</v>
      </c>
      <c r="P38" s="0" t="s">
        <v>746</v>
      </c>
      <c r="Q38" s="0" t="s">
        <v>747</v>
      </c>
      <c r="R38" s="0" t="n">
        <f aca="false">INT($N38/2)</f>
        <v>500</v>
      </c>
    </row>
    <row r="39" customFormat="false" ht="14.4" hidden="false" customHeight="false" outlineLevel="0" collapsed="false">
      <c r="A39" s="0" t="s">
        <v>783</v>
      </c>
      <c r="B39" s="0" t="n">
        <v>48</v>
      </c>
      <c r="C39" s="0" t="n">
        <v>0.9</v>
      </c>
      <c r="D39" s="0" t="n">
        <v>5.6</v>
      </c>
      <c r="E39" s="0" t="n">
        <v>4</v>
      </c>
      <c r="F39" s="0" t="n">
        <v>200</v>
      </c>
      <c r="G39" s="0" t="n">
        <f aca="false">$B39</f>
        <v>48</v>
      </c>
      <c r="H39" s="0" t="n">
        <f aca="false">IF(I39&gt;5,20,12)</f>
        <v>12</v>
      </c>
      <c r="I39" s="0" t="n">
        <f aca="false">$C39</f>
        <v>0.9</v>
      </c>
      <c r="J39" s="0" t="n">
        <v>50</v>
      </c>
      <c r="K39" s="0" t="n">
        <f aca="false">INT($F39/4)</f>
        <v>50</v>
      </c>
      <c r="L39" s="0" t="n">
        <v>1</v>
      </c>
      <c r="M39" s="0" t="n">
        <f aca="false">$F39*2</f>
        <v>400</v>
      </c>
      <c r="N39" s="0" t="n">
        <f aca="false">5*$F39</f>
        <v>1000</v>
      </c>
      <c r="O39" s="0" t="n">
        <f aca="false">0.3</f>
        <v>0.3</v>
      </c>
      <c r="P39" s="0" t="s">
        <v>746</v>
      </c>
      <c r="Q39" s="0" t="s">
        <v>747</v>
      </c>
      <c r="R39" s="0" t="n">
        <f aca="false">INT($N39/2)</f>
        <v>500</v>
      </c>
    </row>
    <row r="40" customFormat="false" ht="14.4" hidden="false" customHeight="false" outlineLevel="0" collapsed="false">
      <c r="A40" s="0" t="s">
        <v>784</v>
      </c>
      <c r="B40" s="0" t="n">
        <v>48</v>
      </c>
      <c r="C40" s="0" t="n">
        <v>0.9</v>
      </c>
      <c r="D40" s="0" t="n">
        <v>8.4</v>
      </c>
      <c r="E40" s="0" t="n">
        <v>10</v>
      </c>
      <c r="F40" s="0" t="n">
        <v>200</v>
      </c>
      <c r="G40" s="0" t="n">
        <f aca="false">$B40</f>
        <v>48</v>
      </c>
      <c r="H40" s="0" t="n">
        <f aca="false">IF(I40&gt;5,20,12)</f>
        <v>12</v>
      </c>
      <c r="I40" s="0" t="n">
        <f aca="false">$C40</f>
        <v>0.9</v>
      </c>
      <c r="J40" s="0" t="n">
        <v>50</v>
      </c>
      <c r="K40" s="0" t="n">
        <f aca="false">INT($F40/4)</f>
        <v>50</v>
      </c>
      <c r="L40" s="0" t="n">
        <v>1</v>
      </c>
      <c r="M40" s="0" t="n">
        <f aca="false">$F40*2</f>
        <v>400</v>
      </c>
      <c r="N40" s="0" t="n">
        <f aca="false">5*$F40</f>
        <v>1000</v>
      </c>
      <c r="O40" s="0" t="n">
        <f aca="false">0.3</f>
        <v>0.3</v>
      </c>
      <c r="P40" s="0" t="s">
        <v>746</v>
      </c>
      <c r="Q40" s="0" t="s">
        <v>747</v>
      </c>
      <c r="R40" s="0" t="n">
        <f aca="false">INT($N40/2)</f>
        <v>500</v>
      </c>
    </row>
    <row r="41" customFormat="false" ht="14.4" hidden="false" customHeight="false" outlineLevel="0" collapsed="false">
      <c r="A41" s="0" t="s">
        <v>785</v>
      </c>
      <c r="B41" s="0" t="n">
        <v>48</v>
      </c>
      <c r="C41" s="0" t="n">
        <v>0.4</v>
      </c>
      <c r="D41" s="0" t="n">
        <v>48</v>
      </c>
      <c r="E41" s="0" t="n">
        <v>60</v>
      </c>
      <c r="F41" s="0" t="n">
        <v>200</v>
      </c>
      <c r="G41" s="0" t="n">
        <f aca="false">$B41</f>
        <v>48</v>
      </c>
      <c r="H41" s="0" t="n">
        <f aca="false">IF(I41&gt;5,20,12)</f>
        <v>12</v>
      </c>
      <c r="I41" s="0" t="n">
        <f aca="false">$C41</f>
        <v>0.4</v>
      </c>
      <c r="J41" s="0" t="n">
        <v>50</v>
      </c>
      <c r="K41" s="0" t="n">
        <f aca="false">INT($F41/4)</f>
        <v>50</v>
      </c>
      <c r="L41" s="0" t="n">
        <v>1</v>
      </c>
      <c r="M41" s="0" t="n">
        <f aca="false">$F41*2</f>
        <v>400</v>
      </c>
      <c r="N41" s="0" t="n">
        <f aca="false">5*$F41</f>
        <v>1000</v>
      </c>
      <c r="O41" s="0" t="n">
        <f aca="false">0.3</f>
        <v>0.3</v>
      </c>
      <c r="P41" s="0" t="s">
        <v>746</v>
      </c>
      <c r="Q41" s="0" t="s">
        <v>747</v>
      </c>
      <c r="R41" s="0" t="n">
        <f aca="false">INT($N41/2)</f>
        <v>500</v>
      </c>
    </row>
    <row r="42" customFormat="false" ht="14.4" hidden="false" customHeight="false" outlineLevel="0" collapsed="false">
      <c r="A42" s="0" t="s">
        <v>784</v>
      </c>
      <c r="B42" s="0" t="n">
        <v>48</v>
      </c>
      <c r="C42" s="0" t="n">
        <v>0.9</v>
      </c>
      <c r="D42" s="0" t="n">
        <v>8.4</v>
      </c>
      <c r="E42" s="0" t="n">
        <v>10</v>
      </c>
      <c r="F42" s="0" t="n">
        <v>200</v>
      </c>
      <c r="G42" s="0" t="n">
        <f aca="false">$B42</f>
        <v>48</v>
      </c>
      <c r="H42" s="0" t="n">
        <f aca="false">IF(I42&gt;5,20,12)</f>
        <v>12</v>
      </c>
      <c r="I42" s="0" t="n">
        <f aca="false">$C42</f>
        <v>0.9</v>
      </c>
      <c r="J42" s="0" t="n">
        <v>50</v>
      </c>
      <c r="K42" s="0" t="n">
        <f aca="false">INT($F42/4)</f>
        <v>50</v>
      </c>
      <c r="L42" s="0" t="n">
        <v>1</v>
      </c>
      <c r="M42" s="0" t="n">
        <f aca="false">$F42*2</f>
        <v>400</v>
      </c>
      <c r="N42" s="0" t="n">
        <f aca="false">5*$F42</f>
        <v>1000</v>
      </c>
      <c r="O42" s="0" t="n">
        <f aca="false">0.3</f>
        <v>0.3</v>
      </c>
      <c r="P42" s="0" t="s">
        <v>746</v>
      </c>
      <c r="Q42" s="0" t="s">
        <v>747</v>
      </c>
      <c r="R42" s="0" t="n">
        <f aca="false">INT($N42/2)</f>
        <v>500</v>
      </c>
    </row>
    <row r="43" customFormat="false" ht="14.4" hidden="false" customHeight="false" outlineLevel="0" collapsed="false">
      <c r="A43" s="0" t="s">
        <v>784</v>
      </c>
      <c r="B43" s="0" t="n">
        <v>48</v>
      </c>
      <c r="C43" s="0" t="n">
        <v>0.9</v>
      </c>
      <c r="D43" s="0" t="n">
        <v>8.4</v>
      </c>
      <c r="E43" s="0" t="n">
        <v>10</v>
      </c>
      <c r="F43" s="0" t="n">
        <v>200</v>
      </c>
      <c r="G43" s="0" t="n">
        <f aca="false">$B43</f>
        <v>48</v>
      </c>
      <c r="H43" s="0" t="n">
        <f aca="false">IF(I43&gt;5,20,12)</f>
        <v>12</v>
      </c>
      <c r="I43" s="0" t="n">
        <f aca="false">$C43</f>
        <v>0.9</v>
      </c>
      <c r="J43" s="0" t="n">
        <v>50</v>
      </c>
      <c r="K43" s="0" t="n">
        <f aca="false">INT($F43/4)</f>
        <v>50</v>
      </c>
      <c r="L43" s="0" t="n">
        <v>1</v>
      </c>
      <c r="M43" s="0" t="n">
        <f aca="false">$F43*2</f>
        <v>400</v>
      </c>
      <c r="N43" s="0" t="n">
        <f aca="false">5*$F43</f>
        <v>1000</v>
      </c>
      <c r="O43" s="0" t="n">
        <f aca="false">0.3</f>
        <v>0.3</v>
      </c>
      <c r="P43" s="0" t="s">
        <v>746</v>
      </c>
      <c r="Q43" s="0" t="s">
        <v>747</v>
      </c>
      <c r="R43" s="0" t="n">
        <f aca="false">INT($N43/2)</f>
        <v>500</v>
      </c>
    </row>
    <row r="44" customFormat="false" ht="14.4" hidden="false" customHeight="false" outlineLevel="0" collapsed="false">
      <c r="A44" s="0" t="s">
        <v>786</v>
      </c>
      <c r="B44" s="0" t="n">
        <v>48</v>
      </c>
      <c r="C44" s="0" t="n">
        <v>1.2</v>
      </c>
      <c r="D44" s="0" t="n">
        <v>6.6</v>
      </c>
      <c r="E44" s="0" t="n">
        <v>12.8</v>
      </c>
      <c r="F44" s="0" t="n">
        <v>200</v>
      </c>
      <c r="G44" s="0" t="n">
        <f aca="false">$B44</f>
        <v>48</v>
      </c>
      <c r="H44" s="0" t="n">
        <f aca="false">IF(I44&gt;5,20,12)</f>
        <v>12</v>
      </c>
      <c r="I44" s="0" t="n">
        <f aca="false">$C44</f>
        <v>1.2</v>
      </c>
      <c r="J44" s="0" t="n">
        <v>50</v>
      </c>
      <c r="K44" s="0" t="n">
        <f aca="false">INT($F44/4)</f>
        <v>50</v>
      </c>
      <c r="L44" s="0" t="n">
        <v>1</v>
      </c>
      <c r="M44" s="0" t="n">
        <f aca="false">$F44*2</f>
        <v>400</v>
      </c>
      <c r="N44" s="0" t="n">
        <f aca="false">5*$F44</f>
        <v>1000</v>
      </c>
      <c r="O44" s="0" t="n">
        <f aca="false">0.3</f>
        <v>0.3</v>
      </c>
      <c r="P44" s="0" t="s">
        <v>746</v>
      </c>
      <c r="Q44" s="0" t="s">
        <v>747</v>
      </c>
      <c r="R44" s="0" t="n">
        <f aca="false">INT($N44/2)</f>
        <v>500</v>
      </c>
    </row>
    <row r="45" customFormat="false" ht="14.4" hidden="false" customHeight="false" outlineLevel="0" collapsed="false">
      <c r="A45" s="0" t="s">
        <v>787</v>
      </c>
      <c r="B45" s="0" t="n">
        <v>48</v>
      </c>
      <c r="C45" s="0" t="n">
        <v>2.4</v>
      </c>
      <c r="D45" s="0" t="n">
        <v>1.8</v>
      </c>
      <c r="E45" s="0" t="n">
        <v>3.2</v>
      </c>
      <c r="F45" s="0" t="n">
        <v>200</v>
      </c>
      <c r="G45" s="0" t="n">
        <f aca="false">$B45</f>
        <v>48</v>
      </c>
      <c r="H45" s="0" t="n">
        <f aca="false">IF(I45&gt;5,20,12)</f>
        <v>12</v>
      </c>
      <c r="I45" s="0" t="n">
        <f aca="false">$C45</f>
        <v>2.4</v>
      </c>
      <c r="J45" s="0" t="n">
        <v>50</v>
      </c>
      <c r="K45" s="0" t="n">
        <f aca="false">INT($F45/4)</f>
        <v>50</v>
      </c>
      <c r="L45" s="0" t="n">
        <v>1</v>
      </c>
      <c r="M45" s="0" t="n">
        <f aca="false">$F45*2</f>
        <v>400</v>
      </c>
      <c r="N45" s="0" t="n">
        <f aca="false">5*$F45</f>
        <v>1000</v>
      </c>
      <c r="O45" s="0" t="n">
        <f aca="false">0.3</f>
        <v>0.3</v>
      </c>
      <c r="P45" s="0" t="s">
        <v>746</v>
      </c>
      <c r="Q45" s="0" t="s">
        <v>747</v>
      </c>
      <c r="R45" s="0" t="n">
        <f aca="false">INT($N45/2)</f>
        <v>500</v>
      </c>
    </row>
    <row r="46" customFormat="false" ht="14.4" hidden="false" customHeight="false" outlineLevel="0" collapsed="false">
      <c r="A46" s="0" t="s">
        <v>788</v>
      </c>
      <c r="B46" s="0" t="n">
        <v>48</v>
      </c>
      <c r="C46" s="0" t="n">
        <v>1.2</v>
      </c>
      <c r="D46" s="0" t="n">
        <v>6.6</v>
      </c>
      <c r="E46" s="0" t="n">
        <v>11.2</v>
      </c>
      <c r="F46" s="0" t="n">
        <v>200</v>
      </c>
      <c r="G46" s="0" t="n">
        <f aca="false">$B46</f>
        <v>48</v>
      </c>
      <c r="H46" s="0" t="n">
        <f aca="false">IF(I46&gt;5,20,12)</f>
        <v>12</v>
      </c>
      <c r="I46" s="0" t="n">
        <f aca="false">$C46</f>
        <v>1.2</v>
      </c>
      <c r="J46" s="0" t="n">
        <v>50</v>
      </c>
      <c r="K46" s="0" t="n">
        <f aca="false">INT($F46/4)</f>
        <v>50</v>
      </c>
      <c r="L46" s="0" t="n">
        <v>1</v>
      </c>
      <c r="M46" s="0" t="n">
        <f aca="false">$F46*2</f>
        <v>400</v>
      </c>
      <c r="N46" s="0" t="n">
        <f aca="false">5*$F46</f>
        <v>1000</v>
      </c>
      <c r="O46" s="0" t="n">
        <f aca="false">0.3</f>
        <v>0.3</v>
      </c>
      <c r="P46" s="0" t="s">
        <v>746</v>
      </c>
      <c r="Q46" s="0" t="s">
        <v>747</v>
      </c>
      <c r="R46" s="0" t="n">
        <f aca="false">INT($N46/2)</f>
        <v>500</v>
      </c>
    </row>
    <row r="47" customFormat="false" ht="14.4" hidden="false" customHeight="false" outlineLevel="0" collapsed="false">
      <c r="A47" s="0" t="s">
        <v>70</v>
      </c>
      <c r="B47" s="0" t="n">
        <v>48</v>
      </c>
      <c r="C47" s="0" t="n">
        <v>2.1</v>
      </c>
      <c r="D47" s="0" t="n">
        <v>2.1</v>
      </c>
      <c r="E47" s="0" t="n">
        <v>3.1</v>
      </c>
      <c r="F47" s="0" t="n">
        <v>200</v>
      </c>
      <c r="G47" s="0" t="n">
        <f aca="false">$B47</f>
        <v>48</v>
      </c>
      <c r="H47" s="0" t="n">
        <f aca="false">IF(I47&gt;5,20,12)</f>
        <v>12</v>
      </c>
      <c r="I47" s="0" t="n">
        <f aca="false">$C47</f>
        <v>2.1</v>
      </c>
      <c r="J47" s="0" t="n">
        <v>50</v>
      </c>
      <c r="K47" s="0" t="n">
        <f aca="false">INT($F47/4)</f>
        <v>50</v>
      </c>
      <c r="L47" s="0" t="n">
        <v>1</v>
      </c>
      <c r="M47" s="0" t="n">
        <f aca="false">$F47*2</f>
        <v>400</v>
      </c>
      <c r="N47" s="0" t="n">
        <f aca="false">5*$F47</f>
        <v>1000</v>
      </c>
      <c r="O47" s="0" t="n">
        <f aca="false">0.3</f>
        <v>0.3</v>
      </c>
      <c r="P47" s="0" t="s">
        <v>746</v>
      </c>
      <c r="Q47" s="0" t="s">
        <v>747</v>
      </c>
      <c r="R47" s="0" t="n">
        <f aca="false">INT($N47/2)</f>
        <v>500</v>
      </c>
    </row>
    <row r="48" customFormat="false" ht="14.4" hidden="false" customHeight="false" outlineLevel="0" collapsed="false">
      <c r="A48" s="0" t="s">
        <v>71</v>
      </c>
      <c r="B48" s="0" t="n">
        <v>48</v>
      </c>
      <c r="C48" s="0" t="n">
        <v>2.1</v>
      </c>
      <c r="D48" s="0" t="n">
        <v>2.12</v>
      </c>
      <c r="E48" s="0" t="n">
        <v>5.1</v>
      </c>
      <c r="F48" s="0" t="n">
        <v>400</v>
      </c>
      <c r="G48" s="0" t="n">
        <f aca="false">$B48</f>
        <v>48</v>
      </c>
      <c r="H48" s="0" t="n">
        <f aca="false">IF(I48&gt;5,20,12)</f>
        <v>12</v>
      </c>
      <c r="I48" s="0" t="n">
        <f aca="false">$C48</f>
        <v>2.1</v>
      </c>
      <c r="J48" s="0" t="n">
        <v>50</v>
      </c>
      <c r="K48" s="0" t="n">
        <f aca="false">INT($F48/4)</f>
        <v>100</v>
      </c>
      <c r="L48" s="0" t="n">
        <v>1</v>
      </c>
      <c r="M48" s="0" t="n">
        <f aca="false">$F48*2</f>
        <v>800</v>
      </c>
      <c r="N48" s="0" t="n">
        <f aca="false">5*$F48</f>
        <v>2000</v>
      </c>
      <c r="O48" s="0" t="n">
        <f aca="false">0.3</f>
        <v>0.3</v>
      </c>
      <c r="P48" s="0" t="s">
        <v>746</v>
      </c>
      <c r="Q48" s="0" t="s">
        <v>747</v>
      </c>
      <c r="R48" s="0" t="n">
        <f aca="false">INT($N48/2)</f>
        <v>1000</v>
      </c>
    </row>
    <row r="49" customFormat="false" ht="14.4" hidden="false" customHeight="false" outlineLevel="0" collapsed="false">
      <c r="A49" s="0" t="s">
        <v>296</v>
      </c>
      <c r="B49" s="0" t="n">
        <v>48</v>
      </c>
      <c r="C49" s="0" t="n">
        <v>0.8</v>
      </c>
      <c r="D49" s="0" t="n">
        <v>15</v>
      </c>
      <c r="E49" s="0" t="n">
        <v>39.6</v>
      </c>
      <c r="F49" s="0" t="n">
        <v>400</v>
      </c>
      <c r="G49" s="0" t="n">
        <f aca="false">$B49</f>
        <v>48</v>
      </c>
      <c r="H49" s="0" t="n">
        <f aca="false">IF(I49&gt;5,20,12)</f>
        <v>12</v>
      </c>
      <c r="I49" s="0" t="n">
        <f aca="false">$C49</f>
        <v>0.8</v>
      </c>
      <c r="J49" s="0" t="n">
        <v>50</v>
      </c>
      <c r="K49" s="0" t="n">
        <f aca="false">INT($F49/4)</f>
        <v>100</v>
      </c>
      <c r="L49" s="0" t="n">
        <v>1</v>
      </c>
      <c r="M49" s="0" t="n">
        <f aca="false">$F49*2</f>
        <v>800</v>
      </c>
      <c r="N49" s="0" t="n">
        <f aca="false">5*$F49</f>
        <v>2000</v>
      </c>
      <c r="O49" s="0" t="n">
        <f aca="false">0.3</f>
        <v>0.3</v>
      </c>
      <c r="P49" s="0" t="s">
        <v>746</v>
      </c>
      <c r="Q49" s="0" t="s">
        <v>747</v>
      </c>
      <c r="R49" s="0" t="n">
        <f aca="false">INT($N49/2)</f>
        <v>1000</v>
      </c>
    </row>
    <row r="50" customFormat="false" ht="14.4" hidden="false" customHeight="false" outlineLevel="0" collapsed="false">
      <c r="A50" s="0" t="s">
        <v>72</v>
      </c>
      <c r="B50" s="0" t="n">
        <v>48</v>
      </c>
      <c r="C50" s="0" t="n">
        <v>0.8</v>
      </c>
      <c r="D50" s="0" t="n">
        <v>7.5</v>
      </c>
      <c r="E50" s="0" t="n">
        <v>9.9</v>
      </c>
      <c r="F50" s="0" t="n">
        <v>400</v>
      </c>
      <c r="G50" s="0" t="n">
        <f aca="false">$B50</f>
        <v>48</v>
      </c>
      <c r="H50" s="0" t="n">
        <f aca="false">IF(I50&gt;5,20,12)</f>
        <v>12</v>
      </c>
      <c r="I50" s="0" t="n">
        <f aca="false">$C50</f>
        <v>0.8</v>
      </c>
      <c r="J50" s="0" t="n">
        <v>50</v>
      </c>
      <c r="K50" s="0" t="n">
        <f aca="false">INT($F50/4)</f>
        <v>100</v>
      </c>
      <c r="L50" s="0" t="n">
        <v>1</v>
      </c>
      <c r="M50" s="0" t="n">
        <f aca="false">$F50*2</f>
        <v>800</v>
      </c>
      <c r="N50" s="0" t="n">
        <f aca="false">5*$F50</f>
        <v>2000</v>
      </c>
      <c r="O50" s="0" t="n">
        <f aca="false">0.3</f>
        <v>0.3</v>
      </c>
      <c r="P50" s="0" t="s">
        <v>746</v>
      </c>
      <c r="Q50" s="0" t="s">
        <v>747</v>
      </c>
      <c r="R50" s="0" t="n">
        <f aca="false">INT($N50/2)</f>
        <v>1000</v>
      </c>
    </row>
    <row r="51" customFormat="false" ht="14.4" hidden="false" customHeight="false" outlineLevel="0" collapsed="false">
      <c r="A51" s="0" t="s">
        <v>789</v>
      </c>
      <c r="B51" s="0" t="n">
        <v>48</v>
      </c>
      <c r="C51" s="0" t="n">
        <v>2</v>
      </c>
      <c r="D51" s="0" t="n">
        <v>2.8</v>
      </c>
      <c r="E51" s="0" t="n">
        <v>5.6</v>
      </c>
      <c r="F51" s="0" t="n">
        <v>200</v>
      </c>
      <c r="G51" s="0" t="n">
        <f aca="false">$B51</f>
        <v>48</v>
      </c>
      <c r="H51" s="0" t="n">
        <f aca="false">IF(I51&gt;5,20,12)</f>
        <v>12</v>
      </c>
      <c r="I51" s="0" t="n">
        <f aca="false">$C51</f>
        <v>2</v>
      </c>
      <c r="J51" s="0" t="n">
        <v>50</v>
      </c>
      <c r="K51" s="0" t="n">
        <f aca="false">INT($F51/4)</f>
        <v>50</v>
      </c>
      <c r="L51" s="0" t="n">
        <v>1</v>
      </c>
      <c r="M51" s="0" t="n">
        <f aca="false">$F51*2</f>
        <v>400</v>
      </c>
      <c r="N51" s="0" t="n">
        <f aca="false">5*$F51</f>
        <v>1000</v>
      </c>
      <c r="O51" s="0" t="n">
        <f aca="false">0.3</f>
        <v>0.3</v>
      </c>
      <c r="P51" s="0" t="s">
        <v>746</v>
      </c>
      <c r="Q51" s="0" t="s">
        <v>747</v>
      </c>
      <c r="R51" s="0" t="n">
        <f aca="false">INT($N51/2)</f>
        <v>500</v>
      </c>
    </row>
    <row r="52" customFormat="false" ht="14.4" hidden="false" customHeight="false" outlineLevel="0" collapsed="false">
      <c r="A52" s="0" t="s">
        <v>790</v>
      </c>
      <c r="B52" s="0" t="n">
        <v>48</v>
      </c>
      <c r="C52" s="0" t="n">
        <v>2</v>
      </c>
      <c r="D52" s="0" t="n">
        <v>2.8</v>
      </c>
      <c r="E52" s="0" t="n">
        <v>5.6</v>
      </c>
      <c r="F52" s="0" t="n">
        <v>200</v>
      </c>
      <c r="G52" s="0" t="n">
        <f aca="false">$B52</f>
        <v>48</v>
      </c>
      <c r="H52" s="0" t="n">
        <f aca="false">IF(I52&gt;5,20,12)</f>
        <v>12</v>
      </c>
      <c r="I52" s="0" t="n">
        <f aca="false">$C52</f>
        <v>2</v>
      </c>
      <c r="J52" s="0" t="n">
        <v>50</v>
      </c>
      <c r="K52" s="0" t="n">
        <f aca="false">INT($F52/4)</f>
        <v>50</v>
      </c>
      <c r="L52" s="0" t="n">
        <v>1</v>
      </c>
      <c r="M52" s="0" t="n">
        <f aca="false">$F52*2</f>
        <v>400</v>
      </c>
      <c r="N52" s="0" t="n">
        <f aca="false">5*$F52</f>
        <v>1000</v>
      </c>
      <c r="O52" s="0" t="n">
        <f aca="false">0.3</f>
        <v>0.3</v>
      </c>
      <c r="P52" s="0" t="s">
        <v>746</v>
      </c>
      <c r="Q52" s="0" t="s">
        <v>747</v>
      </c>
      <c r="R52" s="0" t="n">
        <f aca="false">INT($N52/2)</f>
        <v>500</v>
      </c>
    </row>
    <row r="53" customFormat="false" ht="14.4" hidden="false" customHeight="false" outlineLevel="0" collapsed="false">
      <c r="A53" s="0" t="s">
        <v>303</v>
      </c>
      <c r="B53" s="0" t="n">
        <v>48</v>
      </c>
      <c r="C53" s="0" t="n">
        <v>3.9</v>
      </c>
      <c r="D53" s="0" t="n">
        <v>0.7</v>
      </c>
      <c r="E53" s="0" t="n">
        <v>1.7</v>
      </c>
      <c r="F53" s="0" t="n">
        <v>400</v>
      </c>
      <c r="G53" s="0" t="n">
        <f aca="false">$B53</f>
        <v>48</v>
      </c>
      <c r="H53" s="0" t="n">
        <f aca="false">IF(I53&gt;5,20,12)</f>
        <v>12</v>
      </c>
      <c r="I53" s="0" t="n">
        <f aca="false">$C53</f>
        <v>3.9</v>
      </c>
      <c r="J53" s="0" t="n">
        <v>50</v>
      </c>
      <c r="K53" s="0" t="n">
        <f aca="false">INT($F53/4)</f>
        <v>100</v>
      </c>
      <c r="L53" s="0" t="n">
        <v>1</v>
      </c>
      <c r="M53" s="0" t="n">
        <f aca="false">$F53*2</f>
        <v>800</v>
      </c>
      <c r="N53" s="0" t="n">
        <f aca="false">5*$F53</f>
        <v>2000</v>
      </c>
      <c r="O53" s="0" t="n">
        <f aca="false">0.3</f>
        <v>0.3</v>
      </c>
      <c r="P53" s="0" t="s">
        <v>746</v>
      </c>
      <c r="Q53" s="0" t="s">
        <v>747</v>
      </c>
      <c r="R53" s="0" t="n">
        <f aca="false">INT($N53/2)</f>
        <v>1000</v>
      </c>
    </row>
    <row r="54" customFormat="false" ht="14.4" hidden="false" customHeight="false" outlineLevel="0" collapsed="false">
      <c r="A54" s="0" t="s">
        <v>791</v>
      </c>
      <c r="B54" s="0" t="n">
        <v>48</v>
      </c>
      <c r="C54" s="0" t="n">
        <v>2</v>
      </c>
      <c r="D54" s="0" t="n">
        <v>2.8</v>
      </c>
      <c r="E54" s="0" t="n">
        <v>5.6</v>
      </c>
      <c r="F54" s="0" t="n">
        <v>200</v>
      </c>
      <c r="G54" s="0" t="n">
        <f aca="false">$B54</f>
        <v>48</v>
      </c>
      <c r="H54" s="0" t="n">
        <f aca="false">IF(I54&gt;5,20,12)</f>
        <v>12</v>
      </c>
      <c r="I54" s="0" t="n">
        <f aca="false">$C54</f>
        <v>2</v>
      </c>
      <c r="J54" s="0" t="n">
        <v>50</v>
      </c>
      <c r="K54" s="0" t="n">
        <f aca="false">INT($F54/4)</f>
        <v>50</v>
      </c>
      <c r="L54" s="0" t="n">
        <v>1</v>
      </c>
      <c r="M54" s="0" t="n">
        <f aca="false">$F54*2</f>
        <v>400</v>
      </c>
      <c r="N54" s="0" t="n">
        <f aca="false">5*$F54</f>
        <v>1000</v>
      </c>
      <c r="O54" s="0" t="n">
        <f aca="false">0.3</f>
        <v>0.3</v>
      </c>
      <c r="P54" s="0" t="s">
        <v>746</v>
      </c>
      <c r="Q54" s="0" t="s">
        <v>747</v>
      </c>
      <c r="R54" s="0" t="n">
        <f aca="false">INT($N54/2)</f>
        <v>500</v>
      </c>
    </row>
    <row r="55" customFormat="false" ht="14.4" hidden="false" customHeight="false" outlineLevel="0" collapsed="false">
      <c r="A55" s="0" t="s">
        <v>792</v>
      </c>
      <c r="B55" s="0" t="n">
        <v>48</v>
      </c>
      <c r="C55" s="0" t="n">
        <v>3.9</v>
      </c>
      <c r="D55" s="0" t="n">
        <v>0.7</v>
      </c>
      <c r="E55" s="0" t="n">
        <v>1.4</v>
      </c>
      <c r="F55" s="0" t="n">
        <v>200</v>
      </c>
      <c r="G55" s="0" t="n">
        <f aca="false">$B55</f>
        <v>48</v>
      </c>
      <c r="H55" s="0" t="n">
        <f aca="false">IF(I55&gt;5,20,12)</f>
        <v>12</v>
      </c>
      <c r="I55" s="0" t="n">
        <f aca="false">$C55</f>
        <v>3.9</v>
      </c>
      <c r="J55" s="0" t="n">
        <v>50</v>
      </c>
      <c r="K55" s="0" t="n">
        <f aca="false">INT($F55/4)</f>
        <v>50</v>
      </c>
      <c r="L55" s="0" t="n">
        <v>1</v>
      </c>
      <c r="M55" s="0" t="n">
        <f aca="false">$F55*2</f>
        <v>400</v>
      </c>
      <c r="N55" s="0" t="n">
        <f aca="false">5*$F55</f>
        <v>1000</v>
      </c>
      <c r="O55" s="0" t="n">
        <f aca="false">0.3</f>
        <v>0.3</v>
      </c>
      <c r="P55" s="0" t="s">
        <v>746</v>
      </c>
      <c r="Q55" s="0" t="s">
        <v>747</v>
      </c>
      <c r="R55" s="0" t="n">
        <f aca="false">INT($N55/2)</f>
        <v>500</v>
      </c>
    </row>
    <row r="56" customFormat="false" ht="14.4" hidden="false" customHeight="false" outlineLevel="0" collapsed="false">
      <c r="A56" s="0" t="s">
        <v>793</v>
      </c>
      <c r="B56" s="0" t="n">
        <v>48</v>
      </c>
      <c r="C56" s="0" t="n">
        <v>3.9</v>
      </c>
      <c r="D56" s="0" t="n">
        <v>0.73</v>
      </c>
      <c r="E56" s="0" t="n">
        <v>1.8</v>
      </c>
      <c r="F56" s="0" t="n">
        <v>200</v>
      </c>
      <c r="G56" s="0" t="n">
        <f aca="false">$B56</f>
        <v>48</v>
      </c>
      <c r="H56" s="0" t="n">
        <f aca="false">IF(I56&gt;5,20,12)</f>
        <v>12</v>
      </c>
      <c r="I56" s="0" t="n">
        <f aca="false">$C56</f>
        <v>3.9</v>
      </c>
      <c r="J56" s="0" t="n">
        <v>50</v>
      </c>
      <c r="K56" s="0" t="n">
        <f aca="false">INT($F56/4)</f>
        <v>50</v>
      </c>
      <c r="L56" s="0" t="n">
        <v>1</v>
      </c>
      <c r="M56" s="0" t="n">
        <f aca="false">$F56*2</f>
        <v>400</v>
      </c>
      <c r="N56" s="0" t="n">
        <f aca="false">5*$F56</f>
        <v>1000</v>
      </c>
      <c r="O56" s="0" t="n">
        <f aca="false">0.3</f>
        <v>0.3</v>
      </c>
      <c r="P56" s="0" t="s">
        <v>746</v>
      </c>
      <c r="Q56" s="0" t="s">
        <v>747</v>
      </c>
      <c r="R56" s="0" t="n">
        <f aca="false">INT($N56/2)</f>
        <v>500</v>
      </c>
    </row>
    <row r="57" customFormat="false" ht="14.4" hidden="false" customHeight="false" outlineLevel="0" collapsed="false">
      <c r="A57" s="0" t="s">
        <v>794</v>
      </c>
      <c r="B57" s="0" t="n">
        <v>48</v>
      </c>
      <c r="C57" s="0" t="n">
        <v>2</v>
      </c>
      <c r="D57" s="0" t="n">
        <v>3.6</v>
      </c>
      <c r="E57" s="0" t="n">
        <v>10</v>
      </c>
      <c r="F57" s="0" t="n">
        <v>200</v>
      </c>
      <c r="G57" s="0" t="n">
        <f aca="false">$B57</f>
        <v>48</v>
      </c>
      <c r="H57" s="0" t="n">
        <f aca="false">IF(I57&gt;5,20,12)</f>
        <v>12</v>
      </c>
      <c r="I57" s="0" t="n">
        <f aca="false">$C57</f>
        <v>2</v>
      </c>
      <c r="J57" s="0" t="n">
        <v>50</v>
      </c>
      <c r="K57" s="0" t="n">
        <f aca="false">INT($F57/4)</f>
        <v>50</v>
      </c>
      <c r="L57" s="0" t="n">
        <v>1</v>
      </c>
      <c r="M57" s="0" t="n">
        <f aca="false">$F57*2</f>
        <v>400</v>
      </c>
      <c r="N57" s="0" t="n">
        <f aca="false">5*$F57</f>
        <v>1000</v>
      </c>
      <c r="O57" s="0" t="n">
        <f aca="false">0.3</f>
        <v>0.3</v>
      </c>
      <c r="P57" s="0" t="s">
        <v>746</v>
      </c>
      <c r="Q57" s="0" t="s">
        <v>747</v>
      </c>
      <c r="R57" s="0" t="n">
        <f aca="false">INT($N57/2)</f>
        <v>500</v>
      </c>
    </row>
    <row r="58" customFormat="false" ht="14.4" hidden="false" customHeight="false" outlineLevel="0" collapsed="false">
      <c r="A58" s="0" t="s">
        <v>73</v>
      </c>
      <c r="B58" s="0" t="n">
        <v>48</v>
      </c>
      <c r="C58" s="0" t="n">
        <v>2</v>
      </c>
      <c r="D58" s="0" t="n">
        <v>3.6</v>
      </c>
      <c r="E58" s="0" t="n">
        <v>10</v>
      </c>
      <c r="F58" s="0" t="n">
        <v>200</v>
      </c>
      <c r="G58" s="0" t="n">
        <f aca="false">$B58</f>
        <v>48</v>
      </c>
      <c r="H58" s="0" t="n">
        <f aca="false">IF(I58&gt;5,20,12)</f>
        <v>12</v>
      </c>
      <c r="I58" s="0" t="n">
        <f aca="false">$C58</f>
        <v>2</v>
      </c>
      <c r="J58" s="0" t="n">
        <v>50</v>
      </c>
      <c r="K58" s="0" t="n">
        <f aca="false">INT($F58/4)</f>
        <v>50</v>
      </c>
      <c r="L58" s="0" t="n">
        <v>1</v>
      </c>
      <c r="M58" s="0" t="n">
        <f aca="false">$F58*2</f>
        <v>400</v>
      </c>
      <c r="N58" s="0" t="n">
        <f aca="false">5*$F58</f>
        <v>1000</v>
      </c>
      <c r="O58" s="0" t="n">
        <f aca="false">0.3</f>
        <v>0.3</v>
      </c>
      <c r="P58" s="0" t="s">
        <v>746</v>
      </c>
      <c r="Q58" s="0" t="s">
        <v>747</v>
      </c>
      <c r="R58" s="0" t="n">
        <f aca="false">INT($N58/2)</f>
        <v>500</v>
      </c>
    </row>
    <row r="59" customFormat="false" ht="14.4" hidden="false" customHeight="false" outlineLevel="0" collapsed="false">
      <c r="A59" s="0" t="s">
        <v>795</v>
      </c>
      <c r="B59" s="0" t="n">
        <v>48</v>
      </c>
      <c r="C59" s="0" t="n">
        <v>2</v>
      </c>
      <c r="D59" s="0" t="n">
        <v>4.8</v>
      </c>
      <c r="E59" s="0" t="n">
        <v>14.2</v>
      </c>
      <c r="F59" s="0" t="n">
        <v>200</v>
      </c>
      <c r="G59" s="0" t="n">
        <f aca="false">$B59</f>
        <v>48</v>
      </c>
      <c r="H59" s="0" t="n">
        <f aca="false">IF(I59&gt;5,20,12)</f>
        <v>12</v>
      </c>
      <c r="I59" s="0" t="n">
        <f aca="false">$C59</f>
        <v>2</v>
      </c>
      <c r="J59" s="0" t="n">
        <v>50</v>
      </c>
      <c r="K59" s="0" t="n">
        <f aca="false">INT($F59/4)</f>
        <v>50</v>
      </c>
      <c r="L59" s="0" t="n">
        <v>1</v>
      </c>
      <c r="M59" s="0" t="n">
        <f aca="false">$F59*2</f>
        <v>400</v>
      </c>
      <c r="N59" s="0" t="n">
        <f aca="false">5*$F59</f>
        <v>1000</v>
      </c>
      <c r="O59" s="0" t="n">
        <f aca="false">0.3</f>
        <v>0.3</v>
      </c>
      <c r="P59" s="0" t="s">
        <v>746</v>
      </c>
      <c r="Q59" s="0" t="s">
        <v>747</v>
      </c>
      <c r="R59" s="0" t="n">
        <f aca="false">INT($N59/2)</f>
        <v>500</v>
      </c>
    </row>
    <row r="60" customFormat="false" ht="14.4" hidden="false" customHeight="false" outlineLevel="0" collapsed="false">
      <c r="A60" s="0" t="s">
        <v>796</v>
      </c>
      <c r="B60" s="0" t="n">
        <v>48</v>
      </c>
      <c r="C60" s="0" t="n">
        <v>2</v>
      </c>
      <c r="D60" s="0" t="n">
        <v>4.5</v>
      </c>
      <c r="E60" s="0" t="n">
        <v>14.4</v>
      </c>
      <c r="F60" s="0" t="n">
        <v>200</v>
      </c>
      <c r="G60" s="0" t="n">
        <f aca="false">$B60</f>
        <v>48</v>
      </c>
      <c r="H60" s="0" t="n">
        <f aca="false">IF(I60&gt;5,20,12)</f>
        <v>12</v>
      </c>
      <c r="I60" s="0" t="n">
        <f aca="false">$C60</f>
        <v>2</v>
      </c>
      <c r="J60" s="0" t="n">
        <v>50</v>
      </c>
      <c r="K60" s="0" t="n">
        <f aca="false">INT($F60/4)</f>
        <v>50</v>
      </c>
      <c r="L60" s="0" t="n">
        <v>1</v>
      </c>
      <c r="M60" s="0" t="n">
        <f aca="false">$F60*2</f>
        <v>400</v>
      </c>
      <c r="N60" s="0" t="n">
        <f aca="false">5*$F60</f>
        <v>1000</v>
      </c>
      <c r="O60" s="0" t="n">
        <f aca="false">0.3</f>
        <v>0.3</v>
      </c>
      <c r="P60" s="0" t="s">
        <v>746</v>
      </c>
      <c r="Q60" s="0" t="s">
        <v>747</v>
      </c>
      <c r="R60" s="0" t="n">
        <f aca="false">INT($N60/2)</f>
        <v>500</v>
      </c>
    </row>
    <row r="61" customFormat="false" ht="14.4" hidden="false" customHeight="false" outlineLevel="0" collapsed="false">
      <c r="A61" s="0" t="s">
        <v>797</v>
      </c>
      <c r="B61" s="0" t="n">
        <v>48</v>
      </c>
      <c r="C61" s="0" t="n">
        <v>3.9</v>
      </c>
      <c r="D61" s="0" t="n">
        <v>1.13</v>
      </c>
      <c r="E61" s="0" t="n">
        <v>4.8</v>
      </c>
      <c r="F61" s="0" t="n">
        <v>400</v>
      </c>
      <c r="G61" s="0" t="n">
        <f aca="false">$B61</f>
        <v>48</v>
      </c>
      <c r="H61" s="0" t="n">
        <f aca="false">IF(I61&gt;5,20,12)</f>
        <v>12</v>
      </c>
      <c r="I61" s="0" t="n">
        <f aca="false">$C61</f>
        <v>3.9</v>
      </c>
      <c r="J61" s="0" t="n">
        <v>50</v>
      </c>
      <c r="K61" s="0" t="n">
        <f aca="false">INT($F61/4)</f>
        <v>100</v>
      </c>
      <c r="L61" s="0" t="n">
        <v>1</v>
      </c>
      <c r="M61" s="0" t="n">
        <f aca="false">$F61*2</f>
        <v>800</v>
      </c>
      <c r="N61" s="0" t="n">
        <f aca="false">5*$F61</f>
        <v>2000</v>
      </c>
      <c r="O61" s="0" t="n">
        <v>0.3</v>
      </c>
      <c r="P61" s="0" t="s">
        <v>746</v>
      </c>
      <c r="Q61" s="0" t="s">
        <v>747</v>
      </c>
      <c r="R61" s="0" t="n">
        <f aca="false">INT($N61/2)</f>
        <v>1000</v>
      </c>
    </row>
    <row r="62" customFormat="false" ht="14.4" hidden="false" customHeight="false" outlineLevel="0" collapsed="false">
      <c r="A62" s="0" t="s">
        <v>798</v>
      </c>
      <c r="B62" s="0" t="n">
        <v>48</v>
      </c>
      <c r="C62" s="0" t="n">
        <v>1</v>
      </c>
      <c r="D62" s="0" t="n">
        <v>17.2</v>
      </c>
      <c r="E62" s="0" t="n">
        <v>56</v>
      </c>
      <c r="F62" s="0" t="n">
        <v>200</v>
      </c>
      <c r="G62" s="0" t="n">
        <f aca="false">$B62</f>
        <v>48</v>
      </c>
      <c r="H62" s="0" t="n">
        <f aca="false">IF(I62&gt;5,20,12)</f>
        <v>12</v>
      </c>
      <c r="I62" s="0" t="n">
        <f aca="false">$C62</f>
        <v>1</v>
      </c>
      <c r="J62" s="0" t="n">
        <v>50</v>
      </c>
      <c r="K62" s="0" t="n">
        <f aca="false">INT($F62/4)</f>
        <v>50</v>
      </c>
      <c r="L62" s="0" t="n">
        <v>1</v>
      </c>
      <c r="M62" s="0" t="n">
        <f aca="false">$F62*2</f>
        <v>400</v>
      </c>
      <c r="N62" s="0" t="n">
        <f aca="false">5*$F62</f>
        <v>1000</v>
      </c>
      <c r="O62" s="0" t="n">
        <f aca="false">0.3</f>
        <v>0.3</v>
      </c>
      <c r="P62" s="0" t="s">
        <v>746</v>
      </c>
      <c r="Q62" s="0" t="s">
        <v>747</v>
      </c>
      <c r="R62" s="0" t="n">
        <f aca="false">INT($N62/2)</f>
        <v>500</v>
      </c>
    </row>
    <row r="63" customFormat="false" ht="14.4" hidden="false" customHeight="false" outlineLevel="0" collapsed="false">
      <c r="A63" s="0" t="s">
        <v>799</v>
      </c>
      <c r="B63" s="0" t="n">
        <v>48</v>
      </c>
      <c r="C63" s="0" t="n">
        <v>2</v>
      </c>
      <c r="D63" s="0" t="n">
        <v>4.5</v>
      </c>
      <c r="E63" s="0" t="n">
        <v>14.4</v>
      </c>
      <c r="F63" s="0" t="n">
        <v>200</v>
      </c>
      <c r="G63" s="0" t="n">
        <f aca="false">$B63</f>
        <v>48</v>
      </c>
      <c r="H63" s="0" t="n">
        <f aca="false">IF(I63&gt;5,20,12)</f>
        <v>12</v>
      </c>
      <c r="I63" s="0" t="n">
        <f aca="false">$C63</f>
        <v>2</v>
      </c>
      <c r="J63" s="0" t="n">
        <v>50</v>
      </c>
      <c r="K63" s="0" t="n">
        <f aca="false">INT($F63/4)</f>
        <v>50</v>
      </c>
      <c r="L63" s="0" t="n">
        <v>1</v>
      </c>
      <c r="M63" s="0" t="n">
        <f aca="false">$F63*2</f>
        <v>400</v>
      </c>
      <c r="N63" s="0" t="n">
        <f aca="false">5*$F63</f>
        <v>1000</v>
      </c>
      <c r="O63" s="0" t="n">
        <f aca="false">0.3</f>
        <v>0.3</v>
      </c>
      <c r="P63" s="0" t="s">
        <v>746</v>
      </c>
      <c r="Q63" s="0" t="s">
        <v>747</v>
      </c>
      <c r="R63" s="0" t="n">
        <f aca="false">INT($N63/2)</f>
        <v>500</v>
      </c>
    </row>
    <row r="64" customFormat="false" ht="14.4" hidden="false" customHeight="false" outlineLevel="0" collapsed="false">
      <c r="A64" s="0" t="s">
        <v>74</v>
      </c>
      <c r="B64" s="0" t="n">
        <v>48</v>
      </c>
      <c r="C64" s="0" t="n">
        <v>2</v>
      </c>
      <c r="D64" s="0" t="n">
        <v>4.5</v>
      </c>
      <c r="E64" s="0" t="n">
        <v>14.4</v>
      </c>
      <c r="F64" s="0" t="n">
        <v>200</v>
      </c>
      <c r="G64" s="0" t="n">
        <f aca="false">$B64</f>
        <v>48</v>
      </c>
      <c r="H64" s="0" t="n">
        <f aca="false">IF(I64&gt;5,20,12)</f>
        <v>12</v>
      </c>
      <c r="I64" s="0" t="n">
        <f aca="false">$C64</f>
        <v>2</v>
      </c>
      <c r="J64" s="0" t="n">
        <v>50</v>
      </c>
      <c r="K64" s="0" t="n">
        <f aca="false">INT($F64/4)</f>
        <v>50</v>
      </c>
      <c r="L64" s="0" t="n">
        <v>1</v>
      </c>
      <c r="M64" s="0" t="n">
        <f aca="false">$F64*2</f>
        <v>400</v>
      </c>
      <c r="N64" s="0" t="n">
        <f aca="false">5*$F64</f>
        <v>1000</v>
      </c>
      <c r="O64" s="0" t="n">
        <f aca="false">0.3</f>
        <v>0.3</v>
      </c>
      <c r="P64" s="0" t="s">
        <v>746</v>
      </c>
      <c r="Q64" s="0" t="s">
        <v>747</v>
      </c>
      <c r="R64" s="0" t="n">
        <f aca="false">INT($N64/2)</f>
        <v>500</v>
      </c>
    </row>
    <row r="65" customFormat="false" ht="14.4" hidden="false" customHeight="false" outlineLevel="0" collapsed="false">
      <c r="A65" s="0" t="s">
        <v>347</v>
      </c>
      <c r="B65" s="0" t="n">
        <v>48</v>
      </c>
      <c r="C65" s="0" t="n">
        <v>2</v>
      </c>
      <c r="D65" s="0" t="n">
        <v>4.5</v>
      </c>
      <c r="E65" s="0" t="n">
        <v>19.2</v>
      </c>
      <c r="F65" s="0" t="n">
        <v>400</v>
      </c>
      <c r="G65" s="0" t="n">
        <f aca="false">$B65</f>
        <v>48</v>
      </c>
      <c r="H65" s="0" t="n">
        <f aca="false">IF(I65&gt;5,20,12)</f>
        <v>12</v>
      </c>
      <c r="I65" s="0" t="n">
        <f aca="false">$C65</f>
        <v>2</v>
      </c>
      <c r="J65" s="0" t="n">
        <v>50</v>
      </c>
      <c r="K65" s="0" t="n">
        <f aca="false">INT($F65/4)</f>
        <v>100</v>
      </c>
      <c r="L65" s="0" t="n">
        <v>1</v>
      </c>
      <c r="M65" s="0" t="n">
        <f aca="false">$F65*2</f>
        <v>800</v>
      </c>
      <c r="N65" s="0" t="n">
        <f aca="false">5*$F65</f>
        <v>2000</v>
      </c>
      <c r="O65" s="0" t="n">
        <f aca="false">0.3</f>
        <v>0.3</v>
      </c>
      <c r="P65" s="0" t="s">
        <v>746</v>
      </c>
      <c r="Q65" s="0" t="s">
        <v>747</v>
      </c>
      <c r="R65" s="0" t="n">
        <f aca="false">INT($N65/2)</f>
        <v>1000</v>
      </c>
    </row>
    <row r="66" customFormat="false" ht="14.4" hidden="false" customHeight="false" outlineLevel="0" collapsed="false">
      <c r="A66" s="0" t="s">
        <v>800</v>
      </c>
      <c r="B66" s="0" t="n">
        <v>48</v>
      </c>
      <c r="C66" s="0" t="n">
        <v>2</v>
      </c>
      <c r="D66" s="0" t="n">
        <v>4.5</v>
      </c>
      <c r="E66" s="0" t="n">
        <v>19.2</v>
      </c>
      <c r="F66" s="0" t="n">
        <v>400</v>
      </c>
      <c r="G66" s="0" t="n">
        <f aca="false">$B66</f>
        <v>48</v>
      </c>
      <c r="H66" s="0" t="n">
        <f aca="false">IF(I66&gt;5,20,12)</f>
        <v>12</v>
      </c>
      <c r="I66" s="0" t="n">
        <f aca="false">$C66</f>
        <v>2</v>
      </c>
      <c r="J66" s="0" t="n">
        <v>50</v>
      </c>
      <c r="K66" s="0" t="n">
        <f aca="false">INT($F66/4)</f>
        <v>100</v>
      </c>
      <c r="L66" s="0" t="n">
        <v>1</v>
      </c>
      <c r="M66" s="0" t="n">
        <f aca="false">$F66*2</f>
        <v>800</v>
      </c>
      <c r="N66" s="0" t="n">
        <f aca="false">5*$F66</f>
        <v>2000</v>
      </c>
      <c r="O66" s="0" t="n">
        <f aca="false">0.3</f>
        <v>0.3</v>
      </c>
      <c r="P66" s="0" t="s">
        <v>746</v>
      </c>
      <c r="Q66" s="0" t="s">
        <v>747</v>
      </c>
      <c r="R66" s="0" t="n">
        <f aca="false">INT($N66/2)</f>
        <v>1000</v>
      </c>
    </row>
    <row r="67" customFormat="false" ht="14.4" hidden="false" customHeight="false" outlineLevel="0" collapsed="false">
      <c r="A67" s="0" t="s">
        <v>801</v>
      </c>
      <c r="B67" s="0" t="n">
        <v>48</v>
      </c>
      <c r="C67" s="0" t="n">
        <v>2.9</v>
      </c>
      <c r="D67" s="0" t="n">
        <v>2</v>
      </c>
      <c r="E67" s="0" t="n">
        <v>6.4</v>
      </c>
      <c r="F67" s="0" t="n">
        <v>200</v>
      </c>
      <c r="G67" s="0" t="n">
        <f aca="false">$B67</f>
        <v>48</v>
      </c>
      <c r="H67" s="0" t="n">
        <f aca="false">IF(I67&gt;5,20,12)</f>
        <v>12</v>
      </c>
      <c r="I67" s="0" t="n">
        <f aca="false">$C67</f>
        <v>2.9</v>
      </c>
      <c r="J67" s="0" t="n">
        <v>50</v>
      </c>
      <c r="K67" s="0" t="n">
        <f aca="false">INT($F67/4)</f>
        <v>50</v>
      </c>
      <c r="L67" s="0" t="n">
        <v>1</v>
      </c>
      <c r="M67" s="0" t="n">
        <f aca="false">$F67*2</f>
        <v>400</v>
      </c>
      <c r="N67" s="0" t="n">
        <f aca="false">5*$F67</f>
        <v>1000</v>
      </c>
      <c r="O67" s="0" t="n">
        <f aca="false">0.3</f>
        <v>0.3</v>
      </c>
      <c r="P67" s="0" t="s">
        <v>746</v>
      </c>
      <c r="Q67" s="0" t="s">
        <v>747</v>
      </c>
      <c r="R67" s="0" t="n">
        <f aca="false">INT($N67/2)</f>
        <v>500</v>
      </c>
    </row>
    <row r="68" customFormat="false" ht="14.4" hidden="false" customHeight="false" outlineLevel="0" collapsed="false">
      <c r="A68" s="0" t="s">
        <v>802</v>
      </c>
      <c r="B68" s="0" t="n">
        <v>48</v>
      </c>
      <c r="C68" s="0" t="n">
        <v>3.9</v>
      </c>
      <c r="D68" s="0" t="n">
        <v>1.49</v>
      </c>
      <c r="E68" s="0" t="n">
        <v>5.7</v>
      </c>
      <c r="F68" s="0" t="n">
        <v>200</v>
      </c>
      <c r="G68" s="0" t="n">
        <f aca="false">$B68</f>
        <v>48</v>
      </c>
      <c r="H68" s="0" t="n">
        <f aca="false">IF(I68&gt;5,20,12)</f>
        <v>12</v>
      </c>
      <c r="I68" s="0" t="n">
        <f aca="false">$C68</f>
        <v>3.9</v>
      </c>
      <c r="J68" s="0" t="n">
        <v>50</v>
      </c>
      <c r="K68" s="0" t="n">
        <f aca="false">INT($F68/4)</f>
        <v>50</v>
      </c>
      <c r="L68" s="0" t="n">
        <v>1</v>
      </c>
      <c r="M68" s="0" t="n">
        <f aca="false">$F68*2</f>
        <v>400</v>
      </c>
      <c r="N68" s="0" t="n">
        <f aca="false">5*$F68</f>
        <v>1000</v>
      </c>
      <c r="O68" s="0" t="n">
        <f aca="false">0.3</f>
        <v>0.3</v>
      </c>
      <c r="P68" s="0" t="s">
        <v>746</v>
      </c>
      <c r="Q68" s="0" t="s">
        <v>747</v>
      </c>
      <c r="R68" s="0" t="n">
        <f aca="false">INT($N68/2)</f>
        <v>500</v>
      </c>
    </row>
    <row r="69" customFormat="false" ht="14.4" hidden="false" customHeight="false" outlineLevel="0" collapsed="false">
      <c r="A69" s="0" t="s">
        <v>803</v>
      </c>
      <c r="B69" s="0" t="n">
        <v>48</v>
      </c>
      <c r="C69" s="0" t="n">
        <v>4.5</v>
      </c>
      <c r="D69" s="0" t="n">
        <v>0.96</v>
      </c>
      <c r="E69" s="0" t="n">
        <v>6</v>
      </c>
      <c r="F69" s="0" t="n">
        <v>200</v>
      </c>
      <c r="G69" s="0" t="n">
        <f aca="false">$B69</f>
        <v>48</v>
      </c>
      <c r="H69" s="0" t="n">
        <f aca="false">IF(I69&gt;5,20,12)</f>
        <v>12</v>
      </c>
      <c r="I69" s="0" t="n">
        <f aca="false">$C69</f>
        <v>4.5</v>
      </c>
      <c r="J69" s="0" t="n">
        <v>50</v>
      </c>
      <c r="K69" s="0" t="n">
        <f aca="false">INT($F69/4)</f>
        <v>50</v>
      </c>
      <c r="L69" s="0" t="n">
        <v>1</v>
      </c>
      <c r="M69" s="0" t="n">
        <f aca="false">$F69*2</f>
        <v>400</v>
      </c>
      <c r="N69" s="0" t="n">
        <f aca="false">5*$F69</f>
        <v>1000</v>
      </c>
      <c r="O69" s="0" t="n">
        <f aca="false">0.3</f>
        <v>0.3</v>
      </c>
      <c r="P69" s="0" t="s">
        <v>746</v>
      </c>
      <c r="Q69" s="0" t="s">
        <v>747</v>
      </c>
      <c r="R69" s="0" t="n">
        <f aca="false">INT($N69/2)</f>
        <v>500</v>
      </c>
    </row>
    <row r="70" customFormat="false" ht="14.4" hidden="false" customHeight="false" outlineLevel="0" collapsed="false">
      <c r="A70" s="0" t="s">
        <v>313</v>
      </c>
      <c r="B70" s="0" t="n">
        <v>48</v>
      </c>
      <c r="C70" s="0" t="n">
        <v>7.5</v>
      </c>
      <c r="D70" s="0" t="n">
        <v>0.24</v>
      </c>
      <c r="E70" s="0" t="n">
        <v>1.5</v>
      </c>
      <c r="F70" s="0" t="n">
        <v>200</v>
      </c>
      <c r="G70" s="0" t="n">
        <f aca="false">$B70</f>
        <v>48</v>
      </c>
      <c r="H70" s="0" t="n">
        <f aca="false">IF(I70&gt;5,20,12)</f>
        <v>20</v>
      </c>
      <c r="I70" s="0" t="n">
        <f aca="false">$C70</f>
        <v>7.5</v>
      </c>
      <c r="J70" s="0" t="n">
        <v>50</v>
      </c>
      <c r="K70" s="0" t="n">
        <f aca="false">INT($F70/4)</f>
        <v>50</v>
      </c>
      <c r="L70" s="0" t="n">
        <v>1</v>
      </c>
      <c r="M70" s="0" t="n">
        <f aca="false">$F70*2</f>
        <v>400</v>
      </c>
      <c r="N70" s="0" t="n">
        <f aca="false">5*$F70</f>
        <v>1000</v>
      </c>
      <c r="O70" s="0" t="n">
        <f aca="false">0.3</f>
        <v>0.3</v>
      </c>
      <c r="P70" s="0" t="s">
        <v>746</v>
      </c>
      <c r="Q70" s="0" t="s">
        <v>747</v>
      </c>
      <c r="R70" s="0" t="n">
        <f aca="false">INT($N70/2)</f>
        <v>500</v>
      </c>
    </row>
    <row r="71" customFormat="false" ht="14.4" hidden="false" customHeight="false" outlineLevel="0" collapsed="false">
      <c r="A71" s="0" t="s">
        <v>804</v>
      </c>
      <c r="B71" s="0" t="n">
        <v>48</v>
      </c>
      <c r="C71" s="0" t="n">
        <v>2.9</v>
      </c>
      <c r="D71" s="0" t="n">
        <v>0.96</v>
      </c>
      <c r="E71" s="0" t="n">
        <v>6</v>
      </c>
      <c r="F71" s="0" t="n">
        <v>200</v>
      </c>
      <c r="G71" s="0" t="n">
        <f aca="false">$B71</f>
        <v>48</v>
      </c>
      <c r="H71" s="0" t="n">
        <f aca="false">IF(I71&gt;5,20,12)</f>
        <v>12</v>
      </c>
      <c r="I71" s="0" t="n">
        <f aca="false">$C71</f>
        <v>2.9</v>
      </c>
      <c r="J71" s="0" t="n">
        <v>50</v>
      </c>
      <c r="K71" s="0" t="n">
        <f aca="false">INT($F71/4)</f>
        <v>50</v>
      </c>
      <c r="L71" s="0" t="n">
        <v>1</v>
      </c>
      <c r="M71" s="0" t="n">
        <f aca="false">$F71*2</f>
        <v>400</v>
      </c>
      <c r="N71" s="0" t="n">
        <f aca="false">5*$F71</f>
        <v>1000</v>
      </c>
      <c r="O71" s="0" t="n">
        <f aca="false">0.3</f>
        <v>0.3</v>
      </c>
      <c r="P71" s="0" t="s">
        <v>746</v>
      </c>
      <c r="Q71" s="0" t="s">
        <v>747</v>
      </c>
      <c r="R71" s="0" t="n">
        <f aca="false">INT($N71/2)</f>
        <v>500</v>
      </c>
    </row>
    <row r="72" customFormat="false" ht="14.4" hidden="false" customHeight="false" outlineLevel="0" collapsed="false">
      <c r="A72" s="0" t="s">
        <v>805</v>
      </c>
      <c r="B72" s="0" t="n">
        <v>48</v>
      </c>
      <c r="C72" s="0" t="n">
        <v>5.9</v>
      </c>
      <c r="D72" s="0" t="n">
        <v>0.24</v>
      </c>
      <c r="E72" s="0" t="n">
        <v>1.5</v>
      </c>
      <c r="F72" s="0" t="n">
        <v>200</v>
      </c>
      <c r="G72" s="0" t="n">
        <f aca="false">$B72</f>
        <v>48</v>
      </c>
      <c r="H72" s="0" t="n">
        <f aca="false">IF(I72&gt;5,20,12)</f>
        <v>20</v>
      </c>
      <c r="I72" s="0" t="n">
        <f aca="false">$C72</f>
        <v>5.9</v>
      </c>
      <c r="J72" s="0" t="n">
        <v>50</v>
      </c>
      <c r="K72" s="0" t="n">
        <f aca="false">INT($F72/4)</f>
        <v>50</v>
      </c>
      <c r="L72" s="0" t="n">
        <v>1</v>
      </c>
      <c r="M72" s="0" t="n">
        <f aca="false">$F72*2</f>
        <v>400</v>
      </c>
      <c r="N72" s="0" t="n">
        <f aca="false">5*$F72</f>
        <v>1000</v>
      </c>
      <c r="O72" s="0" t="n">
        <f aca="false">0.3</f>
        <v>0.3</v>
      </c>
      <c r="P72" s="0" t="s">
        <v>746</v>
      </c>
      <c r="Q72" s="0" t="s">
        <v>747</v>
      </c>
      <c r="R72" s="0" t="n">
        <f aca="false">INT($N72/2)</f>
        <v>500</v>
      </c>
    </row>
    <row r="73" customFormat="false" ht="14.4" hidden="false" customHeight="false" outlineLevel="0" collapsed="false">
      <c r="A73" s="0" t="s">
        <v>806</v>
      </c>
      <c r="B73" s="0" t="n">
        <v>48</v>
      </c>
      <c r="C73" s="0" t="n">
        <v>4.5</v>
      </c>
      <c r="D73" s="0" t="n">
        <v>0.96</v>
      </c>
      <c r="E73" s="0" t="n">
        <v>6</v>
      </c>
      <c r="F73" s="0" t="n">
        <v>200</v>
      </c>
      <c r="G73" s="0" t="n">
        <f aca="false">$B73</f>
        <v>48</v>
      </c>
      <c r="H73" s="0" t="n">
        <f aca="false">IF(I73&gt;5,20,12)</f>
        <v>12</v>
      </c>
      <c r="I73" s="0" t="n">
        <f aca="false">$C73</f>
        <v>4.5</v>
      </c>
      <c r="J73" s="0" t="n">
        <v>50</v>
      </c>
      <c r="K73" s="0" t="n">
        <f aca="false">INT($F73/4)</f>
        <v>50</v>
      </c>
      <c r="L73" s="0" t="n">
        <v>1</v>
      </c>
      <c r="M73" s="0" t="n">
        <f aca="false">$F73*2</f>
        <v>400</v>
      </c>
      <c r="N73" s="0" t="n">
        <f aca="false">5*$F73</f>
        <v>1000</v>
      </c>
      <c r="O73" s="0" t="n">
        <f aca="false">0.3</f>
        <v>0.3</v>
      </c>
      <c r="P73" s="0" t="s">
        <v>746</v>
      </c>
      <c r="Q73" s="0" t="s">
        <v>747</v>
      </c>
      <c r="R73" s="0" t="n">
        <f aca="false">INT($N73/2)</f>
        <v>500</v>
      </c>
    </row>
    <row r="74" customFormat="false" ht="14.4" hidden="false" customHeight="false" outlineLevel="0" collapsed="false">
      <c r="A74" s="0" t="s">
        <v>807</v>
      </c>
      <c r="B74" s="0" t="n">
        <v>48</v>
      </c>
      <c r="C74" s="0" t="n">
        <v>7.5</v>
      </c>
      <c r="D74" s="0" t="n">
        <v>0.24</v>
      </c>
      <c r="E74" s="0" t="n">
        <v>1.5</v>
      </c>
      <c r="F74" s="0" t="n">
        <v>200</v>
      </c>
      <c r="G74" s="0" t="n">
        <f aca="false">$B74</f>
        <v>48</v>
      </c>
      <c r="H74" s="0" t="n">
        <f aca="false">IF(I74&gt;5,20,12)</f>
        <v>20</v>
      </c>
      <c r="I74" s="0" t="n">
        <f aca="false">$C74</f>
        <v>7.5</v>
      </c>
      <c r="J74" s="0" t="n">
        <v>50</v>
      </c>
      <c r="K74" s="0" t="n">
        <v>50</v>
      </c>
      <c r="L74" s="0" t="n">
        <v>1</v>
      </c>
      <c r="M74" s="0" t="n">
        <v>400</v>
      </c>
      <c r="N74" s="0" t="n">
        <v>1000</v>
      </c>
      <c r="O74" s="0" t="n">
        <v>0.3</v>
      </c>
      <c r="P74" s="0" t="s">
        <v>746</v>
      </c>
      <c r="Q74" s="0" t="s">
        <v>747</v>
      </c>
      <c r="R74" s="0" t="n">
        <v>500</v>
      </c>
    </row>
    <row r="75" customFormat="false" ht="14.4" hidden="false" customHeight="false" outlineLevel="0" collapsed="false">
      <c r="A75" s="0" t="s">
        <v>75</v>
      </c>
      <c r="B75" s="0" t="n">
        <v>48</v>
      </c>
      <c r="C75" s="0" t="n">
        <v>2</v>
      </c>
      <c r="D75" s="0" t="n">
        <v>2</v>
      </c>
      <c r="F75" s="0" t="n">
        <v>400</v>
      </c>
      <c r="G75" s="0" t="n">
        <f aca="false">$B75</f>
        <v>48</v>
      </c>
      <c r="H75" s="0" t="n">
        <f aca="false">IF(I75&gt;5,20,12)</f>
        <v>12</v>
      </c>
      <c r="I75" s="0" t="n">
        <f aca="false">$C75</f>
        <v>2</v>
      </c>
      <c r="J75" s="0" t="n">
        <v>50</v>
      </c>
      <c r="K75" s="0" t="n">
        <f aca="false">INT($F75/4)</f>
        <v>100</v>
      </c>
      <c r="L75" s="0" t="n">
        <v>1</v>
      </c>
      <c r="M75" s="0" t="n">
        <f aca="false">$F75*2</f>
        <v>800</v>
      </c>
      <c r="N75" s="0" t="n">
        <f aca="false">5*$F75</f>
        <v>2000</v>
      </c>
      <c r="O75" s="0" t="n">
        <f aca="false">0.3</f>
        <v>0.3</v>
      </c>
      <c r="P75" s="0" t="s">
        <v>746</v>
      </c>
      <c r="Q75" s="0" t="s">
        <v>747</v>
      </c>
      <c r="R75" s="0" t="n">
        <f aca="false">INT($N75/2)</f>
        <v>1000</v>
      </c>
    </row>
    <row r="76" customFormat="false" ht="14.4" hidden="false" customHeight="false" outlineLevel="0" collapsed="false">
      <c r="A76" s="0" t="s">
        <v>270</v>
      </c>
      <c r="B76" s="0" t="n">
        <v>48</v>
      </c>
      <c r="C76" s="0" t="n">
        <v>3.9</v>
      </c>
      <c r="D76" s="0" t="n">
        <v>1.23</v>
      </c>
      <c r="E76" s="0" t="n">
        <v>6</v>
      </c>
      <c r="F76" s="0" t="n">
        <v>400</v>
      </c>
      <c r="G76" s="0" t="n">
        <f aca="false">$B76</f>
        <v>48</v>
      </c>
      <c r="H76" s="0" t="n">
        <f aca="false">IF(I76&gt;5,20,12)</f>
        <v>12</v>
      </c>
      <c r="I76" s="0" t="n">
        <f aca="false">$C76</f>
        <v>3.9</v>
      </c>
      <c r="J76" s="0" t="n">
        <v>50</v>
      </c>
      <c r="K76" s="0" t="n">
        <f aca="false">INT($F76/4)</f>
        <v>100</v>
      </c>
      <c r="L76" s="0" t="n">
        <v>1</v>
      </c>
      <c r="M76" s="0" t="n">
        <f aca="false">$F76*2</f>
        <v>800</v>
      </c>
      <c r="N76" s="0" t="n">
        <f aca="false">5*$F76</f>
        <v>2000</v>
      </c>
      <c r="O76" s="0" t="n">
        <f aca="false">0.3</f>
        <v>0.3</v>
      </c>
      <c r="P76" s="0" t="s">
        <v>746</v>
      </c>
      <c r="Q76" s="0" t="s">
        <v>747</v>
      </c>
      <c r="R76" s="0" t="n">
        <f aca="false">INT($N76/2)</f>
        <v>1000</v>
      </c>
    </row>
    <row r="77" customFormat="false" ht="14.4" hidden="false" customHeight="false" outlineLevel="0" collapsed="false">
      <c r="A77" s="0" t="s">
        <v>808</v>
      </c>
      <c r="B77" s="0" t="n">
        <v>20</v>
      </c>
      <c r="C77" s="0" t="n">
        <v>0.4</v>
      </c>
      <c r="D77" s="0" t="n">
        <v>12.5</v>
      </c>
      <c r="E77" s="0" t="n">
        <v>6.3</v>
      </c>
      <c r="F77" s="0" t="n">
        <v>24</v>
      </c>
      <c r="G77" s="0" t="n">
        <f aca="false">$B77</f>
        <v>20</v>
      </c>
      <c r="H77" s="0" t="n">
        <f aca="false">IF(I77&gt;5,20,12)</f>
        <v>12</v>
      </c>
      <c r="I77" s="0" t="n">
        <f aca="false">$C77</f>
        <v>0.4</v>
      </c>
      <c r="J77" s="0" t="n">
        <v>50</v>
      </c>
      <c r="K77" s="0" t="n">
        <f aca="false">INT($F77/4)</f>
        <v>6</v>
      </c>
      <c r="L77" s="0" t="n">
        <v>1</v>
      </c>
      <c r="M77" s="0" t="n">
        <f aca="false">$F77*2</f>
        <v>48</v>
      </c>
      <c r="N77" s="0" t="n">
        <f aca="false">5*$F77</f>
        <v>120</v>
      </c>
      <c r="O77" s="0" t="n">
        <f aca="false">0.3</f>
        <v>0.3</v>
      </c>
      <c r="P77" s="0" t="s">
        <v>746</v>
      </c>
      <c r="Q77" s="0" t="s">
        <v>747</v>
      </c>
      <c r="R77" s="0" t="n">
        <f aca="false">INT($N77/2)</f>
        <v>60</v>
      </c>
    </row>
    <row r="78" customFormat="false" ht="14.4" hidden="false" customHeight="false" outlineLevel="0" collapsed="false">
      <c r="A78" s="0" t="s">
        <v>809</v>
      </c>
      <c r="B78" s="0" t="n">
        <v>20</v>
      </c>
      <c r="C78" s="0" t="n">
        <v>0.6</v>
      </c>
      <c r="D78" s="0" t="n">
        <v>3.6</v>
      </c>
      <c r="E78" s="0" t="n">
        <v>1.9</v>
      </c>
      <c r="F78" s="0" t="n">
        <v>24</v>
      </c>
      <c r="G78" s="0" t="n">
        <f aca="false">$B78</f>
        <v>20</v>
      </c>
      <c r="H78" s="0" t="n">
        <f aca="false">IF(I78&gt;5,20,12)</f>
        <v>12</v>
      </c>
      <c r="I78" s="0" t="n">
        <f aca="false">$C78</f>
        <v>0.6</v>
      </c>
      <c r="J78" s="0" t="n">
        <v>50</v>
      </c>
      <c r="K78" s="0" t="n">
        <f aca="false">INT($F78/4)</f>
        <v>6</v>
      </c>
      <c r="L78" s="0" t="n">
        <v>1</v>
      </c>
      <c r="M78" s="0" t="n">
        <f aca="false">$F78*2</f>
        <v>48</v>
      </c>
      <c r="N78" s="0" t="n">
        <f aca="false">5*$F78</f>
        <v>120</v>
      </c>
      <c r="O78" s="0" t="n">
        <f aca="false">0.3</f>
        <v>0.3</v>
      </c>
      <c r="P78" s="0" t="s">
        <v>746</v>
      </c>
      <c r="Q78" s="0" t="s">
        <v>747</v>
      </c>
      <c r="R78" s="0" t="n">
        <f aca="false">INT($N78/2)</f>
        <v>60</v>
      </c>
    </row>
    <row r="79" customFormat="false" ht="14.4" hidden="false" customHeight="false" outlineLevel="0" collapsed="false">
      <c r="A79" s="0" t="s">
        <v>810</v>
      </c>
      <c r="B79" s="0" t="n">
        <v>48</v>
      </c>
      <c r="C79" s="0" t="n">
        <v>5.9</v>
      </c>
      <c r="D79" s="0" t="n">
        <v>0.38</v>
      </c>
      <c r="E79" s="0" t="n">
        <v>1.2</v>
      </c>
      <c r="F79" s="0" t="n">
        <v>200</v>
      </c>
      <c r="G79" s="0" t="n">
        <f aca="false">$B79</f>
        <v>48</v>
      </c>
      <c r="H79" s="0" t="n">
        <f aca="false">IF(I79&gt;5,20,12)</f>
        <v>20</v>
      </c>
      <c r="I79" s="0" t="n">
        <f aca="false">$C79</f>
        <v>5.9</v>
      </c>
      <c r="J79" s="0" t="n">
        <v>50</v>
      </c>
      <c r="K79" s="0" t="n">
        <f aca="false">INT($F79/4)</f>
        <v>50</v>
      </c>
      <c r="L79" s="0" t="n">
        <v>1</v>
      </c>
      <c r="M79" s="0" t="n">
        <f aca="false">$F79*2</f>
        <v>400</v>
      </c>
      <c r="N79" s="0" t="n">
        <f aca="false">5*$F79</f>
        <v>1000</v>
      </c>
      <c r="O79" s="0" t="n">
        <f aca="false">0.3</f>
        <v>0.3</v>
      </c>
      <c r="P79" s="0" t="s">
        <v>746</v>
      </c>
      <c r="Q79" s="0" t="s">
        <v>747</v>
      </c>
      <c r="R79" s="0" t="n">
        <f aca="false">INT($N79/2)</f>
        <v>500</v>
      </c>
    </row>
    <row r="80" customFormat="false" ht="14.4" hidden="false" customHeight="false" outlineLevel="0" collapsed="false">
      <c r="A80" s="0" t="s">
        <v>28</v>
      </c>
      <c r="B80" s="0" t="n">
        <v>48</v>
      </c>
      <c r="C80" s="0" t="n">
        <v>3.4</v>
      </c>
      <c r="D80" s="0" t="n">
        <v>1.48</v>
      </c>
      <c r="E80" s="0" t="n">
        <v>2.92</v>
      </c>
      <c r="F80" s="0" t="n">
        <v>200</v>
      </c>
      <c r="G80" s="0" t="n">
        <f aca="false">$B80</f>
        <v>48</v>
      </c>
      <c r="H80" s="0" t="n">
        <f aca="false">IF(I80&gt;5,20,12)</f>
        <v>12</v>
      </c>
      <c r="I80" s="0" t="n">
        <f aca="false">$C80</f>
        <v>3.4</v>
      </c>
      <c r="J80" s="0" t="n">
        <v>50</v>
      </c>
      <c r="K80" s="0" t="n">
        <f aca="false">INT($F80/4)</f>
        <v>50</v>
      </c>
      <c r="L80" s="0" t="n">
        <v>1</v>
      </c>
      <c r="M80" s="0" t="n">
        <f aca="false">$F80*2</f>
        <v>400</v>
      </c>
      <c r="N80" s="0" t="n">
        <f aca="false">5*$F80</f>
        <v>1000</v>
      </c>
      <c r="O80" s="0" t="n">
        <f aca="false">0.3</f>
        <v>0.3</v>
      </c>
      <c r="P80" s="0" t="s">
        <v>746</v>
      </c>
      <c r="Q80" s="0" t="s">
        <v>747</v>
      </c>
      <c r="R80" s="0" t="n">
        <f aca="false">INT($N80/2)</f>
        <v>500</v>
      </c>
    </row>
    <row r="81" customFormat="false" ht="14.4" hidden="false" customHeight="false" outlineLevel="0" collapsed="false">
      <c r="A81" s="0" t="s">
        <v>811</v>
      </c>
      <c r="B81" s="0" t="n">
        <v>48</v>
      </c>
      <c r="C81" s="0" t="n">
        <v>6.6</v>
      </c>
      <c r="D81" s="0" t="n">
        <v>0.37</v>
      </c>
      <c r="E81" s="0" t="n">
        <v>0.73</v>
      </c>
      <c r="F81" s="0" t="n">
        <v>200</v>
      </c>
      <c r="G81" s="0" t="n">
        <f aca="false">$B81</f>
        <v>48</v>
      </c>
      <c r="H81" s="0" t="n">
        <f aca="false">IF(I81&gt;5,20,12)</f>
        <v>20</v>
      </c>
      <c r="I81" s="0" t="n">
        <f aca="false">$C81</f>
        <v>6.6</v>
      </c>
      <c r="J81" s="0" t="n">
        <v>50</v>
      </c>
      <c r="K81" s="0" t="n">
        <f aca="false">INT($F81/4)</f>
        <v>50</v>
      </c>
      <c r="L81" s="0" t="n">
        <v>1</v>
      </c>
      <c r="M81" s="0" t="n">
        <f aca="false">$F81*2</f>
        <v>400</v>
      </c>
      <c r="N81" s="0" t="n">
        <f aca="false">5*$F81</f>
        <v>1000</v>
      </c>
      <c r="O81" s="0" t="n">
        <f aca="false">0.3</f>
        <v>0.3</v>
      </c>
      <c r="P81" s="0" t="s">
        <v>746</v>
      </c>
      <c r="Q81" s="0" t="s">
        <v>747</v>
      </c>
      <c r="R81" s="0" t="n">
        <f aca="false">INT($N81/2)</f>
        <v>500</v>
      </c>
    </row>
    <row r="82" customFormat="false" ht="14.4" hidden="false" customHeight="false" outlineLevel="0" collapsed="false">
      <c r="A82" s="0" t="s">
        <v>812</v>
      </c>
      <c r="B82" s="0" t="n">
        <v>48</v>
      </c>
      <c r="C82" s="0" t="n">
        <v>3.2</v>
      </c>
      <c r="D82" s="0" t="n">
        <v>0.72</v>
      </c>
      <c r="E82" s="0" t="n">
        <v>0.83</v>
      </c>
      <c r="F82" s="0" t="n">
        <v>200</v>
      </c>
      <c r="G82" s="0" t="n">
        <f aca="false">$B82</f>
        <v>48</v>
      </c>
      <c r="H82" s="0" t="n">
        <f aca="false">IF(I82&gt;5,20,12)</f>
        <v>12</v>
      </c>
      <c r="I82" s="0" t="n">
        <f aca="false">$C82</f>
        <v>3.2</v>
      </c>
      <c r="J82" s="0" t="n">
        <v>50</v>
      </c>
      <c r="K82" s="0" t="n">
        <f aca="false">INT($F82/4)</f>
        <v>50</v>
      </c>
      <c r="L82" s="0" t="n">
        <v>1</v>
      </c>
      <c r="M82" s="0" t="n">
        <f aca="false">$F82*2</f>
        <v>400</v>
      </c>
      <c r="N82" s="0" t="n">
        <f aca="false">5*$F82</f>
        <v>1000</v>
      </c>
      <c r="O82" s="0" t="n">
        <f aca="false">0.3</f>
        <v>0.3</v>
      </c>
      <c r="P82" s="0" t="s">
        <v>746</v>
      </c>
      <c r="Q82" s="0" t="s">
        <v>747</v>
      </c>
      <c r="R82" s="0" t="n">
        <f aca="false">INT($N82/2)</f>
        <v>500</v>
      </c>
    </row>
    <row r="83" customFormat="false" ht="14.4" hidden="false" customHeight="false" outlineLevel="0" collapsed="false">
      <c r="A83" s="0" t="s">
        <v>813</v>
      </c>
      <c r="B83" s="0" t="n">
        <v>48</v>
      </c>
      <c r="C83" s="0" t="n">
        <v>5.5</v>
      </c>
      <c r="D83" s="0" t="n">
        <v>0.37</v>
      </c>
      <c r="E83" s="0" t="n">
        <v>0.59</v>
      </c>
      <c r="F83" s="0" t="n">
        <v>200</v>
      </c>
      <c r="G83" s="0" t="n">
        <f aca="false">$B83</f>
        <v>48</v>
      </c>
      <c r="H83" s="0" t="n">
        <f aca="false">IF(I83&gt;5,20,12)</f>
        <v>20</v>
      </c>
      <c r="I83" s="0" t="n">
        <f aca="false">$C83</f>
        <v>5.5</v>
      </c>
      <c r="J83" s="0" t="n">
        <v>50</v>
      </c>
      <c r="K83" s="0" t="n">
        <f aca="false">INT($F83/4)</f>
        <v>50</v>
      </c>
      <c r="L83" s="0" t="n">
        <v>1</v>
      </c>
      <c r="M83" s="0" t="n">
        <f aca="false">$F83*2</f>
        <v>400</v>
      </c>
      <c r="N83" s="0" t="n">
        <f aca="false">5*$F83</f>
        <v>1000</v>
      </c>
      <c r="O83" s="0" t="n">
        <f aca="false">0.3</f>
        <v>0.3</v>
      </c>
      <c r="P83" s="0" t="s">
        <v>746</v>
      </c>
      <c r="Q83" s="0" t="s">
        <v>747</v>
      </c>
      <c r="R83" s="0" t="n">
        <f aca="false">INT($N83/2)</f>
        <v>500</v>
      </c>
    </row>
    <row r="84" customFormat="false" ht="14.4" hidden="false" customHeight="false" outlineLevel="0" collapsed="false">
      <c r="A84" s="0" t="s">
        <v>814</v>
      </c>
      <c r="B84" s="0" t="n">
        <v>48</v>
      </c>
      <c r="C84" s="0" t="n">
        <v>5.9</v>
      </c>
      <c r="D84" s="0" t="n">
        <v>0.35</v>
      </c>
      <c r="E84" s="0" t="n">
        <v>0.9</v>
      </c>
      <c r="F84" s="0" t="n">
        <v>200</v>
      </c>
      <c r="G84" s="0" t="n">
        <f aca="false">$B84</f>
        <v>48</v>
      </c>
      <c r="H84" s="0" t="n">
        <f aca="false">IF(I84&gt;5,20,12)</f>
        <v>20</v>
      </c>
      <c r="I84" s="0" t="n">
        <f aca="false">$C84</f>
        <v>5.9</v>
      </c>
      <c r="J84" s="0" t="n">
        <v>50</v>
      </c>
      <c r="K84" s="0" t="n">
        <f aca="false">INT($F84/4)</f>
        <v>50</v>
      </c>
      <c r="L84" s="0" t="n">
        <v>1</v>
      </c>
      <c r="M84" s="0" t="n">
        <f aca="false">$F84*2</f>
        <v>400</v>
      </c>
      <c r="N84" s="0" t="n">
        <f aca="false">5*$F84</f>
        <v>1000</v>
      </c>
      <c r="O84" s="0" t="n">
        <f aca="false">0.3</f>
        <v>0.3</v>
      </c>
      <c r="P84" s="0" t="s">
        <v>746</v>
      </c>
      <c r="Q84" s="0" t="s">
        <v>747</v>
      </c>
      <c r="R84" s="0" t="n">
        <f aca="false">INT($N84/2)</f>
        <v>500</v>
      </c>
    </row>
    <row r="85" customFormat="false" ht="14.4" hidden="false" customHeight="false" outlineLevel="0" collapsed="false">
      <c r="A85" s="0" t="s">
        <v>815</v>
      </c>
      <c r="B85" s="0" t="n">
        <v>48</v>
      </c>
      <c r="C85" s="0" t="n">
        <v>5.9</v>
      </c>
      <c r="D85" s="0" t="n">
        <v>0.55</v>
      </c>
      <c r="E85" s="0" t="n">
        <v>1.7</v>
      </c>
      <c r="F85" s="0" t="n">
        <v>200</v>
      </c>
      <c r="G85" s="0" t="n">
        <f aca="false">$B85</f>
        <v>48</v>
      </c>
      <c r="H85" s="0" t="n">
        <f aca="false">IF(I85&gt;5,20,12)</f>
        <v>20</v>
      </c>
      <c r="I85" s="0" t="n">
        <f aca="false">$C85</f>
        <v>5.9</v>
      </c>
      <c r="J85" s="0" t="n">
        <v>50</v>
      </c>
      <c r="K85" s="0" t="n">
        <f aca="false">INT($F85/4)</f>
        <v>50</v>
      </c>
      <c r="L85" s="0" t="n">
        <v>1</v>
      </c>
      <c r="M85" s="0" t="n">
        <f aca="false">$F85*2</f>
        <v>400</v>
      </c>
      <c r="N85" s="0" t="n">
        <f aca="false">5*$F85</f>
        <v>1000</v>
      </c>
      <c r="O85" s="0" t="n">
        <f aca="false">0.3</f>
        <v>0.3</v>
      </c>
      <c r="P85" s="0" t="s">
        <v>746</v>
      </c>
      <c r="Q85" s="0" t="s">
        <v>747</v>
      </c>
      <c r="R85" s="0" t="n">
        <f aca="false">INT($N85/2)</f>
        <v>500</v>
      </c>
    </row>
    <row r="86" customFormat="false" ht="14.4" hidden="false" customHeight="false" outlineLevel="0" collapsed="false">
      <c r="A86" s="0" t="s">
        <v>816</v>
      </c>
      <c r="B86" s="0" t="n">
        <v>48</v>
      </c>
      <c r="C86" s="0" t="n">
        <v>4.3</v>
      </c>
      <c r="D86" s="0" t="n">
        <v>2.2</v>
      </c>
      <c r="E86" s="0" t="n">
        <v>20</v>
      </c>
      <c r="F86" s="0" t="n">
        <v>200</v>
      </c>
      <c r="G86" s="0" t="n">
        <f aca="false">$B86</f>
        <v>48</v>
      </c>
      <c r="H86" s="0" t="n">
        <f aca="false">IF(I86&gt;5,20,12)</f>
        <v>12</v>
      </c>
      <c r="I86" s="0" t="n">
        <f aca="false">$C86</f>
        <v>4.3</v>
      </c>
      <c r="J86" s="0" t="n">
        <v>50</v>
      </c>
      <c r="K86" s="0" t="n">
        <f aca="false">INT($F86/4)</f>
        <v>50</v>
      </c>
      <c r="L86" s="0" t="n">
        <v>1</v>
      </c>
      <c r="M86" s="0" t="n">
        <f aca="false">$F86*2</f>
        <v>400</v>
      </c>
      <c r="N86" s="0" t="n">
        <f aca="false">5*$F86</f>
        <v>1000</v>
      </c>
      <c r="O86" s="0" t="n">
        <f aca="false">0.3</f>
        <v>0.3</v>
      </c>
      <c r="P86" s="0" t="s">
        <v>746</v>
      </c>
      <c r="Q86" s="0" t="s">
        <v>747</v>
      </c>
      <c r="R86" s="0" t="n">
        <f aca="false">INT($N86/2)</f>
        <v>500</v>
      </c>
    </row>
    <row r="87" customFormat="false" ht="14.4" hidden="false" customHeight="false" outlineLevel="0" collapsed="false">
      <c r="A87" s="0" t="s">
        <v>817</v>
      </c>
      <c r="B87" s="0" t="n">
        <v>48</v>
      </c>
      <c r="C87" s="0" t="n">
        <v>1.1</v>
      </c>
      <c r="D87" s="0" t="n">
        <v>5</v>
      </c>
      <c r="E87" s="0" t="n">
        <v>10</v>
      </c>
      <c r="F87" s="0" t="n">
        <v>200</v>
      </c>
      <c r="G87" s="0" t="n">
        <f aca="false">$B87</f>
        <v>48</v>
      </c>
      <c r="H87" s="0" t="n">
        <f aca="false">IF(I87&gt;5,20,12)</f>
        <v>12</v>
      </c>
      <c r="I87" s="0" t="n">
        <f aca="false">$C87</f>
        <v>1.1</v>
      </c>
      <c r="J87" s="0" t="n">
        <v>50</v>
      </c>
      <c r="K87" s="0" t="n">
        <f aca="false">INT($F87/4)</f>
        <v>50</v>
      </c>
      <c r="L87" s="0" t="n">
        <v>1</v>
      </c>
      <c r="M87" s="0" t="n">
        <f aca="false">$F87*2</f>
        <v>400</v>
      </c>
      <c r="N87" s="0" t="n">
        <f aca="false">5*$F87</f>
        <v>1000</v>
      </c>
      <c r="O87" s="0" t="n">
        <f aca="false">0.3</f>
        <v>0.3</v>
      </c>
      <c r="P87" s="0" t="s">
        <v>746</v>
      </c>
      <c r="Q87" s="0" t="s">
        <v>747</v>
      </c>
      <c r="R87" s="0" t="n">
        <f aca="false">INT($N87/2)</f>
        <v>500</v>
      </c>
    </row>
    <row r="88" customFormat="false" ht="14.4" hidden="false" customHeight="false" outlineLevel="0" collapsed="false">
      <c r="A88" s="0" t="s">
        <v>818</v>
      </c>
      <c r="B88" s="0" t="n">
        <v>48</v>
      </c>
      <c r="C88" s="0" t="n">
        <v>0.6</v>
      </c>
      <c r="D88" s="0" t="n">
        <v>3.8</v>
      </c>
      <c r="E88" s="0" t="n">
        <v>2.7</v>
      </c>
      <c r="F88" s="0" t="n">
        <v>200</v>
      </c>
      <c r="G88" s="0" t="n">
        <f aca="false">$B88</f>
        <v>48</v>
      </c>
      <c r="H88" s="0" t="n">
        <f aca="false">IF(I88&gt;5,20,12)</f>
        <v>12</v>
      </c>
      <c r="I88" s="0" t="n">
        <f aca="false">$C88</f>
        <v>0.6</v>
      </c>
      <c r="J88" s="0" t="n">
        <v>50</v>
      </c>
      <c r="K88" s="0" t="n">
        <f aca="false">INT($F88/4)</f>
        <v>50</v>
      </c>
      <c r="L88" s="0" t="n">
        <v>1</v>
      </c>
      <c r="M88" s="0" t="n">
        <f aca="false">$F88*2</f>
        <v>400</v>
      </c>
      <c r="N88" s="0" t="n">
        <f aca="false">5*$F88</f>
        <v>1000</v>
      </c>
      <c r="O88" s="0" t="n">
        <f aca="false">0.3</f>
        <v>0.3</v>
      </c>
      <c r="P88" s="0" t="s">
        <v>746</v>
      </c>
      <c r="Q88" s="0" t="s">
        <v>747</v>
      </c>
      <c r="R88" s="0" t="n">
        <f aca="false">INT($N88/2)</f>
        <v>500</v>
      </c>
    </row>
    <row r="89" customFormat="false" ht="14.4" hidden="false" customHeight="false" outlineLevel="0" collapsed="false">
      <c r="A89" s="0" t="s">
        <v>819</v>
      </c>
      <c r="B89" s="0" t="n">
        <v>48</v>
      </c>
      <c r="C89" s="0" t="n">
        <v>4.2</v>
      </c>
      <c r="D89" s="0" t="n">
        <v>0.8</v>
      </c>
      <c r="E89" s="0" t="n">
        <v>1.4</v>
      </c>
      <c r="F89" s="0" t="n">
        <v>200</v>
      </c>
      <c r="G89" s="0" t="n">
        <f aca="false">$B89</f>
        <v>48</v>
      </c>
      <c r="H89" s="0" t="n">
        <f aca="false">IF(I89&gt;5,20,12)</f>
        <v>12</v>
      </c>
      <c r="I89" s="0" t="n">
        <f aca="false">$C89</f>
        <v>4.2</v>
      </c>
      <c r="J89" s="0" t="n">
        <v>50</v>
      </c>
      <c r="K89" s="0" t="n">
        <f aca="false">INT($F89/4)</f>
        <v>50</v>
      </c>
      <c r="L89" s="0" t="n">
        <v>1</v>
      </c>
      <c r="M89" s="0" t="n">
        <f aca="false">$F89*2</f>
        <v>400</v>
      </c>
      <c r="N89" s="0" t="n">
        <f aca="false">5*$F89</f>
        <v>1000</v>
      </c>
      <c r="O89" s="0" t="n">
        <f aca="false">0.3</f>
        <v>0.3</v>
      </c>
      <c r="P89" s="0" t="s">
        <v>746</v>
      </c>
      <c r="Q89" s="0" t="s">
        <v>747</v>
      </c>
      <c r="R89" s="0" t="n">
        <f aca="false">INT($N89/2)</f>
        <v>500</v>
      </c>
    </row>
    <row r="90" customFormat="false" ht="14.4" hidden="false" customHeight="false" outlineLevel="0" collapsed="false">
      <c r="A90" s="0" t="s">
        <v>820</v>
      </c>
      <c r="B90" s="0" t="n">
        <v>48</v>
      </c>
      <c r="C90" s="0" t="n">
        <v>7.5</v>
      </c>
      <c r="D90" s="0" t="n">
        <v>0.2</v>
      </c>
      <c r="E90" s="0" t="n">
        <v>0.35</v>
      </c>
      <c r="F90" s="0" t="n">
        <v>200</v>
      </c>
      <c r="G90" s="0" t="n">
        <f aca="false">$B90</f>
        <v>48</v>
      </c>
      <c r="H90" s="0" t="n">
        <f aca="false">IF(I90&gt;5,20,12)</f>
        <v>20</v>
      </c>
      <c r="I90" s="0" t="n">
        <f aca="false">$C90</f>
        <v>7.5</v>
      </c>
      <c r="J90" s="0" t="n">
        <v>50</v>
      </c>
      <c r="K90" s="0" t="n">
        <f aca="false">INT($F90/4)</f>
        <v>50</v>
      </c>
      <c r="L90" s="0" t="n">
        <v>1</v>
      </c>
      <c r="M90" s="0" t="n">
        <f aca="false">$F90*2</f>
        <v>400</v>
      </c>
      <c r="N90" s="0" t="n">
        <f aca="false">5*$F90</f>
        <v>1000</v>
      </c>
      <c r="O90" s="0" t="n">
        <f aca="false">0.3</f>
        <v>0.3</v>
      </c>
      <c r="P90" s="0" t="s">
        <v>746</v>
      </c>
      <c r="Q90" s="0" t="s">
        <v>747</v>
      </c>
      <c r="R90" s="0" t="n">
        <f aca="false">INT($N90/2)</f>
        <v>500</v>
      </c>
    </row>
    <row r="91" customFormat="false" ht="14.4" hidden="false" customHeight="false" outlineLevel="0" collapsed="false">
      <c r="A91" s="0" t="s">
        <v>821</v>
      </c>
      <c r="B91" s="0" t="n">
        <v>48</v>
      </c>
      <c r="C91" s="0" t="n">
        <v>1.9</v>
      </c>
      <c r="D91" s="0" t="n">
        <v>2.5</v>
      </c>
      <c r="E91" s="0" t="n">
        <v>3.1</v>
      </c>
      <c r="F91" s="0" t="n">
        <v>200</v>
      </c>
      <c r="G91" s="0" t="n">
        <f aca="false">$B91</f>
        <v>48</v>
      </c>
      <c r="H91" s="0" t="n">
        <f aca="false">IF(I91&gt;5,20,12)</f>
        <v>12</v>
      </c>
      <c r="I91" s="0" t="n">
        <f aca="false">$C91</f>
        <v>1.9</v>
      </c>
      <c r="J91" s="0" t="n">
        <v>50</v>
      </c>
      <c r="K91" s="0" t="n">
        <f aca="false">INT($F91/4)</f>
        <v>50</v>
      </c>
      <c r="L91" s="0" t="n">
        <v>1</v>
      </c>
      <c r="M91" s="0" t="n">
        <f aca="false">$F91*2</f>
        <v>400</v>
      </c>
      <c r="N91" s="0" t="n">
        <f aca="false">5*$F91</f>
        <v>1000</v>
      </c>
      <c r="O91" s="0" t="n">
        <f aca="false">0.3</f>
        <v>0.3</v>
      </c>
      <c r="P91" s="0" t="s">
        <v>746</v>
      </c>
      <c r="Q91" s="0" t="s">
        <v>747</v>
      </c>
      <c r="R91" s="0" t="n">
        <f aca="false">INT($N91/2)</f>
        <v>500</v>
      </c>
    </row>
    <row r="92" customFormat="false" ht="14.4" hidden="false" customHeight="false" outlineLevel="0" collapsed="false">
      <c r="A92" s="323" t="s">
        <v>822</v>
      </c>
      <c r="B92" s="323" t="n">
        <v>48</v>
      </c>
      <c r="C92" s="323" t="n">
        <v>0.9</v>
      </c>
      <c r="D92" s="323" t="n">
        <v>9.9</v>
      </c>
      <c r="E92" s="323" t="n">
        <v>12.5</v>
      </c>
      <c r="F92" s="323" t="n">
        <v>200</v>
      </c>
      <c r="G92" s="0" t="n">
        <f aca="false">$B92</f>
        <v>48</v>
      </c>
      <c r="H92" s="0" t="n">
        <f aca="false">IF(I92&gt;5,20,12)</f>
        <v>12</v>
      </c>
      <c r="I92" s="0" t="n">
        <f aca="false">$C92</f>
        <v>0.9</v>
      </c>
      <c r="J92" s="323" t="n">
        <v>50</v>
      </c>
      <c r="K92" s="323" t="n">
        <f aca="false">INT($F92/4)</f>
        <v>50</v>
      </c>
      <c r="L92" s="323" t="n">
        <v>1</v>
      </c>
      <c r="M92" s="323" t="n">
        <f aca="false">$F92*2</f>
        <v>400</v>
      </c>
      <c r="N92" s="323" t="n">
        <f aca="false">5*$F92</f>
        <v>1000</v>
      </c>
      <c r="O92" s="323" t="n">
        <f aca="false">0.3</f>
        <v>0.3</v>
      </c>
      <c r="P92" s="323" t="s">
        <v>746</v>
      </c>
      <c r="Q92" s="323" t="s">
        <v>747</v>
      </c>
      <c r="R92" s="323" t="n">
        <f aca="false">INT($N92/2)</f>
        <v>500</v>
      </c>
      <c r="S92" s="323"/>
      <c r="T92" s="323"/>
      <c r="U92" s="323"/>
      <c r="V92" s="323"/>
      <c r="W92" s="323"/>
      <c r="X92" s="323"/>
      <c r="Y92" s="323"/>
    </row>
    <row r="93" customFormat="false" ht="14.4" hidden="false" customHeight="false" outlineLevel="0" collapsed="false">
      <c r="A93" s="323" t="s">
        <v>823</v>
      </c>
      <c r="B93" s="323" t="n">
        <v>48</v>
      </c>
      <c r="C93" s="323" t="n">
        <v>1.9</v>
      </c>
      <c r="D93" s="323" t="n">
        <v>2.5</v>
      </c>
      <c r="E93" s="323" t="n">
        <v>3.1</v>
      </c>
      <c r="F93" s="323" t="n">
        <v>200</v>
      </c>
      <c r="G93" s="0" t="n">
        <f aca="false">$B93</f>
        <v>48</v>
      </c>
      <c r="H93" s="0" t="n">
        <f aca="false">IF(I93&gt;5,20,12)</f>
        <v>12</v>
      </c>
      <c r="I93" s="0" t="n">
        <f aca="false">$C93</f>
        <v>1.9</v>
      </c>
      <c r="J93" s="323" t="n">
        <v>50</v>
      </c>
      <c r="K93" s="323" t="n">
        <f aca="false">INT($F93/4)</f>
        <v>50</v>
      </c>
      <c r="L93" s="323" t="n">
        <v>1</v>
      </c>
      <c r="M93" s="323" t="n">
        <f aca="false">$F93*2</f>
        <v>400</v>
      </c>
      <c r="N93" s="323" t="n">
        <f aca="false">5*$F93</f>
        <v>1000</v>
      </c>
      <c r="O93" s="323" t="n">
        <f aca="false">0.3</f>
        <v>0.3</v>
      </c>
      <c r="P93" s="323" t="s">
        <v>746</v>
      </c>
      <c r="Q93" s="323" t="s">
        <v>747</v>
      </c>
      <c r="R93" s="323" t="n">
        <f aca="false">INT($N93/2)</f>
        <v>500</v>
      </c>
      <c r="S93" s="323"/>
      <c r="T93" s="323"/>
      <c r="U93" s="323"/>
      <c r="V93" s="323"/>
      <c r="W93" s="323"/>
      <c r="X93" s="323"/>
      <c r="Y93" s="323"/>
    </row>
    <row r="94" customFormat="false" ht="14.4" hidden="false" customHeight="false" outlineLevel="0" collapsed="false">
      <c r="A94" s="323" t="s">
        <v>824</v>
      </c>
      <c r="B94" s="323" t="n">
        <v>48</v>
      </c>
      <c r="C94" s="323" t="n">
        <v>2.9</v>
      </c>
      <c r="D94" s="323" t="n">
        <v>2</v>
      </c>
      <c r="E94" s="323" t="n">
        <v>8.8</v>
      </c>
      <c r="F94" s="323" t="n">
        <v>200</v>
      </c>
      <c r="G94" s="0" t="n">
        <f aca="false">$B94</f>
        <v>48</v>
      </c>
      <c r="H94" s="0" t="n">
        <f aca="false">IF(I94&gt;5,20,12)</f>
        <v>12</v>
      </c>
      <c r="I94" s="0" t="n">
        <f aca="false">$C94</f>
        <v>2.9</v>
      </c>
      <c r="J94" s="323" t="n">
        <v>50</v>
      </c>
      <c r="K94" s="323" t="n">
        <f aca="false">INT($F94/4)</f>
        <v>50</v>
      </c>
      <c r="L94" s="323" t="n">
        <v>1</v>
      </c>
      <c r="M94" s="323" t="n">
        <f aca="false">$F94*2</f>
        <v>400</v>
      </c>
      <c r="N94" s="323" t="n">
        <f aca="false">5*$F94</f>
        <v>1000</v>
      </c>
      <c r="O94" s="323" t="n">
        <f aca="false">0.3</f>
        <v>0.3</v>
      </c>
      <c r="P94" s="323" t="s">
        <v>746</v>
      </c>
      <c r="Q94" s="323" t="s">
        <v>747</v>
      </c>
      <c r="R94" s="323" t="n">
        <f aca="false">INT($N94/2)</f>
        <v>500</v>
      </c>
      <c r="S94" s="323"/>
      <c r="T94" s="323"/>
      <c r="U94" s="323"/>
      <c r="V94" s="323"/>
      <c r="W94" s="323"/>
      <c r="X94" s="323"/>
      <c r="Y94" s="323"/>
    </row>
    <row r="95" customFormat="false" ht="14.4" hidden="false" customHeight="false" outlineLevel="0" collapsed="false">
      <c r="A95" s="323" t="s">
        <v>825</v>
      </c>
      <c r="B95" s="323" t="n">
        <v>48</v>
      </c>
      <c r="C95" s="323" t="n">
        <v>5.9</v>
      </c>
      <c r="D95" s="323" t="n">
        <v>0.5</v>
      </c>
      <c r="E95" s="323" t="n">
        <v>2.2</v>
      </c>
      <c r="F95" s="323" t="n">
        <v>200</v>
      </c>
      <c r="G95" s="0" t="n">
        <f aca="false">$B95</f>
        <v>48</v>
      </c>
      <c r="H95" s="0" t="n">
        <f aca="false">IF(I95&gt;5,20,12)</f>
        <v>20</v>
      </c>
      <c r="I95" s="0" t="n">
        <f aca="false">$C95</f>
        <v>5.9</v>
      </c>
      <c r="J95" s="323" t="n">
        <v>50</v>
      </c>
      <c r="K95" s="323" t="n">
        <f aca="false">INT($F95/4)</f>
        <v>50</v>
      </c>
      <c r="L95" s="323" t="n">
        <v>1</v>
      </c>
      <c r="M95" s="323" t="n">
        <f aca="false">$F95*2</f>
        <v>400</v>
      </c>
      <c r="N95" s="323" t="n">
        <f aca="false">5*$F95</f>
        <v>1000</v>
      </c>
      <c r="O95" s="323" t="n">
        <f aca="false">0.3</f>
        <v>0.3</v>
      </c>
      <c r="P95" s="323" t="s">
        <v>746</v>
      </c>
      <c r="Q95" s="323" t="s">
        <v>747</v>
      </c>
      <c r="R95" s="323" t="n">
        <f aca="false">INT($N95/2)</f>
        <v>500</v>
      </c>
      <c r="S95" s="323"/>
      <c r="T95" s="323"/>
      <c r="U95" s="323"/>
      <c r="V95" s="323"/>
      <c r="W95" s="323"/>
      <c r="X95" s="323"/>
      <c r="Y95" s="323"/>
    </row>
    <row r="96" customFormat="false" ht="14.4" hidden="false" customHeight="false" outlineLevel="0" collapsed="false">
      <c r="A96" s="323" t="s">
        <v>246</v>
      </c>
      <c r="B96" s="323" t="n">
        <v>48</v>
      </c>
      <c r="C96" s="323" t="n">
        <v>2</v>
      </c>
      <c r="D96" s="323" t="n">
        <v>2</v>
      </c>
      <c r="E96" s="323" t="n">
        <v>2.8</v>
      </c>
      <c r="F96" s="323" t="n">
        <v>200</v>
      </c>
      <c r="G96" s="0" t="n">
        <f aca="false">$B96</f>
        <v>48</v>
      </c>
      <c r="H96" s="0" t="n">
        <f aca="false">IF(I96&gt;5,20,12)</f>
        <v>12</v>
      </c>
      <c r="I96" s="0" t="n">
        <f aca="false">$C96</f>
        <v>2</v>
      </c>
      <c r="J96" s="323" t="n">
        <v>50</v>
      </c>
      <c r="K96" s="323" t="n">
        <f aca="false">INT($F96/4)</f>
        <v>50</v>
      </c>
      <c r="L96" s="323" t="n">
        <v>1</v>
      </c>
      <c r="M96" s="323" t="n">
        <f aca="false">$F96*2</f>
        <v>400</v>
      </c>
      <c r="N96" s="323" t="n">
        <f aca="false">5*$F96</f>
        <v>1000</v>
      </c>
      <c r="O96" s="323" t="n">
        <f aca="false">0.3</f>
        <v>0.3</v>
      </c>
      <c r="P96" s="323" t="s">
        <v>746</v>
      </c>
      <c r="Q96" s="323" t="s">
        <v>747</v>
      </c>
      <c r="R96" s="323" t="n">
        <f aca="false">INT($N96/2)</f>
        <v>500</v>
      </c>
      <c r="S96" s="323"/>
      <c r="T96" s="323"/>
      <c r="U96" s="323"/>
      <c r="V96" s="323"/>
      <c r="W96" s="323"/>
      <c r="X96" s="323"/>
      <c r="Y96" s="323"/>
    </row>
    <row r="97" customFormat="false" ht="14.4" hidden="false" customHeight="false" outlineLevel="0" collapsed="false">
      <c r="A97" s="323" t="s">
        <v>826</v>
      </c>
      <c r="B97" s="323" t="n">
        <v>24</v>
      </c>
      <c r="C97" s="323" t="n">
        <v>0.8</v>
      </c>
      <c r="D97" s="323" t="n">
        <v>5.4</v>
      </c>
      <c r="E97" s="323" t="n">
        <v>1.4</v>
      </c>
      <c r="F97" s="323" t="n">
        <v>200</v>
      </c>
      <c r="G97" s="0" t="n">
        <f aca="false">$B97</f>
        <v>24</v>
      </c>
      <c r="H97" s="0" t="n">
        <f aca="false">IF(I97&gt;5,20,12)</f>
        <v>12</v>
      </c>
      <c r="I97" s="0" t="n">
        <f aca="false">$C97</f>
        <v>0.8</v>
      </c>
      <c r="J97" s="323" t="n">
        <v>50</v>
      </c>
      <c r="K97" s="323" t="n">
        <f aca="false">INT($F97/4)</f>
        <v>50</v>
      </c>
      <c r="L97" s="323" t="n">
        <v>1</v>
      </c>
      <c r="M97" s="323" t="n">
        <f aca="false">$F97*2</f>
        <v>400</v>
      </c>
      <c r="N97" s="323" t="n">
        <f aca="false">5*$F97</f>
        <v>1000</v>
      </c>
      <c r="O97" s="323" t="n">
        <f aca="false">0.3</f>
        <v>0.3</v>
      </c>
      <c r="P97" s="323" t="s">
        <v>746</v>
      </c>
      <c r="Q97" s="323" t="s">
        <v>747</v>
      </c>
      <c r="R97" s="323" t="n">
        <f aca="false">INT($N97/2)</f>
        <v>500</v>
      </c>
      <c r="S97" s="323"/>
      <c r="T97" s="323"/>
      <c r="U97" s="323"/>
      <c r="V97" s="323"/>
      <c r="W97" s="323"/>
      <c r="X97" s="323"/>
      <c r="Y97" s="323"/>
    </row>
    <row r="98" customFormat="false" ht="14.4" hidden="false" customHeight="false" outlineLevel="0" collapsed="false">
      <c r="A98" s="323" t="s">
        <v>827</v>
      </c>
      <c r="B98" s="323" t="n">
        <v>24</v>
      </c>
      <c r="C98" s="323" t="n">
        <v>0.7</v>
      </c>
      <c r="D98" s="323" t="n">
        <v>10</v>
      </c>
      <c r="E98" s="323" t="n">
        <v>3</v>
      </c>
      <c r="F98" s="323" t="n">
        <v>20</v>
      </c>
      <c r="G98" s="0" t="n">
        <f aca="false">$B98</f>
        <v>24</v>
      </c>
      <c r="H98" s="0" t="n">
        <f aca="false">IF(I98&gt;5,20,12)</f>
        <v>12</v>
      </c>
      <c r="I98" s="0" t="n">
        <f aca="false">$C98</f>
        <v>0.7</v>
      </c>
      <c r="J98" s="323" t="n">
        <v>50</v>
      </c>
      <c r="K98" s="323" t="n">
        <f aca="false">INT($F98/4)</f>
        <v>5</v>
      </c>
      <c r="L98" s="323" t="n">
        <v>1</v>
      </c>
      <c r="M98" s="323" t="n">
        <f aca="false">$F98*2</f>
        <v>40</v>
      </c>
      <c r="N98" s="323" t="n">
        <f aca="false">5*$F98</f>
        <v>100</v>
      </c>
      <c r="O98" s="323" t="n">
        <f aca="false">0.3</f>
        <v>0.3</v>
      </c>
      <c r="P98" s="323" t="s">
        <v>746</v>
      </c>
      <c r="Q98" s="323" t="s">
        <v>747</v>
      </c>
      <c r="R98" s="323" t="n">
        <f aca="false">INT($N98/2)</f>
        <v>50</v>
      </c>
      <c r="S98" s="323"/>
      <c r="T98" s="323"/>
      <c r="U98" s="323"/>
      <c r="V98" s="323"/>
      <c r="W98" s="323"/>
      <c r="X98" s="323"/>
      <c r="Y98" s="323"/>
    </row>
    <row r="99" customFormat="false" ht="14.4" hidden="false" customHeight="false" outlineLevel="0" collapsed="false">
      <c r="A99" s="323" t="s">
        <v>828</v>
      </c>
      <c r="B99" s="323" t="n">
        <v>24</v>
      </c>
      <c r="C99" s="323" t="n">
        <v>0.8</v>
      </c>
      <c r="D99" s="323" t="n">
        <v>6.8</v>
      </c>
      <c r="E99" s="323" t="n">
        <v>4.9</v>
      </c>
      <c r="F99" s="323" t="n">
        <v>200</v>
      </c>
      <c r="G99" s="0" t="n">
        <f aca="false">$B99</f>
        <v>24</v>
      </c>
      <c r="H99" s="0" t="n">
        <f aca="false">IF(I99&gt;5,20,12)</f>
        <v>12</v>
      </c>
      <c r="I99" s="0" t="n">
        <f aca="false">$C99</f>
        <v>0.8</v>
      </c>
      <c r="J99" s="323" t="n">
        <v>50</v>
      </c>
      <c r="K99" s="323" t="n">
        <f aca="false">INT($F99/4)</f>
        <v>50</v>
      </c>
      <c r="L99" s="323" t="n">
        <v>1</v>
      </c>
      <c r="M99" s="323" t="n">
        <f aca="false">$F99*2</f>
        <v>400</v>
      </c>
      <c r="N99" s="323" t="n">
        <f aca="false">5*$F99</f>
        <v>1000</v>
      </c>
      <c r="O99" s="323" t="n">
        <f aca="false">0.3</f>
        <v>0.3</v>
      </c>
      <c r="P99" s="323" t="s">
        <v>746</v>
      </c>
      <c r="Q99" s="323" t="s">
        <v>747</v>
      </c>
      <c r="R99" s="323" t="n">
        <f aca="false">INT($N99/2)</f>
        <v>500</v>
      </c>
      <c r="S99" s="323"/>
      <c r="T99" s="323"/>
      <c r="U99" s="323"/>
      <c r="V99" s="323"/>
      <c r="W99" s="323"/>
      <c r="X99" s="323"/>
      <c r="Y99" s="323"/>
    </row>
    <row r="100" customFormat="false" ht="14.4" hidden="false" customHeight="false" outlineLevel="0" collapsed="false">
      <c r="A100" s="323" t="s">
        <v>829</v>
      </c>
      <c r="B100" s="323" t="n">
        <v>24</v>
      </c>
      <c r="C100" s="323" t="n">
        <v>2</v>
      </c>
      <c r="D100" s="323" t="n">
        <v>5.3</v>
      </c>
      <c r="E100" s="323" t="n">
        <v>6.6</v>
      </c>
      <c r="F100" s="323" t="n">
        <v>200</v>
      </c>
      <c r="G100" s="0" t="n">
        <f aca="false">$B100</f>
        <v>24</v>
      </c>
      <c r="H100" s="0" t="n">
        <f aca="false">IF(I100&gt;5,20,12)</f>
        <v>12</v>
      </c>
      <c r="I100" s="0" t="n">
        <f aca="false">$C100</f>
        <v>2</v>
      </c>
      <c r="J100" s="323" t="n">
        <v>50</v>
      </c>
      <c r="K100" s="323" t="n">
        <f aca="false">INT($F100/4)</f>
        <v>50</v>
      </c>
      <c r="L100" s="323" t="n">
        <v>1</v>
      </c>
      <c r="M100" s="323" t="n">
        <f aca="false">$F100*2</f>
        <v>400</v>
      </c>
      <c r="N100" s="323" t="n">
        <f aca="false">5*$F100</f>
        <v>1000</v>
      </c>
      <c r="O100" s="323" t="n">
        <f aca="false">0.3</f>
        <v>0.3</v>
      </c>
      <c r="P100" s="323" t="s">
        <v>746</v>
      </c>
      <c r="Q100" s="323" t="s">
        <v>747</v>
      </c>
      <c r="R100" s="323" t="n">
        <f aca="false">INT($N100/2)</f>
        <v>500</v>
      </c>
      <c r="S100" s="323"/>
      <c r="T100" s="323"/>
      <c r="U100" s="323"/>
      <c r="V100" s="323"/>
      <c r="W100" s="323"/>
      <c r="X100" s="323"/>
      <c r="Y100" s="323"/>
    </row>
    <row r="101" customFormat="false" ht="14.4" hidden="false" customHeight="false" outlineLevel="0" collapsed="false">
      <c r="A101" s="323" t="s">
        <v>830</v>
      </c>
      <c r="B101" s="323" t="n">
        <v>24</v>
      </c>
      <c r="C101" s="323" t="n">
        <v>0.4</v>
      </c>
      <c r="D101" s="323" t="n">
        <v>12.5</v>
      </c>
      <c r="E101" s="323" t="n">
        <v>5.5</v>
      </c>
      <c r="F101" s="323" t="n">
        <v>20</v>
      </c>
      <c r="G101" s="0" t="n">
        <f aca="false">$B101</f>
        <v>24</v>
      </c>
      <c r="H101" s="0" t="n">
        <f aca="false">IF(I101&gt;5,20,12)</f>
        <v>12</v>
      </c>
      <c r="I101" s="0" t="n">
        <f aca="false">$C101</f>
        <v>0.4</v>
      </c>
      <c r="J101" s="323" t="n">
        <v>50</v>
      </c>
      <c r="K101" s="323" t="n">
        <f aca="false">INT($F101/4)</f>
        <v>5</v>
      </c>
      <c r="L101" s="323" t="n">
        <v>1</v>
      </c>
      <c r="M101" s="323" t="n">
        <f aca="false">$F101*2</f>
        <v>40</v>
      </c>
      <c r="N101" s="323" t="n">
        <f aca="false">5*$F101</f>
        <v>100</v>
      </c>
      <c r="O101" s="323" t="n">
        <f aca="false">0.3</f>
        <v>0.3</v>
      </c>
      <c r="P101" s="323" t="s">
        <v>746</v>
      </c>
      <c r="Q101" s="323" t="s">
        <v>747</v>
      </c>
      <c r="R101" s="323" t="n">
        <f aca="false">INT($N101/2)</f>
        <v>50</v>
      </c>
      <c r="S101" s="323"/>
      <c r="T101" s="323"/>
      <c r="U101" s="323"/>
      <c r="V101" s="323"/>
      <c r="W101" s="323"/>
      <c r="X101" s="323"/>
      <c r="Y101" s="323"/>
    </row>
    <row r="102" customFormat="false" ht="14.4" hidden="false" customHeight="false" outlineLevel="0" collapsed="false">
      <c r="A102" s="0" t="s">
        <v>831</v>
      </c>
      <c r="S102" s="0" t="s">
        <v>832</v>
      </c>
      <c r="T102" s="0" t="n">
        <v>0</v>
      </c>
      <c r="U102" s="0" t="s">
        <v>833</v>
      </c>
      <c r="V102" s="0" t="s">
        <v>834</v>
      </c>
      <c r="W102" s="0" t="n">
        <v>0</v>
      </c>
      <c r="X102" s="0" t="s">
        <v>835</v>
      </c>
      <c r="Y102" s="0" t="n">
        <v>0</v>
      </c>
      <c r="Z102" s="0" t="n">
        <v>1</v>
      </c>
      <c r="AA102" s="0" t="s">
        <v>836</v>
      </c>
      <c r="AB102" s="0" t="n">
        <v>0</v>
      </c>
      <c r="AC102" s="0" t="s">
        <v>837</v>
      </c>
      <c r="AD102" s="0" t="s">
        <v>838</v>
      </c>
      <c r="AE102" s="0" t="s">
        <v>747</v>
      </c>
      <c r="AF102" s="0" t="n">
        <v>6</v>
      </c>
      <c r="AG102" s="0" t="s">
        <v>838</v>
      </c>
      <c r="AH102" s="0" t="s">
        <v>747</v>
      </c>
      <c r="AI102" s="0" t="n">
        <v>7</v>
      </c>
    </row>
    <row r="103" customFormat="false" ht="14.4" hidden="false" customHeight="false" outlineLevel="0" collapsed="false">
      <c r="A103" s="0" t="s">
        <v>839</v>
      </c>
      <c r="S103" s="0" t="s">
        <v>832</v>
      </c>
      <c r="T103" s="0" t="n">
        <v>26</v>
      </c>
      <c r="U103" s="0" t="s">
        <v>833</v>
      </c>
      <c r="V103" s="0" t="s">
        <v>834</v>
      </c>
      <c r="W103" s="0" t="n">
        <v>0</v>
      </c>
      <c r="X103" s="0" t="s">
        <v>835</v>
      </c>
      <c r="Y103" s="0" t="n">
        <v>0</v>
      </c>
      <c r="Z103" s="0" t="n">
        <v>0</v>
      </c>
      <c r="AA103" s="0" t="s">
        <v>836</v>
      </c>
      <c r="AB103" s="0" t="n">
        <v>0</v>
      </c>
      <c r="AC103" s="0" t="s">
        <v>837</v>
      </c>
      <c r="AD103" s="0" t="s">
        <v>838</v>
      </c>
      <c r="AE103" s="0" t="s">
        <v>747</v>
      </c>
      <c r="AF103" s="0" t="n">
        <v>6</v>
      </c>
      <c r="AG103" s="0" t="s">
        <v>838</v>
      </c>
      <c r="AH103" s="0" t="s">
        <v>747</v>
      </c>
      <c r="AI103" s="0" t="n">
        <v>7</v>
      </c>
    </row>
    <row r="104" customFormat="false" ht="14.4" hidden="false" customHeight="false" outlineLevel="0" collapsed="false">
      <c r="A104" s="0" t="s">
        <v>840</v>
      </c>
      <c r="S104" s="0" t="s">
        <v>832</v>
      </c>
      <c r="T104" s="0" t="n">
        <v>1</v>
      </c>
      <c r="U104" s="0" t="s">
        <v>833</v>
      </c>
      <c r="V104" s="0" t="s">
        <v>834</v>
      </c>
      <c r="W104" s="0" t="n">
        <v>0</v>
      </c>
      <c r="X104" s="0" t="s">
        <v>835</v>
      </c>
      <c r="Y104" s="0" t="n">
        <v>0</v>
      </c>
      <c r="Z104" s="0" t="n">
        <v>5</v>
      </c>
      <c r="AA104" s="0" t="s">
        <v>836</v>
      </c>
      <c r="AB104" s="0" t="n">
        <v>0</v>
      </c>
      <c r="AC104" s="0" t="s">
        <v>837</v>
      </c>
      <c r="AD104" s="0" t="s">
        <v>838</v>
      </c>
      <c r="AE104" s="0" t="s">
        <v>747</v>
      </c>
      <c r="AF104" s="0" t="n">
        <v>6</v>
      </c>
      <c r="AG104" s="0" t="s">
        <v>838</v>
      </c>
      <c r="AH104" s="0" t="s">
        <v>747</v>
      </c>
      <c r="AI104" s="0" t="n">
        <v>7</v>
      </c>
    </row>
    <row r="105" customFormat="false" ht="14.4" hidden="false" customHeight="false" outlineLevel="0" collapsed="false">
      <c r="A105" s="323" t="s">
        <v>841</v>
      </c>
      <c r="B105" s="323"/>
      <c r="C105" s="323"/>
      <c r="D105" s="323"/>
      <c r="E105" s="323"/>
      <c r="F105" s="323"/>
      <c r="G105" s="323"/>
      <c r="I105" s="323"/>
      <c r="J105" s="323"/>
      <c r="K105" s="323"/>
      <c r="L105" s="323"/>
      <c r="M105" s="323"/>
      <c r="N105" s="323"/>
      <c r="O105" s="323"/>
      <c r="P105" s="323"/>
      <c r="Q105" s="323"/>
      <c r="R105" s="323"/>
      <c r="S105" s="323" t="s">
        <v>832</v>
      </c>
      <c r="T105" s="323" t="n">
        <v>26</v>
      </c>
      <c r="U105" s="323" t="s">
        <v>833</v>
      </c>
      <c r="V105" s="0" t="s">
        <v>834</v>
      </c>
      <c r="W105" s="323" t="n">
        <v>0</v>
      </c>
      <c r="X105" s="323" t="s">
        <v>835</v>
      </c>
      <c r="Y105" s="323" t="n">
        <v>1</v>
      </c>
      <c r="Z105" s="0" t="n">
        <v>0</v>
      </c>
      <c r="AA105" s="0" t="s">
        <v>836</v>
      </c>
      <c r="AB105" s="0" t="n">
        <v>0</v>
      </c>
      <c r="AC105" s="0" t="s">
        <v>837</v>
      </c>
      <c r="AD105" s="0" t="s">
        <v>842</v>
      </c>
      <c r="AE105" s="0" t="s">
        <v>747</v>
      </c>
      <c r="AF105" s="0" t="n">
        <v>6</v>
      </c>
      <c r="AG105" s="0" t="s">
        <v>838</v>
      </c>
      <c r="AH105" s="0" t="s">
        <v>843</v>
      </c>
      <c r="AI105" s="0" t="n">
        <v>7</v>
      </c>
    </row>
  </sheetData>
  <sheetProtection sheet="true" password="db1b" objects="true" scenarios="true" selectLockedCells="true" selectUnlockedCells="tru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W3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28" activeCellId="1" sqref="O61:O64 D28"/>
    </sheetView>
  </sheetViews>
  <sheetFormatPr defaultRowHeight="10.2" outlineLevelRow="0" outlineLevelCol="0"/>
  <cols>
    <col collapsed="false" customWidth="true" hidden="false" outlineLevel="0" max="1" min="1" style="6" width="8.89"/>
    <col collapsed="false" customWidth="true" hidden="false" outlineLevel="0" max="2" min="2" style="6" width="19.45"/>
    <col collapsed="false" customWidth="true" hidden="false" outlineLevel="0" max="3" min="3" style="6" width="19.89"/>
    <col collapsed="false" customWidth="true" hidden="false" outlineLevel="0" max="4" min="4" style="6" width="22.01"/>
    <col collapsed="false" customWidth="true" hidden="false" outlineLevel="0" max="5" min="5" style="6" width="22.33"/>
    <col collapsed="false" customWidth="true" hidden="false" outlineLevel="0" max="14" min="6" style="6" width="8.89"/>
    <col collapsed="false" customWidth="true" hidden="false" outlineLevel="0" max="15" min="15" style="6" width="44.99"/>
    <col collapsed="false" customWidth="true" hidden="false" outlineLevel="0" max="1025" min="16" style="6" width="8.89"/>
  </cols>
  <sheetData>
    <row r="1" customFormat="false" ht="14.4" hidden="false" customHeight="false" outlineLevel="0" collapsed="false">
      <c r="A1" s="7"/>
      <c r="B1" s="7" t="s">
        <v>149</v>
      </c>
      <c r="C1" s="7"/>
      <c r="D1" s="7"/>
      <c r="E1" s="8"/>
      <c r="F1" s="8"/>
      <c r="G1" s="8"/>
      <c r="H1" s="8"/>
      <c r="I1" s="8"/>
      <c r="J1" s="8"/>
      <c r="K1" s="8"/>
      <c r="L1" s="8"/>
      <c r="M1" s="8"/>
      <c r="N1" s="7"/>
      <c r="O1" s="7"/>
      <c r="P1" s="9"/>
      <c r="Q1" s="9"/>
      <c r="R1" s="9"/>
      <c r="S1" s="10"/>
      <c r="T1" s="9"/>
      <c r="U1" s="9"/>
      <c r="V1" s="9"/>
      <c r="W1" s="9"/>
    </row>
    <row r="2" customFormat="false" ht="14.4" hidden="false" customHeight="false" outlineLevel="0" collapsed="false">
      <c r="A2" s="7"/>
      <c r="B2" s="11" t="s">
        <v>150</v>
      </c>
      <c r="C2" s="7"/>
      <c r="D2" s="7"/>
      <c r="E2" s="8"/>
      <c r="F2" s="8"/>
      <c r="G2" s="8"/>
      <c r="H2" s="8"/>
      <c r="I2" s="8"/>
      <c r="J2" s="8"/>
      <c r="K2" s="8"/>
      <c r="L2" s="8"/>
      <c r="M2" s="8"/>
      <c r="N2" s="7" t="s">
        <v>151</v>
      </c>
      <c r="O2" s="7"/>
      <c r="P2" s="9"/>
      <c r="Q2" s="9"/>
      <c r="R2" s="9"/>
      <c r="S2" s="10"/>
      <c r="T2" s="9"/>
      <c r="U2" s="9"/>
      <c r="V2" s="12"/>
      <c r="W2" s="12"/>
    </row>
    <row r="3" customFormat="false" ht="14.4" hidden="false" customHeight="false" outlineLevel="0" collapsed="false">
      <c r="A3" s="7"/>
      <c r="B3" s="13" t="s">
        <v>152</v>
      </c>
      <c r="C3" s="14" t="n">
        <v>42180</v>
      </c>
      <c r="D3" s="13"/>
      <c r="E3" s="8"/>
      <c r="F3" s="8"/>
      <c r="G3" s="8"/>
      <c r="H3" s="8"/>
      <c r="I3" s="8"/>
      <c r="J3" s="8"/>
      <c r="K3" s="8"/>
      <c r="L3" s="8"/>
      <c r="M3" s="8"/>
      <c r="N3" s="7" t="s">
        <v>153</v>
      </c>
      <c r="O3" s="7"/>
      <c r="P3" s="9"/>
      <c r="Q3" s="9"/>
      <c r="R3" s="9"/>
      <c r="S3" s="10"/>
      <c r="T3" s="9"/>
      <c r="U3" s="9"/>
      <c r="V3" s="9"/>
      <c r="W3" s="9"/>
    </row>
    <row r="4" customFormat="false" ht="14.4" hidden="false" customHeight="false" outlineLevel="0" collapsed="false">
      <c r="A4" s="7"/>
      <c r="B4" s="13" t="s">
        <v>154</v>
      </c>
      <c r="C4" s="15" t="s">
        <v>155</v>
      </c>
      <c r="D4" s="13"/>
      <c r="E4" s="8"/>
      <c r="F4" s="8"/>
      <c r="G4" s="8"/>
      <c r="H4" s="8"/>
      <c r="I4" s="8"/>
      <c r="J4" s="8"/>
      <c r="K4" s="8"/>
      <c r="L4" s="8"/>
      <c r="M4" s="8"/>
      <c r="N4" s="7"/>
      <c r="O4" s="7"/>
      <c r="P4" s="9"/>
      <c r="Q4" s="9"/>
      <c r="R4" s="9"/>
      <c r="S4" s="10"/>
      <c r="T4" s="9"/>
      <c r="U4" s="9"/>
      <c r="V4" s="9"/>
      <c r="W4" s="9"/>
    </row>
    <row r="5" customFormat="false" ht="14.4" hidden="false" customHeight="false" outlineLevel="0" collapsed="false">
      <c r="A5" s="7"/>
      <c r="B5" s="7"/>
      <c r="C5" s="7"/>
      <c r="D5" s="7"/>
      <c r="E5" s="8"/>
      <c r="F5" s="8"/>
      <c r="G5" s="8"/>
      <c r="H5" s="8"/>
      <c r="I5" s="8"/>
      <c r="J5" s="8"/>
      <c r="K5" s="8" t="s">
        <v>156</v>
      </c>
      <c r="L5" s="8"/>
      <c r="M5" s="8"/>
      <c r="N5" s="7"/>
      <c r="O5" s="7"/>
      <c r="P5" s="9"/>
      <c r="Q5" s="9"/>
      <c r="R5" s="9"/>
      <c r="S5" s="10"/>
      <c r="T5" s="9"/>
      <c r="U5" s="9"/>
      <c r="V5" s="9"/>
      <c r="W5" s="9"/>
    </row>
    <row r="6" customFormat="false" ht="72" hidden="false" customHeight="false" outlineLevel="0" collapsed="false">
      <c r="A6" s="16"/>
      <c r="B6" s="17" t="s">
        <v>157</v>
      </c>
      <c r="C6" s="17" t="s">
        <v>158</v>
      </c>
      <c r="D6" s="17" t="s">
        <v>159</v>
      </c>
      <c r="E6" s="18" t="s">
        <v>160</v>
      </c>
      <c r="F6" s="18" t="s">
        <v>161</v>
      </c>
      <c r="G6" s="18" t="s">
        <v>162</v>
      </c>
      <c r="H6" s="18" t="s">
        <v>163</v>
      </c>
      <c r="I6" s="18" t="s">
        <v>164</v>
      </c>
      <c r="J6" s="18" t="s">
        <v>165</v>
      </c>
      <c r="K6" s="19" t="s">
        <v>166</v>
      </c>
      <c r="L6" s="19" t="s">
        <v>167</v>
      </c>
      <c r="M6" s="19" t="s">
        <v>168</v>
      </c>
      <c r="N6" s="20" t="s">
        <v>169</v>
      </c>
      <c r="O6" s="20" t="s">
        <v>170</v>
      </c>
      <c r="P6" s="17" t="s">
        <v>171</v>
      </c>
      <c r="Q6" s="17" t="s">
        <v>172</v>
      </c>
      <c r="R6" s="17" t="s">
        <v>173</v>
      </c>
      <c r="S6" s="18" t="s">
        <v>174</v>
      </c>
      <c r="T6" s="17" t="s">
        <v>175</v>
      </c>
      <c r="U6" s="17" t="s">
        <v>176</v>
      </c>
      <c r="V6" s="17" t="s">
        <v>177</v>
      </c>
      <c r="W6" s="17" t="s">
        <v>178</v>
      </c>
    </row>
    <row r="7" customFormat="false" ht="14.4" hidden="false" customHeight="false" outlineLevel="0" collapsed="false">
      <c r="A7" s="21"/>
      <c r="B7" s="22"/>
      <c r="C7" s="22"/>
      <c r="D7" s="22"/>
      <c r="E7" s="23"/>
      <c r="F7" s="24"/>
      <c r="G7" s="24"/>
      <c r="H7" s="24"/>
      <c r="I7" s="25"/>
      <c r="J7" s="24"/>
      <c r="K7" s="25"/>
      <c r="L7" s="24"/>
      <c r="M7" s="24"/>
      <c r="N7" s="22"/>
      <c r="O7" s="22"/>
      <c r="P7" s="22"/>
      <c r="Q7" s="22"/>
      <c r="R7" s="22"/>
      <c r="S7" s="22"/>
      <c r="T7" s="22"/>
      <c r="U7" s="22"/>
      <c r="V7" s="26"/>
      <c r="W7" s="26"/>
    </row>
    <row r="8" customFormat="false" ht="14.4" hidden="false" customHeight="false" outlineLevel="0" collapsed="false">
      <c r="A8" s="27"/>
      <c r="B8" s="26"/>
      <c r="C8" s="26"/>
      <c r="D8" s="26"/>
      <c r="E8" s="23"/>
      <c r="F8" s="24"/>
      <c r="G8" s="24"/>
      <c r="H8" s="24"/>
      <c r="I8" s="28"/>
      <c r="J8" s="29"/>
      <c r="K8" s="25"/>
      <c r="L8" s="29"/>
      <c r="M8" s="24"/>
      <c r="N8" s="26"/>
      <c r="O8" s="26"/>
      <c r="P8" s="26"/>
      <c r="Q8" s="26"/>
      <c r="R8" s="26"/>
      <c r="S8" s="26"/>
      <c r="T8" s="26"/>
      <c r="U8" s="26"/>
      <c r="V8" s="26"/>
      <c r="W8" s="26"/>
    </row>
    <row r="9" customFormat="false" ht="14.4" hidden="false" customHeight="false" outlineLevel="0" collapsed="false">
      <c r="A9" s="27"/>
      <c r="B9" s="26"/>
      <c r="C9" s="26"/>
      <c r="D9" s="26"/>
      <c r="E9" s="23"/>
      <c r="F9" s="24"/>
      <c r="G9" s="24"/>
      <c r="H9" s="24"/>
      <c r="I9" s="28"/>
      <c r="J9" s="29"/>
      <c r="K9" s="25"/>
      <c r="L9" s="29"/>
      <c r="M9" s="24"/>
      <c r="N9" s="26"/>
      <c r="O9" s="26"/>
      <c r="P9" s="26"/>
      <c r="Q9" s="26"/>
      <c r="R9" s="26"/>
      <c r="S9" s="26"/>
      <c r="T9" s="26"/>
      <c r="U9" s="26"/>
      <c r="V9" s="26"/>
      <c r="W9" s="26"/>
    </row>
    <row r="10" customFormat="false" ht="14.4" hidden="false" customHeight="false" outlineLevel="0" collapsed="false">
      <c r="A10" s="27"/>
      <c r="B10" s="26"/>
      <c r="C10" s="26"/>
      <c r="D10" s="26"/>
      <c r="E10" s="29"/>
      <c r="F10" s="29"/>
      <c r="G10" s="29"/>
      <c r="H10" s="29"/>
      <c r="I10" s="29"/>
      <c r="J10" s="29"/>
      <c r="K10" s="28"/>
      <c r="L10" s="29"/>
      <c r="M10" s="24"/>
      <c r="N10" s="26"/>
      <c r="O10" s="26"/>
      <c r="P10" s="26"/>
      <c r="Q10" s="26"/>
      <c r="R10" s="26"/>
      <c r="S10" s="26"/>
      <c r="T10" s="26"/>
      <c r="U10" s="26"/>
      <c r="V10" s="26"/>
      <c r="W10" s="26"/>
    </row>
    <row r="11" customFormat="false" ht="14.4" hidden="false" customHeight="false" outlineLevel="0" collapsed="false">
      <c r="A11" s="27"/>
      <c r="B11" s="26"/>
      <c r="C11" s="26"/>
      <c r="D11" s="26"/>
      <c r="E11" s="29"/>
      <c r="F11" s="29"/>
      <c r="G11" s="29"/>
      <c r="H11" s="29"/>
      <c r="I11" s="29"/>
      <c r="J11" s="29"/>
      <c r="K11" s="28"/>
      <c r="L11" s="29"/>
      <c r="M11" s="24"/>
      <c r="N11" s="26"/>
      <c r="O11" s="26"/>
      <c r="P11" s="26"/>
      <c r="Q11" s="26"/>
      <c r="R11" s="26"/>
      <c r="S11" s="26"/>
      <c r="T11" s="26"/>
      <c r="U11" s="26"/>
      <c r="V11" s="26"/>
      <c r="W11" s="26"/>
    </row>
    <row r="12" customFormat="false" ht="14.4" hidden="false" customHeight="false" outlineLevel="0" collapsed="false">
      <c r="A12" s="27"/>
      <c r="B12" s="26"/>
      <c r="C12" s="26"/>
      <c r="D12" s="26"/>
      <c r="E12" s="29"/>
      <c r="F12" s="29"/>
      <c r="G12" s="30"/>
      <c r="H12" s="31"/>
      <c r="I12" s="29"/>
      <c r="J12" s="30"/>
      <c r="K12" s="31"/>
      <c r="L12" s="32"/>
      <c r="M12" s="31"/>
      <c r="N12" s="26"/>
      <c r="O12" s="26"/>
      <c r="P12" s="26"/>
      <c r="Q12" s="26"/>
      <c r="R12" s="26"/>
      <c r="S12" s="26"/>
      <c r="T12" s="26"/>
      <c r="U12" s="26"/>
      <c r="V12" s="26"/>
      <c r="W12" s="26"/>
    </row>
    <row r="13" customFormat="false" ht="14.4" hidden="false" customHeight="false" outlineLevel="0" collapsed="false">
      <c r="A13" s="27"/>
      <c r="B13" s="26"/>
      <c r="C13" s="26"/>
      <c r="D13" s="26"/>
      <c r="E13" s="28"/>
      <c r="F13" s="29"/>
      <c r="G13" s="28"/>
      <c r="H13" s="28"/>
      <c r="I13" s="29"/>
      <c r="J13" s="29"/>
      <c r="K13" s="33"/>
      <c r="L13" s="28"/>
      <c r="M13" s="30"/>
      <c r="N13" s="26"/>
      <c r="O13" s="26"/>
      <c r="P13" s="26"/>
      <c r="Q13" s="26"/>
      <c r="R13" s="26"/>
      <c r="S13" s="26"/>
      <c r="T13" s="26"/>
      <c r="U13" s="26"/>
      <c r="V13" s="26"/>
      <c r="W13" s="26"/>
    </row>
    <row r="14" customFormat="false" ht="14.4" hidden="false" customHeight="false" outlineLevel="0" collapsed="false">
      <c r="A14" s="27"/>
      <c r="B14" s="26"/>
      <c r="C14" s="26"/>
      <c r="D14" s="26"/>
      <c r="E14" s="23"/>
      <c r="F14" s="29"/>
      <c r="G14" s="28"/>
      <c r="H14" s="29"/>
      <c r="I14" s="29"/>
      <c r="J14" s="29"/>
      <c r="K14" s="29"/>
      <c r="L14" s="29"/>
      <c r="M14" s="29"/>
      <c r="N14" s="26"/>
      <c r="O14" s="26"/>
      <c r="P14" s="26"/>
      <c r="Q14" s="26"/>
      <c r="R14" s="26"/>
      <c r="S14" s="26"/>
      <c r="T14" s="26"/>
      <c r="U14" s="26"/>
      <c r="V14" s="26"/>
      <c r="W14" s="26"/>
    </row>
    <row r="15" customFormat="false" ht="14.4" hidden="false" customHeight="false" outlineLevel="0" collapsed="false">
      <c r="A15" s="27"/>
      <c r="B15" s="26"/>
      <c r="C15" s="26"/>
      <c r="D15" s="26"/>
      <c r="E15" s="23"/>
      <c r="F15" s="29"/>
      <c r="G15" s="28"/>
      <c r="H15" s="29"/>
      <c r="I15" s="29"/>
      <c r="J15" s="29"/>
      <c r="K15" s="29"/>
      <c r="L15" s="29"/>
      <c r="M15" s="30"/>
      <c r="N15" s="26"/>
      <c r="O15" s="26"/>
      <c r="P15" s="26"/>
      <c r="Q15" s="26"/>
      <c r="R15" s="26"/>
      <c r="S15" s="26"/>
      <c r="T15" s="26"/>
      <c r="U15" s="26"/>
      <c r="V15" s="26"/>
      <c r="W15" s="26"/>
    </row>
    <row r="16" customFormat="false" ht="14.4" hidden="false" customHeight="false" outlineLevel="0" collapsed="false">
      <c r="A16" s="27"/>
      <c r="B16" s="26"/>
      <c r="C16" s="26"/>
      <c r="D16" s="26"/>
      <c r="E16" s="23"/>
      <c r="F16" s="29"/>
      <c r="G16" s="28"/>
      <c r="H16" s="29"/>
      <c r="I16" s="29"/>
      <c r="J16" s="29"/>
      <c r="K16" s="29"/>
      <c r="L16" s="29"/>
      <c r="M16" s="29"/>
      <c r="N16" s="26"/>
      <c r="O16" s="26"/>
      <c r="P16" s="26"/>
      <c r="Q16" s="26"/>
      <c r="R16" s="26"/>
      <c r="S16" s="26"/>
      <c r="T16" s="26"/>
      <c r="U16" s="26"/>
      <c r="V16" s="26"/>
      <c r="W16" s="26"/>
    </row>
    <row r="17" customFormat="false" ht="14.4" hidden="false" customHeight="false" outlineLevel="0" collapsed="false">
      <c r="A17" s="27"/>
      <c r="B17" s="26"/>
      <c r="C17" s="26"/>
      <c r="D17" s="26"/>
      <c r="E17" s="29"/>
      <c r="F17" s="29"/>
      <c r="G17" s="28"/>
      <c r="H17" s="29"/>
      <c r="I17" s="29"/>
      <c r="J17" s="30"/>
      <c r="K17" s="29"/>
      <c r="L17" s="32"/>
      <c r="M17" s="29"/>
      <c r="N17" s="26"/>
      <c r="O17" s="26"/>
      <c r="P17" s="26"/>
      <c r="Q17" s="26"/>
      <c r="R17" s="26"/>
      <c r="S17" s="26"/>
      <c r="T17" s="26"/>
      <c r="U17" s="26"/>
      <c r="V17" s="26"/>
      <c r="W17" s="26"/>
    </row>
    <row r="18" customFormat="false" ht="14.4" hidden="false" customHeight="false" outlineLevel="0" collapsed="false">
      <c r="A18" s="34"/>
      <c r="B18" s="35"/>
      <c r="C18" s="35"/>
      <c r="D18" s="35"/>
      <c r="E18" s="36"/>
      <c r="F18" s="36"/>
      <c r="G18" s="37"/>
      <c r="H18" s="36"/>
      <c r="I18" s="36"/>
      <c r="J18" s="29"/>
      <c r="K18" s="33"/>
      <c r="L18" s="38"/>
      <c r="M18" s="30"/>
      <c r="N18" s="35"/>
      <c r="O18" s="26"/>
      <c r="P18" s="35"/>
      <c r="Q18" s="35"/>
      <c r="R18" s="35"/>
      <c r="S18" s="35"/>
      <c r="T18" s="35"/>
      <c r="U18" s="35"/>
      <c r="V18" s="26"/>
      <c r="W18" s="26"/>
    </row>
    <row r="19" customFormat="false" ht="14.4" hidden="false" customHeight="false" outlineLevel="0" collapsed="false">
      <c r="A19" s="39"/>
      <c r="B19" s="40"/>
      <c r="C19" s="40"/>
      <c r="D19" s="41"/>
      <c r="E19" s="42"/>
      <c r="F19" s="28"/>
      <c r="G19" s="28"/>
      <c r="H19" s="28"/>
      <c r="I19" s="42"/>
      <c r="J19" s="42"/>
      <c r="K19" s="42"/>
      <c r="L19" s="42"/>
      <c r="M19" s="42"/>
      <c r="N19" s="41"/>
      <c r="O19" s="41"/>
      <c r="P19" s="41"/>
      <c r="Q19" s="41"/>
      <c r="R19" s="41"/>
      <c r="S19" s="42"/>
      <c r="T19" s="41"/>
      <c r="U19" s="43"/>
      <c r="V19" s="40"/>
      <c r="W19" s="40"/>
    </row>
    <row r="20" customFormat="false" ht="14.4" hidden="false" customHeight="false" outlineLevel="0" collapsed="false">
      <c r="A20" s="44"/>
      <c r="B20" s="40"/>
      <c r="C20" s="40"/>
      <c r="D20" s="41"/>
      <c r="E20" s="42"/>
      <c r="F20" s="29"/>
      <c r="G20" s="29"/>
      <c r="H20" s="29"/>
      <c r="I20" s="42"/>
      <c r="J20" s="42"/>
      <c r="K20" s="42"/>
      <c r="L20" s="42"/>
      <c r="M20" s="45"/>
      <c r="N20" s="41"/>
      <c r="O20" s="41"/>
      <c r="P20" s="41"/>
      <c r="Q20" s="41"/>
      <c r="R20" s="41"/>
      <c r="S20" s="42"/>
      <c r="T20" s="41"/>
      <c r="U20" s="41"/>
      <c r="V20" s="40"/>
      <c r="W20" s="40"/>
    </row>
    <row r="21" customFormat="false" ht="14.4" hidden="false" customHeight="false" outlineLevel="0" collapsed="false">
      <c r="A21" s="44"/>
      <c r="B21" s="40"/>
      <c r="C21" s="40"/>
      <c r="D21" s="41"/>
      <c r="E21" s="42"/>
      <c r="F21" s="29"/>
      <c r="G21" s="29"/>
      <c r="H21" s="29"/>
      <c r="I21" s="42"/>
      <c r="J21" s="42"/>
      <c r="K21" s="42"/>
      <c r="L21" s="42"/>
      <c r="M21" s="42"/>
      <c r="N21" s="41"/>
      <c r="O21" s="41"/>
      <c r="P21" s="41"/>
      <c r="Q21" s="41"/>
      <c r="R21" s="41"/>
      <c r="S21" s="42"/>
      <c r="T21" s="41"/>
      <c r="U21" s="41"/>
      <c r="V21" s="40"/>
      <c r="W21" s="40"/>
    </row>
    <row r="22" customFormat="false" ht="14.4" hidden="false" customHeight="false" outlineLevel="0" collapsed="false">
      <c r="A22" s="44"/>
      <c r="B22" s="40"/>
      <c r="C22" s="40"/>
      <c r="D22" s="41"/>
      <c r="E22" s="42"/>
      <c r="F22" s="29"/>
      <c r="G22" s="29"/>
      <c r="H22" s="29"/>
      <c r="I22" s="42"/>
      <c r="J22" s="42"/>
      <c r="K22" s="42"/>
      <c r="L22" s="42"/>
      <c r="M22" s="42"/>
      <c r="N22" s="41"/>
      <c r="O22" s="41"/>
      <c r="P22" s="41"/>
      <c r="Q22" s="41"/>
      <c r="R22" s="41"/>
      <c r="S22" s="42"/>
      <c r="T22" s="41"/>
      <c r="U22" s="41"/>
      <c r="V22" s="40"/>
      <c r="W22" s="40"/>
    </row>
    <row r="23" customFormat="false" ht="14.4" hidden="false" customHeight="false" outlineLevel="0" collapsed="false">
      <c r="A23" s="44"/>
      <c r="B23" s="40"/>
      <c r="C23" s="40"/>
      <c r="D23" s="41"/>
      <c r="E23" s="41"/>
      <c r="F23" s="29"/>
      <c r="G23" s="29"/>
      <c r="H23" s="29"/>
      <c r="I23" s="30"/>
      <c r="J23" s="41"/>
      <c r="K23" s="42"/>
      <c r="L23" s="41"/>
      <c r="M23" s="41"/>
      <c r="N23" s="41"/>
      <c r="O23" s="41"/>
      <c r="P23" s="41"/>
      <c r="Q23" s="41"/>
      <c r="R23" s="41"/>
      <c r="S23" s="42"/>
      <c r="T23" s="41"/>
      <c r="U23" s="41"/>
      <c r="V23" s="40"/>
      <c r="W23" s="40"/>
    </row>
    <row r="24" customFormat="false" ht="14.4" hidden="false" customHeight="false" outlineLevel="0" collapsed="false">
      <c r="A24" s="44"/>
      <c r="B24" s="40"/>
      <c r="C24" s="40"/>
      <c r="D24" s="41"/>
      <c r="E24" s="42"/>
      <c r="F24" s="30"/>
      <c r="G24" s="29"/>
      <c r="H24" s="29"/>
      <c r="I24" s="41"/>
      <c r="J24" s="42"/>
      <c r="K24" s="42"/>
      <c r="L24" s="42"/>
      <c r="M24" s="42"/>
      <c r="N24" s="41"/>
      <c r="O24" s="41"/>
      <c r="P24" s="41"/>
      <c r="Q24" s="41"/>
      <c r="R24" s="41"/>
      <c r="S24" s="42"/>
      <c r="T24" s="41"/>
      <c r="U24" s="41"/>
      <c r="V24" s="40"/>
      <c r="W24" s="40"/>
    </row>
    <row r="25" customFormat="false" ht="14.4" hidden="false" customHeight="false" outlineLevel="0" collapsed="false">
      <c r="A25" s="44"/>
      <c r="B25" s="40"/>
      <c r="C25" s="40"/>
      <c r="D25" s="41"/>
      <c r="E25" s="41"/>
      <c r="F25" s="41"/>
      <c r="G25" s="41"/>
      <c r="H25" s="41"/>
      <c r="I25" s="41"/>
      <c r="J25" s="41"/>
      <c r="K25" s="42"/>
      <c r="L25" s="41"/>
      <c r="M25" s="41"/>
      <c r="N25" s="41"/>
      <c r="O25" s="41"/>
      <c r="P25" s="41"/>
      <c r="Q25" s="41"/>
      <c r="R25" s="41"/>
      <c r="S25" s="42"/>
      <c r="T25" s="41"/>
      <c r="U25" s="46"/>
      <c r="V25" s="40"/>
      <c r="W25" s="40"/>
    </row>
    <row r="26" customFormat="false" ht="14.4" hidden="false" customHeight="false" outlineLevel="0" collapsed="false">
      <c r="A26" s="47"/>
      <c r="B26" s="26"/>
      <c r="C26" s="26"/>
      <c r="D26" s="26"/>
      <c r="E26" s="29"/>
      <c r="F26" s="29"/>
      <c r="G26" s="29"/>
      <c r="H26" s="29"/>
      <c r="I26" s="29"/>
      <c r="J26" s="29"/>
      <c r="K26" s="29"/>
      <c r="L26" s="29"/>
      <c r="M26" s="29"/>
      <c r="N26" s="26"/>
      <c r="O26" s="26"/>
      <c r="P26" s="26"/>
      <c r="Q26" s="26"/>
      <c r="R26" s="26"/>
      <c r="S26" s="26"/>
      <c r="T26" s="26"/>
      <c r="U26" s="26"/>
      <c r="V26" s="35"/>
      <c r="W26" s="35"/>
    </row>
    <row r="27" customFormat="false" ht="14.4" hidden="false" customHeight="false" outlineLevel="0" collapsed="false">
      <c r="A27" s="27"/>
      <c r="B27" s="26"/>
      <c r="C27" s="26"/>
      <c r="D27" s="26"/>
      <c r="E27" s="29"/>
      <c r="F27" s="29"/>
      <c r="G27" s="29"/>
      <c r="H27" s="29"/>
      <c r="I27" s="29"/>
      <c r="J27" s="29"/>
      <c r="K27" s="29"/>
      <c r="L27" s="29"/>
      <c r="M27" s="29"/>
      <c r="N27" s="26"/>
      <c r="O27" s="26"/>
      <c r="P27" s="26"/>
      <c r="Q27" s="26"/>
      <c r="R27" s="26"/>
      <c r="S27" s="26"/>
      <c r="T27" s="26"/>
      <c r="U27" s="26"/>
      <c r="V27" s="35"/>
      <c r="W27" s="35"/>
    </row>
    <row r="28" customFormat="false" ht="14.4" hidden="false" customHeight="false" outlineLevel="0" collapsed="false">
      <c r="A28" s="44"/>
      <c r="B28" s="26"/>
      <c r="C28" s="26"/>
      <c r="D28" s="26"/>
      <c r="E28" s="29"/>
      <c r="F28" s="29"/>
      <c r="G28" s="29"/>
      <c r="H28" s="29"/>
      <c r="I28" s="29"/>
      <c r="J28" s="29"/>
      <c r="K28" s="29"/>
      <c r="L28" s="29"/>
      <c r="M28" s="29"/>
      <c r="N28" s="26"/>
      <c r="O28" s="26"/>
      <c r="P28" s="26"/>
      <c r="Q28" s="26"/>
      <c r="R28" s="26"/>
      <c r="S28" s="26"/>
      <c r="T28" s="26"/>
      <c r="U28" s="26"/>
      <c r="V28" s="35"/>
      <c r="W28" s="35"/>
    </row>
    <row r="29" customFormat="false" ht="14.4" hidden="false" customHeight="false" outlineLevel="0" collapsed="false">
      <c r="A29" s="48"/>
      <c r="B29" s="35"/>
      <c r="C29" s="35"/>
      <c r="D29" s="35"/>
      <c r="E29" s="37"/>
      <c r="F29" s="36"/>
      <c r="G29" s="36"/>
      <c r="H29" s="36"/>
      <c r="I29" s="36"/>
      <c r="J29" s="36"/>
      <c r="K29" s="37"/>
      <c r="L29" s="49"/>
      <c r="M29" s="36"/>
      <c r="N29" s="35"/>
      <c r="O29" s="35"/>
      <c r="P29" s="35"/>
      <c r="Q29" s="35"/>
      <c r="R29" s="35"/>
      <c r="S29" s="35"/>
      <c r="T29" s="35"/>
      <c r="U29" s="35"/>
      <c r="V29" s="35"/>
      <c r="W29" s="35"/>
    </row>
    <row r="30" customFormat="false" ht="14.4" hidden="false" customHeight="false" outlineLevel="0" collapsed="false">
      <c r="A30" s="48"/>
      <c r="B30" s="35"/>
      <c r="C30" s="35"/>
      <c r="D30" s="35"/>
      <c r="E30" s="37"/>
      <c r="F30" s="36"/>
      <c r="G30" s="36"/>
      <c r="H30" s="36"/>
      <c r="I30" s="36"/>
      <c r="J30" s="36"/>
      <c r="K30" s="37"/>
      <c r="L30" s="49"/>
      <c r="M30" s="36"/>
      <c r="N30" s="35"/>
      <c r="O30" s="35"/>
      <c r="P30" s="35"/>
      <c r="Q30" s="35"/>
      <c r="R30" s="35"/>
      <c r="S30" s="35"/>
      <c r="T30" s="35"/>
      <c r="U30" s="35"/>
      <c r="V30" s="35"/>
      <c r="W30" s="35"/>
    </row>
    <row r="31" customFormat="false" ht="14.4" hidden="false" customHeight="false" outlineLevel="0" collapsed="false">
      <c r="A31" s="39"/>
      <c r="B31" s="26"/>
      <c r="C31" s="26"/>
      <c r="D31" s="26"/>
      <c r="E31" s="29"/>
      <c r="F31" s="29"/>
      <c r="G31" s="29"/>
      <c r="H31" s="29"/>
      <c r="I31" s="29"/>
      <c r="J31" s="29"/>
      <c r="K31" s="29"/>
      <c r="L31" s="29"/>
      <c r="M31" s="29"/>
      <c r="N31" s="26"/>
      <c r="O31" s="26"/>
      <c r="P31" s="26"/>
      <c r="Q31" s="26"/>
      <c r="R31" s="26"/>
      <c r="S31" s="26"/>
      <c r="T31" s="26"/>
      <c r="U31" s="26"/>
      <c r="V31" s="26"/>
      <c r="W31" s="26"/>
    </row>
    <row r="32" customFormat="false" ht="14.4" hidden="false" customHeight="false" outlineLevel="0" collapsed="false">
      <c r="A32" s="44"/>
      <c r="B32" s="26"/>
      <c r="C32" s="50"/>
      <c r="D32" s="26"/>
      <c r="E32" s="29"/>
      <c r="F32" s="29"/>
      <c r="G32" s="29"/>
      <c r="H32" s="29"/>
      <c r="I32" s="29"/>
      <c r="J32" s="29"/>
      <c r="K32" s="29"/>
      <c r="L32" s="29"/>
      <c r="M32" s="29"/>
      <c r="N32" s="26"/>
      <c r="O32" s="26"/>
      <c r="P32" s="26"/>
      <c r="Q32" s="26"/>
      <c r="R32" s="26"/>
      <c r="S32" s="26"/>
      <c r="T32" s="26"/>
      <c r="U32" s="26"/>
      <c r="V32" s="26"/>
      <c r="W32" s="26"/>
    </row>
    <row r="33" customFormat="false" ht="14.4" hidden="false" customHeight="false" outlineLevel="0" collapsed="false">
      <c r="A33" s="44"/>
      <c r="B33" s="26"/>
      <c r="C33" s="26"/>
      <c r="D33" s="26"/>
      <c r="E33" s="29"/>
      <c r="F33" s="29"/>
      <c r="G33" s="29"/>
      <c r="H33" s="29"/>
      <c r="I33" s="29"/>
      <c r="J33" s="29"/>
      <c r="K33" s="29"/>
      <c r="L33" s="29"/>
      <c r="M33" s="29"/>
      <c r="N33" s="26"/>
      <c r="O33" s="26"/>
      <c r="P33" s="26"/>
      <c r="Q33" s="26"/>
      <c r="R33" s="26"/>
      <c r="S33" s="26"/>
      <c r="T33" s="26"/>
      <c r="U33" s="26"/>
      <c r="V33" s="26"/>
      <c r="W33" s="26"/>
    </row>
    <row r="34" customFormat="false" ht="14.4" hidden="false" customHeight="false" outlineLevel="0" collapsed="false">
      <c r="A34" s="51"/>
      <c r="B34" s="52"/>
      <c r="C34" s="52"/>
      <c r="D34" s="53"/>
      <c r="E34" s="54"/>
      <c r="F34" s="54"/>
      <c r="G34" s="36"/>
      <c r="H34" s="36"/>
      <c r="I34" s="24"/>
      <c r="J34" s="24"/>
      <c r="K34" s="55"/>
      <c r="L34" s="30"/>
      <c r="M34" s="55"/>
      <c r="N34" s="53"/>
      <c r="O34" s="53"/>
      <c r="P34" s="53"/>
      <c r="Q34" s="53"/>
      <c r="R34" s="53"/>
      <c r="S34" s="56"/>
      <c r="T34" s="56"/>
      <c r="U34" s="56"/>
      <c r="V34" s="22"/>
      <c r="W34" s="22"/>
    </row>
    <row r="35" customFormat="false" ht="14.4" hidden="false" customHeight="false" outlineLevel="0" collapsed="false">
      <c r="A35" s="57"/>
      <c r="B35" s="40"/>
      <c r="C35" s="40"/>
      <c r="D35" s="58"/>
      <c r="E35" s="54"/>
      <c r="F35" s="59"/>
      <c r="G35" s="36"/>
      <c r="H35" s="36"/>
      <c r="I35" s="36"/>
      <c r="J35" s="36"/>
      <c r="K35" s="60"/>
      <c r="L35" s="30"/>
      <c r="M35" s="60"/>
      <c r="N35" s="58"/>
      <c r="O35" s="58"/>
      <c r="P35" s="58"/>
      <c r="Q35" s="58"/>
      <c r="R35" s="58"/>
      <c r="S35" s="58"/>
      <c r="T35" s="58"/>
      <c r="U35" s="58"/>
      <c r="V35" s="22"/>
      <c r="W35" s="22"/>
    </row>
    <row r="36" customFormat="false" ht="14.4" hidden="false" customHeight="false" outlineLevel="0" collapsed="false">
      <c r="A36" s="57"/>
      <c r="B36" s="40"/>
      <c r="C36" s="40"/>
      <c r="D36" s="58"/>
      <c r="E36" s="54"/>
      <c r="F36" s="59"/>
      <c r="G36" s="36"/>
      <c r="H36" s="36"/>
      <c r="I36" s="36"/>
      <c r="J36" s="36"/>
      <c r="K36" s="59"/>
      <c r="L36" s="30"/>
      <c r="M36" s="55"/>
      <c r="N36" s="58"/>
      <c r="O36" s="58"/>
      <c r="P36" s="58"/>
      <c r="Q36" s="58"/>
      <c r="R36" s="58"/>
      <c r="S36" s="53"/>
      <c r="T36" s="53"/>
      <c r="U36" s="53"/>
      <c r="V36" s="22"/>
      <c r="W36" s="22"/>
    </row>
    <row r="37" customFormat="false" ht="14.4" hidden="false" customHeight="false" outlineLevel="0" collapsed="false">
      <c r="A37" s="61"/>
      <c r="B37" s="62"/>
      <c r="C37" s="62"/>
      <c r="D37" s="63"/>
      <c r="E37" s="54"/>
      <c r="F37" s="60"/>
      <c r="G37" s="36"/>
      <c r="H37" s="36"/>
      <c r="I37" s="36"/>
      <c r="J37" s="36"/>
      <c r="K37" s="55"/>
      <c r="L37" s="30"/>
      <c r="M37" s="60"/>
      <c r="N37" s="63"/>
      <c r="O37" s="63"/>
      <c r="P37" s="63"/>
      <c r="Q37" s="63"/>
      <c r="R37" s="63"/>
      <c r="S37" s="63"/>
      <c r="T37" s="63"/>
      <c r="U37" s="63"/>
      <c r="V37" s="22"/>
      <c r="W37" s="22"/>
    </row>
    <row r="38" customFormat="false" ht="14.4" hidden="false" customHeight="false" outlineLevel="0" collapsed="false">
      <c r="A38" s="39"/>
      <c r="B38" s="26"/>
      <c r="C38" s="26"/>
      <c r="D38" s="26"/>
      <c r="E38" s="29"/>
      <c r="F38" s="29"/>
      <c r="G38" s="29"/>
      <c r="H38" s="29"/>
      <c r="I38" s="29"/>
      <c r="J38" s="29"/>
      <c r="K38" s="29"/>
      <c r="L38" s="29"/>
      <c r="M38" s="29"/>
      <c r="N38" s="26"/>
      <c r="O38" s="26"/>
      <c r="P38" s="26"/>
      <c r="Q38" s="26"/>
      <c r="R38" s="26"/>
      <c r="S38" s="26"/>
      <c r="T38" s="26"/>
      <c r="U38" s="26"/>
      <c r="V38" s="22"/>
      <c r="W38" s="22"/>
    </row>
  </sheetData>
  <mergeCells count="13">
    <mergeCell ref="V7:V18"/>
    <mergeCell ref="W7:W18"/>
    <mergeCell ref="S19:S25"/>
    <mergeCell ref="T19:T25"/>
    <mergeCell ref="V19:V25"/>
    <mergeCell ref="W19:W25"/>
    <mergeCell ref="V26:V30"/>
    <mergeCell ref="W26:W30"/>
    <mergeCell ref="S29:S30"/>
    <mergeCell ref="V31:V33"/>
    <mergeCell ref="W31:W33"/>
    <mergeCell ref="V34:V38"/>
    <mergeCell ref="W34:W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1" sqref="O61:O64 B45"/>
    </sheetView>
  </sheetViews>
  <sheetFormatPr defaultRowHeight="14.4" outlineLevelRow="0" outlineLevelCol="0"/>
  <cols>
    <col collapsed="false" customWidth="true" hidden="false" outlineLevel="0" max="1" min="1" style="0" width="47.33"/>
    <col collapsed="false" customWidth="true" hidden="false" outlineLevel="0" max="2" min="2" style="0" width="39.33"/>
    <col collapsed="false" customWidth="true" hidden="false" outlineLevel="0" max="1025" min="3" style="0" width="8.67"/>
  </cols>
  <sheetData>
    <row r="1" customFormat="false" ht="15.6" hidden="false" customHeight="false" outlineLevel="0" collapsed="false">
      <c r="A1" s="64" t="s">
        <v>179</v>
      </c>
      <c r="B1" s="65" t="n">
        <v>50</v>
      </c>
    </row>
    <row r="2" customFormat="false" ht="15" hidden="false" customHeight="false" outlineLevel="0" collapsed="false"/>
    <row r="4" customFormat="false" ht="14.4" hidden="false" customHeight="false" outlineLevel="0" collapsed="false">
      <c r="A4" s="66" t="s">
        <v>180</v>
      </c>
      <c r="B4" s="67" t="s">
        <v>181</v>
      </c>
    </row>
    <row r="5" customFormat="false" ht="14.4" hidden="false" customHeight="false" outlineLevel="0" collapsed="false">
      <c r="A5" s="66" t="s">
        <v>182</v>
      </c>
      <c r="B5" s="68" t="s">
        <v>183</v>
      </c>
    </row>
    <row r="6" customFormat="false" ht="14.4" hidden="false" customHeight="false" outlineLevel="0" collapsed="false">
      <c r="A6" s="66" t="s">
        <v>184</v>
      </c>
      <c r="B6" s="68" t="s">
        <v>185</v>
      </c>
    </row>
    <row r="7" customFormat="false" ht="14.4" hidden="false" customHeight="false" outlineLevel="0" collapsed="false">
      <c r="A7" s="66" t="s">
        <v>186</v>
      </c>
      <c r="B7" s="69" t="n">
        <v>4</v>
      </c>
    </row>
    <row r="8" customFormat="false" ht="14.4" hidden="false" customHeight="false" outlineLevel="0" collapsed="false">
      <c r="A8" s="66" t="s">
        <v>187</v>
      </c>
      <c r="B8" s="69" t="n">
        <v>32</v>
      </c>
    </row>
    <row r="9" customFormat="false" ht="14.4" hidden="false" customHeight="false" outlineLevel="0" collapsed="false">
      <c r="A9" s="66" t="s">
        <v>188</v>
      </c>
    </row>
    <row r="10" customFormat="false" ht="14.4" hidden="false" customHeight="false" outlineLevel="0" collapsed="false">
      <c r="A10" s="66" t="s">
        <v>189</v>
      </c>
      <c r="B10" s="70" t="s">
        <v>190</v>
      </c>
    </row>
    <row r="11" customFormat="false" ht="14.4" hidden="false" customHeight="false" outlineLevel="0" collapsed="false">
      <c r="A11" s="66" t="s">
        <v>191</v>
      </c>
      <c r="B11" s="70" t="s">
        <v>192</v>
      </c>
    </row>
    <row r="12" customFormat="false" ht="14.4" hidden="false" customHeight="false" outlineLevel="0" collapsed="false">
      <c r="A12" s="66" t="s">
        <v>193</v>
      </c>
    </row>
    <row r="13" customFormat="false" ht="14.4" hidden="false" customHeight="false" outlineLevel="0" collapsed="false">
      <c r="A13" s="66" t="s">
        <v>194</v>
      </c>
      <c r="B13" s="71" t="s">
        <v>195</v>
      </c>
    </row>
    <row r="14" customFormat="false" ht="14.4" hidden="false" customHeight="false" outlineLevel="0" collapsed="false">
      <c r="A14" s="66" t="s">
        <v>196</v>
      </c>
      <c r="B14" s="71" t="s">
        <v>197</v>
      </c>
    </row>
    <row r="15" customFormat="false" ht="14.4" hidden="false" customHeight="false" outlineLevel="0" collapsed="false">
      <c r="A15" s="66" t="s">
        <v>198</v>
      </c>
      <c r="B15" s="71" t="s">
        <v>199</v>
      </c>
    </row>
  </sheetData>
  <hyperlinks>
    <hyperlink ref="B10" r:id="rId1" display="https://alfresco.maxiv.lu.se/share/page/site/veritas/document-details?nodeRef=workspace://SpacesStore/084a3503-983a-4853-b86b-86f0f70c4258"/>
    <hyperlink ref="B11" r:id="rId2" display="https://alfresco.maxiv.lu.se/share/page/site/veritas/document-details?nodeRef=workspace://SpacesStore/c9defc2e-3bb9-4f23-bca2-48ae0c30911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X1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1" topLeftCell="AH2" activePane="bottomRight" state="frozen"/>
      <selection pane="topLeft" activeCell="A1" activeCellId="0" sqref="A1"/>
      <selection pane="topRight" activeCell="AH1" activeCellId="0" sqref="AH1"/>
      <selection pane="bottomLeft" activeCell="A2" activeCellId="0" sqref="A2"/>
      <selection pane="bottomRight" activeCell="AW13" activeCellId="1" sqref="O61:O64 AW13"/>
    </sheetView>
  </sheetViews>
  <sheetFormatPr defaultRowHeight="10.2" outlineLevelRow="0" outlineLevelCol="0"/>
  <cols>
    <col collapsed="false" customWidth="true" hidden="false" outlineLevel="0" max="1" min="1" style="72" width="3.56"/>
    <col collapsed="false" customWidth="true" hidden="false" outlineLevel="0" max="2" min="2" style="72" width="22.44"/>
    <col collapsed="false" customWidth="true" hidden="false" outlineLevel="0" max="3" min="3" style="72" width="24.34"/>
    <col collapsed="false" customWidth="true" hidden="false" outlineLevel="0" max="4" min="4" style="73" width="8.56"/>
    <col collapsed="false" customWidth="true" hidden="false" outlineLevel="0" max="5" min="5" style="74" width="12.1"/>
    <col collapsed="false" customWidth="true" hidden="false" outlineLevel="0" max="6" min="6" style="75" width="29.66"/>
    <col collapsed="false" customWidth="true" hidden="false" outlineLevel="0" max="8" min="7" style="74" width="9.11"/>
    <col collapsed="false" customWidth="true" hidden="false" outlineLevel="0" max="9" min="9" style="76" width="35.56"/>
    <col collapsed="false" customWidth="true" hidden="false" outlineLevel="0" max="10" min="10" style="77" width="5.33"/>
    <col collapsed="false" customWidth="true" hidden="false" outlineLevel="0" max="11" min="11" style="78" width="8.33"/>
    <col collapsed="false" customWidth="true" hidden="false" outlineLevel="0" max="12" min="12" style="79" width="5.33"/>
    <col collapsed="false" customWidth="true" hidden="false" outlineLevel="0" max="13" min="13" style="80" width="5.66"/>
    <col collapsed="false" customWidth="true" hidden="false" outlineLevel="0" max="14" min="14" style="80" width="7.34"/>
    <col collapsed="false" customWidth="true" hidden="false" outlineLevel="0" max="15" min="15" style="80" width="7.44"/>
    <col collapsed="false" customWidth="true" hidden="false" outlineLevel="0" max="16" min="16" style="81" width="5.1"/>
    <col collapsed="false" customWidth="true" hidden="false" outlineLevel="0" max="17" min="17" style="79" width="7.11"/>
    <col collapsed="false" customWidth="true" hidden="false" outlineLevel="0" max="18" min="18" style="79" width="9.33"/>
    <col collapsed="false" customWidth="true" hidden="false" outlineLevel="0" max="19" min="19" style="82" width="11.33"/>
    <col collapsed="false" customWidth="true" hidden="false" outlineLevel="0" max="20" min="20" style="83" width="7.67"/>
    <col collapsed="false" customWidth="true" hidden="false" outlineLevel="0" max="21" min="21" style="82" width="8.56"/>
    <col collapsed="false" customWidth="true" hidden="false" outlineLevel="0" max="22" min="22" style="84" width="16"/>
    <col collapsed="false" customWidth="true" hidden="false" outlineLevel="0" max="23" min="23" style="74" width="9.21"/>
    <col collapsed="false" customWidth="true" hidden="false" outlineLevel="0" max="24" min="24" style="85" width="36.33"/>
    <col collapsed="false" customWidth="true" hidden="false" outlineLevel="0" max="25" min="25" style="82" width="26.44"/>
    <col collapsed="false" customWidth="true" hidden="false" outlineLevel="0" max="26" min="26" style="74" width="10"/>
    <col collapsed="false" customWidth="true" hidden="false" outlineLevel="0" max="27" min="27" style="86" width="19.99"/>
    <col collapsed="false" customWidth="true" hidden="false" outlineLevel="0" max="28" min="28" style="79" width="9.33"/>
    <col collapsed="false" customWidth="true" hidden="false" outlineLevel="0" max="29" min="29" style="82" width="11.99"/>
    <col collapsed="false" customWidth="true" hidden="false" outlineLevel="0" max="30" min="30" style="87" width="9"/>
    <col collapsed="false" customWidth="true" hidden="false" outlineLevel="0" max="31" min="31" style="88" width="8.11"/>
    <col collapsed="false" customWidth="true" hidden="false" outlineLevel="0" max="32" min="32" style="89" width="9.11"/>
    <col collapsed="false" customWidth="true" hidden="false" outlineLevel="0" max="33" min="33" style="88" width="8.11"/>
    <col collapsed="false" customWidth="true" hidden="false" outlineLevel="0" max="34" min="34" style="86" width="13.33"/>
    <col collapsed="false" customWidth="true" hidden="false" outlineLevel="0" max="35" min="35" style="83" width="3.99"/>
    <col collapsed="false" customWidth="true" hidden="false" outlineLevel="0" max="36" min="36" style="83" width="5.89"/>
    <col collapsed="false" customWidth="true" hidden="false" outlineLevel="0" max="37" min="37" style="82" width="6.44"/>
    <col collapsed="false" customWidth="true" hidden="false" outlineLevel="0" max="38" min="38" style="82" width="5.1"/>
    <col collapsed="false" customWidth="true" hidden="false" outlineLevel="0" max="39" min="39" style="82" width="15.44"/>
    <col collapsed="false" customWidth="true" hidden="false" outlineLevel="0" max="40" min="40" style="78" width="27.99"/>
    <col collapsed="false" customWidth="true" hidden="false" outlineLevel="0" max="43" min="41" style="82" width="11.66"/>
    <col collapsed="false" customWidth="true" hidden="false" outlineLevel="0" max="46" min="44" style="78" width="11.66"/>
    <col collapsed="false" customWidth="true" hidden="false" outlineLevel="0" max="47" min="47" style="78" width="8.89"/>
    <col collapsed="false" customWidth="true" hidden="false" outlineLevel="0" max="48" min="48" style="78" width="10.11"/>
    <col collapsed="false" customWidth="true" hidden="false" outlineLevel="0" max="1025" min="49" style="78" width="8.89"/>
  </cols>
  <sheetData>
    <row r="1" s="100" customFormat="true" ht="96" hidden="false" customHeight="true" outlineLevel="0" collapsed="false">
      <c r="A1" s="72" t="s">
        <v>200</v>
      </c>
      <c r="B1" s="72" t="s">
        <v>201</v>
      </c>
      <c r="C1" s="72" t="s">
        <v>202</v>
      </c>
      <c r="D1" s="73" t="s">
        <v>203</v>
      </c>
      <c r="E1" s="90" t="s">
        <v>204</v>
      </c>
      <c r="F1" s="91" t="s">
        <v>205</v>
      </c>
      <c r="G1" s="92" t="s">
        <v>7</v>
      </c>
      <c r="H1" s="92" t="s">
        <v>8</v>
      </c>
      <c r="I1" s="86" t="s">
        <v>160</v>
      </c>
      <c r="J1" s="93" t="s">
        <v>206</v>
      </c>
      <c r="K1" s="86" t="s">
        <v>161</v>
      </c>
      <c r="L1" s="94" t="s">
        <v>207</v>
      </c>
      <c r="M1" s="95" t="s">
        <v>208</v>
      </c>
      <c r="N1" s="95" t="s">
        <v>209</v>
      </c>
      <c r="O1" s="95" t="s">
        <v>210</v>
      </c>
      <c r="P1" s="96" t="s">
        <v>211</v>
      </c>
      <c r="Q1" s="97" t="s">
        <v>212</v>
      </c>
      <c r="R1" s="97" t="s">
        <v>213</v>
      </c>
      <c r="S1" s="88" t="s">
        <v>214</v>
      </c>
      <c r="T1" s="86" t="s">
        <v>215</v>
      </c>
      <c r="U1" s="98" t="s">
        <v>216</v>
      </c>
      <c r="V1" s="87" t="s">
        <v>217</v>
      </c>
      <c r="W1" s="88" t="s">
        <v>218</v>
      </c>
      <c r="X1" s="89" t="s">
        <v>219</v>
      </c>
      <c r="Y1" s="88" t="s">
        <v>220</v>
      </c>
      <c r="Z1" s="88" t="s">
        <v>221</v>
      </c>
      <c r="AA1" s="86" t="s">
        <v>222</v>
      </c>
      <c r="AB1" s="97" t="s">
        <v>223</v>
      </c>
      <c r="AC1" s="98" t="s">
        <v>224</v>
      </c>
      <c r="AD1" s="87" t="s">
        <v>225</v>
      </c>
      <c r="AE1" s="88" t="s">
        <v>226</v>
      </c>
      <c r="AF1" s="89" t="s">
        <v>227</v>
      </c>
      <c r="AG1" s="88" t="s">
        <v>228</v>
      </c>
      <c r="AH1" s="86" t="s">
        <v>229</v>
      </c>
      <c r="AI1" s="89" t="s">
        <v>230</v>
      </c>
      <c r="AJ1" s="89" t="s">
        <v>231</v>
      </c>
      <c r="AK1" s="93" t="s">
        <v>232</v>
      </c>
      <c r="AL1" s="99" t="s">
        <v>233</v>
      </c>
      <c r="AM1" s="93" t="s">
        <v>234</v>
      </c>
      <c r="AN1" s="86" t="s">
        <v>235</v>
      </c>
      <c r="AO1" s="93" t="s">
        <v>236</v>
      </c>
      <c r="AP1" s="93" t="s">
        <v>237</v>
      </c>
      <c r="AQ1" s="93" t="s">
        <v>238</v>
      </c>
      <c r="AR1" s="86" t="s">
        <v>239</v>
      </c>
      <c r="AS1" s="86" t="s">
        <v>240</v>
      </c>
      <c r="AT1" s="86" t="s">
        <v>241</v>
      </c>
      <c r="AU1" s="89" t="s">
        <v>175</v>
      </c>
      <c r="AV1" s="89" t="s">
        <v>176</v>
      </c>
      <c r="AW1" s="89" t="s">
        <v>177</v>
      </c>
      <c r="AX1" s="89" t="s">
        <v>178</v>
      </c>
    </row>
    <row r="2" s="121" customFormat="true" ht="11.25" hidden="false" customHeight="true" outlineLevel="0" collapsed="false">
      <c r="A2" s="72" t="n">
        <v>1</v>
      </c>
      <c r="B2" s="72" t="s">
        <v>242</v>
      </c>
      <c r="C2" s="72" t="s">
        <v>243</v>
      </c>
      <c r="D2" s="73" t="s">
        <v>244</v>
      </c>
      <c r="E2" s="101" t="s">
        <v>245</v>
      </c>
      <c r="F2" s="102" t="s">
        <v>246</v>
      </c>
      <c r="G2" s="103" t="s">
        <v>247</v>
      </c>
      <c r="H2" s="103" t="s">
        <v>248</v>
      </c>
      <c r="I2" s="104" t="s">
        <v>249</v>
      </c>
      <c r="J2" s="103" t="s">
        <v>250</v>
      </c>
      <c r="K2" s="105" t="s">
        <v>251</v>
      </c>
      <c r="L2" s="106" t="n">
        <v>2</v>
      </c>
      <c r="M2" s="107" t="n">
        <f aca="true">INDEX(OFFSET(MOTORS!$C$1, 0, 0, MOTORS!$B$1,1), MATCH($F2, OFFSET(MOTORS!$A$1,0,0,MOTORS!$B$1,1),0))</f>
        <v>2</v>
      </c>
      <c r="N2" s="107" t="n">
        <f aca="true">INDEX(OFFSET(MOTORS!$D$1, 0, 0, MOTORS!$B$1,1), MATCH($F2, OFFSET(MOTORS!$A$1,0,0,MOTORS!$B$1,1),0))</f>
        <v>2</v>
      </c>
      <c r="O2" s="107" t="n">
        <f aca="true">INDEX(OFFSET(MOTORS!$E$1, 0, 0, MOTORS!$B$1,1), MATCH($F2, OFFSET(MOTORS!$A$1,0,0,MOTORS!$B$1,1),0))</f>
        <v>2.8</v>
      </c>
      <c r="P2" s="108" t="n">
        <f aca="true">INDEX(OFFSET(MOTORS!$F$1, 0, 0, MOTORS!$B$1,1), MATCH($F2, OFFSET(MOTORS!$A$1,0,0,MOTORS!$B$1,1),0))</f>
        <v>200</v>
      </c>
      <c r="Q2" s="109" t="n">
        <v>50</v>
      </c>
      <c r="R2" s="109" t="n">
        <f aca="false">P2</f>
        <v>200</v>
      </c>
      <c r="S2" s="110" t="s">
        <v>252</v>
      </c>
      <c r="T2" s="111" t="s">
        <v>253</v>
      </c>
      <c r="U2" s="101" t="s">
        <v>254</v>
      </c>
      <c r="V2" s="84" t="n">
        <f aca="false">W2/(R2/P2)</f>
        <v>1000000</v>
      </c>
      <c r="W2" s="112" t="n">
        <f aca="false">1000*1/0.001</f>
        <v>1000000</v>
      </c>
      <c r="X2" s="113" t="s">
        <v>255</v>
      </c>
      <c r="Y2" s="114" t="s">
        <v>256</v>
      </c>
      <c r="Z2" s="101" t="s">
        <v>257</v>
      </c>
      <c r="AA2" s="111" t="s">
        <v>258</v>
      </c>
      <c r="AB2" s="109"/>
      <c r="AC2" s="115"/>
      <c r="AD2" s="87"/>
      <c r="AE2" s="88"/>
      <c r="AF2" s="89"/>
      <c r="AG2" s="88"/>
      <c r="AH2" s="86"/>
      <c r="AI2" s="116" t="n">
        <v>2</v>
      </c>
      <c r="AJ2" s="116" t="n">
        <v>0</v>
      </c>
      <c r="AK2" s="117" t="s">
        <v>253</v>
      </c>
      <c r="AL2" s="118" t="s">
        <v>253</v>
      </c>
      <c r="AM2" s="82" t="s">
        <v>253</v>
      </c>
      <c r="AN2" s="104"/>
      <c r="AO2" s="119"/>
      <c r="AP2" s="119"/>
      <c r="AQ2" s="120"/>
      <c r="AR2" s="111"/>
      <c r="AS2" s="111"/>
      <c r="AT2" s="111"/>
      <c r="AU2" s="116"/>
      <c r="AV2" s="116"/>
      <c r="AW2" s="116"/>
      <c r="AX2" s="116"/>
    </row>
    <row r="3" customFormat="false" ht="11.25" hidden="false" customHeight="true" outlineLevel="0" collapsed="false">
      <c r="A3" s="72" t="n">
        <v>2</v>
      </c>
      <c r="B3" s="72" t="s">
        <v>242</v>
      </c>
      <c r="C3" s="72" t="s">
        <v>243</v>
      </c>
      <c r="D3" s="73" t="s">
        <v>259</v>
      </c>
      <c r="E3" s="101" t="s">
        <v>260</v>
      </c>
      <c r="F3" s="102" t="s">
        <v>246</v>
      </c>
      <c r="G3" s="103" t="s">
        <v>247</v>
      </c>
      <c r="H3" s="103" t="s">
        <v>248</v>
      </c>
      <c r="I3" s="104" t="s">
        <v>249</v>
      </c>
      <c r="J3" s="103" t="s">
        <v>250</v>
      </c>
      <c r="K3" s="105" t="s">
        <v>251</v>
      </c>
      <c r="L3" s="106" t="n">
        <v>2</v>
      </c>
      <c r="M3" s="107" t="n">
        <f aca="true">INDEX(OFFSET(MOTORS!$C$1, 0, 0, MOTORS!$B$1,1), MATCH($F3, OFFSET(MOTORS!$A$1,0,0,MOTORS!$B$1,1),0))</f>
        <v>2</v>
      </c>
      <c r="N3" s="107" t="n">
        <f aca="true">INDEX(OFFSET(MOTORS!$D$1, 0, 0, MOTORS!$B$1,1), MATCH($F3, OFFSET(MOTORS!$A$1,0,0,MOTORS!$B$1,1),0))</f>
        <v>2</v>
      </c>
      <c r="O3" s="107" t="n">
        <f aca="true">INDEX(OFFSET(MOTORS!$E$1, 0, 0, MOTORS!$B$1,1), MATCH($F3, OFFSET(MOTORS!$A$1,0,0,MOTORS!$B$1,1),0))</f>
        <v>2.8</v>
      </c>
      <c r="P3" s="108" t="n">
        <f aca="true">INDEX(OFFSET(MOTORS!$F$1, 0, 0, MOTORS!$B$1,1), MATCH($F3, OFFSET(MOTORS!$A$1,0,0,MOTORS!$B$1,1),0))</f>
        <v>200</v>
      </c>
      <c r="Q3" s="109" t="n">
        <v>50</v>
      </c>
      <c r="R3" s="109" t="n">
        <f aca="false">P3</f>
        <v>200</v>
      </c>
      <c r="S3" s="110" t="s">
        <v>252</v>
      </c>
      <c r="T3" s="111" t="s">
        <v>253</v>
      </c>
      <c r="U3" s="101" t="s">
        <v>254</v>
      </c>
      <c r="V3" s="84" t="n">
        <f aca="false">W3/(R3/P3)</f>
        <v>1000000</v>
      </c>
      <c r="W3" s="112" t="n">
        <f aca="false">1000*1/0.001</f>
        <v>1000000</v>
      </c>
      <c r="X3" s="113" t="s">
        <v>255</v>
      </c>
      <c r="Y3" s="114" t="s">
        <v>256</v>
      </c>
      <c r="Z3" s="101" t="s">
        <v>257</v>
      </c>
      <c r="AA3" s="111" t="s">
        <v>258</v>
      </c>
      <c r="AB3" s="109"/>
      <c r="AC3" s="115"/>
      <c r="AI3" s="116" t="n">
        <v>2</v>
      </c>
      <c r="AJ3" s="116" t="n">
        <v>0</v>
      </c>
      <c r="AK3" s="117" t="s">
        <v>253</v>
      </c>
      <c r="AL3" s="118" t="s">
        <v>253</v>
      </c>
      <c r="AM3" s="82" t="s">
        <v>253</v>
      </c>
      <c r="AN3" s="104"/>
      <c r="AO3" s="119"/>
      <c r="AP3" s="119"/>
      <c r="AQ3" s="119"/>
      <c r="AR3" s="111"/>
      <c r="AS3" s="111"/>
      <c r="AT3" s="111"/>
      <c r="AU3" s="116"/>
      <c r="AV3" s="116"/>
      <c r="AW3" s="116"/>
      <c r="AX3" s="116"/>
    </row>
    <row r="4" customFormat="false" ht="11.25" hidden="false" customHeight="true" outlineLevel="0" collapsed="false">
      <c r="A4" s="72" t="n">
        <v>3</v>
      </c>
      <c r="B4" s="72" t="s">
        <v>242</v>
      </c>
      <c r="C4" s="72" t="s">
        <v>243</v>
      </c>
      <c r="D4" s="73" t="s">
        <v>261</v>
      </c>
      <c r="E4" s="101" t="s">
        <v>262</v>
      </c>
      <c r="F4" s="102" t="s">
        <v>246</v>
      </c>
      <c r="G4" s="103" t="s">
        <v>247</v>
      </c>
      <c r="H4" s="103" t="s">
        <v>248</v>
      </c>
      <c r="I4" s="104" t="s">
        <v>249</v>
      </c>
      <c r="J4" s="103" t="s">
        <v>250</v>
      </c>
      <c r="K4" s="105" t="s">
        <v>251</v>
      </c>
      <c r="L4" s="106" t="n">
        <v>2</v>
      </c>
      <c r="M4" s="107" t="n">
        <f aca="true">INDEX(OFFSET(MOTORS!$C$1, 0, 0, MOTORS!$B$1,1), MATCH($F4, OFFSET(MOTORS!$A$1,0,0,MOTORS!$B$1,1),0))</f>
        <v>2</v>
      </c>
      <c r="N4" s="107" t="n">
        <f aca="true">INDEX(OFFSET(MOTORS!$D$1, 0, 0, MOTORS!$B$1,1), MATCH($F4, OFFSET(MOTORS!$A$1,0,0,MOTORS!$B$1,1),0))</f>
        <v>2</v>
      </c>
      <c r="O4" s="107" t="n">
        <f aca="true">INDEX(OFFSET(MOTORS!$E$1, 0, 0, MOTORS!$B$1,1), MATCH($F4, OFFSET(MOTORS!$A$1,0,0,MOTORS!$B$1,1),0))</f>
        <v>2.8</v>
      </c>
      <c r="P4" s="108" t="n">
        <f aca="true">INDEX(OFFSET(MOTORS!$F$1, 0, 0, MOTORS!$B$1,1), MATCH($F4, OFFSET(MOTORS!$A$1,0,0,MOTORS!$B$1,1),0))</f>
        <v>200</v>
      </c>
      <c r="Q4" s="109" t="n">
        <v>50</v>
      </c>
      <c r="R4" s="109" t="n">
        <f aca="false">P4</f>
        <v>200</v>
      </c>
      <c r="S4" s="110" t="s">
        <v>263</v>
      </c>
      <c r="T4" s="111" t="s">
        <v>253</v>
      </c>
      <c r="U4" s="101" t="s">
        <v>254</v>
      </c>
      <c r="V4" s="84" t="n">
        <f aca="false">W4/(R4/P4)</f>
        <v>1000000</v>
      </c>
      <c r="W4" s="112" t="n">
        <f aca="false">1000*1/0.001</f>
        <v>1000000</v>
      </c>
      <c r="X4" s="113" t="s">
        <v>255</v>
      </c>
      <c r="Y4" s="114" t="s">
        <v>256</v>
      </c>
      <c r="Z4" s="101" t="s">
        <v>257</v>
      </c>
      <c r="AA4" s="111" t="s">
        <v>258</v>
      </c>
      <c r="AB4" s="109"/>
      <c r="AC4" s="115"/>
      <c r="AI4" s="116" t="n">
        <v>2</v>
      </c>
      <c r="AJ4" s="116" t="n">
        <v>0</v>
      </c>
      <c r="AK4" s="117" t="s">
        <v>253</v>
      </c>
      <c r="AL4" s="118" t="s">
        <v>253</v>
      </c>
      <c r="AM4" s="82" t="s">
        <v>253</v>
      </c>
      <c r="AN4" s="104"/>
      <c r="AO4" s="119"/>
      <c r="AP4" s="119"/>
      <c r="AQ4" s="119"/>
      <c r="AR4" s="111"/>
      <c r="AS4" s="111"/>
      <c r="AT4" s="111"/>
      <c r="AU4" s="116"/>
      <c r="AV4" s="116"/>
      <c r="AW4" s="116"/>
      <c r="AX4" s="116"/>
    </row>
    <row r="5" customFormat="false" ht="11.25" hidden="false" customHeight="true" outlineLevel="0" collapsed="false">
      <c r="A5" s="72" t="n">
        <v>4</v>
      </c>
      <c r="B5" s="72" t="s">
        <v>242</v>
      </c>
      <c r="C5" s="72" t="s">
        <v>243</v>
      </c>
      <c r="D5" s="73" t="s">
        <v>264</v>
      </c>
      <c r="E5" s="101" t="s">
        <v>265</v>
      </c>
      <c r="F5" s="102" t="s">
        <v>246</v>
      </c>
      <c r="G5" s="103" t="s">
        <v>247</v>
      </c>
      <c r="H5" s="103" t="s">
        <v>248</v>
      </c>
      <c r="I5" s="104" t="s">
        <v>249</v>
      </c>
      <c r="J5" s="103" t="s">
        <v>250</v>
      </c>
      <c r="K5" s="105" t="s">
        <v>251</v>
      </c>
      <c r="L5" s="106" t="n">
        <v>2</v>
      </c>
      <c r="M5" s="107" t="n">
        <f aca="true">INDEX(OFFSET(MOTORS!$C$1, 0, 0, MOTORS!$B$1,1), MATCH($F5, OFFSET(MOTORS!$A$1,0,0,MOTORS!$B$1,1),0))</f>
        <v>2</v>
      </c>
      <c r="N5" s="107" t="n">
        <f aca="true">INDEX(OFFSET(MOTORS!$D$1, 0, 0, MOTORS!$B$1,1), MATCH($F5, OFFSET(MOTORS!$A$1,0,0,MOTORS!$B$1,1),0))</f>
        <v>2</v>
      </c>
      <c r="O5" s="107" t="n">
        <f aca="true">INDEX(OFFSET(MOTORS!$E$1, 0, 0, MOTORS!$B$1,1), MATCH($F5, OFFSET(MOTORS!$A$1,0,0,MOTORS!$B$1,1),0))</f>
        <v>2.8</v>
      </c>
      <c r="P5" s="108" t="n">
        <f aca="true">INDEX(OFFSET(MOTORS!$F$1, 0, 0, MOTORS!$B$1,1), MATCH($F5, OFFSET(MOTORS!$A$1,0,0,MOTORS!$B$1,1),0))</f>
        <v>200</v>
      </c>
      <c r="Q5" s="109" t="n">
        <v>50</v>
      </c>
      <c r="R5" s="109" t="n">
        <f aca="false">P5</f>
        <v>200</v>
      </c>
      <c r="S5" s="110" t="s">
        <v>263</v>
      </c>
      <c r="T5" s="111" t="s">
        <v>253</v>
      </c>
      <c r="U5" s="101" t="s">
        <v>254</v>
      </c>
      <c r="V5" s="84" t="n">
        <f aca="false">W5/(R5/P5)</f>
        <v>1000000</v>
      </c>
      <c r="W5" s="112" t="n">
        <f aca="false">1000*1/0.001</f>
        <v>1000000</v>
      </c>
      <c r="X5" s="113" t="s">
        <v>255</v>
      </c>
      <c r="Y5" s="114" t="s">
        <v>256</v>
      </c>
      <c r="Z5" s="101" t="s">
        <v>257</v>
      </c>
      <c r="AA5" s="111" t="s">
        <v>258</v>
      </c>
      <c r="AB5" s="109"/>
      <c r="AC5" s="115"/>
      <c r="AI5" s="116" t="n">
        <v>2</v>
      </c>
      <c r="AJ5" s="116" t="n">
        <v>0</v>
      </c>
      <c r="AK5" s="117" t="s">
        <v>253</v>
      </c>
      <c r="AL5" s="118" t="s">
        <v>253</v>
      </c>
      <c r="AM5" s="82" t="s">
        <v>253</v>
      </c>
      <c r="AN5" s="104"/>
      <c r="AO5" s="119"/>
      <c r="AP5" s="119"/>
      <c r="AQ5" s="119"/>
      <c r="AR5" s="111"/>
      <c r="AS5" s="111"/>
      <c r="AT5" s="111"/>
      <c r="AU5" s="116"/>
      <c r="AV5" s="116"/>
      <c r="AW5" s="116"/>
      <c r="AX5" s="116"/>
    </row>
    <row r="6" customFormat="false" ht="11.25" hidden="false" customHeight="true" outlineLevel="0" collapsed="false">
      <c r="A6" s="72" t="n">
        <v>5</v>
      </c>
      <c r="B6" s="72" t="s">
        <v>266</v>
      </c>
      <c r="C6" s="72" t="s">
        <v>267</v>
      </c>
      <c r="D6" s="73" t="s">
        <v>268</v>
      </c>
      <c r="E6" s="101" t="s">
        <v>269</v>
      </c>
      <c r="F6" s="102" t="s">
        <v>270</v>
      </c>
      <c r="G6" s="103" t="s">
        <v>247</v>
      </c>
      <c r="H6" s="103" t="s">
        <v>248</v>
      </c>
      <c r="I6" s="122" t="s">
        <v>271</v>
      </c>
      <c r="J6" s="123" t="s">
        <v>250</v>
      </c>
      <c r="K6" s="105" t="s">
        <v>251</v>
      </c>
      <c r="L6" s="106" t="n">
        <v>2</v>
      </c>
      <c r="M6" s="107" t="n">
        <f aca="true">INDEX(OFFSET(MOTORS!$C$1, 0, 0, MOTORS!$B$1,1), MATCH($F6, OFFSET(MOTORS!$A$1,0,0,MOTORS!$B$1,1),0))</f>
        <v>3.9</v>
      </c>
      <c r="N6" s="107" t="n">
        <f aca="true">INDEX(OFFSET(MOTORS!$D$1, 0, 0, MOTORS!$B$1,1), MATCH($F6, OFFSET(MOTORS!$A$1,0,0,MOTORS!$B$1,1),0))</f>
        <v>1.23</v>
      </c>
      <c r="O6" s="107" t="n">
        <f aca="true">INDEX(OFFSET(MOTORS!$E$1, 0, 0, MOTORS!$B$1,1), MATCH($F6, OFFSET(MOTORS!$A$1,0,0,MOTORS!$B$1,1),0))</f>
        <v>6</v>
      </c>
      <c r="P6" s="108" t="n">
        <f aca="true">INDEX(OFFSET(MOTORS!$F$1, 0, 0, MOTORS!$B$1,1), MATCH($F6, OFFSET(MOTORS!$A$1,0,0,MOTORS!$B$1,1),0))</f>
        <v>400</v>
      </c>
      <c r="Q6" s="124" t="n">
        <v>50</v>
      </c>
      <c r="R6" s="109" t="n">
        <f aca="false">P6</f>
        <v>400</v>
      </c>
      <c r="S6" s="110" t="s">
        <v>272</v>
      </c>
      <c r="T6" s="111" t="s">
        <v>253</v>
      </c>
      <c r="U6" s="115" t="s">
        <v>254</v>
      </c>
      <c r="V6" s="84" t="n">
        <f aca="false">W6/(R6/P6)</f>
        <v>1000000</v>
      </c>
      <c r="W6" s="125" t="n">
        <f aca="false">1000*1/0.001</f>
        <v>1000000</v>
      </c>
      <c r="X6" s="126" t="s">
        <v>273</v>
      </c>
      <c r="Y6" s="114" t="s">
        <v>256</v>
      </c>
      <c r="Z6" s="115" t="s">
        <v>257</v>
      </c>
      <c r="AA6" s="111" t="s">
        <v>258</v>
      </c>
      <c r="AB6" s="109"/>
      <c r="AC6" s="115"/>
      <c r="AI6" s="116" t="n">
        <v>2</v>
      </c>
      <c r="AJ6" s="116" t="n">
        <v>2</v>
      </c>
      <c r="AK6" s="117" t="s">
        <v>253</v>
      </c>
      <c r="AL6" s="118" t="s">
        <v>253</v>
      </c>
      <c r="AM6" s="117" t="s">
        <v>274</v>
      </c>
      <c r="AN6" s="104" t="s">
        <v>275</v>
      </c>
      <c r="AO6" s="119"/>
      <c r="AP6" s="119"/>
      <c r="AQ6" s="119"/>
      <c r="AR6" s="111"/>
      <c r="AS6" s="111"/>
      <c r="AT6" s="111"/>
      <c r="AU6" s="116"/>
      <c r="AV6" s="116"/>
      <c r="AW6" s="116"/>
      <c r="AX6" s="116"/>
    </row>
    <row r="7" customFormat="false" ht="11.25" hidden="false" customHeight="true" outlineLevel="0" collapsed="false">
      <c r="A7" s="72" t="n">
        <v>6</v>
      </c>
      <c r="B7" s="72" t="s">
        <v>276</v>
      </c>
      <c r="C7" s="72" t="s">
        <v>277</v>
      </c>
      <c r="D7" s="73" t="s">
        <v>278</v>
      </c>
      <c r="E7" s="101" t="s">
        <v>279</v>
      </c>
      <c r="F7" s="102" t="s">
        <v>72</v>
      </c>
      <c r="G7" s="103" t="s">
        <v>247</v>
      </c>
      <c r="H7" s="103" t="s">
        <v>248</v>
      </c>
      <c r="I7" s="122" t="s">
        <v>280</v>
      </c>
      <c r="J7" s="123" t="s">
        <v>281</v>
      </c>
      <c r="K7" s="105" t="s">
        <v>251</v>
      </c>
      <c r="L7" s="106" t="n">
        <v>2</v>
      </c>
      <c r="M7" s="107" t="n">
        <f aca="true">INDEX(OFFSET(MOTORS!$C$1, 0, 0, MOTORS!$B$1,1), MATCH($F7, OFFSET(MOTORS!$A$1,0,0,MOTORS!$B$1,1),0))</f>
        <v>0.8</v>
      </c>
      <c r="N7" s="107" t="n">
        <f aca="true">INDEX(OFFSET(MOTORS!$D$1, 0, 0, MOTORS!$B$1,1), MATCH($F7, OFFSET(MOTORS!$A$1,0,0,MOTORS!$B$1,1),0))</f>
        <v>7.5</v>
      </c>
      <c r="O7" s="107" t="n">
        <f aca="true">INDEX(OFFSET(MOTORS!$E$1, 0, 0, MOTORS!$B$1,1), MATCH($F7, OFFSET(MOTORS!$A$1,0,0,MOTORS!$B$1,1),0))</f>
        <v>9.9</v>
      </c>
      <c r="P7" s="108" t="n">
        <f aca="true">INDEX(OFFSET(MOTORS!$F$1, 0, 0, MOTORS!$B$1,1), MATCH($F7, OFFSET(MOTORS!$A$1,0,0,MOTORS!$B$1,1),0))</f>
        <v>400</v>
      </c>
      <c r="Q7" s="127" t="n">
        <v>50</v>
      </c>
      <c r="R7" s="127" t="n">
        <f aca="false">P7*100/1/1000</f>
        <v>40</v>
      </c>
      <c r="S7" s="128" t="s">
        <v>282</v>
      </c>
      <c r="T7" s="111" t="s">
        <v>253</v>
      </c>
      <c r="U7" s="129" t="s">
        <v>254</v>
      </c>
      <c r="V7" s="84" t="n">
        <f aca="false">W7/(R7/P7)</f>
        <v>10000</v>
      </c>
      <c r="W7" s="112" t="n">
        <f aca="false">1/0.001</f>
        <v>1000</v>
      </c>
      <c r="X7" s="130" t="s">
        <v>255</v>
      </c>
      <c r="Y7" s="114" t="s">
        <v>256</v>
      </c>
      <c r="Z7" s="129" t="s">
        <v>257</v>
      </c>
      <c r="AA7" s="111" t="s">
        <v>258</v>
      </c>
      <c r="AB7" s="127"/>
      <c r="AC7" s="115"/>
      <c r="AI7" s="116" t="n">
        <v>2</v>
      </c>
      <c r="AJ7" s="116" t="n">
        <v>2</v>
      </c>
      <c r="AK7" s="117" t="s">
        <v>253</v>
      </c>
      <c r="AL7" s="118" t="s">
        <v>253</v>
      </c>
      <c r="AM7" s="82" t="s">
        <v>274</v>
      </c>
      <c r="AN7" s="78" t="s">
        <v>283</v>
      </c>
      <c r="AO7" s="119"/>
      <c r="AP7" s="119"/>
      <c r="AQ7" s="119"/>
      <c r="AR7" s="111"/>
      <c r="AS7" s="111"/>
      <c r="AT7" s="111"/>
      <c r="AU7" s="116"/>
      <c r="AV7" s="116"/>
      <c r="AW7" s="116"/>
      <c r="AX7" s="116"/>
    </row>
    <row r="8" customFormat="false" ht="11.25" hidden="false" customHeight="true" outlineLevel="0" collapsed="false">
      <c r="A8" s="72" t="n">
        <v>7</v>
      </c>
      <c r="B8" s="72" t="s">
        <v>276</v>
      </c>
      <c r="C8" s="72" t="s">
        <v>277</v>
      </c>
      <c r="D8" s="73" t="s">
        <v>284</v>
      </c>
      <c r="E8" s="101" t="s">
        <v>285</v>
      </c>
      <c r="F8" s="102" t="s">
        <v>72</v>
      </c>
      <c r="G8" s="103" t="s">
        <v>247</v>
      </c>
      <c r="H8" s="103" t="s">
        <v>248</v>
      </c>
      <c r="I8" s="122" t="s">
        <v>280</v>
      </c>
      <c r="J8" s="123" t="s">
        <v>281</v>
      </c>
      <c r="K8" s="105" t="s">
        <v>251</v>
      </c>
      <c r="L8" s="106" t="n">
        <v>2</v>
      </c>
      <c r="M8" s="107" t="n">
        <f aca="true">INDEX(OFFSET(MOTORS!$C$1, 0, 0, MOTORS!$B$1,1), MATCH($F8, OFFSET(MOTORS!$A$1,0,0,MOTORS!$B$1,1),0))</f>
        <v>0.8</v>
      </c>
      <c r="N8" s="107" t="n">
        <f aca="true">INDEX(OFFSET(MOTORS!$D$1, 0, 0, MOTORS!$B$1,1), MATCH($F8, OFFSET(MOTORS!$A$1,0,0,MOTORS!$B$1,1),0))</f>
        <v>7.5</v>
      </c>
      <c r="O8" s="107" t="n">
        <f aca="true">INDEX(OFFSET(MOTORS!$E$1, 0, 0, MOTORS!$B$1,1), MATCH($F8, OFFSET(MOTORS!$A$1,0,0,MOTORS!$B$1,1),0))</f>
        <v>9.9</v>
      </c>
      <c r="P8" s="108" t="n">
        <f aca="true">INDEX(OFFSET(MOTORS!$F$1, 0, 0, MOTORS!$B$1,1), MATCH($F8, OFFSET(MOTORS!$A$1,0,0,MOTORS!$B$1,1),0))</f>
        <v>400</v>
      </c>
      <c r="Q8" s="127" t="n">
        <v>50</v>
      </c>
      <c r="R8" s="127" t="n">
        <f aca="false">P8*100/1/1000</f>
        <v>40</v>
      </c>
      <c r="S8" s="131" t="s">
        <v>282</v>
      </c>
      <c r="T8" s="111" t="s">
        <v>253</v>
      </c>
      <c r="U8" s="129" t="s">
        <v>254</v>
      </c>
      <c r="V8" s="84" t="n">
        <f aca="false">W8/(R8/P8)</f>
        <v>10000</v>
      </c>
      <c r="W8" s="112" t="n">
        <f aca="false">1/0.001</f>
        <v>1000</v>
      </c>
      <c r="X8" s="130" t="s">
        <v>255</v>
      </c>
      <c r="Y8" s="114" t="s">
        <v>256</v>
      </c>
      <c r="Z8" s="129" t="s">
        <v>257</v>
      </c>
      <c r="AA8" s="111" t="s">
        <v>258</v>
      </c>
      <c r="AB8" s="127"/>
      <c r="AC8" s="115"/>
      <c r="AI8" s="116" t="n">
        <v>2</v>
      </c>
      <c r="AJ8" s="116" t="n">
        <v>2</v>
      </c>
      <c r="AK8" s="117" t="s">
        <v>253</v>
      </c>
      <c r="AL8" s="118" t="s">
        <v>253</v>
      </c>
      <c r="AM8" s="82" t="s">
        <v>274</v>
      </c>
      <c r="AN8" s="78" t="s">
        <v>283</v>
      </c>
      <c r="AO8" s="119"/>
      <c r="AP8" s="119"/>
      <c r="AQ8" s="119"/>
      <c r="AR8" s="111"/>
      <c r="AS8" s="111"/>
      <c r="AT8" s="111"/>
      <c r="AU8" s="116"/>
      <c r="AV8" s="116"/>
      <c r="AW8" s="116"/>
      <c r="AX8" s="116"/>
    </row>
    <row r="9" customFormat="false" ht="11.25" hidden="false" customHeight="true" outlineLevel="0" collapsed="false">
      <c r="A9" s="72" t="n">
        <v>8</v>
      </c>
      <c r="B9" s="72" t="s">
        <v>276</v>
      </c>
      <c r="C9" s="72" t="s">
        <v>277</v>
      </c>
      <c r="D9" s="73" t="s">
        <v>286</v>
      </c>
      <c r="E9" s="101" t="s">
        <v>287</v>
      </c>
      <c r="F9" s="102" t="s">
        <v>72</v>
      </c>
      <c r="G9" s="103" t="s">
        <v>247</v>
      </c>
      <c r="H9" s="103" t="s">
        <v>248</v>
      </c>
      <c r="I9" s="122" t="s">
        <v>280</v>
      </c>
      <c r="J9" s="123" t="s">
        <v>281</v>
      </c>
      <c r="K9" s="132" t="s">
        <v>251</v>
      </c>
      <c r="L9" s="106" t="n">
        <v>2</v>
      </c>
      <c r="M9" s="107" t="n">
        <f aca="true">INDEX(OFFSET(MOTORS!$C$1, 0, 0, MOTORS!$B$1,1), MATCH($F9, OFFSET(MOTORS!$A$1,0,0,MOTORS!$B$1,1),0))</f>
        <v>0.8</v>
      </c>
      <c r="N9" s="107" t="n">
        <f aca="true">INDEX(OFFSET(MOTORS!$D$1, 0, 0, MOTORS!$B$1,1), MATCH($F9, OFFSET(MOTORS!$A$1,0,0,MOTORS!$B$1,1),0))</f>
        <v>7.5</v>
      </c>
      <c r="O9" s="107" t="n">
        <f aca="true">INDEX(OFFSET(MOTORS!$E$1, 0, 0, MOTORS!$B$1,1), MATCH($F9, OFFSET(MOTORS!$A$1,0,0,MOTORS!$B$1,1),0))</f>
        <v>9.9</v>
      </c>
      <c r="P9" s="108" t="n">
        <f aca="true">INDEX(OFFSET(MOTORS!$F$1, 0, 0, MOTORS!$B$1,1), MATCH($F9, OFFSET(MOTORS!$A$1,0,0,MOTORS!$B$1,1),0))</f>
        <v>400</v>
      </c>
      <c r="Q9" s="127" t="n">
        <v>50</v>
      </c>
      <c r="R9" s="127" t="n">
        <f aca="false">P9*100/1/1000</f>
        <v>40</v>
      </c>
      <c r="S9" s="131" t="s">
        <v>282</v>
      </c>
      <c r="T9" s="111" t="s">
        <v>253</v>
      </c>
      <c r="U9" s="129" t="s">
        <v>254</v>
      </c>
      <c r="V9" s="84" t="n">
        <f aca="false">W9/(R9/P9)</f>
        <v>10000</v>
      </c>
      <c r="W9" s="112" t="n">
        <f aca="false">1/0.001</f>
        <v>1000</v>
      </c>
      <c r="X9" s="130" t="s">
        <v>255</v>
      </c>
      <c r="Y9" s="114" t="s">
        <v>256</v>
      </c>
      <c r="Z9" s="129" t="s">
        <v>257</v>
      </c>
      <c r="AA9" s="111" t="s">
        <v>258</v>
      </c>
      <c r="AB9" s="127"/>
      <c r="AC9" s="115"/>
      <c r="AI9" s="116" t="n">
        <v>2</v>
      </c>
      <c r="AJ9" s="116" t="n">
        <v>2</v>
      </c>
      <c r="AK9" s="117" t="s">
        <v>253</v>
      </c>
      <c r="AL9" s="118" t="s">
        <v>253</v>
      </c>
      <c r="AM9" s="82" t="s">
        <v>274</v>
      </c>
      <c r="AN9" s="78" t="s">
        <v>283</v>
      </c>
      <c r="AO9" s="119"/>
      <c r="AP9" s="119"/>
      <c r="AQ9" s="119"/>
      <c r="AR9" s="111"/>
      <c r="AS9" s="111"/>
      <c r="AT9" s="111"/>
      <c r="AU9" s="116"/>
      <c r="AV9" s="116"/>
      <c r="AW9" s="116"/>
      <c r="AX9" s="116"/>
    </row>
    <row r="10" s="148" customFormat="true" ht="10.2" hidden="false" customHeight="false" outlineLevel="0" collapsed="false">
      <c r="A10" s="133"/>
      <c r="B10" s="133"/>
      <c r="C10" s="133"/>
      <c r="D10" s="134"/>
      <c r="E10" s="135"/>
      <c r="F10" s="136"/>
      <c r="G10" s="137"/>
      <c r="H10" s="137"/>
      <c r="I10" s="138"/>
      <c r="J10" s="138"/>
      <c r="K10" s="138"/>
      <c r="L10" s="139"/>
      <c r="M10" s="140"/>
      <c r="N10" s="140"/>
      <c r="O10" s="140"/>
      <c r="P10" s="141"/>
      <c r="Q10" s="140"/>
      <c r="R10" s="140"/>
      <c r="S10" s="142"/>
      <c r="T10" s="142"/>
      <c r="U10" s="143"/>
      <c r="V10" s="140"/>
      <c r="W10" s="141"/>
      <c r="X10" s="142"/>
      <c r="Y10" s="142"/>
      <c r="Z10" s="142"/>
      <c r="AA10" s="144"/>
      <c r="AB10" s="140"/>
      <c r="AC10" s="143"/>
      <c r="AD10" s="145"/>
      <c r="AE10" s="146"/>
      <c r="AF10" s="146"/>
      <c r="AG10" s="146"/>
      <c r="AH10" s="144"/>
      <c r="AI10" s="142"/>
      <c r="AJ10" s="142"/>
      <c r="AK10" s="138"/>
      <c r="AL10" s="147"/>
      <c r="AM10" s="138"/>
      <c r="AN10" s="138"/>
      <c r="AO10" s="138"/>
      <c r="AP10" s="138"/>
      <c r="AQ10" s="138"/>
      <c r="AR10" s="138"/>
      <c r="AS10" s="138"/>
      <c r="AT10" s="138"/>
      <c r="AU10" s="142"/>
      <c r="AV10" s="142"/>
      <c r="AW10" s="142"/>
      <c r="AX10" s="142"/>
    </row>
    <row r="11" s="121" customFormat="true" ht="11.25" hidden="false" customHeight="true" outlineLevel="0" collapsed="false">
      <c r="A11" s="72" t="n">
        <v>11</v>
      </c>
      <c r="B11" s="72" t="s">
        <v>276</v>
      </c>
      <c r="C11" s="72" t="s">
        <v>277</v>
      </c>
      <c r="D11" s="73" t="s">
        <v>288</v>
      </c>
      <c r="E11" s="149" t="s">
        <v>289</v>
      </c>
      <c r="F11" s="150" t="s">
        <v>72</v>
      </c>
      <c r="G11" s="103" t="s">
        <v>247</v>
      </c>
      <c r="H11" s="103" t="s">
        <v>248</v>
      </c>
      <c r="I11" s="151" t="s">
        <v>280</v>
      </c>
      <c r="J11" s="119" t="s">
        <v>281</v>
      </c>
      <c r="K11" s="152" t="s">
        <v>251</v>
      </c>
      <c r="L11" s="106" t="n">
        <v>2</v>
      </c>
      <c r="M11" s="107" t="n">
        <f aca="true">INDEX(OFFSET(MOTORS!$C$1, 0, 0, MOTORS!$B$1,1), MATCH($F11, OFFSET(MOTORS!$A$1,0,0,MOTORS!$B$1,1),0))</f>
        <v>0.8</v>
      </c>
      <c r="N11" s="107" t="n">
        <f aca="true">INDEX(OFFSET(MOTORS!$D$1, 0, 0, MOTORS!$B$1,1), MATCH($F11, OFFSET(MOTORS!$A$1,0,0,MOTORS!$B$1,1),0))</f>
        <v>7.5</v>
      </c>
      <c r="O11" s="107" t="n">
        <f aca="true">INDEX(OFFSET(MOTORS!$E$1, 0, 0, MOTORS!$B$1,1), MATCH($F11, OFFSET(MOTORS!$A$1,0,0,MOTORS!$B$1,1),0))</f>
        <v>9.9</v>
      </c>
      <c r="P11" s="108" t="n">
        <f aca="true">INDEX(OFFSET(MOTORS!$F$1, 0, 0, MOTORS!$B$1,1), MATCH($F11, OFFSET(MOTORS!$A$1,0,0,MOTORS!$B$1,1),0))</f>
        <v>400</v>
      </c>
      <c r="Q11" s="109" t="n">
        <v>50</v>
      </c>
      <c r="R11" s="127" t="n">
        <f aca="false">P11*100/1/1000</f>
        <v>40</v>
      </c>
      <c r="S11" s="110" t="s">
        <v>282</v>
      </c>
      <c r="T11" s="153" t="s">
        <v>253</v>
      </c>
      <c r="U11" s="154" t="s">
        <v>254</v>
      </c>
      <c r="V11" s="84" t="n">
        <f aca="false">W11/(R11/P11)</f>
        <v>10000</v>
      </c>
      <c r="W11" s="125" t="n">
        <f aca="false">1/0.001</f>
        <v>1000</v>
      </c>
      <c r="X11" s="155" t="s">
        <v>255</v>
      </c>
      <c r="Y11" s="114" t="s">
        <v>256</v>
      </c>
      <c r="Z11" s="115" t="s">
        <v>257</v>
      </c>
      <c r="AA11" s="111" t="s">
        <v>258</v>
      </c>
      <c r="AB11" s="127"/>
      <c r="AC11" s="114"/>
      <c r="AD11" s="87"/>
      <c r="AE11" s="88"/>
      <c r="AF11" s="89"/>
      <c r="AG11" s="88"/>
      <c r="AH11" s="86"/>
      <c r="AI11" s="156" t="n">
        <v>2</v>
      </c>
      <c r="AJ11" s="156" t="n">
        <v>2</v>
      </c>
      <c r="AK11" s="114" t="s">
        <v>253</v>
      </c>
      <c r="AL11" s="114" t="s">
        <v>253</v>
      </c>
      <c r="AM11" s="117" t="s">
        <v>274</v>
      </c>
      <c r="AN11" s="151" t="s">
        <v>283</v>
      </c>
      <c r="AO11" s="82"/>
      <c r="AP11" s="82"/>
      <c r="AQ11" s="82"/>
      <c r="AR11" s="78"/>
      <c r="AS11" s="78"/>
      <c r="AT11" s="78"/>
      <c r="AU11" s="113"/>
      <c r="AV11" s="113"/>
      <c r="AW11" s="113"/>
      <c r="AX11" s="113"/>
    </row>
    <row r="12" customFormat="false" ht="11.25" hidden="false" customHeight="true" outlineLevel="0" collapsed="false">
      <c r="A12" s="72" t="n">
        <v>12</v>
      </c>
      <c r="B12" s="72" t="s">
        <v>276</v>
      </c>
      <c r="C12" s="72" t="s">
        <v>277</v>
      </c>
      <c r="D12" s="73" t="s">
        <v>290</v>
      </c>
      <c r="E12" s="149" t="s">
        <v>291</v>
      </c>
      <c r="F12" s="150" t="s">
        <v>72</v>
      </c>
      <c r="G12" s="103" t="s">
        <v>247</v>
      </c>
      <c r="H12" s="103" t="s">
        <v>248</v>
      </c>
      <c r="I12" s="151" t="s">
        <v>280</v>
      </c>
      <c r="J12" s="119" t="s">
        <v>281</v>
      </c>
      <c r="K12" s="152" t="s">
        <v>251</v>
      </c>
      <c r="L12" s="106" t="n">
        <v>2</v>
      </c>
      <c r="M12" s="107" t="n">
        <f aca="true">INDEX(OFFSET(MOTORS!$C$1, 0, 0, MOTORS!$B$1,1), MATCH($F12, OFFSET(MOTORS!$A$1,0,0,MOTORS!$B$1,1),0))</f>
        <v>0.8</v>
      </c>
      <c r="N12" s="107" t="n">
        <f aca="true">INDEX(OFFSET(MOTORS!$D$1, 0, 0, MOTORS!$B$1,1), MATCH($F12, OFFSET(MOTORS!$A$1,0,0,MOTORS!$B$1,1),0))</f>
        <v>7.5</v>
      </c>
      <c r="O12" s="107" t="n">
        <f aca="true">INDEX(OFFSET(MOTORS!$E$1, 0, 0, MOTORS!$B$1,1), MATCH($F12, OFFSET(MOTORS!$A$1,0,0,MOTORS!$B$1,1),0))</f>
        <v>9.9</v>
      </c>
      <c r="P12" s="108" t="n">
        <f aca="true">INDEX(OFFSET(MOTORS!$F$1, 0, 0, MOTORS!$B$1,1), MATCH($F12, OFFSET(MOTORS!$A$1,0,0,MOTORS!$B$1,1),0))</f>
        <v>400</v>
      </c>
      <c r="Q12" s="109" t="n">
        <v>50</v>
      </c>
      <c r="R12" s="127" t="n">
        <f aca="false">P12*100/1/1000</f>
        <v>40</v>
      </c>
      <c r="S12" s="110" t="s">
        <v>282</v>
      </c>
      <c r="T12" s="153" t="s">
        <v>253</v>
      </c>
      <c r="U12" s="154" t="s">
        <v>254</v>
      </c>
      <c r="V12" s="84" t="n">
        <f aca="false">W12/(R12/P12)</f>
        <v>10000</v>
      </c>
      <c r="W12" s="125" t="n">
        <f aca="false">1/0.001</f>
        <v>1000</v>
      </c>
      <c r="X12" s="155" t="s">
        <v>255</v>
      </c>
      <c r="Y12" s="114" t="s">
        <v>256</v>
      </c>
      <c r="Z12" s="115" t="s">
        <v>257</v>
      </c>
      <c r="AA12" s="111" t="s">
        <v>258</v>
      </c>
      <c r="AB12" s="127"/>
      <c r="AC12" s="114"/>
      <c r="AI12" s="156" t="n">
        <v>2</v>
      </c>
      <c r="AJ12" s="156" t="n">
        <v>2</v>
      </c>
      <c r="AK12" s="114" t="s">
        <v>253</v>
      </c>
      <c r="AL12" s="114" t="s">
        <v>253</v>
      </c>
      <c r="AM12" s="117" t="s">
        <v>274</v>
      </c>
      <c r="AN12" s="151" t="s">
        <v>283</v>
      </c>
      <c r="AU12" s="113"/>
      <c r="AV12" s="113"/>
      <c r="AW12" s="113"/>
      <c r="AX12" s="113"/>
    </row>
    <row r="13" customFormat="false" ht="10.2" hidden="false" customHeight="false" outlineLevel="0" collapsed="false">
      <c r="A13" s="72" t="n">
        <v>13</v>
      </c>
      <c r="B13" s="72" t="s">
        <v>292</v>
      </c>
      <c r="C13" s="72" t="s">
        <v>293</v>
      </c>
      <c r="D13" s="73" t="s">
        <v>294</v>
      </c>
      <c r="E13" s="101" t="s">
        <v>295</v>
      </c>
      <c r="F13" s="102" t="s">
        <v>296</v>
      </c>
      <c r="G13" s="103" t="s">
        <v>247</v>
      </c>
      <c r="H13" s="103" t="s">
        <v>248</v>
      </c>
      <c r="I13" s="157" t="s">
        <v>297</v>
      </c>
      <c r="J13" s="103" t="s">
        <v>250</v>
      </c>
      <c r="K13" s="105" t="s">
        <v>251</v>
      </c>
      <c r="L13" s="106" t="n">
        <v>2</v>
      </c>
      <c r="M13" s="107" t="n">
        <f aca="true">INDEX(OFFSET(MOTORS!$C$1, 0, 0, MOTORS!$B$1,1), MATCH($F13, OFFSET(MOTORS!$A$1,0,0,MOTORS!$B$1,1),0))</f>
        <v>0.8</v>
      </c>
      <c r="N13" s="107" t="n">
        <f aca="true">INDEX(OFFSET(MOTORS!$D$1, 0, 0, MOTORS!$B$1,1), MATCH($F13, OFFSET(MOTORS!$A$1,0,0,MOTORS!$B$1,1),0))</f>
        <v>15</v>
      </c>
      <c r="O13" s="107" t="n">
        <f aca="true">INDEX(OFFSET(MOTORS!$E$1, 0, 0, MOTORS!$B$1,1), MATCH($F13, OFFSET(MOTORS!$A$1,0,0,MOTORS!$B$1,1),0))</f>
        <v>39.6</v>
      </c>
      <c r="P13" s="108" t="n">
        <f aca="true">INDEX(OFFSET(MOTORS!$F$1, 0, 0, MOTORS!$B$1,1), MATCH($F13, OFFSET(MOTORS!$A$1,0,0,MOTORS!$B$1,1),0))</f>
        <v>400</v>
      </c>
      <c r="Q13" s="109" t="n">
        <v>50</v>
      </c>
      <c r="R13" s="109" t="n">
        <f aca="false">P13/2</f>
        <v>200</v>
      </c>
      <c r="S13" s="110" t="s">
        <v>298</v>
      </c>
      <c r="T13" s="153"/>
      <c r="U13" s="154" t="s">
        <v>254</v>
      </c>
      <c r="V13" s="84" t="n">
        <f aca="false">W13/(R13/P13)</f>
        <v>2000000</v>
      </c>
      <c r="W13" s="125" t="n">
        <f aca="false">1000*1/0.001</f>
        <v>1000000</v>
      </c>
      <c r="X13" s="155" t="s">
        <v>255</v>
      </c>
      <c r="Y13" s="114" t="s">
        <v>256</v>
      </c>
      <c r="Z13" s="115" t="s">
        <v>257</v>
      </c>
      <c r="AB13" s="109"/>
      <c r="AC13" s="114"/>
      <c r="AI13" s="156" t="n">
        <v>2</v>
      </c>
      <c r="AJ13" s="156" t="n">
        <v>0</v>
      </c>
      <c r="AK13" s="114"/>
      <c r="AL13" s="114"/>
      <c r="AM13" s="82" t="s">
        <v>299</v>
      </c>
      <c r="AU13" s="113"/>
      <c r="AV13" s="113"/>
      <c r="AW13" s="113"/>
      <c r="AX13" s="113"/>
    </row>
    <row r="14" customFormat="false" ht="10.2" hidden="false" customHeight="false" outlineLevel="0" collapsed="false">
      <c r="A14" s="72" t="n">
        <v>14</v>
      </c>
      <c r="B14" s="72" t="s">
        <v>292</v>
      </c>
      <c r="C14" s="72" t="s">
        <v>293</v>
      </c>
      <c r="D14" s="73" t="s">
        <v>300</v>
      </c>
      <c r="E14" s="101" t="s">
        <v>301</v>
      </c>
      <c r="F14" s="102" t="s">
        <v>296</v>
      </c>
      <c r="G14" s="103" t="s">
        <v>247</v>
      </c>
      <c r="H14" s="103" t="s">
        <v>248</v>
      </c>
      <c r="I14" s="158" t="s">
        <v>297</v>
      </c>
      <c r="J14" s="103" t="s">
        <v>250</v>
      </c>
      <c r="K14" s="105" t="s">
        <v>251</v>
      </c>
      <c r="L14" s="106" t="n">
        <v>2</v>
      </c>
      <c r="M14" s="107" t="n">
        <f aca="true">INDEX(OFFSET(MOTORS!$C$1, 0, 0, MOTORS!$B$1,1), MATCH($F14, OFFSET(MOTORS!$A$1,0,0,MOTORS!$B$1,1),0))</f>
        <v>0.8</v>
      </c>
      <c r="N14" s="107" t="n">
        <f aca="true">INDEX(OFFSET(MOTORS!$D$1, 0, 0, MOTORS!$B$1,1), MATCH($F14, OFFSET(MOTORS!$A$1,0,0,MOTORS!$B$1,1),0))</f>
        <v>15</v>
      </c>
      <c r="O14" s="107" t="n">
        <f aca="true">INDEX(OFFSET(MOTORS!$E$1, 0, 0, MOTORS!$B$1,1), MATCH($F14, OFFSET(MOTORS!$A$1,0,0,MOTORS!$B$1,1),0))</f>
        <v>39.6</v>
      </c>
      <c r="P14" s="108" t="n">
        <f aca="true">INDEX(OFFSET(MOTORS!$F$1, 0, 0, MOTORS!$B$1,1), MATCH($F14, OFFSET(MOTORS!$A$1,0,0,MOTORS!$B$1,1),0))</f>
        <v>400</v>
      </c>
      <c r="Q14" s="109" t="n">
        <v>50</v>
      </c>
      <c r="R14" s="109" t="n">
        <f aca="false">P14/2</f>
        <v>200</v>
      </c>
      <c r="S14" s="110" t="s">
        <v>298</v>
      </c>
      <c r="T14" s="159"/>
      <c r="U14" s="154" t="s">
        <v>254</v>
      </c>
      <c r="V14" s="84" t="n">
        <f aca="false">W14/(R14/P14)</f>
        <v>2000000</v>
      </c>
      <c r="W14" s="125" t="n">
        <f aca="false">1000*1/0.001</f>
        <v>1000000</v>
      </c>
      <c r="X14" s="155" t="s">
        <v>255</v>
      </c>
      <c r="Y14" s="114" t="s">
        <v>256</v>
      </c>
      <c r="Z14" s="115" t="s">
        <v>257</v>
      </c>
      <c r="AB14" s="109"/>
      <c r="AC14" s="114"/>
      <c r="AI14" s="156" t="n">
        <v>2</v>
      </c>
      <c r="AJ14" s="156" t="n">
        <v>0</v>
      </c>
      <c r="AK14" s="114"/>
      <c r="AL14" s="114"/>
      <c r="AM14" s="82" t="s">
        <v>299</v>
      </c>
      <c r="AU14" s="113"/>
      <c r="AV14" s="113"/>
      <c r="AW14" s="113"/>
      <c r="AX14" s="113"/>
    </row>
    <row r="15" customFormat="false" ht="10.2" hidden="false" customHeight="false" outlineLevel="0" collapsed="false">
      <c r="A15" s="72" t="n">
        <v>15</v>
      </c>
      <c r="B15" s="72" t="s">
        <v>292</v>
      </c>
      <c r="C15" s="72" t="s">
        <v>293</v>
      </c>
      <c r="D15" s="73" t="s">
        <v>247</v>
      </c>
      <c r="E15" s="101" t="s">
        <v>302</v>
      </c>
      <c r="F15" s="102" t="s">
        <v>303</v>
      </c>
      <c r="G15" s="103" t="s">
        <v>247</v>
      </c>
      <c r="H15" s="103" t="s">
        <v>248</v>
      </c>
      <c r="I15" s="160" t="s">
        <v>304</v>
      </c>
      <c r="J15" s="103" t="s">
        <v>250</v>
      </c>
      <c r="K15" s="105" t="s">
        <v>251</v>
      </c>
      <c r="L15" s="106" t="n">
        <v>2</v>
      </c>
      <c r="M15" s="107" t="n">
        <f aca="true">INDEX(OFFSET(MOTORS!$C$1, 0, 0, MOTORS!$B$1,1), MATCH($F15, OFFSET(MOTORS!$A$1,0,0,MOTORS!$B$1,1),0))</f>
        <v>3.9</v>
      </c>
      <c r="N15" s="107" t="n">
        <f aca="true">INDEX(OFFSET(MOTORS!$D$1, 0, 0, MOTORS!$B$1,1), MATCH($F15, OFFSET(MOTORS!$A$1,0,0,MOTORS!$B$1,1),0))</f>
        <v>0.7</v>
      </c>
      <c r="O15" s="107" t="n">
        <f aca="true">INDEX(OFFSET(MOTORS!$E$1, 0, 0, MOTORS!$B$1,1), MATCH($F15, OFFSET(MOTORS!$A$1,0,0,MOTORS!$B$1,1),0))</f>
        <v>1.7</v>
      </c>
      <c r="P15" s="108" t="n">
        <f aca="true">INDEX(OFFSET(MOTORS!$F$1, 0, 0, MOTORS!$B$1,1), MATCH($F15, OFFSET(MOTORS!$A$1,0,0,MOTORS!$B$1,1),0))</f>
        <v>400</v>
      </c>
      <c r="Q15" s="124" t="n">
        <v>50</v>
      </c>
      <c r="R15" s="109" t="n">
        <f aca="false">P15*2/4</f>
        <v>200</v>
      </c>
      <c r="S15" s="161" t="s">
        <v>305</v>
      </c>
      <c r="T15" s="159"/>
      <c r="U15" s="154" t="s">
        <v>254</v>
      </c>
      <c r="V15" s="84" t="n">
        <f aca="false">W15/(R15/P15)</f>
        <v>2000000</v>
      </c>
      <c r="W15" s="125" t="n">
        <f aca="false">1000*1/0.001</f>
        <v>1000000</v>
      </c>
      <c r="X15" s="155" t="s">
        <v>255</v>
      </c>
      <c r="Y15" s="114" t="s">
        <v>256</v>
      </c>
      <c r="Z15" s="115" t="s">
        <v>257</v>
      </c>
      <c r="AB15" s="109"/>
      <c r="AC15" s="114"/>
      <c r="AI15" s="156" t="n">
        <v>2</v>
      </c>
      <c r="AJ15" s="156" t="n">
        <v>0</v>
      </c>
      <c r="AK15" s="114"/>
      <c r="AL15" s="114"/>
      <c r="AM15" s="82" t="s">
        <v>299</v>
      </c>
      <c r="AU15" s="113"/>
      <c r="AV15" s="113"/>
      <c r="AW15" s="113"/>
      <c r="AX15" s="113"/>
    </row>
    <row r="16" customFormat="false" ht="10.2" hidden="false" customHeight="false" outlineLevel="0" collapsed="false">
      <c r="A16" s="72" t="n">
        <v>16</v>
      </c>
      <c r="B16" s="72" t="s">
        <v>292</v>
      </c>
      <c r="C16" s="72" t="s">
        <v>293</v>
      </c>
      <c r="D16" s="73" t="s">
        <v>306</v>
      </c>
      <c r="E16" s="101" t="s">
        <v>307</v>
      </c>
      <c r="F16" s="102" t="s">
        <v>246</v>
      </c>
      <c r="G16" s="103" t="s">
        <v>247</v>
      </c>
      <c r="H16" s="103" t="s">
        <v>248</v>
      </c>
      <c r="I16" s="158"/>
      <c r="J16" s="103" t="s">
        <v>308</v>
      </c>
      <c r="K16" s="105" t="s">
        <v>251</v>
      </c>
      <c r="L16" s="106" t="n">
        <v>2</v>
      </c>
      <c r="M16" s="107" t="n">
        <f aca="true">INDEX(OFFSET(MOTORS!$C$1, 0, 0, MOTORS!$B$1,1), MATCH($F16, OFFSET(MOTORS!$A$1,0,0,MOTORS!$B$1,1),0))</f>
        <v>2</v>
      </c>
      <c r="N16" s="107" t="n">
        <f aca="true">INDEX(OFFSET(MOTORS!$D$1, 0, 0, MOTORS!$B$1,1), MATCH($F16, OFFSET(MOTORS!$A$1,0,0,MOTORS!$B$1,1),0))</f>
        <v>2</v>
      </c>
      <c r="O16" s="107" t="n">
        <f aca="true">INDEX(OFFSET(MOTORS!$E$1, 0, 0, MOTORS!$B$1,1), MATCH($F16, OFFSET(MOTORS!$A$1,0,0,MOTORS!$B$1,1),0))</f>
        <v>2.8</v>
      </c>
      <c r="P16" s="108" t="n">
        <f aca="true">INDEX(OFFSET(MOTORS!$F$1, 0, 0, MOTORS!$B$1,1), MATCH($F16, OFFSET(MOTORS!$A$1,0,0,MOTORS!$B$1,1),0))</f>
        <v>200</v>
      </c>
      <c r="Q16" s="127" t="n">
        <v>50</v>
      </c>
      <c r="R16" s="109" t="n">
        <f aca="false">P16</f>
        <v>200</v>
      </c>
      <c r="S16" s="110"/>
      <c r="T16" s="159"/>
      <c r="U16" s="154" t="s">
        <v>254</v>
      </c>
      <c r="V16" s="84" t="n">
        <f aca="false">W16/(R16/P16)</f>
        <v>11930445.5027192</v>
      </c>
      <c r="W16" s="101" t="n">
        <f aca="false">(1/0.000301749)/1*3600</f>
        <v>11930445.5027192</v>
      </c>
      <c r="X16" s="162" t="s">
        <v>309</v>
      </c>
      <c r="Y16" s="114" t="s">
        <v>256</v>
      </c>
      <c r="Z16" s="115" t="s">
        <v>257</v>
      </c>
      <c r="AB16" s="163"/>
      <c r="AC16" s="114"/>
      <c r="AI16" s="156" t="n">
        <v>2</v>
      </c>
      <c r="AJ16" s="156" t="n">
        <v>0</v>
      </c>
      <c r="AK16" s="114"/>
      <c r="AL16" s="114"/>
      <c r="AM16" s="82" t="s">
        <v>299</v>
      </c>
      <c r="AU16" s="113"/>
      <c r="AV16" s="113"/>
      <c r="AW16" s="113"/>
      <c r="AX16" s="113"/>
    </row>
    <row r="17" s="166" customFormat="true" ht="10.2" hidden="false" customHeight="false" outlineLevel="0" collapsed="false">
      <c r="A17" s="72" t="n">
        <v>17</v>
      </c>
      <c r="B17" s="164" t="s">
        <v>310</v>
      </c>
      <c r="C17" s="72" t="s">
        <v>311</v>
      </c>
      <c r="D17" s="73" t="s">
        <v>306</v>
      </c>
      <c r="E17" s="101" t="s">
        <v>312</v>
      </c>
      <c r="F17" s="102" t="s">
        <v>313</v>
      </c>
      <c r="G17" s="103" t="s">
        <v>247</v>
      </c>
      <c r="H17" s="103" t="s">
        <v>248</v>
      </c>
      <c r="I17" s="160"/>
      <c r="J17" s="103" t="s">
        <v>308</v>
      </c>
      <c r="K17" s="105" t="s">
        <v>251</v>
      </c>
      <c r="L17" s="106" t="n">
        <v>2</v>
      </c>
      <c r="M17" s="107" t="n">
        <f aca="true">INDEX(OFFSET(MOTORS!$C$1, 0, 0, MOTORS!$B$1,1), MATCH($F17, OFFSET(MOTORS!$A$1,0,0,MOTORS!$B$1,1),0))</f>
        <v>7.5</v>
      </c>
      <c r="N17" s="107" t="n">
        <f aca="true">INDEX(OFFSET(MOTORS!$D$1, 0, 0, MOTORS!$B$1,1), MATCH($F17, OFFSET(MOTORS!$A$1,0,0,MOTORS!$B$1,1),0))</f>
        <v>0.24</v>
      </c>
      <c r="O17" s="107" t="n">
        <f aca="true">INDEX(OFFSET(MOTORS!$E$1, 0, 0, MOTORS!$B$1,1), MATCH($F17, OFFSET(MOTORS!$A$1,0,0,MOTORS!$B$1,1),0))</f>
        <v>1.5</v>
      </c>
      <c r="P17" s="108" t="n">
        <f aca="true">INDEX(OFFSET(MOTORS!$F$1, 0, 0, MOTORS!$B$1,1), MATCH($F17, OFFSET(MOTORS!$A$1,0,0,MOTORS!$B$1,1),0))</f>
        <v>200</v>
      </c>
      <c r="Q17" s="127" t="n">
        <v>50</v>
      </c>
      <c r="R17" s="109" t="n">
        <f aca="false">P17</f>
        <v>200</v>
      </c>
      <c r="S17" s="161"/>
      <c r="T17" s="159"/>
      <c r="U17" s="154" t="s">
        <v>254</v>
      </c>
      <c r="V17" s="84" t="n">
        <f aca="false">W17/(R17/P17)</f>
        <v>0</v>
      </c>
      <c r="W17" s="101"/>
      <c r="X17" s="165" t="s">
        <v>314</v>
      </c>
      <c r="Y17" s="114"/>
      <c r="Z17" s="115" t="s">
        <v>257</v>
      </c>
      <c r="AA17" s="86"/>
      <c r="AB17" s="109"/>
      <c r="AC17" s="114"/>
      <c r="AD17" s="87"/>
      <c r="AE17" s="88"/>
      <c r="AF17" s="89"/>
      <c r="AG17" s="88"/>
      <c r="AH17" s="86"/>
      <c r="AI17" s="156"/>
      <c r="AJ17" s="156"/>
      <c r="AK17" s="114"/>
      <c r="AL17" s="114"/>
      <c r="AM17" s="82"/>
      <c r="AN17" s="78"/>
      <c r="AO17" s="82"/>
      <c r="AP17" s="82"/>
      <c r="AQ17" s="82"/>
      <c r="AR17" s="78"/>
      <c r="AS17" s="78"/>
      <c r="AT17" s="78"/>
      <c r="AU17" s="113"/>
      <c r="AV17" s="113"/>
      <c r="AW17" s="113"/>
      <c r="AX17" s="113"/>
    </row>
    <row r="18" customFormat="false" ht="10.2" hidden="false" customHeight="false" outlineLevel="0" collapsed="false">
      <c r="A18" s="72" t="n">
        <v>18</v>
      </c>
      <c r="B18" s="164" t="s">
        <v>315</v>
      </c>
      <c r="C18" s="72" t="s">
        <v>316</v>
      </c>
      <c r="D18" s="73" t="s">
        <v>244</v>
      </c>
      <c r="E18" s="101" t="s">
        <v>317</v>
      </c>
      <c r="F18" s="102" t="s">
        <v>296</v>
      </c>
      <c r="G18" s="103" t="s">
        <v>247</v>
      </c>
      <c r="H18" s="103" t="s">
        <v>248</v>
      </c>
      <c r="I18" s="158"/>
      <c r="J18" s="103" t="s">
        <v>250</v>
      </c>
      <c r="K18" s="105" t="s">
        <v>251</v>
      </c>
      <c r="L18" s="106" t="n">
        <v>2</v>
      </c>
      <c r="M18" s="107" t="n">
        <f aca="true">INDEX(OFFSET(MOTORS!$C$1, 0, 0, MOTORS!$B$1,1), MATCH($F18, OFFSET(MOTORS!$A$1,0,0,MOTORS!$B$1,1),0))</f>
        <v>0.8</v>
      </c>
      <c r="N18" s="107" t="n">
        <f aca="true">INDEX(OFFSET(MOTORS!$D$1, 0, 0, MOTORS!$B$1,1), MATCH($F18, OFFSET(MOTORS!$A$1,0,0,MOTORS!$B$1,1),0))</f>
        <v>15</v>
      </c>
      <c r="O18" s="107" t="n">
        <f aca="true">INDEX(OFFSET(MOTORS!$E$1, 0, 0, MOTORS!$B$1,1), MATCH($F18, OFFSET(MOTORS!$A$1,0,0,MOTORS!$B$1,1),0))</f>
        <v>39.6</v>
      </c>
      <c r="P18" s="108" t="n">
        <f aca="true">INDEX(OFFSET(MOTORS!$F$1, 0, 0, MOTORS!$B$1,1), MATCH($F18, OFFSET(MOTORS!$A$1,0,0,MOTORS!$B$1,1),0))</f>
        <v>400</v>
      </c>
      <c r="Q18" s="127" t="n">
        <v>50</v>
      </c>
      <c r="R18" s="109" t="n">
        <f aca="false">P18</f>
        <v>400</v>
      </c>
      <c r="T18" s="159"/>
      <c r="U18" s="154" t="s">
        <v>254</v>
      </c>
      <c r="V18" s="84" t="n">
        <f aca="false">W18/(R18/P18)</f>
        <v>1000000</v>
      </c>
      <c r="W18" s="125" t="n">
        <f aca="false">1000*1/0.001</f>
        <v>1000000</v>
      </c>
      <c r="X18" s="155" t="s">
        <v>255</v>
      </c>
      <c r="Y18" s="114" t="s">
        <v>256</v>
      </c>
      <c r="Z18" s="115" t="s">
        <v>257</v>
      </c>
      <c r="AB18" s="109"/>
      <c r="AC18" s="114"/>
      <c r="AI18" s="156"/>
      <c r="AJ18" s="156"/>
      <c r="AK18" s="114"/>
      <c r="AL18" s="114"/>
      <c r="AU18" s="113"/>
      <c r="AV18" s="113"/>
      <c r="AW18" s="113"/>
      <c r="AX18" s="113"/>
    </row>
    <row r="19" s="175" customFormat="true" ht="10.2" hidden="false" customHeight="false" outlineLevel="0" collapsed="false">
      <c r="A19" s="133"/>
      <c r="B19" s="167"/>
      <c r="C19" s="133"/>
      <c r="D19" s="134"/>
      <c r="E19" s="168"/>
      <c r="F19" s="169"/>
      <c r="G19" s="170"/>
      <c r="H19" s="170"/>
      <c r="I19" s="144"/>
      <c r="J19" s="144"/>
      <c r="K19" s="144"/>
      <c r="L19" s="171"/>
      <c r="M19" s="145"/>
      <c r="N19" s="145"/>
      <c r="O19" s="145"/>
      <c r="P19" s="172"/>
      <c r="Q19" s="145"/>
      <c r="R19" s="145"/>
      <c r="S19" s="146"/>
      <c r="T19" s="144"/>
      <c r="U19" s="173"/>
      <c r="V19" s="145"/>
      <c r="W19" s="146"/>
      <c r="X19" s="146"/>
      <c r="Y19" s="146"/>
      <c r="Z19" s="146"/>
      <c r="AA19" s="144"/>
      <c r="AB19" s="145"/>
      <c r="AC19" s="173"/>
      <c r="AD19" s="145"/>
      <c r="AE19" s="146"/>
      <c r="AF19" s="146"/>
      <c r="AG19" s="146"/>
      <c r="AH19" s="144"/>
      <c r="AI19" s="146"/>
      <c r="AJ19" s="146"/>
      <c r="AK19" s="144"/>
      <c r="AL19" s="174"/>
      <c r="AM19" s="144"/>
      <c r="AN19" s="144"/>
      <c r="AO19" s="144"/>
      <c r="AP19" s="144"/>
      <c r="AQ19" s="144"/>
      <c r="AR19" s="144"/>
      <c r="AS19" s="144"/>
      <c r="AT19" s="144"/>
      <c r="AU19" s="146"/>
      <c r="AV19" s="146"/>
      <c r="AW19" s="146"/>
      <c r="AX19" s="146"/>
    </row>
    <row r="20" s="175" customFormat="true" ht="10.2" hidden="false" customHeight="false" outlineLevel="0" collapsed="false">
      <c r="A20" s="133"/>
      <c r="B20" s="167"/>
      <c r="C20" s="133"/>
      <c r="D20" s="134"/>
      <c r="E20" s="168"/>
      <c r="F20" s="169"/>
      <c r="G20" s="170"/>
      <c r="H20" s="170"/>
      <c r="I20" s="144"/>
      <c r="J20" s="144"/>
      <c r="K20" s="144"/>
      <c r="L20" s="171"/>
      <c r="M20" s="145"/>
      <c r="N20" s="145"/>
      <c r="O20" s="145"/>
      <c r="P20" s="172"/>
      <c r="Q20" s="145"/>
      <c r="R20" s="145"/>
      <c r="S20" s="146"/>
      <c r="T20" s="144"/>
      <c r="U20" s="173"/>
      <c r="V20" s="145"/>
      <c r="W20" s="146"/>
      <c r="X20" s="146"/>
      <c r="Y20" s="146"/>
      <c r="Z20" s="146"/>
      <c r="AA20" s="144"/>
      <c r="AB20" s="145"/>
      <c r="AC20" s="173"/>
      <c r="AD20" s="145"/>
      <c r="AE20" s="146"/>
      <c r="AF20" s="146"/>
      <c r="AG20" s="146"/>
      <c r="AH20" s="144"/>
      <c r="AI20" s="146"/>
      <c r="AJ20" s="146"/>
      <c r="AK20" s="144"/>
      <c r="AL20" s="174"/>
      <c r="AM20" s="144"/>
      <c r="AN20" s="144"/>
      <c r="AO20" s="144"/>
      <c r="AP20" s="144"/>
      <c r="AQ20" s="144"/>
      <c r="AR20" s="144"/>
      <c r="AS20" s="144"/>
      <c r="AT20" s="144"/>
      <c r="AU20" s="146"/>
      <c r="AV20" s="146"/>
      <c r="AW20" s="146"/>
      <c r="AX20" s="146"/>
    </row>
    <row r="21" s="176" customFormat="true" ht="10.2" hidden="false" customHeight="false" outlineLevel="0" collapsed="false">
      <c r="A21" s="72" t="n">
        <v>21</v>
      </c>
      <c r="B21" s="164" t="s">
        <v>315</v>
      </c>
      <c r="C21" s="72" t="s">
        <v>316</v>
      </c>
      <c r="D21" s="73" t="s">
        <v>259</v>
      </c>
      <c r="E21" s="101" t="s">
        <v>318</v>
      </c>
      <c r="F21" s="102" t="s">
        <v>296</v>
      </c>
      <c r="G21" s="103" t="s">
        <v>247</v>
      </c>
      <c r="H21" s="103" t="s">
        <v>248</v>
      </c>
      <c r="I21" s="157"/>
      <c r="J21" s="119" t="s">
        <v>250</v>
      </c>
      <c r="K21" s="152" t="s">
        <v>251</v>
      </c>
      <c r="L21" s="106" t="n">
        <v>2</v>
      </c>
      <c r="M21" s="107" t="n">
        <f aca="true">INDEX(OFFSET(MOTORS!$C$1, 0, 0, MOTORS!$B$1,1), MATCH($F21, OFFSET(MOTORS!$A$1,0,0,MOTORS!$B$1,1),0))</f>
        <v>0.8</v>
      </c>
      <c r="N21" s="107" t="n">
        <f aca="true">INDEX(OFFSET(MOTORS!$D$1, 0, 0, MOTORS!$B$1,1), MATCH($F21, OFFSET(MOTORS!$A$1,0,0,MOTORS!$B$1,1),0))</f>
        <v>15</v>
      </c>
      <c r="O21" s="107" t="n">
        <f aca="true">INDEX(OFFSET(MOTORS!$E$1, 0, 0, MOTORS!$B$1,1), MATCH($F21, OFFSET(MOTORS!$A$1,0,0,MOTORS!$B$1,1),0))</f>
        <v>39.6</v>
      </c>
      <c r="P21" s="108" t="n">
        <f aca="true">INDEX(OFFSET(MOTORS!$F$1, 0, 0, MOTORS!$B$1,1), MATCH($F21, OFFSET(MOTORS!$A$1,0,0,MOTORS!$B$1,1),0))</f>
        <v>400</v>
      </c>
      <c r="Q21" s="109" t="n">
        <v>50</v>
      </c>
      <c r="R21" s="109" t="n">
        <f aca="false">P21</f>
        <v>400</v>
      </c>
      <c r="S21" s="161"/>
      <c r="T21" s="159"/>
      <c r="U21" s="154" t="s">
        <v>254</v>
      </c>
      <c r="V21" s="84" t="n">
        <f aca="false">W21/(R21/P21)</f>
        <v>1000000</v>
      </c>
      <c r="W21" s="125" t="n">
        <f aca="false">1000*1/0.001</f>
        <v>1000000</v>
      </c>
      <c r="X21" s="155" t="s">
        <v>255</v>
      </c>
      <c r="Y21" s="114" t="s">
        <v>256</v>
      </c>
      <c r="Z21" s="115" t="s">
        <v>257</v>
      </c>
      <c r="AA21" s="86"/>
      <c r="AB21" s="109"/>
      <c r="AC21" s="114"/>
      <c r="AD21" s="87"/>
      <c r="AE21" s="88"/>
      <c r="AF21" s="89"/>
      <c r="AG21" s="88"/>
      <c r="AH21" s="86"/>
      <c r="AI21" s="156"/>
      <c r="AJ21" s="156"/>
      <c r="AK21" s="114"/>
      <c r="AL21" s="114"/>
      <c r="AM21" s="82"/>
      <c r="AN21" s="78"/>
      <c r="AO21" s="82"/>
      <c r="AP21" s="82"/>
      <c r="AQ21" s="82"/>
      <c r="AR21" s="78"/>
      <c r="AS21" s="78"/>
      <c r="AT21" s="78"/>
      <c r="AU21" s="113"/>
      <c r="AV21" s="113"/>
      <c r="AW21" s="113"/>
      <c r="AX21" s="113"/>
    </row>
    <row r="22" s="176" customFormat="true" ht="10.2" hidden="false" customHeight="false" outlineLevel="0" collapsed="false">
      <c r="A22" s="72" t="n">
        <v>22</v>
      </c>
      <c r="B22" s="164" t="s">
        <v>315</v>
      </c>
      <c r="C22" s="72" t="s">
        <v>316</v>
      </c>
      <c r="D22" s="73" t="s">
        <v>264</v>
      </c>
      <c r="E22" s="101" t="s">
        <v>319</v>
      </c>
      <c r="F22" s="102" t="s">
        <v>296</v>
      </c>
      <c r="G22" s="103" t="s">
        <v>247</v>
      </c>
      <c r="H22" s="103" t="s">
        <v>248</v>
      </c>
      <c r="I22" s="157"/>
      <c r="J22" s="119" t="s">
        <v>250</v>
      </c>
      <c r="K22" s="152" t="s">
        <v>251</v>
      </c>
      <c r="L22" s="106" t="n">
        <v>2</v>
      </c>
      <c r="M22" s="107" t="n">
        <f aca="true">INDEX(OFFSET(MOTORS!$C$1, 0, 0, MOTORS!$B$1,1), MATCH($F22, OFFSET(MOTORS!$A$1,0,0,MOTORS!$B$1,1),0))</f>
        <v>0.8</v>
      </c>
      <c r="N22" s="107" t="n">
        <f aca="true">INDEX(OFFSET(MOTORS!$D$1, 0, 0, MOTORS!$B$1,1), MATCH($F22, OFFSET(MOTORS!$A$1,0,0,MOTORS!$B$1,1),0))</f>
        <v>15</v>
      </c>
      <c r="O22" s="107" t="n">
        <f aca="true">INDEX(OFFSET(MOTORS!$E$1, 0, 0, MOTORS!$B$1,1), MATCH($F22, OFFSET(MOTORS!$A$1,0,0,MOTORS!$B$1,1),0))</f>
        <v>39.6</v>
      </c>
      <c r="P22" s="108" t="n">
        <f aca="true">INDEX(OFFSET(MOTORS!$F$1, 0, 0, MOTORS!$B$1,1), MATCH($F22, OFFSET(MOTORS!$A$1,0,0,MOTORS!$B$1,1),0))</f>
        <v>400</v>
      </c>
      <c r="Q22" s="109" t="n">
        <v>50</v>
      </c>
      <c r="R22" s="109" t="n">
        <f aca="false">P22</f>
        <v>400</v>
      </c>
      <c r="S22" s="161"/>
      <c r="T22" s="159"/>
      <c r="U22" s="154" t="s">
        <v>254</v>
      </c>
      <c r="V22" s="84" t="n">
        <f aca="false">W22/(R22/P22)</f>
        <v>1000000</v>
      </c>
      <c r="W22" s="125" t="n">
        <f aca="false">1000*1/0.001</f>
        <v>1000000</v>
      </c>
      <c r="X22" s="155" t="s">
        <v>255</v>
      </c>
      <c r="Y22" s="114" t="s">
        <v>256</v>
      </c>
      <c r="Z22" s="115" t="s">
        <v>257</v>
      </c>
      <c r="AA22" s="86"/>
      <c r="AB22" s="109"/>
      <c r="AC22" s="114"/>
      <c r="AD22" s="87"/>
      <c r="AE22" s="88"/>
      <c r="AF22" s="89"/>
      <c r="AG22" s="88"/>
      <c r="AH22" s="86"/>
      <c r="AI22" s="156"/>
      <c r="AJ22" s="156"/>
      <c r="AK22" s="114"/>
      <c r="AL22" s="114"/>
      <c r="AM22" s="82"/>
      <c r="AN22" s="78"/>
      <c r="AO22" s="82"/>
      <c r="AP22" s="82"/>
      <c r="AQ22" s="82"/>
      <c r="AR22" s="78"/>
      <c r="AS22" s="78"/>
      <c r="AT22" s="78"/>
      <c r="AU22" s="113"/>
      <c r="AV22" s="113"/>
      <c r="AW22" s="113"/>
      <c r="AX22" s="113"/>
    </row>
    <row r="23" customFormat="false" ht="11.25" hidden="false" customHeight="true" outlineLevel="0" collapsed="false">
      <c r="A23" s="72" t="n">
        <v>23</v>
      </c>
      <c r="B23" s="164" t="s">
        <v>315</v>
      </c>
      <c r="C23" s="72" t="s">
        <v>316</v>
      </c>
      <c r="D23" s="73" t="s">
        <v>261</v>
      </c>
      <c r="E23" s="101" t="s">
        <v>320</v>
      </c>
      <c r="F23" s="102" t="s">
        <v>296</v>
      </c>
      <c r="G23" s="103" t="s">
        <v>247</v>
      </c>
      <c r="H23" s="103" t="s">
        <v>248</v>
      </c>
      <c r="I23" s="157"/>
      <c r="J23" s="119" t="s">
        <v>250</v>
      </c>
      <c r="K23" s="105" t="s">
        <v>251</v>
      </c>
      <c r="L23" s="106" t="n">
        <v>2</v>
      </c>
      <c r="M23" s="107" t="n">
        <f aca="true">INDEX(OFFSET(MOTORS!$C$1, 0, 0, MOTORS!$B$1,1), MATCH($F23, OFFSET(MOTORS!$A$1,0,0,MOTORS!$B$1,1),0))</f>
        <v>0.8</v>
      </c>
      <c r="N23" s="107" t="n">
        <f aca="true">INDEX(OFFSET(MOTORS!$D$1, 0, 0, MOTORS!$B$1,1), MATCH($F23, OFFSET(MOTORS!$A$1,0,0,MOTORS!$B$1,1),0))</f>
        <v>15</v>
      </c>
      <c r="O23" s="107" t="n">
        <f aca="true">INDEX(OFFSET(MOTORS!$E$1, 0, 0, MOTORS!$B$1,1), MATCH($F23, OFFSET(MOTORS!$A$1,0,0,MOTORS!$B$1,1),0))</f>
        <v>39.6</v>
      </c>
      <c r="P23" s="108" t="n">
        <f aca="true">INDEX(OFFSET(MOTORS!$F$1, 0, 0, MOTORS!$B$1,1), MATCH($F23, OFFSET(MOTORS!$A$1,0,0,MOTORS!$B$1,1),0))</f>
        <v>400</v>
      </c>
      <c r="Q23" s="109" t="n">
        <v>50</v>
      </c>
      <c r="R23" s="109" t="n">
        <f aca="false">P23</f>
        <v>400</v>
      </c>
      <c r="S23" s="114"/>
      <c r="T23" s="159"/>
      <c r="U23" s="154" t="s">
        <v>254</v>
      </c>
      <c r="V23" s="84" t="n">
        <f aca="false">W23/(R23/P23)</f>
        <v>1000000</v>
      </c>
      <c r="W23" s="125" t="n">
        <f aca="false">1000*1/0.001</f>
        <v>1000000</v>
      </c>
      <c r="X23" s="155" t="s">
        <v>255</v>
      </c>
      <c r="Y23" s="114" t="s">
        <v>256</v>
      </c>
      <c r="Z23" s="115" t="s">
        <v>257</v>
      </c>
      <c r="AB23" s="177"/>
      <c r="AC23" s="114"/>
      <c r="AI23" s="156"/>
      <c r="AJ23" s="156"/>
      <c r="AK23" s="114"/>
      <c r="AL23" s="114"/>
      <c r="AU23" s="113"/>
      <c r="AV23" s="113"/>
      <c r="AW23" s="113"/>
      <c r="AX23" s="113"/>
    </row>
    <row r="24" s="122" customFormat="true" ht="11.25" hidden="false" customHeight="true" outlineLevel="0" collapsed="false">
      <c r="A24" s="72" t="n">
        <v>24</v>
      </c>
      <c r="B24" s="164" t="s">
        <v>321</v>
      </c>
      <c r="C24" s="72" t="s">
        <v>322</v>
      </c>
      <c r="D24" s="73" t="s">
        <v>323</v>
      </c>
      <c r="E24" s="101" t="s">
        <v>324</v>
      </c>
      <c r="F24" s="102" t="s">
        <v>325</v>
      </c>
      <c r="G24" s="103" t="s">
        <v>247</v>
      </c>
      <c r="H24" s="103" t="s">
        <v>248</v>
      </c>
      <c r="I24" s="160"/>
      <c r="J24" s="119" t="s">
        <v>250</v>
      </c>
      <c r="K24" s="105" t="s">
        <v>251</v>
      </c>
      <c r="L24" s="106" t="n">
        <v>2</v>
      </c>
      <c r="M24" s="107" t="e">
        <f aca="true">INDEX(OFFSET(MOTORS!$C$1, 0, 0, MOTORS!$B$1,1), MATCH($F24, OFFSET(MOTORS!$A$1,0,0,MOTORS!$B$1,1),0))</f>
        <v>#N/A</v>
      </c>
      <c r="N24" s="107" t="e">
        <f aca="true">INDEX(OFFSET(MOTORS!$D$1, 0, 0, MOTORS!$B$1,1), MATCH($F24, OFFSET(MOTORS!$A$1,0,0,MOTORS!$B$1,1),0))</f>
        <v>#N/A</v>
      </c>
      <c r="O24" s="107" t="e">
        <f aca="true">INDEX(OFFSET(MOTORS!$E$1, 0, 0, MOTORS!$B$1,1), MATCH($F24, OFFSET(MOTORS!$A$1,0,0,MOTORS!$B$1,1),0))</f>
        <v>#N/A</v>
      </c>
      <c r="P24" s="108" t="e">
        <f aca="true">INDEX(OFFSET(MOTORS!$F$1, 0, 0, MOTORS!$B$1,1), MATCH($F24, OFFSET(MOTORS!$A$1,0,0,MOTORS!$B$1,1),0))</f>
        <v>#N/A</v>
      </c>
      <c r="Q24" s="109" t="n">
        <v>50</v>
      </c>
      <c r="R24" s="109" t="e">
        <f aca="false">P24</f>
        <v>#N/A</v>
      </c>
      <c r="S24" s="82"/>
      <c r="T24" s="159"/>
      <c r="U24" s="115"/>
      <c r="V24" s="84" t="e">
        <f aca="false">W24/(R24/P24)</f>
        <v>#N/A</v>
      </c>
      <c r="W24" s="115"/>
      <c r="X24" s="126" t="s">
        <v>326</v>
      </c>
      <c r="Y24" s="110"/>
      <c r="Z24" s="115"/>
      <c r="AA24" s="86"/>
      <c r="AB24" s="177"/>
      <c r="AC24" s="114"/>
      <c r="AD24" s="87"/>
      <c r="AE24" s="88"/>
      <c r="AF24" s="89"/>
      <c r="AG24" s="88"/>
      <c r="AH24" s="86"/>
      <c r="AI24" s="156"/>
      <c r="AJ24" s="156"/>
      <c r="AK24" s="114"/>
      <c r="AL24" s="114"/>
      <c r="AM24" s="82"/>
      <c r="AN24" s="78"/>
      <c r="AO24" s="82"/>
      <c r="AP24" s="82"/>
      <c r="AQ24" s="82"/>
      <c r="AR24" s="78"/>
      <c r="AS24" s="78"/>
      <c r="AT24" s="78"/>
      <c r="AU24" s="113"/>
      <c r="AV24" s="113"/>
      <c r="AW24" s="113"/>
      <c r="AX24" s="113"/>
    </row>
    <row r="25" customFormat="false" ht="10.2" hidden="false" customHeight="false" outlineLevel="0" collapsed="false">
      <c r="A25" s="72" t="n">
        <v>25</v>
      </c>
      <c r="B25" s="164" t="s">
        <v>321</v>
      </c>
      <c r="C25" s="72" t="s">
        <v>322</v>
      </c>
      <c r="D25" s="73" t="s">
        <v>327</v>
      </c>
      <c r="E25" s="101" t="s">
        <v>328</v>
      </c>
      <c r="F25" s="102" t="s">
        <v>325</v>
      </c>
      <c r="G25" s="103" t="s">
        <v>247</v>
      </c>
      <c r="H25" s="103" t="s">
        <v>248</v>
      </c>
      <c r="I25" s="178"/>
      <c r="J25" s="119" t="s">
        <v>250</v>
      </c>
      <c r="K25" s="105" t="s">
        <v>251</v>
      </c>
      <c r="L25" s="106" t="n">
        <v>2</v>
      </c>
      <c r="M25" s="107" t="e">
        <f aca="true">INDEX(OFFSET(MOTORS!$C$1, 0, 0, MOTORS!$B$1,1), MATCH($F25, OFFSET(MOTORS!$A$1,0,0,MOTORS!$B$1,1),0))</f>
        <v>#N/A</v>
      </c>
      <c r="N25" s="107" t="e">
        <f aca="true">INDEX(OFFSET(MOTORS!$D$1, 0, 0, MOTORS!$B$1,1), MATCH($F25, OFFSET(MOTORS!$A$1,0,0,MOTORS!$B$1,1),0))</f>
        <v>#N/A</v>
      </c>
      <c r="O25" s="107" t="e">
        <f aca="true">INDEX(OFFSET(MOTORS!$E$1, 0, 0, MOTORS!$B$1,1), MATCH($F25, OFFSET(MOTORS!$A$1,0,0,MOTORS!$B$1,1),0))</f>
        <v>#N/A</v>
      </c>
      <c r="P25" s="108" t="e">
        <f aca="true">INDEX(OFFSET(MOTORS!$F$1, 0, 0, MOTORS!$B$1,1), MATCH($F25, OFFSET(MOTORS!$A$1,0,0,MOTORS!$B$1,1),0))</f>
        <v>#N/A</v>
      </c>
      <c r="Q25" s="124" t="n">
        <v>50</v>
      </c>
      <c r="R25" s="109" t="e">
        <f aca="false">P25</f>
        <v>#N/A</v>
      </c>
      <c r="T25" s="159"/>
      <c r="U25" s="74"/>
      <c r="V25" s="84" t="e">
        <f aca="false">W25/(R25/P25)</f>
        <v>#N/A</v>
      </c>
      <c r="W25" s="101"/>
      <c r="X25" s="126" t="s">
        <v>326</v>
      </c>
      <c r="Y25" s="114"/>
      <c r="Z25" s="115"/>
      <c r="AB25" s="179"/>
      <c r="AC25" s="180"/>
      <c r="AK25" s="180"/>
      <c r="AL25" s="180"/>
      <c r="AU25" s="181"/>
      <c r="AV25" s="181"/>
      <c r="AW25" s="113"/>
      <c r="AX25" s="113"/>
    </row>
    <row r="26" customFormat="false" ht="10.2" hidden="false" customHeight="false" outlineLevel="0" collapsed="false">
      <c r="A26" s="72" t="n">
        <v>26</v>
      </c>
      <c r="B26" s="164" t="s">
        <v>321</v>
      </c>
      <c r="C26" s="72" t="s">
        <v>322</v>
      </c>
      <c r="D26" s="73" t="s">
        <v>329</v>
      </c>
      <c r="E26" s="101" t="s">
        <v>330</v>
      </c>
      <c r="F26" s="102" t="s">
        <v>325</v>
      </c>
      <c r="G26" s="103" t="s">
        <v>247</v>
      </c>
      <c r="H26" s="103" t="s">
        <v>248</v>
      </c>
      <c r="I26" s="178"/>
      <c r="J26" s="119" t="s">
        <v>250</v>
      </c>
      <c r="K26" s="105" t="s">
        <v>251</v>
      </c>
      <c r="L26" s="106" t="n">
        <v>2</v>
      </c>
      <c r="M26" s="107" t="e">
        <f aca="true">INDEX(OFFSET(MOTORS!$C$1, 0, 0, MOTORS!$B$1,1), MATCH($F26, OFFSET(MOTORS!$A$1,0,0,MOTORS!$B$1,1),0))</f>
        <v>#N/A</v>
      </c>
      <c r="N26" s="107" t="e">
        <f aca="true">INDEX(OFFSET(MOTORS!$D$1, 0, 0, MOTORS!$B$1,1), MATCH($F26, OFFSET(MOTORS!$A$1,0,0,MOTORS!$B$1,1),0))</f>
        <v>#N/A</v>
      </c>
      <c r="O26" s="107" t="e">
        <f aca="true">INDEX(OFFSET(MOTORS!$E$1, 0, 0, MOTORS!$B$1,1), MATCH($F26, OFFSET(MOTORS!$A$1,0,0,MOTORS!$B$1,1),0))</f>
        <v>#N/A</v>
      </c>
      <c r="P26" s="108" t="e">
        <f aca="true">INDEX(OFFSET(MOTORS!$F$1, 0, 0, MOTORS!$B$1,1), MATCH($F26, OFFSET(MOTORS!$A$1,0,0,MOTORS!$B$1,1),0))</f>
        <v>#N/A</v>
      </c>
      <c r="Q26" s="127" t="n">
        <v>50</v>
      </c>
      <c r="R26" s="109" t="e">
        <f aca="false">P26</f>
        <v>#N/A</v>
      </c>
      <c r="T26" s="159"/>
      <c r="U26" s="74"/>
      <c r="V26" s="84" t="e">
        <f aca="false">W26/(R26/P26)</f>
        <v>#N/A</v>
      </c>
      <c r="W26" s="101"/>
      <c r="X26" s="126" t="s">
        <v>326</v>
      </c>
      <c r="Y26" s="114"/>
      <c r="Z26" s="115"/>
      <c r="AB26" s="163"/>
      <c r="AC26" s="180"/>
      <c r="AK26" s="180"/>
      <c r="AL26" s="180"/>
      <c r="AU26" s="181"/>
      <c r="AV26" s="181"/>
      <c r="AW26" s="113"/>
      <c r="AX26" s="113"/>
    </row>
    <row r="27" s="166" customFormat="true" ht="10.2" hidden="false" customHeight="false" outlineLevel="0" collapsed="false">
      <c r="A27" s="72" t="n">
        <v>27</v>
      </c>
      <c r="B27" s="164" t="s">
        <v>331</v>
      </c>
      <c r="C27" s="72" t="s">
        <v>322</v>
      </c>
      <c r="D27" s="73" t="s">
        <v>323</v>
      </c>
      <c r="E27" s="101" t="s">
        <v>332</v>
      </c>
      <c r="F27" s="102" t="s">
        <v>325</v>
      </c>
      <c r="G27" s="103" t="s">
        <v>247</v>
      </c>
      <c r="H27" s="103" t="s">
        <v>248</v>
      </c>
      <c r="I27" s="178"/>
      <c r="J27" s="119" t="s">
        <v>250</v>
      </c>
      <c r="K27" s="105" t="s">
        <v>251</v>
      </c>
      <c r="L27" s="106" t="n">
        <v>2</v>
      </c>
      <c r="M27" s="107" t="e">
        <f aca="true">INDEX(OFFSET(MOTORS!$C$1, 0, 0, MOTORS!$B$1,1), MATCH($F27, OFFSET(MOTORS!$A$1,0,0,MOTORS!$B$1,1),0))</f>
        <v>#N/A</v>
      </c>
      <c r="N27" s="107" t="e">
        <f aca="true">INDEX(OFFSET(MOTORS!$D$1, 0, 0, MOTORS!$B$1,1), MATCH($F27, OFFSET(MOTORS!$A$1,0,0,MOTORS!$B$1,1),0))</f>
        <v>#N/A</v>
      </c>
      <c r="O27" s="107" t="e">
        <f aca="true">INDEX(OFFSET(MOTORS!$E$1, 0, 0, MOTORS!$B$1,1), MATCH($F27, OFFSET(MOTORS!$A$1,0,0,MOTORS!$B$1,1),0))</f>
        <v>#N/A</v>
      </c>
      <c r="P27" s="108" t="e">
        <f aca="true">INDEX(OFFSET(MOTORS!$F$1, 0, 0, MOTORS!$B$1,1), MATCH($F27, OFFSET(MOTORS!$A$1,0,0,MOTORS!$B$1,1),0))</f>
        <v>#N/A</v>
      </c>
      <c r="Q27" s="127" t="n">
        <v>50</v>
      </c>
      <c r="R27" s="109" t="e">
        <f aca="false">P27</f>
        <v>#N/A</v>
      </c>
      <c r="S27" s="82"/>
      <c r="T27" s="159"/>
      <c r="U27" s="74"/>
      <c r="V27" s="84" t="e">
        <f aca="false">W27/(R27/P27)</f>
        <v>#N/A</v>
      </c>
      <c r="W27" s="101"/>
      <c r="X27" s="126" t="s">
        <v>326</v>
      </c>
      <c r="Y27" s="114"/>
      <c r="Z27" s="115"/>
      <c r="AA27" s="86"/>
      <c r="AB27" s="163"/>
      <c r="AC27" s="180"/>
      <c r="AD27" s="87"/>
      <c r="AE27" s="88"/>
      <c r="AF27" s="89"/>
      <c r="AG27" s="88"/>
      <c r="AH27" s="86"/>
      <c r="AI27" s="83"/>
      <c r="AJ27" s="83"/>
      <c r="AK27" s="180"/>
      <c r="AL27" s="180"/>
      <c r="AM27" s="82"/>
      <c r="AN27" s="78"/>
      <c r="AO27" s="82"/>
      <c r="AP27" s="82"/>
      <c r="AQ27" s="82"/>
      <c r="AR27" s="78"/>
      <c r="AS27" s="78"/>
      <c r="AT27" s="78"/>
      <c r="AU27" s="181"/>
      <c r="AV27" s="181"/>
      <c r="AW27" s="113"/>
      <c r="AX27" s="113"/>
    </row>
    <row r="28" s="166" customFormat="true" ht="10.2" hidden="false" customHeight="false" outlineLevel="0" collapsed="false">
      <c r="A28" s="72" t="n">
        <v>28</v>
      </c>
      <c r="B28" s="164" t="s">
        <v>331</v>
      </c>
      <c r="C28" s="72" t="s">
        <v>322</v>
      </c>
      <c r="D28" s="73" t="s">
        <v>327</v>
      </c>
      <c r="E28" s="101" t="s">
        <v>333</v>
      </c>
      <c r="F28" s="102" t="s">
        <v>325</v>
      </c>
      <c r="G28" s="103" t="s">
        <v>247</v>
      </c>
      <c r="H28" s="103" t="s">
        <v>248</v>
      </c>
      <c r="I28" s="178"/>
      <c r="J28" s="119" t="s">
        <v>250</v>
      </c>
      <c r="K28" s="105" t="s">
        <v>251</v>
      </c>
      <c r="L28" s="106" t="n">
        <v>2</v>
      </c>
      <c r="M28" s="107" t="e">
        <f aca="true">INDEX(OFFSET(MOTORS!$C$1, 0, 0, MOTORS!$B$1,1), MATCH($F28, OFFSET(MOTORS!$A$1,0,0,MOTORS!$B$1,1),0))</f>
        <v>#N/A</v>
      </c>
      <c r="N28" s="107" t="e">
        <f aca="true">INDEX(OFFSET(MOTORS!$D$1, 0, 0, MOTORS!$B$1,1), MATCH($F28, OFFSET(MOTORS!$A$1,0,0,MOTORS!$B$1,1),0))</f>
        <v>#N/A</v>
      </c>
      <c r="O28" s="107" t="e">
        <f aca="true">INDEX(OFFSET(MOTORS!$E$1, 0, 0, MOTORS!$B$1,1), MATCH($F28, OFFSET(MOTORS!$A$1,0,0,MOTORS!$B$1,1),0))</f>
        <v>#N/A</v>
      </c>
      <c r="P28" s="108" t="e">
        <f aca="true">INDEX(OFFSET(MOTORS!$F$1, 0, 0, MOTORS!$B$1,1), MATCH($F28, OFFSET(MOTORS!$A$1,0,0,MOTORS!$B$1,1),0))</f>
        <v>#N/A</v>
      </c>
      <c r="Q28" s="127" t="n">
        <v>50</v>
      </c>
      <c r="R28" s="109" t="e">
        <f aca="false">P28</f>
        <v>#N/A</v>
      </c>
      <c r="S28" s="82"/>
      <c r="T28" s="159"/>
      <c r="U28" s="74"/>
      <c r="V28" s="84" t="e">
        <f aca="false">W28/(R28/P28)</f>
        <v>#N/A</v>
      </c>
      <c r="W28" s="101"/>
      <c r="X28" s="126" t="s">
        <v>326</v>
      </c>
      <c r="Y28" s="114"/>
      <c r="Z28" s="115"/>
      <c r="AA28" s="86"/>
      <c r="AB28" s="163"/>
      <c r="AC28" s="180"/>
      <c r="AD28" s="87"/>
      <c r="AE28" s="88"/>
      <c r="AF28" s="89"/>
      <c r="AG28" s="88"/>
      <c r="AH28" s="86"/>
      <c r="AI28" s="83"/>
      <c r="AJ28" s="83"/>
      <c r="AK28" s="180"/>
      <c r="AL28" s="180"/>
      <c r="AM28" s="82"/>
      <c r="AN28" s="78"/>
      <c r="AO28" s="82"/>
      <c r="AP28" s="82"/>
      <c r="AQ28" s="82"/>
      <c r="AR28" s="78"/>
      <c r="AS28" s="78"/>
      <c r="AT28" s="78"/>
      <c r="AU28" s="181"/>
      <c r="AV28" s="181"/>
      <c r="AW28" s="113"/>
      <c r="AX28" s="113"/>
    </row>
    <row r="29" s="175" customFormat="true" ht="10.2" hidden="false" customHeight="false" outlineLevel="0" collapsed="false">
      <c r="A29" s="133"/>
      <c r="B29" s="167"/>
      <c r="C29" s="133"/>
      <c r="D29" s="134"/>
      <c r="E29" s="168"/>
      <c r="F29" s="169"/>
      <c r="G29" s="170"/>
      <c r="H29" s="170"/>
      <c r="I29" s="144"/>
      <c r="J29" s="144"/>
      <c r="K29" s="144"/>
      <c r="L29" s="171"/>
      <c r="M29" s="145"/>
      <c r="N29" s="145"/>
      <c r="O29" s="145"/>
      <c r="P29" s="172"/>
      <c r="Q29" s="145"/>
      <c r="R29" s="145"/>
      <c r="S29" s="146"/>
      <c r="T29" s="144"/>
      <c r="U29" s="173"/>
      <c r="V29" s="145"/>
      <c r="W29" s="146"/>
      <c r="X29" s="146"/>
      <c r="Y29" s="146"/>
      <c r="Z29" s="146"/>
      <c r="AA29" s="144"/>
      <c r="AB29" s="145"/>
      <c r="AC29" s="173"/>
      <c r="AD29" s="145"/>
      <c r="AE29" s="146"/>
      <c r="AF29" s="146"/>
      <c r="AG29" s="146"/>
      <c r="AH29" s="144"/>
      <c r="AI29" s="146"/>
      <c r="AJ29" s="146"/>
      <c r="AK29" s="144"/>
      <c r="AL29" s="174"/>
      <c r="AM29" s="144"/>
      <c r="AN29" s="144"/>
      <c r="AO29" s="144"/>
      <c r="AP29" s="144"/>
      <c r="AQ29" s="144"/>
      <c r="AR29" s="144"/>
      <c r="AS29" s="144"/>
      <c r="AT29" s="144"/>
      <c r="AU29" s="146"/>
      <c r="AV29" s="146"/>
      <c r="AW29" s="146"/>
      <c r="AX29" s="146"/>
    </row>
    <row r="30" s="175" customFormat="true" ht="10.2" hidden="false" customHeight="false" outlineLevel="0" collapsed="false">
      <c r="A30" s="133"/>
      <c r="B30" s="167"/>
      <c r="C30" s="133"/>
      <c r="D30" s="134"/>
      <c r="E30" s="168"/>
      <c r="F30" s="169"/>
      <c r="G30" s="170"/>
      <c r="H30" s="170"/>
      <c r="I30" s="144"/>
      <c r="J30" s="144"/>
      <c r="K30" s="144"/>
      <c r="L30" s="171"/>
      <c r="M30" s="145"/>
      <c r="N30" s="145"/>
      <c r="O30" s="145"/>
      <c r="P30" s="172"/>
      <c r="Q30" s="145"/>
      <c r="R30" s="145"/>
      <c r="S30" s="146"/>
      <c r="T30" s="144"/>
      <c r="U30" s="173"/>
      <c r="V30" s="145"/>
      <c r="W30" s="146"/>
      <c r="X30" s="146"/>
      <c r="Y30" s="146"/>
      <c r="Z30" s="146"/>
      <c r="AA30" s="144"/>
      <c r="AB30" s="145"/>
      <c r="AC30" s="173"/>
      <c r="AD30" s="145"/>
      <c r="AE30" s="146"/>
      <c r="AF30" s="146"/>
      <c r="AG30" s="146"/>
      <c r="AH30" s="144"/>
      <c r="AI30" s="146"/>
      <c r="AJ30" s="146"/>
      <c r="AK30" s="144"/>
      <c r="AL30" s="174"/>
      <c r="AM30" s="144"/>
      <c r="AN30" s="144"/>
      <c r="AO30" s="144"/>
      <c r="AP30" s="144"/>
      <c r="AQ30" s="144"/>
      <c r="AR30" s="144"/>
      <c r="AS30" s="144"/>
      <c r="AT30" s="144"/>
      <c r="AU30" s="146"/>
      <c r="AV30" s="146"/>
      <c r="AW30" s="146"/>
      <c r="AX30" s="146"/>
    </row>
    <row r="31" s="122" customFormat="true" ht="10.2" hidden="false" customHeight="false" outlineLevel="0" collapsed="false">
      <c r="A31" s="72" t="n">
        <v>31</v>
      </c>
      <c r="B31" s="164" t="s">
        <v>331</v>
      </c>
      <c r="C31" s="72" t="s">
        <v>322</v>
      </c>
      <c r="D31" s="73" t="s">
        <v>329</v>
      </c>
      <c r="E31" s="101" t="s">
        <v>334</v>
      </c>
      <c r="F31" s="102" t="s">
        <v>325</v>
      </c>
      <c r="G31" s="103" t="s">
        <v>247</v>
      </c>
      <c r="H31" s="103" t="s">
        <v>248</v>
      </c>
      <c r="J31" s="119" t="s">
        <v>250</v>
      </c>
      <c r="K31" s="152" t="s">
        <v>251</v>
      </c>
      <c r="L31" s="106" t="n">
        <v>2</v>
      </c>
      <c r="M31" s="107" t="e">
        <f aca="true">INDEX(OFFSET(MOTORS!$C$1, 0, 0, MOTORS!$B$1,1), MATCH($F31, OFFSET(MOTORS!$A$1,0,0,MOTORS!$B$1,1),0))</f>
        <v>#N/A</v>
      </c>
      <c r="N31" s="107" t="e">
        <f aca="true">INDEX(OFFSET(MOTORS!$D$1, 0, 0, MOTORS!$B$1,1), MATCH($F31, OFFSET(MOTORS!$A$1,0,0,MOTORS!$B$1,1),0))</f>
        <v>#N/A</v>
      </c>
      <c r="O31" s="107" t="e">
        <f aca="true">INDEX(OFFSET(MOTORS!$E$1, 0, 0, MOTORS!$B$1,1), MATCH($F31, OFFSET(MOTORS!$A$1,0,0,MOTORS!$B$1,1),0))</f>
        <v>#N/A</v>
      </c>
      <c r="P31" s="108" t="e">
        <f aca="true">INDEX(OFFSET(MOTORS!$F$1, 0, 0, MOTORS!$B$1,1), MATCH($F31, OFFSET(MOTORS!$A$1,0,0,MOTORS!$B$1,1),0))</f>
        <v>#N/A</v>
      </c>
      <c r="Q31" s="109" t="n">
        <v>50</v>
      </c>
      <c r="R31" s="109" t="e">
        <f aca="false">P31</f>
        <v>#N/A</v>
      </c>
      <c r="S31" s="131"/>
      <c r="T31" s="182"/>
      <c r="U31" s="129"/>
      <c r="V31" s="84" t="e">
        <f aca="false">W31/(R31/P31)</f>
        <v>#N/A</v>
      </c>
      <c r="W31" s="101"/>
      <c r="X31" s="126" t="s">
        <v>326</v>
      </c>
      <c r="Y31" s="131"/>
      <c r="Z31" s="129"/>
      <c r="AA31" s="86"/>
      <c r="AB31" s="127"/>
      <c r="AC31" s="131"/>
      <c r="AD31" s="87"/>
      <c r="AE31" s="88"/>
      <c r="AF31" s="89"/>
      <c r="AG31" s="88"/>
      <c r="AH31" s="86"/>
      <c r="AI31" s="183"/>
      <c r="AJ31" s="183"/>
      <c r="AK31" s="184"/>
      <c r="AL31" s="184"/>
      <c r="AM31" s="82"/>
      <c r="AN31" s="78"/>
      <c r="AO31" s="82"/>
      <c r="AP31" s="82"/>
      <c r="AQ31" s="82"/>
      <c r="AR31" s="78"/>
      <c r="AS31" s="78"/>
      <c r="AT31" s="78"/>
      <c r="AU31" s="130"/>
      <c r="AV31" s="130"/>
      <c r="AW31" s="113"/>
      <c r="AX31" s="113"/>
    </row>
    <row r="32" customFormat="false" ht="10.2" hidden="false" customHeight="false" outlineLevel="0" collapsed="false">
      <c r="A32" s="72" t="n">
        <v>32</v>
      </c>
      <c r="B32" s="164" t="s">
        <v>335</v>
      </c>
      <c r="C32" s="72" t="s">
        <v>336</v>
      </c>
      <c r="D32" s="73" t="s">
        <v>294</v>
      </c>
      <c r="E32" s="101" t="s">
        <v>337</v>
      </c>
      <c r="F32" s="102" t="s">
        <v>296</v>
      </c>
      <c r="G32" s="103" t="s">
        <v>247</v>
      </c>
      <c r="H32" s="103" t="s">
        <v>248</v>
      </c>
      <c r="I32" s="122"/>
      <c r="J32" s="119" t="s">
        <v>250</v>
      </c>
      <c r="K32" s="152" t="s">
        <v>251</v>
      </c>
      <c r="L32" s="106" t="n">
        <v>2</v>
      </c>
      <c r="M32" s="107" t="n">
        <f aca="true">INDEX(OFFSET(MOTORS!$C$1, 0, 0, MOTORS!$B$1,1), MATCH($F32, OFFSET(MOTORS!$A$1,0,0,MOTORS!$B$1,1),0))</f>
        <v>0.8</v>
      </c>
      <c r="N32" s="107" t="n">
        <f aca="true">INDEX(OFFSET(MOTORS!$D$1, 0, 0, MOTORS!$B$1,1), MATCH($F32, OFFSET(MOTORS!$A$1,0,0,MOTORS!$B$1,1),0))</f>
        <v>15</v>
      </c>
      <c r="O32" s="107" t="n">
        <f aca="true">INDEX(OFFSET(MOTORS!$E$1, 0, 0, MOTORS!$B$1,1), MATCH($F32, OFFSET(MOTORS!$A$1,0,0,MOTORS!$B$1,1),0))</f>
        <v>39.6</v>
      </c>
      <c r="P32" s="108" t="n">
        <f aca="true">INDEX(OFFSET(MOTORS!$F$1, 0, 0, MOTORS!$B$1,1), MATCH($F32, OFFSET(MOTORS!$A$1,0,0,MOTORS!$B$1,1),0))</f>
        <v>400</v>
      </c>
      <c r="Q32" s="109" t="n">
        <v>50</v>
      </c>
      <c r="R32" s="109" t="n">
        <f aca="false">P32</f>
        <v>400</v>
      </c>
      <c r="S32" s="128"/>
      <c r="T32" s="182"/>
      <c r="U32" s="154" t="s">
        <v>254</v>
      </c>
      <c r="V32" s="84" t="n">
        <f aca="false">W32/(R32/P32)</f>
        <v>1000000</v>
      </c>
      <c r="W32" s="125" t="n">
        <f aca="false">1000*1/0.001</f>
        <v>1000000</v>
      </c>
      <c r="X32" s="155" t="s">
        <v>338</v>
      </c>
      <c r="Y32" s="114" t="s">
        <v>256</v>
      </c>
      <c r="Z32" s="115" t="s">
        <v>257</v>
      </c>
      <c r="AB32" s="127"/>
      <c r="AC32" s="131"/>
      <c r="AI32" s="183"/>
      <c r="AJ32" s="183"/>
      <c r="AK32" s="184"/>
      <c r="AL32" s="184"/>
      <c r="AU32" s="130"/>
      <c r="AV32" s="130"/>
      <c r="AW32" s="113"/>
      <c r="AX32" s="113"/>
    </row>
    <row r="33" customFormat="false" ht="10.2" hidden="false" customHeight="false" outlineLevel="0" collapsed="false">
      <c r="A33" s="72" t="n">
        <v>33</v>
      </c>
      <c r="B33" s="164" t="s">
        <v>339</v>
      </c>
      <c r="C33" s="72" t="s">
        <v>340</v>
      </c>
      <c r="D33" s="73" t="s">
        <v>247</v>
      </c>
      <c r="E33" s="101" t="s">
        <v>341</v>
      </c>
      <c r="F33" s="102" t="s">
        <v>296</v>
      </c>
      <c r="G33" s="103" t="s">
        <v>247</v>
      </c>
      <c r="H33" s="103" t="s">
        <v>248</v>
      </c>
      <c r="I33" s="122"/>
      <c r="J33" s="119" t="s">
        <v>250</v>
      </c>
      <c r="K33" s="105" t="s">
        <v>251</v>
      </c>
      <c r="L33" s="106" t="n">
        <v>2</v>
      </c>
      <c r="M33" s="107" t="n">
        <f aca="true">INDEX(OFFSET(MOTORS!$C$1, 0, 0, MOTORS!$B$1,1), MATCH($F33, OFFSET(MOTORS!$A$1,0,0,MOTORS!$B$1,1),0))</f>
        <v>0.8</v>
      </c>
      <c r="N33" s="107" t="n">
        <f aca="true">INDEX(OFFSET(MOTORS!$D$1, 0, 0, MOTORS!$B$1,1), MATCH($F33, OFFSET(MOTORS!$A$1,0,0,MOTORS!$B$1,1),0))</f>
        <v>15</v>
      </c>
      <c r="O33" s="107" t="n">
        <f aca="true">INDEX(OFFSET(MOTORS!$E$1, 0, 0, MOTORS!$B$1,1), MATCH($F33, OFFSET(MOTORS!$A$1,0,0,MOTORS!$B$1,1),0))</f>
        <v>39.6</v>
      </c>
      <c r="P33" s="108" t="n">
        <f aca="true">INDEX(OFFSET(MOTORS!$F$1, 0, 0, MOTORS!$B$1,1), MATCH($F33, OFFSET(MOTORS!$A$1,0,0,MOTORS!$B$1,1),0))</f>
        <v>400</v>
      </c>
      <c r="Q33" s="109" t="n">
        <v>50</v>
      </c>
      <c r="R33" s="109" t="n">
        <f aca="false">P33</f>
        <v>400</v>
      </c>
      <c r="S33" s="128"/>
      <c r="T33" s="182"/>
      <c r="U33" s="154" t="s">
        <v>254</v>
      </c>
      <c r="V33" s="84" t="n">
        <f aca="false">W33/(R33/P33)</f>
        <v>1000000</v>
      </c>
      <c r="W33" s="125" t="n">
        <f aca="false">1000*1/0.001</f>
        <v>1000000</v>
      </c>
      <c r="X33" s="155" t="s">
        <v>255</v>
      </c>
      <c r="Y33" s="114" t="s">
        <v>256</v>
      </c>
      <c r="Z33" s="115" t="s">
        <v>257</v>
      </c>
      <c r="AB33" s="127"/>
      <c r="AC33" s="131"/>
      <c r="AI33" s="183"/>
      <c r="AJ33" s="183"/>
      <c r="AK33" s="184"/>
      <c r="AL33" s="184"/>
      <c r="AU33" s="130"/>
      <c r="AV33" s="130"/>
      <c r="AW33" s="113"/>
      <c r="AX33" s="113"/>
    </row>
    <row r="34" customFormat="false" ht="10.2" hidden="false" customHeight="false" outlineLevel="0" collapsed="false">
      <c r="A34" s="72" t="n">
        <v>34</v>
      </c>
      <c r="B34" s="164" t="s">
        <v>342</v>
      </c>
      <c r="C34" s="72" t="s">
        <v>340</v>
      </c>
      <c r="D34" s="73" t="s">
        <v>247</v>
      </c>
      <c r="E34" s="101" t="s">
        <v>343</v>
      </c>
      <c r="F34" s="102" t="s">
        <v>296</v>
      </c>
      <c r="G34" s="103" t="s">
        <v>247</v>
      </c>
      <c r="H34" s="103" t="s">
        <v>248</v>
      </c>
      <c r="I34" s="122"/>
      <c r="J34" s="119" t="s">
        <v>250</v>
      </c>
      <c r="K34" s="105" t="s">
        <v>251</v>
      </c>
      <c r="L34" s="106" t="n">
        <v>2</v>
      </c>
      <c r="M34" s="107" t="n">
        <f aca="true">INDEX(OFFSET(MOTORS!$C$1, 0, 0, MOTORS!$B$1,1), MATCH($F34, OFFSET(MOTORS!$A$1,0,0,MOTORS!$B$1,1),0))</f>
        <v>0.8</v>
      </c>
      <c r="N34" s="107" t="n">
        <f aca="true">INDEX(OFFSET(MOTORS!$D$1, 0, 0, MOTORS!$B$1,1), MATCH($F34, OFFSET(MOTORS!$A$1,0,0,MOTORS!$B$1,1),0))</f>
        <v>15</v>
      </c>
      <c r="O34" s="107" t="n">
        <f aca="true">INDEX(OFFSET(MOTORS!$E$1, 0, 0, MOTORS!$B$1,1), MATCH($F34, OFFSET(MOTORS!$A$1,0,0,MOTORS!$B$1,1),0))</f>
        <v>39.6</v>
      </c>
      <c r="P34" s="108" t="n">
        <f aca="true">INDEX(OFFSET(MOTORS!$F$1, 0, 0, MOTORS!$B$1,1), MATCH($F34, OFFSET(MOTORS!$A$1,0,0,MOTORS!$B$1,1),0))</f>
        <v>400</v>
      </c>
      <c r="Q34" s="109" t="n">
        <v>50</v>
      </c>
      <c r="R34" s="109" t="n">
        <f aca="false">P34</f>
        <v>400</v>
      </c>
      <c r="S34" s="131"/>
      <c r="T34" s="182"/>
      <c r="U34" s="154" t="s">
        <v>254</v>
      </c>
      <c r="V34" s="84" t="n">
        <f aca="false">W34/(R34/P34)</f>
        <v>1000000</v>
      </c>
      <c r="W34" s="125" t="n">
        <f aca="false">1000*1/0.001</f>
        <v>1000000</v>
      </c>
      <c r="X34" s="155" t="s">
        <v>255</v>
      </c>
      <c r="Y34" s="114" t="s">
        <v>256</v>
      </c>
      <c r="Z34" s="115" t="s">
        <v>257</v>
      </c>
      <c r="AB34" s="163"/>
      <c r="AC34" s="131"/>
      <c r="AI34" s="183"/>
      <c r="AJ34" s="183"/>
      <c r="AK34" s="184"/>
      <c r="AL34" s="184"/>
      <c r="AU34" s="130"/>
      <c r="AV34" s="130"/>
      <c r="AW34" s="113"/>
      <c r="AX34" s="113"/>
    </row>
    <row r="35" s="166" customFormat="true" ht="10.2" hidden="false" customHeight="false" outlineLevel="0" collapsed="false">
      <c r="A35" s="72" t="n">
        <v>35</v>
      </c>
      <c r="B35" s="164" t="s">
        <v>344</v>
      </c>
      <c r="C35" s="72" t="s">
        <v>345</v>
      </c>
      <c r="D35" s="73" t="s">
        <v>247</v>
      </c>
      <c r="E35" s="101" t="s">
        <v>346</v>
      </c>
      <c r="F35" s="102" t="s">
        <v>347</v>
      </c>
      <c r="G35" s="103" t="s">
        <v>247</v>
      </c>
      <c r="H35" s="103" t="s">
        <v>248</v>
      </c>
      <c r="I35" s="122"/>
      <c r="J35" s="119" t="s">
        <v>250</v>
      </c>
      <c r="K35" s="105" t="s">
        <v>251</v>
      </c>
      <c r="L35" s="106" t="n">
        <v>2</v>
      </c>
      <c r="M35" s="107" t="n">
        <f aca="true">INDEX(OFFSET(MOTORS!$C$1, 0, 0, MOTORS!$B$1,1), MATCH($F35, OFFSET(MOTORS!$A$1,0,0,MOTORS!$B$1,1),0))</f>
        <v>2</v>
      </c>
      <c r="N35" s="107" t="n">
        <f aca="true">INDEX(OFFSET(MOTORS!$D$1, 0, 0, MOTORS!$B$1,1), MATCH($F35, OFFSET(MOTORS!$A$1,0,0,MOTORS!$B$1,1),0))</f>
        <v>4.5</v>
      </c>
      <c r="O35" s="107" t="n">
        <f aca="true">INDEX(OFFSET(MOTORS!$E$1, 0, 0, MOTORS!$B$1,1), MATCH($F35, OFFSET(MOTORS!$A$1,0,0,MOTORS!$B$1,1),0))</f>
        <v>19.2</v>
      </c>
      <c r="P35" s="108" t="n">
        <f aca="true">INDEX(OFFSET(MOTORS!$F$1, 0, 0, MOTORS!$B$1,1), MATCH($F35, OFFSET(MOTORS!$A$1,0,0,MOTORS!$B$1,1),0))</f>
        <v>400</v>
      </c>
      <c r="Q35" s="124" t="n">
        <v>50</v>
      </c>
      <c r="R35" s="109" t="n">
        <f aca="false">P35</f>
        <v>400</v>
      </c>
      <c r="S35" s="131"/>
      <c r="T35" s="182"/>
      <c r="U35" s="154" t="s">
        <v>254</v>
      </c>
      <c r="V35" s="84" t="n">
        <f aca="false">W35/(R35/P35)</f>
        <v>1000000</v>
      </c>
      <c r="W35" s="125" t="n">
        <f aca="false">1000*1/0.001</f>
        <v>1000000</v>
      </c>
      <c r="X35" s="155" t="s">
        <v>338</v>
      </c>
      <c r="Y35" s="114" t="s">
        <v>256</v>
      </c>
      <c r="Z35" s="115" t="s">
        <v>257</v>
      </c>
      <c r="AA35" s="86"/>
      <c r="AB35" s="127"/>
      <c r="AC35" s="131"/>
      <c r="AD35" s="87"/>
      <c r="AE35" s="88"/>
      <c r="AF35" s="89"/>
      <c r="AG35" s="88"/>
      <c r="AH35" s="86"/>
      <c r="AI35" s="183"/>
      <c r="AJ35" s="183"/>
      <c r="AK35" s="184"/>
      <c r="AL35" s="184"/>
      <c r="AM35" s="82"/>
      <c r="AN35" s="78"/>
      <c r="AO35" s="82"/>
      <c r="AP35" s="82"/>
      <c r="AQ35" s="82"/>
      <c r="AR35" s="78"/>
      <c r="AS35" s="78"/>
      <c r="AT35" s="78"/>
      <c r="AU35" s="130"/>
      <c r="AV35" s="130"/>
      <c r="AW35" s="113"/>
      <c r="AX35" s="113"/>
    </row>
    <row r="36" s="188" customFormat="true" ht="11.25" hidden="false" customHeight="true" outlineLevel="0" collapsed="false">
      <c r="A36" s="72" t="n">
        <v>36</v>
      </c>
      <c r="B36" s="164" t="s">
        <v>348</v>
      </c>
      <c r="C36" s="72" t="s">
        <v>345</v>
      </c>
      <c r="D36" s="73" t="s">
        <v>247</v>
      </c>
      <c r="E36" s="149" t="s">
        <v>349</v>
      </c>
      <c r="F36" s="102" t="s">
        <v>347</v>
      </c>
      <c r="G36" s="103" t="s">
        <v>247</v>
      </c>
      <c r="H36" s="103" t="s">
        <v>248</v>
      </c>
      <c r="I36" s="151"/>
      <c r="J36" s="119" t="s">
        <v>250</v>
      </c>
      <c r="K36" s="105" t="s">
        <v>251</v>
      </c>
      <c r="L36" s="106" t="n">
        <v>2</v>
      </c>
      <c r="M36" s="107" t="n">
        <f aca="true">INDEX(OFFSET(MOTORS!$C$1, 0, 0, MOTORS!$B$1,1), MATCH($F36, OFFSET(MOTORS!$A$1,0,0,MOTORS!$B$1,1),0))</f>
        <v>2</v>
      </c>
      <c r="N36" s="107" t="n">
        <f aca="true">INDEX(OFFSET(MOTORS!$D$1, 0, 0, MOTORS!$B$1,1), MATCH($F36, OFFSET(MOTORS!$A$1,0,0,MOTORS!$B$1,1),0))</f>
        <v>4.5</v>
      </c>
      <c r="O36" s="107" t="n">
        <f aca="true">INDEX(OFFSET(MOTORS!$E$1, 0, 0, MOTORS!$B$1,1), MATCH($F36, OFFSET(MOTORS!$A$1,0,0,MOTORS!$B$1,1),0))</f>
        <v>19.2</v>
      </c>
      <c r="P36" s="108" t="n">
        <f aca="true">INDEX(OFFSET(MOTORS!$F$1, 0, 0, MOTORS!$B$1,1), MATCH($F36, OFFSET(MOTORS!$A$1,0,0,MOTORS!$B$1,1),0))</f>
        <v>400</v>
      </c>
      <c r="Q36" s="127" t="n">
        <v>50</v>
      </c>
      <c r="R36" s="109" t="n">
        <f aca="false">P36</f>
        <v>400</v>
      </c>
      <c r="S36" s="110"/>
      <c r="T36" s="185"/>
      <c r="U36" s="154" t="s">
        <v>254</v>
      </c>
      <c r="V36" s="84" t="n">
        <f aca="false">W36/(R36/P36)</f>
        <v>1000000</v>
      </c>
      <c r="W36" s="125" t="n">
        <f aca="false">1000*1/0.001</f>
        <v>1000000</v>
      </c>
      <c r="X36" s="155" t="s">
        <v>338</v>
      </c>
      <c r="Y36" s="114" t="s">
        <v>256</v>
      </c>
      <c r="Z36" s="115" t="s">
        <v>257</v>
      </c>
      <c r="AA36" s="86"/>
      <c r="AB36" s="124"/>
      <c r="AC36" s="131"/>
      <c r="AD36" s="87"/>
      <c r="AE36" s="88"/>
      <c r="AF36" s="89"/>
      <c r="AG36" s="88"/>
      <c r="AH36" s="86"/>
      <c r="AI36" s="186"/>
      <c r="AJ36" s="186"/>
      <c r="AK36" s="117"/>
      <c r="AL36" s="118"/>
      <c r="AM36" s="117"/>
      <c r="AN36" s="151"/>
      <c r="AO36" s="82"/>
      <c r="AP36" s="82"/>
      <c r="AQ36" s="82"/>
      <c r="AR36" s="185"/>
      <c r="AS36" s="185"/>
      <c r="AT36" s="185"/>
      <c r="AU36" s="187"/>
      <c r="AV36" s="187"/>
      <c r="AW36" s="187"/>
      <c r="AX36" s="187"/>
    </row>
    <row r="37" s="188" customFormat="true" ht="11.25" hidden="false" customHeight="true" outlineLevel="0" collapsed="false">
      <c r="A37" s="72" t="n">
        <v>37</v>
      </c>
      <c r="B37" s="164" t="s">
        <v>350</v>
      </c>
      <c r="C37" s="72" t="s">
        <v>351</v>
      </c>
      <c r="D37" s="73" t="s">
        <v>247</v>
      </c>
      <c r="E37" s="149" t="s">
        <v>352</v>
      </c>
      <c r="F37" s="102" t="s">
        <v>347</v>
      </c>
      <c r="G37" s="103" t="s">
        <v>247</v>
      </c>
      <c r="H37" s="103" t="s">
        <v>248</v>
      </c>
      <c r="I37" s="151"/>
      <c r="J37" s="119" t="s">
        <v>250</v>
      </c>
      <c r="K37" s="105" t="s">
        <v>251</v>
      </c>
      <c r="L37" s="106" t="n">
        <v>2</v>
      </c>
      <c r="M37" s="107" t="n">
        <f aca="true">INDEX(OFFSET(MOTORS!$C$1, 0, 0, MOTORS!$B$1,1), MATCH($F37, OFFSET(MOTORS!$A$1,0,0,MOTORS!$B$1,1),0))</f>
        <v>2</v>
      </c>
      <c r="N37" s="107" t="n">
        <f aca="true">INDEX(OFFSET(MOTORS!$D$1, 0, 0, MOTORS!$B$1,1), MATCH($F37, OFFSET(MOTORS!$A$1,0,0,MOTORS!$B$1,1),0))</f>
        <v>4.5</v>
      </c>
      <c r="O37" s="107" t="n">
        <f aca="true">INDEX(OFFSET(MOTORS!$E$1, 0, 0, MOTORS!$B$1,1), MATCH($F37, OFFSET(MOTORS!$A$1,0,0,MOTORS!$B$1,1),0))</f>
        <v>19.2</v>
      </c>
      <c r="P37" s="108" t="n">
        <f aca="true">INDEX(OFFSET(MOTORS!$F$1, 0, 0, MOTORS!$B$1,1), MATCH($F37, OFFSET(MOTORS!$A$1,0,0,MOTORS!$B$1,1),0))</f>
        <v>400</v>
      </c>
      <c r="Q37" s="127" t="n">
        <v>50</v>
      </c>
      <c r="R37" s="109" t="n">
        <f aca="false">P37</f>
        <v>400</v>
      </c>
      <c r="S37" s="110"/>
      <c r="T37" s="185"/>
      <c r="U37" s="154" t="s">
        <v>254</v>
      </c>
      <c r="V37" s="84" t="n">
        <f aca="false">W37/(R37/P37)</f>
        <v>1000000</v>
      </c>
      <c r="W37" s="125" t="n">
        <f aca="false">1000*1/0.001</f>
        <v>1000000</v>
      </c>
      <c r="X37" s="155" t="s">
        <v>338</v>
      </c>
      <c r="Y37" s="114" t="s">
        <v>256</v>
      </c>
      <c r="Z37" s="115" t="s">
        <v>257</v>
      </c>
      <c r="AA37" s="86"/>
      <c r="AB37" s="124"/>
      <c r="AC37" s="131"/>
      <c r="AD37" s="87"/>
      <c r="AE37" s="88"/>
      <c r="AF37" s="89"/>
      <c r="AG37" s="88"/>
      <c r="AH37" s="86"/>
      <c r="AI37" s="186"/>
      <c r="AJ37" s="186"/>
      <c r="AK37" s="117"/>
      <c r="AL37" s="118"/>
      <c r="AM37" s="117"/>
      <c r="AN37" s="151"/>
      <c r="AO37" s="82"/>
      <c r="AP37" s="82"/>
      <c r="AQ37" s="82"/>
      <c r="AR37" s="185"/>
      <c r="AS37" s="185"/>
      <c r="AT37" s="185"/>
      <c r="AU37" s="187"/>
      <c r="AV37" s="187"/>
      <c r="AW37" s="187"/>
      <c r="AX37" s="187"/>
    </row>
    <row r="38" s="188" customFormat="true" ht="11.25" hidden="false" customHeight="true" outlineLevel="0" collapsed="false">
      <c r="A38" s="72" t="n">
        <v>38</v>
      </c>
      <c r="B38" s="164" t="s">
        <v>353</v>
      </c>
      <c r="C38" s="72" t="s">
        <v>351</v>
      </c>
      <c r="D38" s="73" t="s">
        <v>354</v>
      </c>
      <c r="E38" s="149" t="s">
        <v>355</v>
      </c>
      <c r="F38" s="102" t="s">
        <v>296</v>
      </c>
      <c r="G38" s="103" t="s">
        <v>247</v>
      </c>
      <c r="H38" s="103" t="s">
        <v>248</v>
      </c>
      <c r="I38" s="151"/>
      <c r="J38" s="119" t="s">
        <v>308</v>
      </c>
      <c r="K38" s="105" t="s">
        <v>251</v>
      </c>
      <c r="L38" s="106" t="n">
        <v>2</v>
      </c>
      <c r="M38" s="107" t="n">
        <f aca="true">INDEX(OFFSET(MOTORS!$C$1, 0, 0, MOTORS!$B$1,1), MATCH($F38, OFFSET(MOTORS!$A$1,0,0,MOTORS!$B$1,1),0))</f>
        <v>0.8</v>
      </c>
      <c r="N38" s="107" t="n">
        <f aca="true">INDEX(OFFSET(MOTORS!$D$1, 0, 0, MOTORS!$B$1,1), MATCH($F38, OFFSET(MOTORS!$A$1,0,0,MOTORS!$B$1,1),0))</f>
        <v>15</v>
      </c>
      <c r="O38" s="107" t="n">
        <f aca="true">INDEX(OFFSET(MOTORS!$E$1, 0, 0, MOTORS!$B$1,1), MATCH($F38, OFFSET(MOTORS!$A$1,0,0,MOTORS!$B$1,1),0))</f>
        <v>39.6</v>
      </c>
      <c r="P38" s="108" t="n">
        <f aca="true">INDEX(OFFSET(MOTORS!$F$1, 0, 0, MOTORS!$B$1,1), MATCH($F38, OFFSET(MOTORS!$A$1,0,0,MOTORS!$B$1,1),0))</f>
        <v>400</v>
      </c>
      <c r="Q38" s="127" t="n">
        <v>50</v>
      </c>
      <c r="R38" s="109" t="n">
        <f aca="false">P38</f>
        <v>400</v>
      </c>
      <c r="S38" s="110"/>
      <c r="T38" s="185"/>
      <c r="U38" s="154" t="s">
        <v>254</v>
      </c>
      <c r="V38" s="84" t="n">
        <f aca="false">W38/(R38/P38)</f>
        <v>1000000</v>
      </c>
      <c r="W38" s="125" t="n">
        <f aca="false">1000*1/0.001</f>
        <v>1000000</v>
      </c>
      <c r="X38" s="155" t="s">
        <v>255</v>
      </c>
      <c r="Y38" s="114" t="s">
        <v>256</v>
      </c>
      <c r="Z38" s="115" t="s">
        <v>257</v>
      </c>
      <c r="AA38" s="86"/>
      <c r="AB38" s="124"/>
      <c r="AC38" s="131"/>
      <c r="AD38" s="87"/>
      <c r="AE38" s="88"/>
      <c r="AF38" s="89"/>
      <c r="AG38" s="88"/>
      <c r="AH38" s="86"/>
      <c r="AI38" s="186"/>
      <c r="AJ38" s="186"/>
      <c r="AK38" s="117"/>
      <c r="AL38" s="118"/>
      <c r="AM38" s="117"/>
      <c r="AN38" s="151"/>
      <c r="AO38" s="82"/>
      <c r="AP38" s="82"/>
      <c r="AQ38" s="82"/>
      <c r="AR38" s="185"/>
      <c r="AS38" s="185"/>
      <c r="AT38" s="185"/>
      <c r="AU38" s="187"/>
      <c r="AV38" s="187"/>
      <c r="AW38" s="187"/>
      <c r="AX38" s="187"/>
    </row>
    <row r="39" s="175" customFormat="true" ht="10.2" hidden="false" customHeight="false" outlineLevel="0" collapsed="false">
      <c r="A39" s="133"/>
      <c r="B39" s="167"/>
      <c r="C39" s="133"/>
      <c r="D39" s="134"/>
      <c r="E39" s="168"/>
      <c r="F39" s="169"/>
      <c r="G39" s="170"/>
      <c r="H39" s="170"/>
      <c r="I39" s="144"/>
      <c r="J39" s="144"/>
      <c r="K39" s="144"/>
      <c r="L39" s="171"/>
      <c r="M39" s="145"/>
      <c r="N39" s="145"/>
      <c r="O39" s="145"/>
      <c r="P39" s="172"/>
      <c r="Q39" s="145"/>
      <c r="R39" s="145"/>
      <c r="S39" s="146"/>
      <c r="T39" s="144"/>
      <c r="U39" s="173"/>
      <c r="V39" s="145"/>
      <c r="W39" s="146"/>
      <c r="X39" s="146"/>
      <c r="Y39" s="146"/>
      <c r="Z39" s="146"/>
      <c r="AA39" s="144"/>
      <c r="AB39" s="145"/>
      <c r="AC39" s="173"/>
      <c r="AD39" s="145"/>
      <c r="AE39" s="146"/>
      <c r="AF39" s="146"/>
      <c r="AG39" s="146"/>
      <c r="AH39" s="144"/>
      <c r="AI39" s="146"/>
      <c r="AJ39" s="146"/>
      <c r="AK39" s="144"/>
      <c r="AL39" s="174"/>
      <c r="AM39" s="144"/>
      <c r="AN39" s="144"/>
      <c r="AO39" s="144"/>
      <c r="AP39" s="144"/>
      <c r="AQ39" s="144"/>
      <c r="AR39" s="144"/>
      <c r="AS39" s="144"/>
      <c r="AT39" s="144"/>
      <c r="AU39" s="146"/>
      <c r="AV39" s="146"/>
      <c r="AW39" s="146"/>
      <c r="AX39" s="146"/>
    </row>
    <row r="40" s="175" customFormat="true" ht="10.2" hidden="false" customHeight="false" outlineLevel="0" collapsed="false">
      <c r="A40" s="133"/>
      <c r="B40" s="167"/>
      <c r="C40" s="133"/>
      <c r="D40" s="134"/>
      <c r="E40" s="168"/>
      <c r="F40" s="169"/>
      <c r="G40" s="170"/>
      <c r="H40" s="170"/>
      <c r="I40" s="144"/>
      <c r="J40" s="144"/>
      <c r="K40" s="144"/>
      <c r="L40" s="171"/>
      <c r="M40" s="145"/>
      <c r="N40" s="145"/>
      <c r="O40" s="145"/>
      <c r="P40" s="172"/>
      <c r="Q40" s="145"/>
      <c r="R40" s="145"/>
      <c r="S40" s="146"/>
      <c r="T40" s="144"/>
      <c r="U40" s="173"/>
      <c r="V40" s="145"/>
      <c r="W40" s="146"/>
      <c r="X40" s="146"/>
      <c r="Y40" s="146"/>
      <c r="Z40" s="146"/>
      <c r="AA40" s="144"/>
      <c r="AB40" s="145"/>
      <c r="AC40" s="173"/>
      <c r="AD40" s="145"/>
      <c r="AE40" s="146"/>
      <c r="AF40" s="146"/>
      <c r="AG40" s="146"/>
      <c r="AH40" s="144"/>
      <c r="AI40" s="146"/>
      <c r="AJ40" s="146"/>
      <c r="AK40" s="144"/>
      <c r="AL40" s="174"/>
      <c r="AM40" s="144"/>
      <c r="AN40" s="144"/>
      <c r="AO40" s="144"/>
      <c r="AP40" s="144"/>
      <c r="AQ40" s="144"/>
      <c r="AR40" s="144"/>
      <c r="AS40" s="144"/>
      <c r="AT40" s="144"/>
      <c r="AU40" s="146"/>
      <c r="AV40" s="146"/>
      <c r="AW40" s="146"/>
      <c r="AX40" s="146"/>
    </row>
    <row r="41" s="190" customFormat="true" ht="11.25" hidden="false" customHeight="true" outlineLevel="0" collapsed="false">
      <c r="A41" s="189" t="n">
        <v>41</v>
      </c>
      <c r="B41" s="164" t="s">
        <v>353</v>
      </c>
      <c r="C41" s="72" t="s">
        <v>351</v>
      </c>
      <c r="D41" s="73" t="s">
        <v>294</v>
      </c>
      <c r="E41" s="101" t="s">
        <v>356</v>
      </c>
      <c r="F41" s="102" t="s">
        <v>296</v>
      </c>
      <c r="G41" s="103" t="s">
        <v>247</v>
      </c>
      <c r="H41" s="103" t="s">
        <v>248</v>
      </c>
      <c r="I41" s="151"/>
      <c r="J41" s="119" t="s">
        <v>250</v>
      </c>
      <c r="K41" s="152" t="s">
        <v>251</v>
      </c>
      <c r="L41" s="106" t="n">
        <v>2</v>
      </c>
      <c r="M41" s="107" t="n">
        <f aca="true">INDEX(OFFSET(MOTORS!$C$1, 0, 0, MOTORS!$B$1,1), MATCH($F41, OFFSET(MOTORS!$A$1,0,0,MOTORS!$B$1,1),0))</f>
        <v>0.8</v>
      </c>
      <c r="N41" s="107" t="n">
        <f aca="true">INDEX(OFFSET(MOTORS!$D$1, 0, 0, MOTORS!$B$1,1), MATCH($F41, OFFSET(MOTORS!$A$1,0,0,MOTORS!$B$1,1),0))</f>
        <v>15</v>
      </c>
      <c r="O41" s="107" t="n">
        <f aca="true">INDEX(OFFSET(MOTORS!$E$1, 0, 0, MOTORS!$B$1,1), MATCH($F41, OFFSET(MOTORS!$A$1,0,0,MOTORS!$B$1,1),0))</f>
        <v>39.6</v>
      </c>
      <c r="P41" s="108" t="n">
        <f aca="true">INDEX(OFFSET(MOTORS!$F$1, 0, 0, MOTORS!$B$1,1), MATCH($F41, OFFSET(MOTORS!$A$1,0,0,MOTORS!$B$1,1),0))</f>
        <v>400</v>
      </c>
      <c r="Q41" s="109" t="n">
        <v>50</v>
      </c>
      <c r="R41" s="109" t="n">
        <f aca="false">P41</f>
        <v>400</v>
      </c>
      <c r="S41" s="110"/>
      <c r="T41" s="86"/>
      <c r="U41" s="154" t="s">
        <v>254</v>
      </c>
      <c r="V41" s="84" t="n">
        <f aca="false">W41/(R41/P41)</f>
        <v>1000000</v>
      </c>
      <c r="W41" s="125" t="n">
        <f aca="false">1000*1/0.001</f>
        <v>1000000</v>
      </c>
      <c r="X41" s="155" t="s">
        <v>255</v>
      </c>
      <c r="Y41" s="114" t="s">
        <v>256</v>
      </c>
      <c r="Z41" s="115" t="s">
        <v>257</v>
      </c>
      <c r="AA41" s="86"/>
      <c r="AB41" s="124"/>
      <c r="AC41" s="131"/>
      <c r="AD41" s="87"/>
      <c r="AE41" s="88"/>
      <c r="AF41" s="89"/>
      <c r="AG41" s="88"/>
      <c r="AH41" s="86"/>
      <c r="AI41" s="186"/>
      <c r="AJ41" s="186"/>
      <c r="AK41" s="117"/>
      <c r="AL41" s="118"/>
      <c r="AM41" s="117"/>
      <c r="AN41" s="151"/>
      <c r="AO41" s="82"/>
      <c r="AP41" s="82"/>
      <c r="AQ41" s="82"/>
      <c r="AR41" s="86"/>
      <c r="AS41" s="86"/>
      <c r="AT41" s="86"/>
      <c r="AU41" s="89"/>
      <c r="AV41" s="89"/>
      <c r="AW41" s="89"/>
      <c r="AX41" s="89"/>
    </row>
    <row r="42" customFormat="false" ht="11.25" hidden="false" customHeight="true" outlineLevel="0" collapsed="false">
      <c r="A42" s="189" t="n">
        <v>42</v>
      </c>
      <c r="B42" s="164" t="s">
        <v>357</v>
      </c>
      <c r="C42" s="72" t="s">
        <v>358</v>
      </c>
      <c r="D42" s="73" t="s">
        <v>300</v>
      </c>
      <c r="E42" s="101" t="s">
        <v>359</v>
      </c>
      <c r="F42" s="102" t="s">
        <v>313</v>
      </c>
      <c r="G42" s="103" t="s">
        <v>247</v>
      </c>
      <c r="H42" s="103" t="s">
        <v>248</v>
      </c>
      <c r="I42" s="151"/>
      <c r="J42" s="119" t="s">
        <v>250</v>
      </c>
      <c r="K42" s="152" t="s">
        <v>251</v>
      </c>
      <c r="L42" s="106" t="n">
        <v>2</v>
      </c>
      <c r="M42" s="107" t="n">
        <f aca="true">INDEX(OFFSET(MOTORS!$C$1, 0, 0, MOTORS!$B$1,1), MATCH($F42, OFFSET(MOTORS!$A$1,0,0,MOTORS!$B$1,1),0))</f>
        <v>7.5</v>
      </c>
      <c r="N42" s="107" t="n">
        <f aca="true">INDEX(OFFSET(MOTORS!$D$1, 0, 0, MOTORS!$B$1,1), MATCH($F42, OFFSET(MOTORS!$A$1,0,0,MOTORS!$B$1,1),0))</f>
        <v>0.24</v>
      </c>
      <c r="O42" s="107" t="n">
        <f aca="true">INDEX(OFFSET(MOTORS!$E$1, 0, 0, MOTORS!$B$1,1), MATCH($F42, OFFSET(MOTORS!$A$1,0,0,MOTORS!$B$1,1),0))</f>
        <v>1.5</v>
      </c>
      <c r="P42" s="108" t="n">
        <f aca="true">INDEX(OFFSET(MOTORS!$F$1, 0, 0, MOTORS!$B$1,1), MATCH($F42, OFFSET(MOTORS!$A$1,0,0,MOTORS!$B$1,1),0))</f>
        <v>200</v>
      </c>
      <c r="Q42" s="109" t="n">
        <v>50</v>
      </c>
      <c r="R42" s="109" t="n">
        <f aca="false">P42</f>
        <v>200</v>
      </c>
      <c r="S42" s="110"/>
      <c r="T42" s="86"/>
      <c r="U42" s="154"/>
      <c r="V42" s="84" t="n">
        <f aca="false">W42/(R42/P42)</f>
        <v>0</v>
      </c>
      <c r="W42" s="115"/>
      <c r="X42" s="155" t="s">
        <v>360</v>
      </c>
      <c r="Y42" s="114" t="s">
        <v>256</v>
      </c>
      <c r="Z42" s="115" t="s">
        <v>257</v>
      </c>
      <c r="AB42" s="124"/>
      <c r="AC42" s="131"/>
      <c r="AI42" s="186"/>
      <c r="AJ42" s="186"/>
      <c r="AK42" s="117"/>
      <c r="AL42" s="118"/>
      <c r="AM42" s="117"/>
      <c r="AN42" s="151"/>
      <c r="AR42" s="86"/>
      <c r="AS42" s="86"/>
      <c r="AT42" s="86"/>
      <c r="AU42" s="89"/>
      <c r="AV42" s="89"/>
      <c r="AW42" s="89"/>
      <c r="AX42" s="89"/>
    </row>
    <row r="43" s="100" customFormat="true" ht="11.25" hidden="false" customHeight="true" outlineLevel="0" collapsed="false">
      <c r="A43" s="189" t="n">
        <v>43</v>
      </c>
      <c r="B43" s="164" t="s">
        <v>361</v>
      </c>
      <c r="C43" s="72" t="s">
        <v>340</v>
      </c>
      <c r="D43" s="73" t="s">
        <v>354</v>
      </c>
      <c r="E43" s="101" t="s">
        <v>362</v>
      </c>
      <c r="F43" s="102" t="s">
        <v>347</v>
      </c>
      <c r="G43" s="103" t="s">
        <v>247</v>
      </c>
      <c r="H43" s="103" t="s">
        <v>248</v>
      </c>
      <c r="I43" s="104"/>
      <c r="J43" s="119" t="s">
        <v>308</v>
      </c>
      <c r="K43" s="105" t="s">
        <v>251</v>
      </c>
      <c r="L43" s="106" t="n">
        <v>2</v>
      </c>
      <c r="M43" s="107" t="n">
        <f aca="true">INDEX(OFFSET(MOTORS!$C$1, 0, 0, MOTORS!$B$1,1), MATCH($F43, OFFSET(MOTORS!$A$1,0,0,MOTORS!$B$1,1),0))</f>
        <v>2</v>
      </c>
      <c r="N43" s="107" t="n">
        <f aca="true">INDEX(OFFSET(MOTORS!$D$1, 0, 0, MOTORS!$B$1,1), MATCH($F43, OFFSET(MOTORS!$A$1,0,0,MOTORS!$B$1,1),0))</f>
        <v>4.5</v>
      </c>
      <c r="O43" s="107" t="n">
        <f aca="true">INDEX(OFFSET(MOTORS!$E$1, 0, 0, MOTORS!$B$1,1), MATCH($F43, OFFSET(MOTORS!$A$1,0,0,MOTORS!$B$1,1),0))</f>
        <v>19.2</v>
      </c>
      <c r="P43" s="108" t="n">
        <f aca="true">INDEX(OFFSET(MOTORS!$F$1, 0, 0, MOTORS!$B$1,1), MATCH($F43, OFFSET(MOTORS!$A$1,0,0,MOTORS!$B$1,1),0))</f>
        <v>400</v>
      </c>
      <c r="Q43" s="109" t="n">
        <v>50</v>
      </c>
      <c r="R43" s="109" t="n">
        <f aca="false">P43</f>
        <v>400</v>
      </c>
      <c r="S43" s="110"/>
      <c r="T43" s="86"/>
      <c r="U43" s="154" t="s">
        <v>254</v>
      </c>
      <c r="V43" s="84" t="n">
        <f aca="false">W43/(R43/P43)</f>
        <v>0</v>
      </c>
      <c r="W43" s="115"/>
      <c r="X43" s="155" t="s">
        <v>309</v>
      </c>
      <c r="Y43" s="114" t="s">
        <v>256</v>
      </c>
      <c r="Z43" s="115" t="s">
        <v>257</v>
      </c>
      <c r="AA43" s="86"/>
      <c r="AB43" s="124"/>
      <c r="AC43" s="131"/>
      <c r="AD43" s="87"/>
      <c r="AE43" s="88"/>
      <c r="AF43" s="89"/>
      <c r="AG43" s="88"/>
      <c r="AH43" s="86"/>
      <c r="AI43" s="116"/>
      <c r="AJ43" s="116"/>
      <c r="AK43" s="117"/>
      <c r="AL43" s="118"/>
      <c r="AM43" s="117"/>
      <c r="AN43" s="104"/>
      <c r="AO43" s="82"/>
      <c r="AP43" s="82"/>
      <c r="AQ43" s="82"/>
      <c r="AR43" s="86"/>
      <c r="AS43" s="86"/>
      <c r="AT43" s="86"/>
      <c r="AU43" s="89"/>
      <c r="AV43" s="89"/>
      <c r="AW43" s="89"/>
      <c r="AX43" s="89"/>
    </row>
    <row r="44" customFormat="false" ht="11.25" hidden="false" customHeight="true" outlineLevel="0" collapsed="false">
      <c r="A44" s="189" t="n">
        <v>44</v>
      </c>
      <c r="B44" s="164" t="s">
        <v>361</v>
      </c>
      <c r="C44" s="72" t="s">
        <v>340</v>
      </c>
      <c r="D44" s="73" t="s">
        <v>247</v>
      </c>
      <c r="E44" s="101" t="s">
        <v>363</v>
      </c>
      <c r="F44" s="102" t="s">
        <v>303</v>
      </c>
      <c r="G44" s="103" t="s">
        <v>247</v>
      </c>
      <c r="H44" s="103" t="s">
        <v>248</v>
      </c>
      <c r="I44" s="104"/>
      <c r="J44" s="119" t="s">
        <v>250</v>
      </c>
      <c r="K44" s="105" t="s">
        <v>251</v>
      </c>
      <c r="L44" s="106" t="n">
        <v>2</v>
      </c>
      <c r="M44" s="107" t="n">
        <f aca="true">INDEX(OFFSET(MOTORS!$C$1, 0, 0, MOTORS!$B$1,1), MATCH($F44, OFFSET(MOTORS!$A$1,0,0,MOTORS!$B$1,1),0))</f>
        <v>3.9</v>
      </c>
      <c r="N44" s="107" t="n">
        <f aca="true">INDEX(OFFSET(MOTORS!$D$1, 0, 0, MOTORS!$B$1,1), MATCH($F44, OFFSET(MOTORS!$A$1,0,0,MOTORS!$B$1,1),0))</f>
        <v>0.7</v>
      </c>
      <c r="O44" s="107" t="n">
        <f aca="true">INDEX(OFFSET(MOTORS!$E$1, 0, 0, MOTORS!$B$1,1), MATCH($F44, OFFSET(MOTORS!$A$1,0,0,MOTORS!$B$1,1),0))</f>
        <v>1.7</v>
      </c>
      <c r="P44" s="108" t="n">
        <f aca="true">INDEX(OFFSET(MOTORS!$F$1, 0, 0, MOTORS!$B$1,1), MATCH($F44, OFFSET(MOTORS!$A$1,0,0,MOTORS!$B$1,1),0))</f>
        <v>400</v>
      </c>
      <c r="Q44" s="109" t="n">
        <v>50</v>
      </c>
      <c r="R44" s="109" t="n">
        <f aca="false">P44</f>
        <v>400</v>
      </c>
      <c r="S44" s="110"/>
      <c r="T44" s="86"/>
      <c r="U44" s="154" t="s">
        <v>254</v>
      </c>
      <c r="V44" s="84" t="n">
        <f aca="false">W44/(R44/P44)</f>
        <v>1000000</v>
      </c>
      <c r="W44" s="125" t="n">
        <f aca="false">1000*1/0.001</f>
        <v>1000000</v>
      </c>
      <c r="X44" s="155" t="s">
        <v>255</v>
      </c>
      <c r="Y44" s="114" t="s">
        <v>256</v>
      </c>
      <c r="Z44" s="115" t="s">
        <v>257</v>
      </c>
      <c r="AB44" s="124"/>
      <c r="AC44" s="131"/>
      <c r="AI44" s="116"/>
      <c r="AJ44" s="116"/>
      <c r="AK44" s="117"/>
      <c r="AL44" s="118"/>
      <c r="AM44" s="117"/>
      <c r="AN44" s="104"/>
      <c r="AR44" s="86"/>
      <c r="AS44" s="86"/>
      <c r="AT44" s="86"/>
      <c r="AU44" s="89"/>
      <c r="AV44" s="89"/>
      <c r="AW44" s="89"/>
      <c r="AX44" s="89"/>
    </row>
    <row r="45" customFormat="false" ht="11.25" hidden="false" customHeight="true" outlineLevel="0" collapsed="false">
      <c r="A45" s="189" t="n">
        <v>45</v>
      </c>
      <c r="B45" s="164" t="s">
        <v>364</v>
      </c>
      <c r="C45" s="72" t="s">
        <v>340</v>
      </c>
      <c r="D45" s="73" t="s">
        <v>365</v>
      </c>
      <c r="E45" s="101" t="s">
        <v>366</v>
      </c>
      <c r="F45" s="102" t="s">
        <v>347</v>
      </c>
      <c r="G45" s="103" t="s">
        <v>247</v>
      </c>
      <c r="H45" s="103" t="s">
        <v>248</v>
      </c>
      <c r="I45" s="104"/>
      <c r="J45" s="119" t="s">
        <v>308</v>
      </c>
      <c r="K45" s="105" t="s">
        <v>251</v>
      </c>
      <c r="L45" s="106" t="n">
        <v>2</v>
      </c>
      <c r="M45" s="107" t="n">
        <f aca="true">INDEX(OFFSET(MOTORS!$C$1, 0, 0, MOTORS!$B$1,1), MATCH($F45, OFFSET(MOTORS!$A$1,0,0,MOTORS!$B$1,1),0))</f>
        <v>2</v>
      </c>
      <c r="N45" s="107" t="n">
        <f aca="true">INDEX(OFFSET(MOTORS!$D$1, 0, 0, MOTORS!$B$1,1), MATCH($F45, OFFSET(MOTORS!$A$1,0,0,MOTORS!$B$1,1),0))</f>
        <v>4.5</v>
      </c>
      <c r="O45" s="107" t="n">
        <f aca="true">INDEX(OFFSET(MOTORS!$E$1, 0, 0, MOTORS!$B$1,1), MATCH($F45, OFFSET(MOTORS!$A$1,0,0,MOTORS!$B$1,1),0))</f>
        <v>19.2</v>
      </c>
      <c r="P45" s="108" t="n">
        <f aca="true">INDEX(OFFSET(MOTORS!$F$1, 0, 0, MOTORS!$B$1,1), MATCH($F45, OFFSET(MOTORS!$A$1,0,0,MOTORS!$B$1,1),0))</f>
        <v>400</v>
      </c>
      <c r="Q45" s="124" t="n">
        <v>50</v>
      </c>
      <c r="R45" s="109" t="n">
        <f aca="false">P45</f>
        <v>400</v>
      </c>
      <c r="S45" s="110"/>
      <c r="T45" s="86"/>
      <c r="U45" s="154" t="s">
        <v>254</v>
      </c>
      <c r="V45" s="84" t="n">
        <f aca="false">W45/(R45/P45)</f>
        <v>0</v>
      </c>
      <c r="W45" s="115"/>
      <c r="X45" s="155" t="s">
        <v>367</v>
      </c>
      <c r="Y45" s="114" t="s">
        <v>256</v>
      </c>
      <c r="Z45" s="115" t="s">
        <v>257</v>
      </c>
      <c r="AB45" s="124"/>
      <c r="AC45" s="131"/>
      <c r="AI45" s="116"/>
      <c r="AJ45" s="116"/>
      <c r="AK45" s="117"/>
      <c r="AL45" s="118"/>
      <c r="AM45" s="117"/>
      <c r="AN45" s="104"/>
      <c r="AR45" s="86"/>
      <c r="AS45" s="86"/>
      <c r="AT45" s="86"/>
      <c r="AU45" s="89"/>
      <c r="AV45" s="89"/>
      <c r="AW45" s="89"/>
      <c r="AX45" s="89"/>
    </row>
    <row r="46" customFormat="false" ht="11.25" hidden="false" customHeight="true" outlineLevel="0" collapsed="false">
      <c r="A46" s="189" t="n">
        <v>46</v>
      </c>
      <c r="B46" s="164" t="s">
        <v>364</v>
      </c>
      <c r="C46" s="72" t="s">
        <v>340</v>
      </c>
      <c r="D46" s="73" t="s">
        <v>368</v>
      </c>
      <c r="E46" s="149" t="s">
        <v>369</v>
      </c>
      <c r="F46" s="102" t="s">
        <v>303</v>
      </c>
      <c r="G46" s="103" t="s">
        <v>247</v>
      </c>
      <c r="H46" s="103" t="s">
        <v>248</v>
      </c>
      <c r="I46" s="104"/>
      <c r="J46" s="119" t="s">
        <v>308</v>
      </c>
      <c r="K46" s="105" t="s">
        <v>251</v>
      </c>
      <c r="L46" s="106" t="n">
        <v>2</v>
      </c>
      <c r="M46" s="107" t="n">
        <f aca="true">INDEX(OFFSET(MOTORS!$C$1, 0, 0, MOTORS!$B$1,1), MATCH($F46, OFFSET(MOTORS!$A$1,0,0,MOTORS!$B$1,1),0))</f>
        <v>3.9</v>
      </c>
      <c r="N46" s="107" t="n">
        <f aca="true">INDEX(OFFSET(MOTORS!$D$1, 0, 0, MOTORS!$B$1,1), MATCH($F46, OFFSET(MOTORS!$A$1,0,0,MOTORS!$B$1,1),0))</f>
        <v>0.7</v>
      </c>
      <c r="O46" s="107" t="n">
        <f aca="true">INDEX(OFFSET(MOTORS!$E$1, 0, 0, MOTORS!$B$1,1), MATCH($F46, OFFSET(MOTORS!$A$1,0,0,MOTORS!$B$1,1),0))</f>
        <v>1.7</v>
      </c>
      <c r="P46" s="108" t="n">
        <f aca="true">INDEX(OFFSET(MOTORS!$F$1, 0, 0, MOTORS!$B$1,1), MATCH($F46, OFFSET(MOTORS!$A$1,0,0,MOTORS!$B$1,1),0))</f>
        <v>400</v>
      </c>
      <c r="Q46" s="127" t="n">
        <v>50</v>
      </c>
      <c r="R46" s="109" t="n">
        <f aca="false">P46</f>
        <v>400</v>
      </c>
      <c r="S46" s="110"/>
      <c r="T46" s="86"/>
      <c r="U46" s="154" t="s">
        <v>254</v>
      </c>
      <c r="V46" s="84" t="n">
        <f aca="false">W46/(R46/P46)</f>
        <v>0</v>
      </c>
      <c r="W46" s="115"/>
      <c r="X46" s="155" t="s">
        <v>370</v>
      </c>
      <c r="Y46" s="114" t="s">
        <v>256</v>
      </c>
      <c r="Z46" s="115" t="s">
        <v>257</v>
      </c>
      <c r="AB46" s="124"/>
      <c r="AC46" s="131"/>
      <c r="AI46" s="116"/>
      <c r="AJ46" s="116"/>
      <c r="AK46" s="117"/>
      <c r="AL46" s="118"/>
      <c r="AM46" s="117"/>
      <c r="AN46" s="104"/>
      <c r="AR46" s="86"/>
      <c r="AS46" s="86"/>
      <c r="AT46" s="86"/>
      <c r="AU46" s="89"/>
      <c r="AV46" s="89"/>
      <c r="AW46" s="89"/>
      <c r="AX46" s="89"/>
    </row>
    <row r="47" customFormat="false" ht="11.25" hidden="false" customHeight="true" outlineLevel="0" collapsed="false">
      <c r="A47" s="189" t="n">
        <v>47</v>
      </c>
      <c r="B47" s="164" t="s">
        <v>371</v>
      </c>
      <c r="C47" s="72" t="s">
        <v>372</v>
      </c>
      <c r="D47" s="73" t="s">
        <v>306</v>
      </c>
      <c r="E47" s="149" t="s">
        <v>373</v>
      </c>
      <c r="F47" s="102" t="s">
        <v>313</v>
      </c>
      <c r="G47" s="103" t="s">
        <v>247</v>
      </c>
      <c r="H47" s="103" t="s">
        <v>248</v>
      </c>
      <c r="I47" s="104"/>
      <c r="J47" s="119" t="s">
        <v>308</v>
      </c>
      <c r="K47" s="105" t="s">
        <v>251</v>
      </c>
      <c r="L47" s="106" t="n">
        <v>2</v>
      </c>
      <c r="M47" s="107" t="n">
        <f aca="true">INDEX(OFFSET(MOTORS!$C$1, 0, 0, MOTORS!$B$1,1), MATCH($F47, OFFSET(MOTORS!$A$1,0,0,MOTORS!$B$1,1),0))</f>
        <v>7.5</v>
      </c>
      <c r="N47" s="107" t="n">
        <f aca="true">INDEX(OFFSET(MOTORS!$D$1, 0, 0, MOTORS!$B$1,1), MATCH($F47, OFFSET(MOTORS!$A$1,0,0,MOTORS!$B$1,1),0))</f>
        <v>0.24</v>
      </c>
      <c r="O47" s="107" t="n">
        <f aca="true">INDEX(OFFSET(MOTORS!$E$1, 0, 0, MOTORS!$B$1,1), MATCH($F47, OFFSET(MOTORS!$A$1,0,0,MOTORS!$B$1,1),0))</f>
        <v>1.5</v>
      </c>
      <c r="P47" s="108" t="n">
        <f aca="true">INDEX(OFFSET(MOTORS!$F$1, 0, 0, MOTORS!$B$1,1), MATCH($F47, OFFSET(MOTORS!$A$1,0,0,MOTORS!$B$1,1),0))</f>
        <v>200</v>
      </c>
      <c r="Q47" s="127" t="n">
        <v>50</v>
      </c>
      <c r="R47" s="109" t="n">
        <f aca="false">P47</f>
        <v>200</v>
      </c>
      <c r="S47" s="110"/>
      <c r="T47" s="86"/>
      <c r="U47" s="154"/>
      <c r="V47" s="84" t="n">
        <f aca="false">W47/(R47/P47)</f>
        <v>0</v>
      </c>
      <c r="W47" s="115"/>
      <c r="X47" s="126"/>
      <c r="Y47" s="110"/>
      <c r="Z47" s="115"/>
      <c r="AB47" s="124"/>
      <c r="AC47" s="131"/>
      <c r="AI47" s="116"/>
      <c r="AJ47" s="116"/>
      <c r="AK47" s="117"/>
      <c r="AL47" s="118"/>
      <c r="AM47" s="117"/>
      <c r="AN47" s="104"/>
      <c r="AR47" s="86"/>
      <c r="AS47" s="86"/>
      <c r="AT47" s="86"/>
      <c r="AU47" s="89"/>
      <c r="AV47" s="89"/>
      <c r="AW47" s="89"/>
      <c r="AX47" s="89"/>
    </row>
    <row r="48" customFormat="false" ht="11.25" hidden="false" customHeight="true" outlineLevel="0" collapsed="false">
      <c r="A48" s="189" t="n">
        <v>48</v>
      </c>
      <c r="B48" s="164" t="s">
        <v>374</v>
      </c>
      <c r="C48" s="72" t="s">
        <v>293</v>
      </c>
      <c r="D48" s="73" t="s">
        <v>294</v>
      </c>
      <c r="E48" s="149" t="s">
        <v>375</v>
      </c>
      <c r="F48" s="102" t="s">
        <v>347</v>
      </c>
      <c r="G48" s="103" t="s">
        <v>247</v>
      </c>
      <c r="H48" s="103" t="s">
        <v>248</v>
      </c>
      <c r="I48" s="104"/>
      <c r="J48" s="119" t="s">
        <v>250</v>
      </c>
      <c r="K48" s="105" t="s">
        <v>251</v>
      </c>
      <c r="L48" s="106" t="n">
        <v>2</v>
      </c>
      <c r="M48" s="107" t="n">
        <f aca="true">INDEX(OFFSET(MOTORS!$C$1, 0, 0, MOTORS!$B$1,1), MATCH($F48, OFFSET(MOTORS!$A$1,0,0,MOTORS!$B$1,1),0))</f>
        <v>2</v>
      </c>
      <c r="N48" s="107" t="n">
        <f aca="true">INDEX(OFFSET(MOTORS!$D$1, 0, 0, MOTORS!$B$1,1), MATCH($F48, OFFSET(MOTORS!$A$1,0,0,MOTORS!$B$1,1),0))</f>
        <v>4.5</v>
      </c>
      <c r="O48" s="107" t="n">
        <f aca="true">INDEX(OFFSET(MOTORS!$E$1, 0, 0, MOTORS!$B$1,1), MATCH($F48, OFFSET(MOTORS!$A$1,0,0,MOTORS!$B$1,1),0))</f>
        <v>19.2</v>
      </c>
      <c r="P48" s="108" t="n">
        <f aca="true">INDEX(OFFSET(MOTORS!$F$1, 0, 0, MOTORS!$B$1,1), MATCH($F48, OFFSET(MOTORS!$A$1,0,0,MOTORS!$B$1,1),0))</f>
        <v>400</v>
      </c>
      <c r="Q48" s="127" t="n">
        <v>50</v>
      </c>
      <c r="R48" s="109" t="n">
        <f aca="false">P48</f>
        <v>400</v>
      </c>
      <c r="S48" s="110"/>
      <c r="T48" s="86"/>
      <c r="U48" s="154"/>
      <c r="V48" s="84" t="n">
        <f aca="false">W48/(R48/P48)</f>
        <v>0</v>
      </c>
      <c r="W48" s="115"/>
      <c r="X48" s="126"/>
      <c r="Y48" s="110"/>
      <c r="Z48" s="115"/>
      <c r="AB48" s="124"/>
      <c r="AC48" s="131"/>
      <c r="AI48" s="116"/>
      <c r="AJ48" s="116"/>
      <c r="AK48" s="117"/>
      <c r="AL48" s="118"/>
      <c r="AM48" s="117"/>
      <c r="AN48" s="104"/>
      <c r="AR48" s="86"/>
      <c r="AS48" s="86"/>
      <c r="AT48" s="86"/>
      <c r="AU48" s="89"/>
      <c r="AV48" s="89"/>
      <c r="AW48" s="89"/>
      <c r="AX48" s="89"/>
    </row>
    <row r="49" s="175" customFormat="true" ht="10.2" hidden="false" customHeight="false" outlineLevel="0" collapsed="false">
      <c r="A49" s="133"/>
      <c r="B49" s="167"/>
      <c r="C49" s="133"/>
      <c r="D49" s="134"/>
      <c r="E49" s="168"/>
      <c r="F49" s="169"/>
      <c r="G49" s="170"/>
      <c r="H49" s="170"/>
      <c r="I49" s="144"/>
      <c r="J49" s="144"/>
      <c r="K49" s="144"/>
      <c r="L49" s="171"/>
      <c r="M49" s="145"/>
      <c r="N49" s="145"/>
      <c r="O49" s="145"/>
      <c r="P49" s="172"/>
      <c r="Q49" s="145"/>
      <c r="R49" s="145"/>
      <c r="S49" s="146"/>
      <c r="T49" s="144"/>
      <c r="U49" s="173"/>
      <c r="V49" s="145"/>
      <c r="W49" s="146"/>
      <c r="X49" s="146"/>
      <c r="Y49" s="146"/>
      <c r="Z49" s="146"/>
      <c r="AA49" s="146"/>
      <c r="AB49" s="145"/>
      <c r="AC49" s="146"/>
      <c r="AD49" s="146"/>
      <c r="AE49" s="146"/>
      <c r="AF49" s="146"/>
      <c r="AG49" s="146"/>
      <c r="AH49" s="146"/>
      <c r="AI49" s="146"/>
      <c r="AJ49" s="146"/>
      <c r="AK49" s="144"/>
      <c r="AL49" s="174"/>
      <c r="AM49" s="144"/>
      <c r="AN49" s="144"/>
      <c r="AO49" s="144"/>
      <c r="AP49" s="144"/>
      <c r="AQ49" s="144"/>
      <c r="AR49" s="144"/>
      <c r="AS49" s="144"/>
      <c r="AT49" s="144"/>
      <c r="AU49" s="146"/>
      <c r="AV49" s="146"/>
      <c r="AW49" s="146"/>
      <c r="AX49" s="146"/>
    </row>
    <row r="50" s="175" customFormat="true" ht="10.2" hidden="false" customHeight="false" outlineLevel="0" collapsed="false">
      <c r="A50" s="133"/>
      <c r="B50" s="167"/>
      <c r="C50" s="133"/>
      <c r="D50" s="134"/>
      <c r="E50" s="168"/>
      <c r="F50" s="169"/>
      <c r="G50" s="170"/>
      <c r="H50" s="170"/>
      <c r="I50" s="144"/>
      <c r="J50" s="144"/>
      <c r="K50" s="144"/>
      <c r="L50" s="171"/>
      <c r="M50" s="145"/>
      <c r="N50" s="145"/>
      <c r="O50" s="145"/>
      <c r="P50" s="172"/>
      <c r="Q50" s="145"/>
      <c r="R50" s="145"/>
      <c r="S50" s="146"/>
      <c r="T50" s="144"/>
      <c r="U50" s="173"/>
      <c r="V50" s="145"/>
      <c r="W50" s="146"/>
      <c r="X50" s="146"/>
      <c r="Y50" s="146"/>
      <c r="Z50" s="146"/>
      <c r="AA50" s="146"/>
      <c r="AB50" s="145"/>
      <c r="AC50" s="146"/>
      <c r="AD50" s="146"/>
      <c r="AE50" s="146"/>
      <c r="AF50" s="146"/>
      <c r="AG50" s="146"/>
      <c r="AH50" s="146"/>
      <c r="AI50" s="146"/>
      <c r="AJ50" s="146"/>
      <c r="AK50" s="144"/>
      <c r="AL50" s="174"/>
      <c r="AM50" s="144"/>
      <c r="AN50" s="144"/>
      <c r="AO50" s="144"/>
      <c r="AP50" s="144"/>
      <c r="AQ50" s="144"/>
      <c r="AR50" s="144"/>
      <c r="AS50" s="144"/>
      <c r="AT50" s="144"/>
      <c r="AU50" s="146"/>
      <c r="AV50" s="146"/>
      <c r="AW50" s="146"/>
      <c r="AX50" s="146"/>
    </row>
    <row r="51" customFormat="false" ht="10.2" hidden="false" customHeight="false" outlineLevel="0" collapsed="false">
      <c r="A51" s="189" t="n">
        <v>51</v>
      </c>
      <c r="B51" s="164" t="s">
        <v>374</v>
      </c>
      <c r="C51" s="72" t="s">
        <v>293</v>
      </c>
      <c r="D51" s="73" t="s">
        <v>300</v>
      </c>
      <c r="E51" s="101" t="s">
        <v>376</v>
      </c>
      <c r="F51" s="191" t="s">
        <v>296</v>
      </c>
      <c r="G51" s="103" t="s">
        <v>247</v>
      </c>
      <c r="H51" s="103" t="s">
        <v>248</v>
      </c>
      <c r="I51" s="157"/>
      <c r="J51" s="103" t="s">
        <v>250</v>
      </c>
      <c r="K51" s="105" t="s">
        <v>251</v>
      </c>
      <c r="L51" s="106" t="n">
        <v>2</v>
      </c>
      <c r="M51" s="107" t="n">
        <f aca="true">INDEX(OFFSET(MOTORS!$C$1, 0, 0, MOTORS!$B$1,1), MATCH($F51, OFFSET(MOTORS!$A$1,0,0,MOTORS!$B$1,1),0))</f>
        <v>0.8</v>
      </c>
      <c r="N51" s="107" t="n">
        <f aca="true">INDEX(OFFSET(MOTORS!$D$1, 0, 0, MOTORS!$B$1,1), MATCH($F51, OFFSET(MOTORS!$A$1,0,0,MOTORS!$B$1,1),0))</f>
        <v>15</v>
      </c>
      <c r="O51" s="107" t="n">
        <f aca="true">INDEX(OFFSET(MOTORS!$E$1, 0, 0, MOTORS!$B$1,1), MATCH($F51, OFFSET(MOTORS!$A$1,0,0,MOTORS!$B$1,1),0))</f>
        <v>39.6</v>
      </c>
      <c r="P51" s="108" t="n">
        <f aca="true">INDEX(OFFSET(MOTORS!$F$1, 0, 0, MOTORS!$B$1,1), MATCH($F51, OFFSET(MOTORS!$A$1,0,0,MOTORS!$B$1,1),0))</f>
        <v>400</v>
      </c>
      <c r="Q51" s="109" t="n">
        <v>50</v>
      </c>
      <c r="R51" s="109" t="n">
        <f aca="false">P51</f>
        <v>400</v>
      </c>
      <c r="S51" s="110"/>
      <c r="T51" s="111"/>
      <c r="U51" s="101"/>
      <c r="V51" s="84" t="n">
        <f aca="false">W51/(R51/P51)</f>
        <v>0</v>
      </c>
      <c r="W51" s="101"/>
      <c r="X51" s="113"/>
      <c r="Y51" s="114"/>
      <c r="Z51" s="101"/>
      <c r="AB51" s="109"/>
      <c r="AC51" s="131"/>
      <c r="AI51" s="156"/>
      <c r="AJ51" s="156"/>
      <c r="AK51" s="114"/>
      <c r="AL51" s="114"/>
      <c r="AU51" s="113"/>
      <c r="AV51" s="113"/>
      <c r="AW51" s="113"/>
      <c r="AX51" s="113"/>
    </row>
    <row r="52" customFormat="false" ht="10.2" hidden="false" customHeight="false" outlineLevel="0" collapsed="false">
      <c r="A52" s="189" t="n">
        <v>52</v>
      </c>
      <c r="B52" s="164" t="s">
        <v>374</v>
      </c>
      <c r="C52" s="72" t="s">
        <v>293</v>
      </c>
      <c r="D52" s="73" t="s">
        <v>247</v>
      </c>
      <c r="E52" s="101" t="s">
        <v>377</v>
      </c>
      <c r="F52" s="191" t="s">
        <v>303</v>
      </c>
      <c r="G52" s="103" t="s">
        <v>247</v>
      </c>
      <c r="H52" s="103" t="s">
        <v>248</v>
      </c>
      <c r="I52" s="160"/>
      <c r="J52" s="103" t="s">
        <v>250</v>
      </c>
      <c r="K52" s="105" t="s">
        <v>251</v>
      </c>
      <c r="L52" s="106" t="n">
        <v>2</v>
      </c>
      <c r="M52" s="107" t="n">
        <f aca="true">INDEX(OFFSET(MOTORS!$C$1, 0, 0, MOTORS!$B$1,1), MATCH($F52, OFFSET(MOTORS!$A$1,0,0,MOTORS!$B$1,1),0))</f>
        <v>3.9</v>
      </c>
      <c r="N52" s="107" t="n">
        <f aca="true">INDEX(OFFSET(MOTORS!$D$1, 0, 0, MOTORS!$B$1,1), MATCH($F52, OFFSET(MOTORS!$A$1,0,0,MOTORS!$B$1,1),0))</f>
        <v>0.7</v>
      </c>
      <c r="O52" s="107" t="n">
        <f aca="true">INDEX(OFFSET(MOTORS!$E$1, 0, 0, MOTORS!$B$1,1), MATCH($F52, OFFSET(MOTORS!$A$1,0,0,MOTORS!$B$1,1),0))</f>
        <v>1.7</v>
      </c>
      <c r="P52" s="108" t="n">
        <f aca="true">INDEX(OFFSET(MOTORS!$F$1, 0, 0, MOTORS!$B$1,1), MATCH($F52, OFFSET(MOTORS!$A$1,0,0,MOTORS!$B$1,1),0))</f>
        <v>400</v>
      </c>
      <c r="Q52" s="109" t="n">
        <v>50</v>
      </c>
      <c r="R52" s="109" t="n">
        <f aca="false">P52</f>
        <v>400</v>
      </c>
      <c r="S52" s="110"/>
      <c r="T52" s="111"/>
      <c r="U52" s="101"/>
      <c r="V52" s="84" t="n">
        <f aca="false">W52/(R52/P52)</f>
        <v>0</v>
      </c>
      <c r="W52" s="101"/>
      <c r="X52" s="113"/>
      <c r="Y52" s="114"/>
      <c r="Z52" s="101"/>
      <c r="AB52" s="109"/>
      <c r="AC52" s="131"/>
      <c r="AI52" s="156"/>
      <c r="AJ52" s="156"/>
      <c r="AK52" s="114"/>
      <c r="AL52" s="114"/>
      <c r="AU52" s="113"/>
      <c r="AV52" s="113"/>
      <c r="AW52" s="113"/>
      <c r="AX52" s="113"/>
    </row>
    <row r="53" customFormat="false" ht="10.2" hidden="false" customHeight="false" outlineLevel="0" collapsed="false">
      <c r="A53" s="189" t="n">
        <v>53</v>
      </c>
      <c r="B53" s="72" t="s">
        <v>378</v>
      </c>
      <c r="C53" s="72" t="s">
        <v>243</v>
      </c>
      <c r="D53" s="73" t="s">
        <v>244</v>
      </c>
      <c r="E53" s="101" t="s">
        <v>379</v>
      </c>
      <c r="F53" s="102" t="s">
        <v>246</v>
      </c>
      <c r="G53" s="103" t="s">
        <v>247</v>
      </c>
      <c r="H53" s="103" t="s">
        <v>248</v>
      </c>
      <c r="I53" s="104" t="s">
        <v>249</v>
      </c>
      <c r="J53" s="103" t="s">
        <v>250</v>
      </c>
      <c r="K53" s="105" t="s">
        <v>251</v>
      </c>
      <c r="L53" s="106" t="n">
        <v>2</v>
      </c>
      <c r="M53" s="107" t="n">
        <f aca="true">INDEX(OFFSET(MOTORS!$C$1, 0, 0, MOTORS!$B$1,1), MATCH($F53, OFFSET(MOTORS!$A$1,0,0,MOTORS!$B$1,1),0))</f>
        <v>2</v>
      </c>
      <c r="N53" s="107" t="n">
        <f aca="true">INDEX(OFFSET(MOTORS!$D$1, 0, 0, MOTORS!$B$1,1), MATCH($F53, OFFSET(MOTORS!$A$1,0,0,MOTORS!$B$1,1),0))</f>
        <v>2</v>
      </c>
      <c r="O53" s="107" t="n">
        <f aca="true">INDEX(OFFSET(MOTORS!$E$1, 0, 0, MOTORS!$B$1,1), MATCH($F53, OFFSET(MOTORS!$A$1,0,0,MOTORS!$B$1,1),0))</f>
        <v>2.8</v>
      </c>
      <c r="P53" s="108" t="n">
        <f aca="true">INDEX(OFFSET(MOTORS!$F$1, 0, 0, MOTORS!$B$1,1), MATCH($F53, OFFSET(MOTORS!$A$1,0,0,MOTORS!$B$1,1),0))</f>
        <v>200</v>
      </c>
      <c r="Q53" s="109" t="n">
        <v>50</v>
      </c>
      <c r="R53" s="109" t="n">
        <f aca="false">P53</f>
        <v>200</v>
      </c>
      <c r="S53" s="110" t="s">
        <v>252</v>
      </c>
      <c r="T53" s="111" t="s">
        <v>253</v>
      </c>
      <c r="U53" s="101" t="s">
        <v>254</v>
      </c>
      <c r="V53" s="84" t="n">
        <f aca="false">W53/(R53/P53)</f>
        <v>1000000</v>
      </c>
      <c r="W53" s="112" t="n">
        <f aca="false">1000*1/0.001</f>
        <v>1000000</v>
      </c>
      <c r="X53" s="113" t="s">
        <v>255</v>
      </c>
      <c r="Y53" s="114" t="s">
        <v>256</v>
      </c>
      <c r="Z53" s="101" t="s">
        <v>257</v>
      </c>
      <c r="AA53" s="111" t="s">
        <v>258</v>
      </c>
      <c r="AB53" s="109"/>
      <c r="AC53" s="131"/>
      <c r="AI53" s="116" t="n">
        <v>2</v>
      </c>
      <c r="AJ53" s="116" t="n">
        <v>0</v>
      </c>
      <c r="AK53" s="117" t="s">
        <v>253</v>
      </c>
      <c r="AL53" s="118" t="s">
        <v>253</v>
      </c>
      <c r="AM53" s="82" t="s">
        <v>253</v>
      </c>
      <c r="AN53" s="104"/>
      <c r="AU53" s="113"/>
      <c r="AV53" s="113"/>
      <c r="AW53" s="113"/>
      <c r="AX53" s="113"/>
    </row>
    <row r="54" customFormat="false" ht="10.2" hidden="false" customHeight="false" outlineLevel="0" collapsed="false">
      <c r="A54" s="189" t="n">
        <v>1</v>
      </c>
      <c r="B54" s="72" t="s">
        <v>378</v>
      </c>
      <c r="C54" s="72" t="s">
        <v>243</v>
      </c>
      <c r="D54" s="73" t="s">
        <v>259</v>
      </c>
      <c r="E54" s="101" t="s">
        <v>380</v>
      </c>
      <c r="F54" s="102" t="s">
        <v>246</v>
      </c>
      <c r="G54" s="103" t="s">
        <v>247</v>
      </c>
      <c r="H54" s="103" t="s">
        <v>248</v>
      </c>
      <c r="I54" s="104" t="s">
        <v>249</v>
      </c>
      <c r="J54" s="103" t="s">
        <v>250</v>
      </c>
      <c r="K54" s="105" t="s">
        <v>251</v>
      </c>
      <c r="L54" s="106" t="n">
        <v>2</v>
      </c>
      <c r="M54" s="107" t="n">
        <f aca="true">INDEX(OFFSET(MOTORS!$C$1, 0, 0, MOTORS!$B$1,1), MATCH($F54, OFFSET(MOTORS!$A$1,0,0,MOTORS!$B$1,1),0))</f>
        <v>2</v>
      </c>
      <c r="N54" s="107" t="n">
        <f aca="true">INDEX(OFFSET(MOTORS!$D$1, 0, 0, MOTORS!$B$1,1), MATCH($F54, OFFSET(MOTORS!$A$1,0,0,MOTORS!$B$1,1),0))</f>
        <v>2</v>
      </c>
      <c r="O54" s="107" t="n">
        <f aca="true">INDEX(OFFSET(MOTORS!$E$1, 0, 0, MOTORS!$B$1,1), MATCH($F54, OFFSET(MOTORS!$A$1,0,0,MOTORS!$B$1,1),0))</f>
        <v>2.8</v>
      </c>
      <c r="P54" s="108" t="n">
        <f aca="true">INDEX(OFFSET(MOTORS!$F$1, 0, 0, MOTORS!$B$1,1), MATCH($F54, OFFSET(MOTORS!$A$1,0,0,MOTORS!$B$1,1),0))</f>
        <v>200</v>
      </c>
      <c r="Q54" s="109" t="n">
        <v>50</v>
      </c>
      <c r="R54" s="109" t="n">
        <f aca="false">P54</f>
        <v>200</v>
      </c>
      <c r="S54" s="110" t="s">
        <v>252</v>
      </c>
      <c r="T54" s="111" t="s">
        <v>253</v>
      </c>
      <c r="U54" s="101" t="s">
        <v>254</v>
      </c>
      <c r="V54" s="84" t="n">
        <f aca="false">W54/(R54/P54)</f>
        <v>1000000</v>
      </c>
      <c r="W54" s="112" t="n">
        <f aca="false">1000*1/0.001</f>
        <v>1000000</v>
      </c>
      <c r="X54" s="113" t="s">
        <v>255</v>
      </c>
      <c r="Y54" s="114" t="s">
        <v>256</v>
      </c>
      <c r="Z54" s="101" t="s">
        <v>257</v>
      </c>
      <c r="AA54" s="111" t="s">
        <v>258</v>
      </c>
      <c r="AB54" s="163"/>
      <c r="AC54" s="131"/>
      <c r="AI54" s="116" t="n">
        <v>2</v>
      </c>
      <c r="AJ54" s="116" t="n">
        <v>0</v>
      </c>
      <c r="AK54" s="117" t="s">
        <v>253</v>
      </c>
      <c r="AL54" s="118" t="s">
        <v>253</v>
      </c>
      <c r="AM54" s="82" t="s">
        <v>253</v>
      </c>
      <c r="AN54" s="104"/>
      <c r="AU54" s="113"/>
      <c r="AV54" s="113"/>
      <c r="AW54" s="113"/>
      <c r="AX54" s="113"/>
    </row>
    <row r="55" customFormat="false" ht="10.2" hidden="false" customHeight="false" outlineLevel="0" collapsed="false">
      <c r="A55" s="189" t="n">
        <v>55</v>
      </c>
      <c r="B55" s="72" t="s">
        <v>378</v>
      </c>
      <c r="C55" s="72" t="s">
        <v>243</v>
      </c>
      <c r="D55" s="73" t="s">
        <v>261</v>
      </c>
      <c r="E55" s="101" t="s">
        <v>381</v>
      </c>
      <c r="F55" s="102" t="s">
        <v>246</v>
      </c>
      <c r="G55" s="103" t="s">
        <v>247</v>
      </c>
      <c r="H55" s="103" t="s">
        <v>248</v>
      </c>
      <c r="I55" s="104" t="s">
        <v>249</v>
      </c>
      <c r="J55" s="103" t="s">
        <v>250</v>
      </c>
      <c r="K55" s="105" t="s">
        <v>251</v>
      </c>
      <c r="L55" s="106" t="n">
        <v>2</v>
      </c>
      <c r="M55" s="107" t="n">
        <f aca="true">INDEX(OFFSET(MOTORS!$C$1, 0, 0, MOTORS!$B$1,1), MATCH($F55, OFFSET(MOTORS!$A$1,0,0,MOTORS!$B$1,1),0))</f>
        <v>2</v>
      </c>
      <c r="N55" s="107" t="n">
        <f aca="true">INDEX(OFFSET(MOTORS!$D$1, 0, 0, MOTORS!$B$1,1), MATCH($F55, OFFSET(MOTORS!$A$1,0,0,MOTORS!$B$1,1),0))</f>
        <v>2</v>
      </c>
      <c r="O55" s="107" t="n">
        <f aca="true">INDEX(OFFSET(MOTORS!$E$1, 0, 0, MOTORS!$B$1,1), MATCH($F55, OFFSET(MOTORS!$A$1,0,0,MOTORS!$B$1,1),0))</f>
        <v>2.8</v>
      </c>
      <c r="P55" s="108" t="n">
        <f aca="true">INDEX(OFFSET(MOTORS!$F$1, 0, 0, MOTORS!$B$1,1), MATCH($F55, OFFSET(MOTORS!$A$1,0,0,MOTORS!$B$1,1),0))</f>
        <v>200</v>
      </c>
      <c r="Q55" s="124" t="n">
        <v>50</v>
      </c>
      <c r="R55" s="109" t="n">
        <f aca="false">P55</f>
        <v>200</v>
      </c>
      <c r="S55" s="110" t="s">
        <v>263</v>
      </c>
      <c r="T55" s="111" t="s">
        <v>253</v>
      </c>
      <c r="U55" s="101" t="s">
        <v>254</v>
      </c>
      <c r="V55" s="84" t="n">
        <f aca="false">W55/(R55/P55)</f>
        <v>1000000</v>
      </c>
      <c r="W55" s="112" t="n">
        <f aca="false">1000*1/0.001</f>
        <v>1000000</v>
      </c>
      <c r="X55" s="113" t="s">
        <v>255</v>
      </c>
      <c r="Y55" s="114" t="s">
        <v>256</v>
      </c>
      <c r="Z55" s="101" t="s">
        <v>257</v>
      </c>
      <c r="AA55" s="111" t="s">
        <v>258</v>
      </c>
      <c r="AB55" s="163"/>
      <c r="AC55" s="131"/>
      <c r="AI55" s="116" t="n">
        <v>2</v>
      </c>
      <c r="AJ55" s="116" t="n">
        <v>0</v>
      </c>
      <c r="AK55" s="117" t="s">
        <v>253</v>
      </c>
      <c r="AL55" s="118" t="s">
        <v>253</v>
      </c>
      <c r="AM55" s="82" t="s">
        <v>253</v>
      </c>
      <c r="AN55" s="104"/>
      <c r="AU55" s="113"/>
      <c r="AV55" s="113"/>
      <c r="AW55" s="113"/>
      <c r="AX55" s="113"/>
    </row>
    <row r="56" s="176" customFormat="true" ht="10.2" hidden="false" customHeight="false" outlineLevel="0" collapsed="false">
      <c r="A56" s="189" t="n">
        <v>56</v>
      </c>
      <c r="B56" s="72" t="s">
        <v>378</v>
      </c>
      <c r="C56" s="72" t="s">
        <v>243</v>
      </c>
      <c r="D56" s="73" t="s">
        <v>264</v>
      </c>
      <c r="E56" s="101" t="s">
        <v>382</v>
      </c>
      <c r="F56" s="102" t="s">
        <v>246</v>
      </c>
      <c r="G56" s="103" t="s">
        <v>247</v>
      </c>
      <c r="H56" s="103" t="s">
        <v>248</v>
      </c>
      <c r="I56" s="104" t="s">
        <v>249</v>
      </c>
      <c r="J56" s="103" t="s">
        <v>250</v>
      </c>
      <c r="K56" s="105" t="s">
        <v>251</v>
      </c>
      <c r="L56" s="106" t="n">
        <v>2</v>
      </c>
      <c r="M56" s="107" t="n">
        <f aca="true">INDEX(OFFSET(MOTORS!$C$1, 0, 0, MOTORS!$B$1,1), MATCH($F56, OFFSET(MOTORS!$A$1,0,0,MOTORS!$B$1,1),0))</f>
        <v>2</v>
      </c>
      <c r="N56" s="107" t="n">
        <f aca="true">INDEX(OFFSET(MOTORS!$D$1, 0, 0, MOTORS!$B$1,1), MATCH($F56, OFFSET(MOTORS!$A$1,0,0,MOTORS!$B$1,1),0))</f>
        <v>2</v>
      </c>
      <c r="O56" s="107" t="n">
        <f aca="true">INDEX(OFFSET(MOTORS!$E$1, 0, 0, MOTORS!$B$1,1), MATCH($F56, OFFSET(MOTORS!$A$1,0,0,MOTORS!$B$1,1),0))</f>
        <v>2.8</v>
      </c>
      <c r="P56" s="108" t="n">
        <f aca="true">INDEX(OFFSET(MOTORS!$F$1, 0, 0, MOTORS!$B$1,1), MATCH($F56, OFFSET(MOTORS!$A$1,0,0,MOTORS!$B$1,1),0))</f>
        <v>200</v>
      </c>
      <c r="Q56" s="127" t="n">
        <v>50</v>
      </c>
      <c r="R56" s="109" t="n">
        <f aca="false">P56</f>
        <v>200</v>
      </c>
      <c r="S56" s="110" t="s">
        <v>263</v>
      </c>
      <c r="T56" s="111" t="s">
        <v>253</v>
      </c>
      <c r="U56" s="101" t="s">
        <v>254</v>
      </c>
      <c r="V56" s="84" t="n">
        <f aca="false">W56/(R56/P56)</f>
        <v>1000000</v>
      </c>
      <c r="W56" s="112" t="n">
        <f aca="false">1000*1/0.001</f>
        <v>1000000</v>
      </c>
      <c r="X56" s="113" t="s">
        <v>255</v>
      </c>
      <c r="Y56" s="114" t="s">
        <v>256</v>
      </c>
      <c r="Z56" s="101" t="s">
        <v>257</v>
      </c>
      <c r="AA56" s="111" t="s">
        <v>258</v>
      </c>
      <c r="AB56" s="177"/>
      <c r="AC56" s="131"/>
      <c r="AD56" s="87"/>
      <c r="AE56" s="88"/>
      <c r="AF56" s="89"/>
      <c r="AG56" s="88"/>
      <c r="AH56" s="86"/>
      <c r="AI56" s="116" t="n">
        <v>2</v>
      </c>
      <c r="AJ56" s="116" t="n">
        <v>0</v>
      </c>
      <c r="AK56" s="117" t="s">
        <v>253</v>
      </c>
      <c r="AL56" s="118" t="s">
        <v>253</v>
      </c>
      <c r="AM56" s="82" t="s">
        <v>253</v>
      </c>
      <c r="AN56" s="104"/>
      <c r="AO56" s="82"/>
      <c r="AP56" s="82"/>
      <c r="AQ56" s="82"/>
      <c r="AR56" s="78"/>
      <c r="AS56" s="78"/>
      <c r="AT56" s="78"/>
      <c r="AU56" s="113"/>
      <c r="AV56" s="113"/>
      <c r="AW56" s="113"/>
      <c r="AX56" s="113"/>
    </row>
    <row r="57" customFormat="false" ht="10.2" hidden="false" customHeight="false" outlineLevel="0" collapsed="false">
      <c r="A57" s="189" t="n">
        <v>57</v>
      </c>
      <c r="B57" s="72" t="s">
        <v>383</v>
      </c>
      <c r="C57" s="72" t="s">
        <v>267</v>
      </c>
      <c r="D57" s="192" t="s">
        <v>268</v>
      </c>
      <c r="E57" s="101" t="s">
        <v>384</v>
      </c>
      <c r="F57" s="102" t="s">
        <v>270</v>
      </c>
      <c r="G57" s="103" t="s">
        <v>247</v>
      </c>
      <c r="H57" s="103" t="s">
        <v>248</v>
      </c>
      <c r="I57" s="122" t="s">
        <v>271</v>
      </c>
      <c r="J57" s="123" t="s">
        <v>250</v>
      </c>
      <c r="K57" s="105" t="s">
        <v>251</v>
      </c>
      <c r="L57" s="106" t="n">
        <v>2</v>
      </c>
      <c r="M57" s="107" t="n">
        <f aca="true">INDEX(OFFSET(MOTORS!$C$1, 0, 0, MOTORS!$B$1,1), MATCH($F57, OFFSET(MOTORS!$A$1,0,0,MOTORS!$B$1,1),0))</f>
        <v>3.9</v>
      </c>
      <c r="N57" s="107" t="n">
        <f aca="true">INDEX(OFFSET(MOTORS!$D$1, 0, 0, MOTORS!$B$1,1), MATCH($F57, OFFSET(MOTORS!$A$1,0,0,MOTORS!$B$1,1),0))</f>
        <v>1.23</v>
      </c>
      <c r="O57" s="107" t="n">
        <f aca="true">INDEX(OFFSET(MOTORS!$E$1, 0, 0, MOTORS!$B$1,1), MATCH($F57, OFFSET(MOTORS!$A$1,0,0,MOTORS!$B$1,1),0))</f>
        <v>6</v>
      </c>
      <c r="P57" s="108" t="n">
        <f aca="true">INDEX(OFFSET(MOTORS!$F$1, 0, 0, MOTORS!$B$1,1), MATCH($F57, OFFSET(MOTORS!$A$1,0,0,MOTORS!$B$1,1),0))</f>
        <v>400</v>
      </c>
      <c r="Q57" s="127" t="n">
        <v>50</v>
      </c>
      <c r="R57" s="109" t="n">
        <f aca="false">P57</f>
        <v>400</v>
      </c>
      <c r="S57" s="110" t="s">
        <v>272</v>
      </c>
      <c r="T57" s="111" t="s">
        <v>253</v>
      </c>
      <c r="U57" s="115" t="s">
        <v>254</v>
      </c>
      <c r="V57" s="84" t="n">
        <f aca="false">W57/(R57/P57)</f>
        <v>1000000</v>
      </c>
      <c r="W57" s="125" t="n">
        <f aca="false">1000*1/0.001</f>
        <v>1000000</v>
      </c>
      <c r="X57" s="126" t="s">
        <v>273</v>
      </c>
      <c r="Y57" s="114" t="s">
        <v>256</v>
      </c>
      <c r="Z57" s="115" t="s">
        <v>257</v>
      </c>
      <c r="AA57" s="111" t="s">
        <v>258</v>
      </c>
      <c r="AB57" s="177"/>
      <c r="AC57" s="131"/>
      <c r="AI57" s="116" t="n">
        <v>2</v>
      </c>
      <c r="AJ57" s="116" t="n">
        <v>2</v>
      </c>
      <c r="AK57" s="117" t="s">
        <v>253</v>
      </c>
      <c r="AL57" s="118" t="s">
        <v>253</v>
      </c>
      <c r="AM57" s="117" t="s">
        <v>274</v>
      </c>
      <c r="AN57" s="104" t="s">
        <v>275</v>
      </c>
      <c r="AU57" s="113"/>
      <c r="AV57" s="113"/>
      <c r="AW57" s="113"/>
      <c r="AX57" s="113"/>
    </row>
    <row r="58" customFormat="false" ht="10.2" hidden="false" customHeight="false" outlineLevel="0" collapsed="false">
      <c r="A58" s="189" t="n">
        <v>58</v>
      </c>
      <c r="B58" s="72" t="s">
        <v>385</v>
      </c>
      <c r="C58" s="72" t="s">
        <v>277</v>
      </c>
      <c r="D58" s="73" t="s">
        <v>278</v>
      </c>
      <c r="E58" s="149" t="s">
        <v>386</v>
      </c>
      <c r="F58" s="102" t="s">
        <v>72</v>
      </c>
      <c r="G58" s="103" t="s">
        <v>247</v>
      </c>
      <c r="H58" s="103" t="s">
        <v>248</v>
      </c>
      <c r="I58" s="122" t="s">
        <v>280</v>
      </c>
      <c r="J58" s="123" t="s">
        <v>281</v>
      </c>
      <c r="K58" s="132" t="s">
        <v>251</v>
      </c>
      <c r="L58" s="106" t="n">
        <v>2</v>
      </c>
      <c r="M58" s="107" t="n">
        <f aca="true">INDEX(OFFSET(MOTORS!$C$1, 0, 0, MOTORS!$B$1,1), MATCH($F58, OFFSET(MOTORS!$A$1,0,0,MOTORS!$B$1,1),0))</f>
        <v>0.8</v>
      </c>
      <c r="N58" s="107" t="n">
        <f aca="true">INDEX(OFFSET(MOTORS!$D$1, 0, 0, MOTORS!$B$1,1), MATCH($F58, OFFSET(MOTORS!$A$1,0,0,MOTORS!$B$1,1),0))</f>
        <v>7.5</v>
      </c>
      <c r="O58" s="107" t="n">
        <f aca="true">INDEX(OFFSET(MOTORS!$E$1, 0, 0, MOTORS!$B$1,1), MATCH($F58, OFFSET(MOTORS!$A$1,0,0,MOTORS!$B$1,1),0))</f>
        <v>9.9</v>
      </c>
      <c r="P58" s="108" t="n">
        <f aca="true">INDEX(OFFSET(MOTORS!$F$1, 0, 0, MOTORS!$B$1,1), MATCH($F58, OFFSET(MOTORS!$A$1,0,0,MOTORS!$B$1,1),0))</f>
        <v>400</v>
      </c>
      <c r="Q58" s="127" t="n">
        <v>50</v>
      </c>
      <c r="R58" s="127" t="n">
        <f aca="false">P58*100/1/1000</f>
        <v>40</v>
      </c>
      <c r="S58" s="128" t="s">
        <v>282</v>
      </c>
      <c r="T58" s="111" t="s">
        <v>253</v>
      </c>
      <c r="U58" s="129" t="s">
        <v>254</v>
      </c>
      <c r="V58" s="84" t="n">
        <f aca="false">W58/(R58/P58)</f>
        <v>10000</v>
      </c>
      <c r="W58" s="112" t="n">
        <f aca="false">1/0.001</f>
        <v>1000</v>
      </c>
      <c r="X58" s="130" t="s">
        <v>255</v>
      </c>
      <c r="Y58" s="114" t="s">
        <v>256</v>
      </c>
      <c r="Z58" s="129" t="s">
        <v>257</v>
      </c>
      <c r="AA58" s="111" t="s">
        <v>258</v>
      </c>
      <c r="AB58" s="177"/>
      <c r="AC58" s="131"/>
      <c r="AI58" s="156" t="n">
        <v>2</v>
      </c>
      <c r="AJ58" s="156" t="n">
        <v>2</v>
      </c>
      <c r="AK58" s="114" t="s">
        <v>253</v>
      </c>
      <c r="AL58" s="114" t="s">
        <v>253</v>
      </c>
      <c r="AM58" s="117" t="s">
        <v>274</v>
      </c>
      <c r="AN58" s="151" t="s">
        <v>283</v>
      </c>
      <c r="AU58" s="113"/>
      <c r="AV58" s="113"/>
      <c r="AW58" s="113"/>
      <c r="AX58" s="113"/>
    </row>
    <row r="59" s="175" customFormat="true" ht="10.2" hidden="false" customHeight="false" outlineLevel="0" collapsed="false">
      <c r="A59" s="133"/>
      <c r="B59" s="133"/>
      <c r="C59" s="133"/>
      <c r="D59" s="134"/>
      <c r="E59" s="168"/>
      <c r="F59" s="169"/>
      <c r="G59" s="170"/>
      <c r="H59" s="170"/>
      <c r="I59" s="144"/>
      <c r="J59" s="144"/>
      <c r="K59" s="144"/>
      <c r="L59" s="171"/>
      <c r="N59" s="145"/>
      <c r="O59" s="145"/>
      <c r="P59" s="172"/>
      <c r="Q59" s="145"/>
      <c r="R59" s="145"/>
      <c r="S59" s="146"/>
      <c r="T59" s="144"/>
      <c r="U59" s="173"/>
      <c r="V59" s="145"/>
      <c r="W59" s="146"/>
      <c r="X59" s="146"/>
      <c r="Y59" s="146"/>
      <c r="Z59" s="146"/>
      <c r="AA59" s="146"/>
      <c r="AB59" s="145"/>
      <c r="AC59" s="146"/>
      <c r="AD59" s="146"/>
      <c r="AE59" s="146"/>
      <c r="AF59" s="146"/>
      <c r="AG59" s="146"/>
      <c r="AH59" s="146"/>
      <c r="AI59" s="146"/>
      <c r="AJ59" s="146"/>
      <c r="AK59" s="144"/>
      <c r="AL59" s="174"/>
      <c r="AM59" s="144"/>
      <c r="AN59" s="144"/>
      <c r="AO59" s="144"/>
      <c r="AP59" s="144"/>
      <c r="AQ59" s="144"/>
      <c r="AR59" s="144"/>
      <c r="AS59" s="144"/>
      <c r="AT59" s="144"/>
      <c r="AU59" s="146"/>
      <c r="AV59" s="146"/>
      <c r="AW59" s="146"/>
      <c r="AX59" s="146"/>
    </row>
    <row r="60" s="175" customFormat="true" ht="10.2" hidden="false" customHeight="false" outlineLevel="0" collapsed="false">
      <c r="A60" s="133"/>
      <c r="B60" s="133"/>
      <c r="C60" s="133"/>
      <c r="D60" s="134"/>
      <c r="E60" s="168"/>
      <c r="F60" s="169"/>
      <c r="G60" s="170"/>
      <c r="H60" s="170"/>
      <c r="I60" s="144"/>
      <c r="J60" s="144"/>
      <c r="K60" s="144"/>
      <c r="L60" s="171"/>
      <c r="N60" s="145"/>
      <c r="O60" s="145"/>
      <c r="P60" s="172"/>
      <c r="Q60" s="145"/>
      <c r="R60" s="145"/>
      <c r="S60" s="146"/>
      <c r="T60" s="144"/>
      <c r="U60" s="173"/>
      <c r="V60" s="145"/>
      <c r="W60" s="146"/>
      <c r="X60" s="146"/>
      <c r="Y60" s="146"/>
      <c r="Z60" s="146"/>
      <c r="AA60" s="146"/>
      <c r="AB60" s="145"/>
      <c r="AC60" s="146"/>
      <c r="AD60" s="146"/>
      <c r="AE60" s="146"/>
      <c r="AF60" s="146"/>
      <c r="AG60" s="146"/>
      <c r="AH60" s="146"/>
      <c r="AI60" s="146"/>
      <c r="AJ60" s="146"/>
      <c r="AK60" s="144"/>
      <c r="AL60" s="174"/>
      <c r="AM60" s="144"/>
      <c r="AN60" s="144"/>
      <c r="AO60" s="144"/>
      <c r="AP60" s="144"/>
      <c r="AQ60" s="144"/>
      <c r="AR60" s="144"/>
      <c r="AS60" s="144"/>
      <c r="AT60" s="144"/>
      <c r="AU60" s="146"/>
      <c r="AV60" s="146"/>
      <c r="AW60" s="146"/>
      <c r="AX60" s="146"/>
    </row>
    <row r="61" s="122" customFormat="true" ht="10.2" hidden="false" customHeight="false" outlineLevel="0" collapsed="false">
      <c r="A61" s="189" t="n">
        <v>61</v>
      </c>
      <c r="B61" s="72" t="s">
        <v>385</v>
      </c>
      <c r="C61" s="72" t="s">
        <v>277</v>
      </c>
      <c r="D61" s="73" t="s">
        <v>284</v>
      </c>
      <c r="E61" s="101" t="s">
        <v>387</v>
      </c>
      <c r="F61" s="102" t="s">
        <v>72</v>
      </c>
      <c r="G61" s="103" t="s">
        <v>247</v>
      </c>
      <c r="H61" s="103" t="s">
        <v>248</v>
      </c>
      <c r="I61" s="122" t="s">
        <v>280</v>
      </c>
      <c r="J61" s="103" t="s">
        <v>281</v>
      </c>
      <c r="K61" s="105" t="s">
        <v>251</v>
      </c>
      <c r="L61" s="106" t="n">
        <v>2</v>
      </c>
      <c r="M61" s="107" t="n">
        <f aca="true">INDEX(OFFSET(MOTORS!$C$1, 0, 0, MOTORS!$B$1,1), MATCH($F61, OFFSET(MOTORS!$A$1,0,0,MOTORS!$B$1,1),0))</f>
        <v>0.8</v>
      </c>
      <c r="N61" s="107" t="n">
        <f aca="true">INDEX(OFFSET(MOTORS!$D$1, 0, 0, MOTORS!$B$1,1), MATCH($F61, OFFSET(MOTORS!$A$1,0,0,MOTORS!$B$1,1),0))</f>
        <v>7.5</v>
      </c>
      <c r="O61" s="107" t="n">
        <f aca="true">INDEX(OFFSET(MOTORS!$E$1, 0, 0, MOTORS!$B$1,1), MATCH($F61, OFFSET(MOTORS!$A$1,0,0,MOTORS!$B$1,1),0))</f>
        <v>9.9</v>
      </c>
      <c r="P61" s="108" t="n">
        <f aca="true">INDEX(OFFSET(MOTORS!$F$1, 0, 0, MOTORS!$B$1,1), MATCH($F61, OFFSET(MOTORS!$A$1,0,0,MOTORS!$B$1,1),0))</f>
        <v>400</v>
      </c>
      <c r="Q61" s="109" t="n">
        <v>50</v>
      </c>
      <c r="R61" s="127" t="n">
        <f aca="false">P61*100/1/1000</f>
        <v>40</v>
      </c>
      <c r="S61" s="128" t="s">
        <v>282</v>
      </c>
      <c r="T61" s="111" t="s">
        <v>253</v>
      </c>
      <c r="U61" s="129" t="s">
        <v>254</v>
      </c>
      <c r="V61" s="84" t="n">
        <f aca="false">W61/(R61/P61)</f>
        <v>10000</v>
      </c>
      <c r="W61" s="112" t="n">
        <f aca="false">1/0.001</f>
        <v>1000</v>
      </c>
      <c r="X61" s="130" t="s">
        <v>255</v>
      </c>
      <c r="Y61" s="114" t="s">
        <v>256</v>
      </c>
      <c r="Z61" s="129" t="s">
        <v>257</v>
      </c>
      <c r="AA61" s="111" t="s">
        <v>258</v>
      </c>
      <c r="AB61" s="193"/>
      <c r="AC61" s="131"/>
      <c r="AD61" s="87"/>
      <c r="AE61" s="88"/>
      <c r="AF61" s="89"/>
      <c r="AG61" s="88"/>
      <c r="AH61" s="86"/>
      <c r="AI61" s="156" t="n">
        <v>2</v>
      </c>
      <c r="AJ61" s="156" t="n">
        <v>2</v>
      </c>
      <c r="AK61" s="114" t="s">
        <v>253</v>
      </c>
      <c r="AL61" s="114" t="s">
        <v>253</v>
      </c>
      <c r="AM61" s="117" t="s">
        <v>274</v>
      </c>
      <c r="AN61" s="151" t="s">
        <v>283</v>
      </c>
      <c r="AO61" s="82"/>
      <c r="AP61" s="82"/>
      <c r="AQ61" s="82"/>
      <c r="AR61" s="78"/>
      <c r="AS61" s="78"/>
      <c r="AT61" s="78"/>
      <c r="AU61" s="130"/>
      <c r="AV61" s="130"/>
      <c r="AW61" s="113"/>
      <c r="AX61" s="113"/>
    </row>
    <row r="62" s="122" customFormat="true" ht="10.2" hidden="false" customHeight="false" outlineLevel="0" collapsed="false">
      <c r="A62" s="189" t="n">
        <v>62</v>
      </c>
      <c r="B62" s="72" t="s">
        <v>385</v>
      </c>
      <c r="C62" s="72" t="s">
        <v>277</v>
      </c>
      <c r="D62" s="73" t="s">
        <v>286</v>
      </c>
      <c r="E62" s="101" t="s">
        <v>388</v>
      </c>
      <c r="F62" s="102" t="s">
        <v>72</v>
      </c>
      <c r="G62" s="103" t="s">
        <v>247</v>
      </c>
      <c r="H62" s="103" t="s">
        <v>248</v>
      </c>
      <c r="I62" s="122" t="s">
        <v>280</v>
      </c>
      <c r="J62" s="103" t="s">
        <v>281</v>
      </c>
      <c r="K62" s="105" t="s">
        <v>251</v>
      </c>
      <c r="L62" s="106" t="n">
        <v>2</v>
      </c>
      <c r="M62" s="107" t="n">
        <f aca="true">INDEX(OFFSET(MOTORS!$C$1, 0, 0, MOTORS!$B$1,1), MATCH($F62, OFFSET(MOTORS!$A$1,0,0,MOTORS!$B$1,1),0))</f>
        <v>0.8</v>
      </c>
      <c r="N62" s="107" t="n">
        <f aca="true">INDEX(OFFSET(MOTORS!$D$1, 0, 0, MOTORS!$B$1,1), MATCH($F62, OFFSET(MOTORS!$A$1,0,0,MOTORS!$B$1,1),0))</f>
        <v>7.5</v>
      </c>
      <c r="O62" s="107" t="n">
        <f aca="true">INDEX(OFFSET(MOTORS!$E$1, 0, 0, MOTORS!$B$1,1), MATCH($F62, OFFSET(MOTORS!$A$1,0,0,MOTORS!$B$1,1),0))</f>
        <v>9.9</v>
      </c>
      <c r="P62" s="108" t="n">
        <f aca="true">INDEX(OFFSET(MOTORS!$F$1, 0, 0, MOTORS!$B$1,1), MATCH($F62, OFFSET(MOTORS!$A$1,0,0,MOTORS!$B$1,1),0))</f>
        <v>400</v>
      </c>
      <c r="Q62" s="109" t="n">
        <v>50</v>
      </c>
      <c r="R62" s="127" t="n">
        <f aca="false">P62*100/1/1000</f>
        <v>40</v>
      </c>
      <c r="S62" s="128" t="s">
        <v>282</v>
      </c>
      <c r="T62" s="111" t="s">
        <v>253</v>
      </c>
      <c r="U62" s="129" t="s">
        <v>254</v>
      </c>
      <c r="V62" s="84" t="n">
        <f aca="false">W62/(R62/P62)</f>
        <v>10000</v>
      </c>
      <c r="W62" s="112" t="n">
        <f aca="false">1/0.001</f>
        <v>1000</v>
      </c>
      <c r="X62" s="130" t="s">
        <v>255</v>
      </c>
      <c r="Y62" s="114" t="s">
        <v>256</v>
      </c>
      <c r="Z62" s="129" t="s">
        <v>257</v>
      </c>
      <c r="AA62" s="111" t="s">
        <v>258</v>
      </c>
      <c r="AB62" s="193"/>
      <c r="AC62" s="131"/>
      <c r="AD62" s="87"/>
      <c r="AE62" s="88"/>
      <c r="AF62" s="89"/>
      <c r="AG62" s="88"/>
      <c r="AH62" s="86"/>
      <c r="AI62" s="156" t="n">
        <v>2</v>
      </c>
      <c r="AJ62" s="156" t="n">
        <v>2</v>
      </c>
      <c r="AK62" s="114" t="s">
        <v>253</v>
      </c>
      <c r="AL62" s="114" t="s">
        <v>253</v>
      </c>
      <c r="AM62" s="117" t="s">
        <v>274</v>
      </c>
      <c r="AN62" s="151" t="s">
        <v>283</v>
      </c>
      <c r="AO62" s="82"/>
      <c r="AP62" s="82"/>
      <c r="AQ62" s="82"/>
      <c r="AR62" s="78"/>
      <c r="AS62" s="78"/>
      <c r="AT62" s="78"/>
      <c r="AU62" s="130"/>
      <c r="AV62" s="130"/>
      <c r="AW62" s="113"/>
      <c r="AX62" s="113"/>
    </row>
    <row r="63" customFormat="false" ht="10.2" hidden="false" customHeight="false" outlineLevel="0" collapsed="false">
      <c r="A63" s="189" t="n">
        <v>63</v>
      </c>
      <c r="B63" s="72" t="s">
        <v>385</v>
      </c>
      <c r="C63" s="72" t="s">
        <v>277</v>
      </c>
      <c r="D63" s="73" t="s">
        <v>288</v>
      </c>
      <c r="E63" s="101" t="s">
        <v>389</v>
      </c>
      <c r="F63" s="102" t="s">
        <v>72</v>
      </c>
      <c r="G63" s="103" t="s">
        <v>247</v>
      </c>
      <c r="H63" s="103" t="s">
        <v>248</v>
      </c>
      <c r="I63" s="122" t="s">
        <v>280</v>
      </c>
      <c r="J63" s="103" t="s">
        <v>281</v>
      </c>
      <c r="K63" s="105" t="s">
        <v>251</v>
      </c>
      <c r="L63" s="106" t="n">
        <v>2</v>
      </c>
      <c r="M63" s="107" t="n">
        <f aca="true">INDEX(OFFSET(MOTORS!$C$1, 0, 0, MOTORS!$B$1,1), MATCH($F63, OFFSET(MOTORS!$A$1,0,0,MOTORS!$B$1,1),0))</f>
        <v>0.8</v>
      </c>
      <c r="N63" s="107" t="n">
        <f aca="true">INDEX(OFFSET(MOTORS!$D$1, 0, 0, MOTORS!$B$1,1), MATCH($F63, OFFSET(MOTORS!$A$1,0,0,MOTORS!$B$1,1),0))</f>
        <v>7.5</v>
      </c>
      <c r="O63" s="107" t="n">
        <f aca="true">INDEX(OFFSET(MOTORS!$E$1, 0, 0, MOTORS!$B$1,1), MATCH($F63, OFFSET(MOTORS!$A$1,0,0,MOTORS!$B$1,1),0))</f>
        <v>9.9</v>
      </c>
      <c r="P63" s="108" t="n">
        <f aca="true">INDEX(OFFSET(MOTORS!$F$1, 0, 0, MOTORS!$B$1,1), MATCH($F63, OFFSET(MOTORS!$A$1,0,0,MOTORS!$B$1,1),0))</f>
        <v>400</v>
      </c>
      <c r="Q63" s="109" t="n">
        <v>50</v>
      </c>
      <c r="R63" s="127" t="n">
        <f aca="false">P63*100/1/1000</f>
        <v>40</v>
      </c>
      <c r="S63" s="128" t="s">
        <v>282</v>
      </c>
      <c r="T63" s="111" t="s">
        <v>253</v>
      </c>
      <c r="U63" s="129" t="s">
        <v>254</v>
      </c>
      <c r="V63" s="84" t="n">
        <f aca="false">W63/(R63/P63)</f>
        <v>10000</v>
      </c>
      <c r="W63" s="112" t="n">
        <f aca="false">1/0.001</f>
        <v>1000</v>
      </c>
      <c r="X63" s="130" t="s">
        <v>255</v>
      </c>
      <c r="Y63" s="114" t="s">
        <v>256</v>
      </c>
      <c r="Z63" s="129" t="s">
        <v>257</v>
      </c>
      <c r="AA63" s="111" t="s">
        <v>258</v>
      </c>
      <c r="AB63" s="193"/>
      <c r="AC63" s="131"/>
      <c r="AI63" s="156" t="n">
        <v>2</v>
      </c>
      <c r="AJ63" s="156" t="n">
        <v>2</v>
      </c>
      <c r="AK63" s="114" t="s">
        <v>253</v>
      </c>
      <c r="AL63" s="114" t="s">
        <v>253</v>
      </c>
      <c r="AM63" s="117" t="s">
        <v>274</v>
      </c>
      <c r="AN63" s="151" t="s">
        <v>283</v>
      </c>
      <c r="AU63" s="130"/>
      <c r="AV63" s="130"/>
      <c r="AW63" s="113"/>
      <c r="AX63" s="113"/>
    </row>
    <row r="64" customFormat="false" ht="10.2" hidden="false" customHeight="false" outlineLevel="0" collapsed="false">
      <c r="A64" s="189" t="n">
        <v>64</v>
      </c>
      <c r="B64" s="72" t="s">
        <v>385</v>
      </c>
      <c r="C64" s="72" t="s">
        <v>277</v>
      </c>
      <c r="D64" s="73" t="s">
        <v>290</v>
      </c>
      <c r="E64" s="101" t="s">
        <v>390</v>
      </c>
      <c r="F64" s="102" t="s">
        <v>72</v>
      </c>
      <c r="G64" s="103" t="s">
        <v>247</v>
      </c>
      <c r="H64" s="103" t="s">
        <v>248</v>
      </c>
      <c r="I64" s="122" t="s">
        <v>280</v>
      </c>
      <c r="J64" s="103" t="s">
        <v>281</v>
      </c>
      <c r="K64" s="105" t="s">
        <v>251</v>
      </c>
      <c r="L64" s="106" t="n">
        <v>2</v>
      </c>
      <c r="M64" s="107" t="n">
        <f aca="true">INDEX(OFFSET(MOTORS!$C$1, 0, 0, MOTORS!$B$1,1), MATCH($F64, OFFSET(MOTORS!$A$1,0,0,MOTORS!$B$1,1),0))</f>
        <v>0.8</v>
      </c>
      <c r="N64" s="107" t="n">
        <f aca="true">INDEX(OFFSET(MOTORS!$D$1, 0, 0, MOTORS!$B$1,1), MATCH($F64, OFFSET(MOTORS!$A$1,0,0,MOTORS!$B$1,1),0))</f>
        <v>7.5</v>
      </c>
      <c r="O64" s="107" t="n">
        <f aca="true">INDEX(OFFSET(MOTORS!$E$1, 0, 0, MOTORS!$B$1,1), MATCH($F64, OFFSET(MOTORS!$A$1,0,0,MOTORS!$B$1,1),0))</f>
        <v>9.9</v>
      </c>
      <c r="P64" s="108" t="n">
        <f aca="true">INDEX(OFFSET(MOTORS!$F$1, 0, 0, MOTORS!$B$1,1), MATCH($F64, OFFSET(MOTORS!$A$1,0,0,MOTORS!$B$1,1),0))</f>
        <v>400</v>
      </c>
      <c r="Q64" s="109" t="n">
        <v>50</v>
      </c>
      <c r="R64" s="127" t="n">
        <f aca="false">P64*100/1/1000</f>
        <v>40</v>
      </c>
      <c r="S64" s="128" t="s">
        <v>282</v>
      </c>
      <c r="T64" s="111" t="s">
        <v>253</v>
      </c>
      <c r="U64" s="129" t="s">
        <v>254</v>
      </c>
      <c r="V64" s="84" t="n">
        <f aca="false">W64/(R64/P64)</f>
        <v>10000</v>
      </c>
      <c r="W64" s="112" t="n">
        <f aca="false">1/0.001</f>
        <v>1000</v>
      </c>
      <c r="X64" s="130" t="s">
        <v>255</v>
      </c>
      <c r="Y64" s="114" t="s">
        <v>256</v>
      </c>
      <c r="Z64" s="129" t="s">
        <v>257</v>
      </c>
      <c r="AA64" s="111" t="s">
        <v>258</v>
      </c>
      <c r="AC64" s="131"/>
      <c r="AI64" s="156" t="n">
        <v>2</v>
      </c>
      <c r="AJ64" s="156" t="n">
        <v>2</v>
      </c>
      <c r="AK64" s="114" t="s">
        <v>253</v>
      </c>
      <c r="AL64" s="114" t="s">
        <v>253</v>
      </c>
      <c r="AM64" s="117" t="s">
        <v>274</v>
      </c>
      <c r="AN64" s="151" t="s">
        <v>283</v>
      </c>
      <c r="AU64" s="130"/>
      <c r="AV64" s="130"/>
      <c r="AW64" s="113"/>
      <c r="AX64" s="113"/>
    </row>
    <row r="65" s="166" customFormat="true" ht="10.2" hidden="false" customHeight="false" outlineLevel="0" collapsed="false">
      <c r="A65" s="189" t="n">
        <v>65</v>
      </c>
      <c r="B65" s="72"/>
      <c r="C65" s="72"/>
      <c r="D65" s="73"/>
      <c r="E65" s="101"/>
      <c r="F65" s="102"/>
      <c r="G65" s="103"/>
      <c r="H65" s="103"/>
      <c r="I65" s="130"/>
      <c r="J65" s="123" t="s">
        <v>250</v>
      </c>
      <c r="K65" s="105" t="s">
        <v>251</v>
      </c>
      <c r="L65" s="106" t="n">
        <v>2</v>
      </c>
      <c r="M65" s="107" t="e">
        <f aca="true">INDEX(OFFSET(MOTORS!$C$1, 0, 0, MOTORS!$B$1,1), MATCH($F65, OFFSET(MOTORS!$A$1,0,0,MOTORS!$B$1,1),0))</f>
        <v>#N/A</v>
      </c>
      <c r="N65" s="107" t="e">
        <f aca="true">INDEX(OFFSET(MOTORS!$D$1, 0, 0, MOTORS!$B$1,1), MATCH($F65, OFFSET(MOTORS!$A$1,0,0,MOTORS!$B$1,1),0))</f>
        <v>#N/A</v>
      </c>
      <c r="O65" s="107" t="e">
        <f aca="true">INDEX(OFFSET(MOTORS!$E$1, 0, 0, MOTORS!$B$1,1), MATCH($F65, OFFSET(MOTORS!$A$1,0,0,MOTORS!$B$1,1),0))</f>
        <v>#N/A</v>
      </c>
      <c r="P65" s="108" t="e">
        <f aca="true">INDEX(OFFSET(MOTORS!$F$1, 0, 0, MOTORS!$B$1,1), MATCH($F65, OFFSET(MOTORS!$A$1,0,0,MOTORS!$B$1,1),0))</f>
        <v>#N/A</v>
      </c>
      <c r="Q65" s="124" t="n">
        <v>50</v>
      </c>
      <c r="R65" s="193"/>
      <c r="S65" s="131"/>
      <c r="T65" s="194"/>
      <c r="U65" s="131"/>
      <c r="V65" s="84"/>
      <c r="W65" s="129"/>
      <c r="X65" s="130"/>
      <c r="Y65" s="131"/>
      <c r="Z65" s="129"/>
      <c r="AA65" s="86"/>
      <c r="AB65" s="193"/>
      <c r="AC65" s="131"/>
      <c r="AD65" s="87"/>
      <c r="AE65" s="88"/>
      <c r="AF65" s="89"/>
      <c r="AG65" s="88"/>
      <c r="AH65" s="86"/>
      <c r="AI65" s="183"/>
      <c r="AJ65" s="183"/>
      <c r="AK65" s="184"/>
      <c r="AL65" s="184"/>
      <c r="AM65" s="82"/>
      <c r="AN65" s="78"/>
      <c r="AO65" s="82"/>
      <c r="AP65" s="82"/>
      <c r="AQ65" s="82"/>
      <c r="AR65" s="78"/>
      <c r="AS65" s="78"/>
      <c r="AT65" s="78"/>
      <c r="AU65" s="130"/>
      <c r="AV65" s="130"/>
      <c r="AW65" s="113"/>
      <c r="AX65" s="113"/>
    </row>
    <row r="66" customFormat="false" ht="10.2" hidden="false" customHeight="false" outlineLevel="0" collapsed="false">
      <c r="A66" s="189" t="n">
        <v>66</v>
      </c>
      <c r="E66" s="101"/>
      <c r="F66" s="102"/>
      <c r="G66" s="103"/>
      <c r="H66" s="103"/>
      <c r="I66" s="122"/>
      <c r="J66" s="123" t="s">
        <v>281</v>
      </c>
      <c r="K66" s="105" t="s">
        <v>251</v>
      </c>
      <c r="L66" s="106" t="n">
        <v>2</v>
      </c>
      <c r="M66" s="107" t="e">
        <f aca="true">INDEX(OFFSET(MOTORS!$C$1, 0, 0, MOTORS!$B$1,1), MATCH($F66, OFFSET(MOTORS!$A$1,0,0,MOTORS!$B$1,1),0))</f>
        <v>#N/A</v>
      </c>
      <c r="N66" s="107" t="e">
        <f aca="true">INDEX(OFFSET(MOTORS!$D$1, 0, 0, MOTORS!$B$1,1), MATCH($F66, OFFSET(MOTORS!$A$1,0,0,MOTORS!$B$1,1),0))</f>
        <v>#N/A</v>
      </c>
      <c r="O66" s="107" t="e">
        <f aca="true">INDEX(OFFSET(MOTORS!$E$1, 0, 0, MOTORS!$B$1,1), MATCH($F66, OFFSET(MOTORS!$A$1,0,0,MOTORS!$B$1,1),0))</f>
        <v>#N/A</v>
      </c>
      <c r="P66" s="108" t="e">
        <f aca="true">INDEX(OFFSET(MOTORS!$F$1, 0, 0, MOTORS!$B$1,1), MATCH($F66, OFFSET(MOTORS!$A$1,0,0,MOTORS!$B$1,1),0))</f>
        <v>#N/A</v>
      </c>
      <c r="Q66" s="127" t="n">
        <v>50</v>
      </c>
      <c r="R66" s="193"/>
      <c r="S66" s="131"/>
      <c r="T66" s="182"/>
      <c r="U66" s="131"/>
      <c r="W66" s="101"/>
      <c r="X66" s="130"/>
      <c r="Y66" s="114"/>
      <c r="Z66" s="129"/>
      <c r="AB66" s="193"/>
      <c r="AC66" s="131"/>
      <c r="AI66" s="183"/>
      <c r="AJ66" s="183"/>
      <c r="AK66" s="184"/>
      <c r="AL66" s="184"/>
      <c r="AU66" s="130"/>
      <c r="AV66" s="130"/>
      <c r="AW66" s="113"/>
      <c r="AX66" s="113"/>
    </row>
    <row r="67" customFormat="false" ht="10.2" hidden="false" customHeight="false" outlineLevel="0" collapsed="false">
      <c r="A67" s="189" t="n">
        <v>67</v>
      </c>
      <c r="E67" s="101"/>
      <c r="F67" s="102"/>
      <c r="G67" s="103"/>
      <c r="H67" s="103"/>
      <c r="I67" s="130"/>
      <c r="J67" s="123" t="s">
        <v>281</v>
      </c>
      <c r="K67" s="105" t="s">
        <v>251</v>
      </c>
      <c r="L67" s="106" t="n">
        <v>2</v>
      </c>
      <c r="M67" s="107" t="e">
        <f aca="true">INDEX(OFFSET(MOTORS!$C$1, 0, 0, MOTORS!$B$1,1), MATCH($F67, OFFSET(MOTORS!$A$1,0,0,MOTORS!$B$1,1),0))</f>
        <v>#N/A</v>
      </c>
      <c r="N67" s="107" t="e">
        <f aca="true">INDEX(OFFSET(MOTORS!$D$1, 0, 0, MOTORS!$B$1,1), MATCH($F67, OFFSET(MOTORS!$A$1,0,0,MOTORS!$B$1,1),0))</f>
        <v>#N/A</v>
      </c>
      <c r="O67" s="107" t="e">
        <f aca="true">INDEX(OFFSET(MOTORS!$E$1, 0, 0, MOTORS!$B$1,1), MATCH($F67, OFFSET(MOTORS!$A$1,0,0,MOTORS!$B$1,1),0))</f>
        <v>#N/A</v>
      </c>
      <c r="P67" s="108" t="e">
        <f aca="true">INDEX(OFFSET(MOTORS!$F$1, 0, 0, MOTORS!$B$1,1), MATCH($F67, OFFSET(MOTORS!$A$1,0,0,MOTORS!$B$1,1),0))</f>
        <v>#N/A</v>
      </c>
      <c r="Q67" s="127" t="n">
        <v>50</v>
      </c>
      <c r="R67" s="193"/>
      <c r="S67" s="131"/>
      <c r="T67" s="182"/>
      <c r="U67" s="131"/>
      <c r="W67" s="129"/>
      <c r="X67" s="130"/>
      <c r="Y67" s="131"/>
      <c r="Z67" s="129"/>
      <c r="AB67" s="193"/>
      <c r="AC67" s="131"/>
      <c r="AI67" s="183"/>
      <c r="AJ67" s="183"/>
      <c r="AK67" s="184"/>
      <c r="AL67" s="184"/>
      <c r="AU67" s="130"/>
      <c r="AV67" s="130"/>
      <c r="AW67" s="113"/>
      <c r="AX67" s="113"/>
    </row>
    <row r="68" customFormat="false" ht="10.2" hidden="false" customHeight="false" outlineLevel="0" collapsed="false">
      <c r="A68" s="189" t="n">
        <v>68</v>
      </c>
      <c r="E68" s="101"/>
      <c r="F68" s="102"/>
      <c r="G68" s="103"/>
      <c r="H68" s="103"/>
      <c r="I68" s="160"/>
      <c r="J68" s="123" t="s">
        <v>281</v>
      </c>
      <c r="K68" s="132" t="s">
        <v>251</v>
      </c>
      <c r="L68" s="106" t="n">
        <v>2</v>
      </c>
      <c r="M68" s="107" t="e">
        <f aca="true">INDEX(OFFSET(MOTORS!$C$1, 0, 0, MOTORS!$B$1,1), MATCH($F68, OFFSET(MOTORS!$A$1,0,0,MOTORS!$B$1,1),0))</f>
        <v>#N/A</v>
      </c>
      <c r="N68" s="107" t="e">
        <f aca="true">INDEX(OFFSET(MOTORS!$D$1, 0, 0, MOTORS!$B$1,1), MATCH($F68, OFFSET(MOTORS!$A$1,0,0,MOTORS!$B$1,1),0))</f>
        <v>#N/A</v>
      </c>
      <c r="O68" s="107" t="e">
        <f aca="true">INDEX(OFFSET(MOTORS!$E$1, 0, 0, MOTORS!$B$1,1), MATCH($F68, OFFSET(MOTORS!$A$1,0,0,MOTORS!$B$1,1),0))</f>
        <v>#N/A</v>
      </c>
      <c r="P68" s="108" t="e">
        <f aca="true">INDEX(OFFSET(MOTORS!$F$1, 0, 0, MOTORS!$B$1,1), MATCH($F68, OFFSET(MOTORS!$A$1,0,0,MOTORS!$B$1,1),0))</f>
        <v>#N/A</v>
      </c>
      <c r="Q68" s="127" t="n">
        <v>50</v>
      </c>
      <c r="R68" s="177"/>
      <c r="S68" s="161"/>
      <c r="T68" s="159"/>
      <c r="U68" s="114"/>
      <c r="W68" s="101"/>
      <c r="X68" s="113"/>
      <c r="Y68" s="114"/>
      <c r="Z68" s="101"/>
      <c r="AB68" s="177"/>
      <c r="AC68" s="114"/>
      <c r="AI68" s="156"/>
      <c r="AJ68" s="156"/>
      <c r="AK68" s="114"/>
      <c r="AL68" s="114"/>
      <c r="AU68" s="113"/>
      <c r="AV68" s="113"/>
      <c r="AW68" s="113"/>
      <c r="AX68" s="113"/>
    </row>
    <row r="69" s="175" customFormat="true" ht="10.2" hidden="false" customHeight="false" outlineLevel="0" collapsed="false">
      <c r="A69" s="133"/>
      <c r="B69" s="133"/>
      <c r="C69" s="133"/>
      <c r="D69" s="134"/>
      <c r="E69" s="168"/>
      <c r="F69" s="169"/>
      <c r="G69" s="170"/>
      <c r="H69" s="170"/>
      <c r="I69" s="144"/>
      <c r="J69" s="144"/>
      <c r="K69" s="144"/>
      <c r="L69" s="171"/>
      <c r="M69" s="145"/>
      <c r="N69" s="145"/>
      <c r="O69" s="145"/>
      <c r="P69" s="172"/>
      <c r="Q69" s="145"/>
      <c r="R69" s="145"/>
      <c r="S69" s="146"/>
      <c r="T69" s="144"/>
      <c r="U69" s="173"/>
      <c r="V69" s="145"/>
      <c r="W69" s="146"/>
      <c r="X69" s="146"/>
      <c r="Y69" s="146"/>
      <c r="Z69" s="146"/>
      <c r="AA69" s="146"/>
      <c r="AB69" s="145"/>
      <c r="AC69" s="146"/>
      <c r="AD69" s="146"/>
      <c r="AE69" s="146"/>
      <c r="AF69" s="146"/>
      <c r="AG69" s="146"/>
      <c r="AH69" s="146"/>
      <c r="AI69" s="146"/>
      <c r="AJ69" s="146"/>
      <c r="AK69" s="144"/>
      <c r="AL69" s="174"/>
      <c r="AM69" s="144"/>
      <c r="AN69" s="144"/>
      <c r="AO69" s="144"/>
      <c r="AP69" s="144"/>
      <c r="AQ69" s="144"/>
      <c r="AR69" s="144"/>
      <c r="AS69" s="144"/>
      <c r="AT69" s="144"/>
      <c r="AU69" s="146"/>
      <c r="AV69" s="146"/>
      <c r="AW69" s="146"/>
      <c r="AX69" s="146"/>
    </row>
    <row r="70" s="175" customFormat="true" ht="10.2" hidden="false" customHeight="false" outlineLevel="0" collapsed="false">
      <c r="A70" s="133"/>
      <c r="B70" s="133"/>
      <c r="C70" s="133"/>
      <c r="D70" s="134"/>
      <c r="E70" s="168"/>
      <c r="F70" s="169"/>
      <c r="G70" s="170"/>
      <c r="H70" s="170"/>
      <c r="I70" s="144"/>
      <c r="J70" s="144"/>
      <c r="K70" s="144"/>
      <c r="L70" s="171"/>
      <c r="M70" s="145"/>
      <c r="N70" s="145"/>
      <c r="O70" s="145"/>
      <c r="P70" s="172"/>
      <c r="Q70" s="145"/>
      <c r="R70" s="145"/>
      <c r="S70" s="146"/>
      <c r="T70" s="144"/>
      <c r="U70" s="173"/>
      <c r="V70" s="145"/>
      <c r="W70" s="146"/>
      <c r="X70" s="146"/>
      <c r="Y70" s="146"/>
      <c r="Z70" s="146"/>
      <c r="AA70" s="146"/>
      <c r="AB70" s="145"/>
      <c r="AC70" s="146"/>
      <c r="AD70" s="146"/>
      <c r="AE70" s="146"/>
      <c r="AF70" s="146"/>
      <c r="AG70" s="146"/>
      <c r="AH70" s="146"/>
      <c r="AI70" s="146"/>
      <c r="AJ70" s="146"/>
      <c r="AK70" s="144"/>
      <c r="AL70" s="174"/>
      <c r="AM70" s="144"/>
      <c r="AN70" s="144"/>
      <c r="AO70" s="144"/>
      <c r="AP70" s="144"/>
      <c r="AQ70" s="144"/>
      <c r="AR70" s="144"/>
      <c r="AS70" s="144"/>
      <c r="AT70" s="144"/>
      <c r="AU70" s="146"/>
      <c r="AV70" s="146"/>
      <c r="AW70" s="146"/>
      <c r="AX70" s="146"/>
    </row>
    <row r="115" customFormat="false" ht="30"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V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1" sqref="O61:O64 A16"/>
    </sheetView>
  </sheetViews>
  <sheetFormatPr defaultRowHeight="14.4" outlineLevelRow="0" outlineLevelCol="0"/>
  <cols>
    <col collapsed="false" customWidth="true" hidden="false" outlineLevel="0" max="1" min="1" style="195" width="5.44"/>
    <col collapsed="false" customWidth="true" hidden="false" outlineLevel="0" max="2" min="2" style="195" width="20.66"/>
    <col collapsed="false" customWidth="true" hidden="false" outlineLevel="0" max="3" min="3" style="195" width="30.55"/>
    <col collapsed="false" customWidth="true" hidden="false" outlineLevel="0" max="4" min="4" style="195" width="6.01"/>
    <col collapsed="false" customWidth="true" hidden="false" outlineLevel="0" max="5" min="5" style="196" width="7.56"/>
    <col collapsed="false" customWidth="true" hidden="false" outlineLevel="0" max="6" min="6" style="196" width="7.88"/>
    <col collapsed="false" customWidth="true" hidden="false" outlineLevel="0" max="7" min="7" style="197" width="7"/>
    <col collapsed="false" customWidth="true" hidden="false" outlineLevel="0" max="8" min="8" style="198" width="7.44"/>
    <col collapsed="false" customWidth="true" hidden="false" outlineLevel="0" max="9" min="9" style="197" width="8.89"/>
    <col collapsed="false" customWidth="true" hidden="false" outlineLevel="0" max="10" min="10" style="197" width="12.89"/>
    <col collapsed="false" customWidth="true" hidden="false" outlineLevel="0" max="11" min="11" style="198" width="8.11"/>
    <col collapsed="false" customWidth="true" hidden="false" outlineLevel="0" max="12" min="12" style="197" width="9.44"/>
    <col collapsed="false" customWidth="true" hidden="false" outlineLevel="0" max="13" min="13" style="198" width="7.67"/>
    <col collapsed="false" customWidth="true" hidden="false" outlineLevel="0" max="1025" min="14" style="199" width="9"/>
  </cols>
  <sheetData>
    <row r="1" customFormat="false" ht="30.6" hidden="false" customHeight="false" outlineLevel="0" collapsed="false">
      <c r="A1" s="200" t="s">
        <v>200</v>
      </c>
      <c r="B1" s="200" t="s">
        <v>201</v>
      </c>
      <c r="C1" s="200" t="s">
        <v>202</v>
      </c>
      <c r="D1" s="200" t="s">
        <v>203</v>
      </c>
      <c r="E1" s="201" t="s">
        <v>391</v>
      </c>
      <c r="F1" s="201" t="s">
        <v>392</v>
      </c>
      <c r="G1" s="202" t="s">
        <v>393</v>
      </c>
      <c r="H1" s="203" t="s">
        <v>394</v>
      </c>
      <c r="I1" s="202" t="s">
        <v>395</v>
      </c>
      <c r="J1" s="202" t="s">
        <v>396</v>
      </c>
      <c r="K1" s="203" t="s">
        <v>397</v>
      </c>
      <c r="L1" s="202" t="s">
        <v>398</v>
      </c>
      <c r="M1" s="203" t="s">
        <v>399</v>
      </c>
      <c r="N1" s="204"/>
      <c r="O1" s="204"/>
      <c r="P1" s="204"/>
      <c r="Q1" s="204"/>
      <c r="R1" s="204"/>
      <c r="S1" s="204"/>
      <c r="T1" s="204"/>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4"/>
      <c r="AU1" s="204"/>
      <c r="AV1" s="204"/>
      <c r="AW1" s="204"/>
      <c r="AX1" s="204"/>
      <c r="AY1" s="204"/>
      <c r="AZ1" s="204"/>
      <c r="BA1" s="204"/>
      <c r="BB1" s="204"/>
      <c r="BC1" s="204"/>
      <c r="BD1" s="204"/>
      <c r="BE1" s="204"/>
      <c r="BF1" s="204"/>
      <c r="BG1" s="204"/>
      <c r="BH1" s="204"/>
      <c r="BI1" s="204"/>
      <c r="BJ1" s="204"/>
      <c r="BK1" s="204"/>
      <c r="BL1" s="204"/>
      <c r="BM1" s="204"/>
      <c r="BN1" s="204"/>
      <c r="BO1" s="204"/>
      <c r="BP1" s="204"/>
      <c r="BQ1" s="204"/>
      <c r="BR1" s="204"/>
      <c r="BS1" s="204"/>
      <c r="BT1" s="204"/>
      <c r="BU1" s="204"/>
      <c r="BV1" s="204"/>
      <c r="BW1" s="204"/>
      <c r="BX1" s="204"/>
      <c r="BY1" s="204"/>
      <c r="BZ1" s="204"/>
      <c r="CA1" s="204"/>
      <c r="CB1" s="204"/>
      <c r="CC1" s="204"/>
      <c r="CD1" s="204"/>
      <c r="CE1" s="204"/>
      <c r="CF1" s="204"/>
      <c r="CG1" s="204"/>
      <c r="CH1" s="204"/>
      <c r="CI1" s="204"/>
      <c r="CJ1" s="204"/>
      <c r="CK1" s="204"/>
      <c r="CL1" s="204"/>
      <c r="CM1" s="204"/>
      <c r="CN1" s="204"/>
      <c r="CO1" s="204"/>
      <c r="CP1" s="204"/>
      <c r="CQ1" s="204"/>
      <c r="CR1" s="204"/>
      <c r="CS1" s="204"/>
      <c r="CT1" s="204"/>
      <c r="CU1" s="204"/>
      <c r="CV1" s="204"/>
      <c r="CW1" s="204"/>
      <c r="CX1" s="204"/>
      <c r="CY1" s="204"/>
      <c r="CZ1" s="204"/>
      <c r="DA1" s="204"/>
      <c r="DB1" s="204"/>
      <c r="DC1" s="204"/>
      <c r="DD1" s="204"/>
      <c r="DE1" s="204"/>
      <c r="DF1" s="204"/>
      <c r="DG1" s="204"/>
      <c r="DH1" s="204"/>
      <c r="DI1" s="204"/>
      <c r="DJ1" s="204"/>
      <c r="DK1" s="204"/>
      <c r="DL1" s="204"/>
      <c r="DM1" s="204"/>
      <c r="DN1" s="204"/>
      <c r="DO1" s="204"/>
      <c r="DP1" s="204"/>
      <c r="DQ1" s="204"/>
      <c r="DR1" s="204"/>
      <c r="DS1" s="204"/>
      <c r="DT1" s="204"/>
      <c r="DU1" s="204"/>
      <c r="DV1" s="204"/>
      <c r="DW1" s="204"/>
      <c r="DX1" s="204"/>
      <c r="DY1" s="204"/>
      <c r="DZ1" s="204"/>
      <c r="EA1" s="204"/>
      <c r="EB1" s="204"/>
      <c r="EC1" s="204"/>
      <c r="ED1" s="204"/>
      <c r="EE1" s="204"/>
      <c r="EF1" s="204"/>
      <c r="EG1" s="204"/>
      <c r="EH1" s="204"/>
      <c r="EI1" s="204"/>
      <c r="EJ1" s="204"/>
      <c r="EK1" s="204"/>
      <c r="EL1" s="204"/>
      <c r="EM1" s="204"/>
      <c r="EN1" s="204"/>
      <c r="EO1" s="204"/>
      <c r="EP1" s="204"/>
      <c r="EQ1" s="204"/>
      <c r="ER1" s="204"/>
      <c r="ES1" s="204"/>
      <c r="ET1" s="204"/>
      <c r="EU1" s="204"/>
      <c r="EV1" s="204"/>
      <c r="EW1" s="204"/>
      <c r="EX1" s="204"/>
      <c r="EY1" s="204"/>
      <c r="EZ1" s="204"/>
      <c r="FA1" s="204"/>
      <c r="FB1" s="204"/>
      <c r="FC1" s="204"/>
      <c r="FD1" s="204"/>
      <c r="FE1" s="204"/>
      <c r="FF1" s="204"/>
      <c r="FG1" s="204"/>
      <c r="FH1" s="204"/>
      <c r="FI1" s="204"/>
      <c r="FJ1" s="204"/>
      <c r="FK1" s="204"/>
      <c r="FL1" s="204"/>
      <c r="FM1" s="204"/>
      <c r="FN1" s="204"/>
      <c r="FO1" s="204"/>
      <c r="FP1" s="204"/>
      <c r="FQ1" s="204"/>
      <c r="FR1" s="204"/>
      <c r="FS1" s="204"/>
      <c r="FT1" s="204"/>
      <c r="FU1" s="204"/>
      <c r="FV1" s="204"/>
      <c r="FW1" s="204"/>
      <c r="FX1" s="204"/>
      <c r="FY1" s="204"/>
      <c r="FZ1" s="204"/>
      <c r="GA1" s="204"/>
      <c r="GB1" s="204"/>
      <c r="GC1" s="204"/>
      <c r="GD1" s="204"/>
      <c r="GE1" s="204"/>
      <c r="GF1" s="204"/>
      <c r="GG1" s="204"/>
      <c r="GH1" s="204"/>
      <c r="GI1" s="204"/>
      <c r="GJ1" s="204"/>
      <c r="GK1" s="204"/>
      <c r="GL1" s="204"/>
      <c r="GM1" s="204"/>
      <c r="GN1" s="204"/>
      <c r="GO1" s="204"/>
      <c r="GP1" s="204"/>
      <c r="GQ1" s="204"/>
      <c r="GR1" s="204"/>
      <c r="GS1" s="204"/>
      <c r="GT1" s="204"/>
      <c r="GU1" s="204"/>
      <c r="GV1" s="204"/>
      <c r="GW1" s="204"/>
      <c r="GX1" s="204"/>
      <c r="GY1" s="204"/>
      <c r="GZ1" s="204"/>
      <c r="HA1" s="204"/>
      <c r="HB1" s="204"/>
      <c r="HC1" s="204"/>
      <c r="HD1" s="204"/>
      <c r="HE1" s="204"/>
      <c r="HF1" s="204"/>
      <c r="HG1" s="204"/>
      <c r="HH1" s="204"/>
      <c r="HI1" s="204"/>
      <c r="HJ1" s="204"/>
      <c r="HK1" s="204"/>
      <c r="HL1" s="204"/>
      <c r="HM1" s="204"/>
      <c r="HN1" s="204"/>
      <c r="HO1" s="204"/>
      <c r="HP1" s="204"/>
      <c r="HQ1" s="204"/>
      <c r="HR1" s="204"/>
      <c r="HS1" s="204"/>
      <c r="HT1" s="204"/>
      <c r="HU1" s="204"/>
      <c r="HV1" s="204"/>
      <c r="HW1" s="204"/>
      <c r="HX1" s="204"/>
      <c r="HY1" s="204"/>
      <c r="HZ1" s="204"/>
      <c r="IA1" s="204"/>
      <c r="IB1" s="204"/>
      <c r="IC1" s="204"/>
      <c r="ID1" s="204"/>
      <c r="IE1" s="204"/>
      <c r="IF1" s="204"/>
      <c r="IG1" s="204"/>
      <c r="IH1" s="204"/>
      <c r="II1" s="204"/>
      <c r="IJ1" s="204"/>
      <c r="IK1" s="204"/>
      <c r="IL1" s="204"/>
      <c r="IM1" s="204"/>
      <c r="IN1" s="204"/>
      <c r="IO1" s="204"/>
      <c r="IP1" s="204"/>
      <c r="IQ1" s="204"/>
      <c r="IR1" s="204"/>
      <c r="IS1" s="204"/>
      <c r="IT1" s="204"/>
      <c r="IU1" s="204"/>
      <c r="IV1" s="204"/>
    </row>
    <row r="2" customFormat="false" ht="14.4" hidden="false" customHeight="false" outlineLevel="0" collapsed="false">
      <c r="A2" s="195" t="n">
        <f aca="false">Data!$A2</f>
        <v>1</v>
      </c>
      <c r="B2" s="195" t="str">
        <f aca="false">Data!$B2</f>
        <v>B316A-EA03-OPT-BAFF-01</v>
      </c>
      <c r="C2" s="195" t="str">
        <f aca="false">Data!$C2</f>
        <v>M4 Baffles VERITAS</v>
      </c>
      <c r="D2" s="195" t="str">
        <f aca="false">Data!$D2</f>
        <v>VT</v>
      </c>
      <c r="E2" s="205" t="str">
        <f aca="true">INDEX(OFFSET(MOTION1!$A$2,0,0,SystemInfo!$B$1,1),MATCH(CONCATENATE(B2,D2),OFFSET(MOTION1!$J$2,0,0,SystemInfo!$B$1,1),0))</f>
        <v>W032648</v>
      </c>
      <c r="F2" s="205" t="str">
        <f aca="true">INDEX(OFFSET(MOTION3!$A$2,0,0,SystemInfo!$B$1,1),MATCH(CONCATENATE(B2,D2),OFFSET(MOTION3!$J$2,0,0,SystemInfo!$B$1,1),0))</f>
        <v>W032649</v>
      </c>
      <c r="G2" s="206" t="n">
        <f aca="false">INT(Data!$P2*Data!$L2)</f>
        <v>400</v>
      </c>
      <c r="H2" s="207" t="n">
        <v>1</v>
      </c>
      <c r="I2" s="206" t="str">
        <f aca="false">Data!U2</f>
        <v>ABSENC</v>
      </c>
      <c r="J2" s="206" t="n">
        <f aca="false">IF($I2="ABSENC",Data!$V2,"")</f>
        <v>1000000</v>
      </c>
      <c r="K2" s="207" t="n">
        <v>1</v>
      </c>
      <c r="L2" s="206" t="str">
        <f aca="false">IF($I2="ENCIN",Data!$V2,"")</f>
        <v/>
      </c>
      <c r="M2" s="207" t="n">
        <v>1</v>
      </c>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c r="BM2" s="208"/>
      <c r="BN2" s="208"/>
      <c r="BO2" s="208"/>
      <c r="BP2" s="208"/>
      <c r="BQ2" s="208"/>
      <c r="BR2" s="208"/>
      <c r="BS2" s="208"/>
      <c r="BT2" s="208"/>
      <c r="BU2" s="208"/>
      <c r="BV2" s="208"/>
      <c r="BW2" s="208"/>
      <c r="BX2" s="208"/>
      <c r="BY2" s="208"/>
      <c r="BZ2" s="208"/>
      <c r="CA2" s="208"/>
      <c r="CB2" s="208"/>
      <c r="CC2" s="208"/>
      <c r="CD2" s="208"/>
      <c r="CE2" s="208"/>
      <c r="CF2" s="208"/>
      <c r="CG2" s="208"/>
      <c r="CH2" s="208"/>
      <c r="CI2" s="208"/>
      <c r="CJ2" s="208"/>
      <c r="CK2" s="208"/>
      <c r="CL2" s="208"/>
      <c r="CM2" s="208"/>
      <c r="CN2" s="208"/>
      <c r="CO2" s="208"/>
      <c r="CP2" s="208"/>
      <c r="CQ2" s="208"/>
      <c r="CR2" s="208"/>
      <c r="CS2" s="208"/>
      <c r="CT2" s="208"/>
      <c r="CU2" s="208"/>
      <c r="CV2" s="208"/>
      <c r="CW2" s="208"/>
      <c r="CX2" s="208"/>
      <c r="CY2" s="208"/>
      <c r="CZ2" s="208"/>
      <c r="DA2" s="208"/>
      <c r="DB2" s="208"/>
      <c r="DC2" s="208"/>
      <c r="DD2" s="208"/>
      <c r="DE2" s="208"/>
      <c r="DF2" s="208"/>
      <c r="DG2" s="208"/>
      <c r="DH2" s="208"/>
      <c r="DI2" s="208"/>
      <c r="DJ2" s="208"/>
      <c r="DK2" s="208"/>
      <c r="DL2" s="208"/>
      <c r="DM2" s="208"/>
      <c r="DN2" s="208"/>
      <c r="DO2" s="208"/>
      <c r="DP2" s="208"/>
      <c r="DQ2" s="208"/>
      <c r="DR2" s="208"/>
      <c r="DS2" s="208"/>
      <c r="DT2" s="208"/>
      <c r="DU2" s="208"/>
      <c r="DV2" s="208"/>
      <c r="DW2" s="208"/>
      <c r="DX2" s="208"/>
      <c r="DY2" s="208"/>
      <c r="DZ2" s="208"/>
      <c r="EA2" s="208"/>
      <c r="EB2" s="208"/>
      <c r="EC2" s="208"/>
      <c r="ED2" s="208"/>
      <c r="EE2" s="208"/>
      <c r="EF2" s="208"/>
      <c r="EG2" s="208"/>
      <c r="EH2" s="208"/>
      <c r="EI2" s="208"/>
      <c r="EJ2" s="208"/>
      <c r="EK2" s="208"/>
      <c r="EL2" s="208"/>
      <c r="EM2" s="208"/>
      <c r="EN2" s="208"/>
      <c r="EO2" s="208"/>
      <c r="EP2" s="208"/>
      <c r="EQ2" s="208"/>
      <c r="ER2" s="208"/>
      <c r="ES2" s="208"/>
      <c r="ET2" s="208"/>
      <c r="EU2" s="208"/>
      <c r="EV2" s="208"/>
      <c r="EW2" s="208"/>
      <c r="EX2" s="208"/>
      <c r="EY2" s="208"/>
      <c r="EZ2" s="208"/>
      <c r="FA2" s="208"/>
      <c r="FB2" s="208"/>
      <c r="FC2" s="208"/>
      <c r="FD2" s="208"/>
      <c r="FE2" s="208"/>
      <c r="FF2" s="208"/>
      <c r="FG2" s="208"/>
      <c r="FH2" s="208"/>
      <c r="FI2" s="208"/>
      <c r="FJ2" s="208"/>
      <c r="FK2" s="208"/>
      <c r="FL2" s="208"/>
      <c r="FM2" s="208"/>
      <c r="FN2" s="208"/>
      <c r="FO2" s="208"/>
      <c r="FP2" s="208"/>
      <c r="FQ2" s="208"/>
      <c r="FR2" s="208"/>
      <c r="FS2" s="208"/>
      <c r="FT2" s="208"/>
      <c r="FU2" s="208"/>
      <c r="FV2" s="208"/>
      <c r="FW2" s="208"/>
      <c r="FX2" s="208"/>
      <c r="FY2" s="208"/>
      <c r="FZ2" s="208"/>
      <c r="GA2" s="208"/>
      <c r="GB2" s="208"/>
      <c r="GC2" s="208"/>
      <c r="GD2" s="208"/>
      <c r="GE2" s="208"/>
      <c r="GF2" s="208"/>
      <c r="GG2" s="208"/>
      <c r="GH2" s="208"/>
      <c r="GI2" s="208"/>
      <c r="GJ2" s="208"/>
      <c r="GK2" s="208"/>
      <c r="GL2" s="208"/>
      <c r="GM2" s="208"/>
      <c r="GN2" s="208"/>
      <c r="GO2" s="208"/>
      <c r="GP2" s="208"/>
      <c r="GQ2" s="208"/>
      <c r="GR2" s="208"/>
      <c r="GS2" s="208"/>
      <c r="GT2" s="208"/>
      <c r="GU2" s="208"/>
      <c r="GV2" s="208"/>
      <c r="GW2" s="208"/>
      <c r="GX2" s="208"/>
      <c r="GY2" s="208"/>
      <c r="GZ2" s="208"/>
      <c r="HA2" s="208"/>
      <c r="HB2" s="208"/>
      <c r="HC2" s="208"/>
      <c r="HD2" s="208"/>
      <c r="HE2" s="208"/>
      <c r="HF2" s="208"/>
      <c r="HG2" s="208"/>
      <c r="HH2" s="208"/>
      <c r="HI2" s="208"/>
      <c r="HJ2" s="208"/>
      <c r="HK2" s="208"/>
      <c r="HL2" s="208"/>
      <c r="HM2" s="208"/>
      <c r="HN2" s="208"/>
      <c r="HO2" s="208"/>
      <c r="HP2" s="208"/>
      <c r="HQ2" s="208"/>
      <c r="HR2" s="208"/>
      <c r="HS2" s="208"/>
      <c r="HT2" s="208"/>
      <c r="HU2" s="208"/>
      <c r="HV2" s="208"/>
      <c r="HW2" s="208"/>
      <c r="HX2" s="208"/>
      <c r="HY2" s="208"/>
      <c r="HZ2" s="208"/>
      <c r="IA2" s="208"/>
      <c r="IB2" s="208"/>
      <c r="IC2" s="208"/>
      <c r="ID2" s="208"/>
      <c r="IE2" s="208"/>
      <c r="IF2" s="208"/>
      <c r="IG2" s="208"/>
      <c r="IH2" s="208"/>
      <c r="II2" s="208"/>
      <c r="IJ2" s="208"/>
      <c r="IK2" s="208"/>
      <c r="IL2" s="208"/>
      <c r="IM2" s="208"/>
      <c r="IN2" s="208"/>
      <c r="IO2" s="208"/>
      <c r="IP2" s="208"/>
      <c r="IQ2" s="208"/>
      <c r="IR2" s="208"/>
      <c r="IS2" s="208"/>
      <c r="IT2" s="208"/>
      <c r="IU2" s="208"/>
      <c r="IV2" s="208"/>
    </row>
    <row r="3" customFormat="false" ht="14.4" hidden="false" customHeight="false" outlineLevel="0" collapsed="false">
      <c r="A3" s="195" t="n">
        <f aca="false">Data!$A3</f>
        <v>2</v>
      </c>
      <c r="B3" s="195" t="str">
        <f aca="false">Data!$B3</f>
        <v>B316A-EA03-OPT-BAFF-01</v>
      </c>
      <c r="C3" s="195" t="str">
        <f aca="false">Data!$C3</f>
        <v>M4 Baffles VERITAS</v>
      </c>
      <c r="D3" s="195" t="str">
        <f aca="false">Data!$D3</f>
        <v>VB</v>
      </c>
      <c r="E3" s="205" t="str">
        <f aca="true">INDEX(OFFSET(MOTION1!$A$2,0,0,SystemInfo!$B$1,1),MATCH(CONCATENATE(B3,D3),OFFSET(MOTION1!$J$2,0,0,SystemInfo!$B$1,1),0))</f>
        <v>W032650</v>
      </c>
      <c r="F3" s="205" t="str">
        <f aca="true">INDEX(OFFSET(MOTION3!$A$2,0,0,SystemInfo!$B$1,1),MATCH(CONCATENATE(B3,D3),OFFSET(MOTION3!$J$2,0,0,SystemInfo!$B$1,1),0))</f>
        <v>W032651</v>
      </c>
      <c r="G3" s="206" t="n">
        <f aca="false">INT(Data!$P3*Data!$L3)</f>
        <v>400</v>
      </c>
      <c r="H3" s="207" t="n">
        <v>1</v>
      </c>
      <c r="I3" s="206" t="str">
        <f aca="false">Data!U3</f>
        <v>ABSENC</v>
      </c>
      <c r="J3" s="206" t="n">
        <f aca="false">IF($I3="ABSENC",Data!$V3,"")</f>
        <v>1000000</v>
      </c>
      <c r="K3" s="207" t="n">
        <v>1</v>
      </c>
      <c r="L3" s="206" t="str">
        <f aca="false">IF($I3="ENCIN",Data!$V3,"")</f>
        <v/>
      </c>
      <c r="M3" s="207" t="n">
        <v>1</v>
      </c>
      <c r="N3" s="208"/>
      <c r="O3" s="208"/>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c r="AV3" s="208"/>
      <c r="AW3" s="208"/>
      <c r="AX3" s="208"/>
      <c r="AY3" s="208"/>
      <c r="AZ3" s="208"/>
      <c r="BA3" s="208"/>
      <c r="BB3" s="208"/>
      <c r="BC3" s="208"/>
      <c r="BD3" s="208"/>
      <c r="BE3" s="208"/>
      <c r="BF3" s="208"/>
      <c r="BG3" s="208"/>
      <c r="BH3" s="208"/>
      <c r="BI3" s="208"/>
      <c r="BJ3" s="208"/>
      <c r="BK3" s="208"/>
      <c r="BL3" s="208"/>
      <c r="BM3" s="208"/>
      <c r="BN3" s="208"/>
      <c r="BO3" s="208"/>
      <c r="BP3" s="208"/>
      <c r="BQ3" s="208"/>
      <c r="BR3" s="208"/>
      <c r="BS3" s="208"/>
      <c r="BT3" s="208"/>
      <c r="BU3" s="208"/>
      <c r="BV3" s="208"/>
      <c r="BW3" s="208"/>
      <c r="BX3" s="208"/>
      <c r="BY3" s="208"/>
      <c r="BZ3" s="208"/>
      <c r="CA3" s="208"/>
      <c r="CB3" s="208"/>
      <c r="CC3" s="208"/>
      <c r="CD3" s="208"/>
      <c r="CE3" s="208"/>
      <c r="CF3" s="208"/>
      <c r="CG3" s="208"/>
      <c r="CH3" s="208"/>
      <c r="CI3" s="208"/>
      <c r="CJ3" s="208"/>
      <c r="CK3" s="208"/>
      <c r="CL3" s="208"/>
      <c r="CM3" s="208"/>
      <c r="CN3" s="208"/>
      <c r="CO3" s="208"/>
      <c r="CP3" s="208"/>
      <c r="CQ3" s="208"/>
      <c r="CR3" s="208"/>
      <c r="CS3" s="208"/>
      <c r="CT3" s="208"/>
      <c r="CU3" s="208"/>
      <c r="CV3" s="208"/>
      <c r="CW3" s="208"/>
      <c r="CX3" s="208"/>
      <c r="CY3" s="208"/>
      <c r="CZ3" s="208"/>
      <c r="DA3" s="208"/>
      <c r="DB3" s="208"/>
      <c r="DC3" s="208"/>
      <c r="DD3" s="208"/>
      <c r="DE3" s="208"/>
      <c r="DF3" s="208"/>
      <c r="DG3" s="208"/>
      <c r="DH3" s="208"/>
      <c r="DI3" s="208"/>
      <c r="DJ3" s="208"/>
      <c r="DK3" s="208"/>
      <c r="DL3" s="208"/>
      <c r="DM3" s="208"/>
      <c r="DN3" s="208"/>
      <c r="DO3" s="208"/>
      <c r="DP3" s="208"/>
      <c r="DQ3" s="208"/>
      <c r="DR3" s="208"/>
      <c r="DS3" s="208"/>
      <c r="DT3" s="208"/>
      <c r="DU3" s="208"/>
      <c r="DV3" s="208"/>
      <c r="DW3" s="208"/>
      <c r="DX3" s="208"/>
      <c r="DY3" s="208"/>
      <c r="DZ3" s="208"/>
      <c r="EA3" s="208"/>
      <c r="EB3" s="208"/>
      <c r="EC3" s="208"/>
      <c r="ED3" s="208"/>
      <c r="EE3" s="208"/>
      <c r="EF3" s="208"/>
      <c r="EG3" s="208"/>
      <c r="EH3" s="208"/>
      <c r="EI3" s="208"/>
      <c r="EJ3" s="208"/>
      <c r="EK3" s="208"/>
      <c r="EL3" s="208"/>
      <c r="EM3" s="208"/>
      <c r="EN3" s="208"/>
      <c r="EO3" s="208"/>
      <c r="EP3" s="208"/>
      <c r="EQ3" s="208"/>
      <c r="ER3" s="208"/>
      <c r="ES3" s="208"/>
      <c r="ET3" s="208"/>
      <c r="EU3" s="208"/>
      <c r="EV3" s="208"/>
      <c r="EW3" s="208"/>
      <c r="EX3" s="208"/>
      <c r="EY3" s="208"/>
      <c r="EZ3" s="208"/>
      <c r="FA3" s="208"/>
      <c r="FB3" s="208"/>
      <c r="FC3" s="208"/>
      <c r="FD3" s="208"/>
      <c r="FE3" s="208"/>
      <c r="FF3" s="208"/>
      <c r="FG3" s="208"/>
      <c r="FH3" s="208"/>
      <c r="FI3" s="208"/>
      <c r="FJ3" s="208"/>
      <c r="FK3" s="208"/>
      <c r="FL3" s="208"/>
      <c r="FM3" s="208"/>
      <c r="FN3" s="208"/>
      <c r="FO3" s="208"/>
      <c r="FP3" s="208"/>
      <c r="FQ3" s="208"/>
      <c r="FR3" s="208"/>
      <c r="FS3" s="208"/>
      <c r="FT3" s="208"/>
      <c r="FU3" s="208"/>
      <c r="FV3" s="208"/>
      <c r="FW3" s="208"/>
      <c r="FX3" s="208"/>
      <c r="FY3" s="208"/>
      <c r="FZ3" s="208"/>
      <c r="GA3" s="208"/>
      <c r="GB3" s="208"/>
      <c r="GC3" s="208"/>
      <c r="GD3" s="208"/>
      <c r="GE3" s="208"/>
      <c r="GF3" s="208"/>
      <c r="GG3" s="208"/>
      <c r="GH3" s="208"/>
      <c r="GI3" s="208"/>
      <c r="GJ3" s="208"/>
      <c r="GK3" s="208"/>
      <c r="GL3" s="208"/>
      <c r="GM3" s="208"/>
      <c r="GN3" s="208"/>
      <c r="GO3" s="208"/>
      <c r="GP3" s="208"/>
      <c r="GQ3" s="208"/>
      <c r="GR3" s="208"/>
      <c r="GS3" s="208"/>
      <c r="GT3" s="208"/>
      <c r="GU3" s="208"/>
      <c r="GV3" s="208"/>
      <c r="GW3" s="208"/>
      <c r="GX3" s="208"/>
      <c r="GY3" s="208"/>
      <c r="GZ3" s="208"/>
      <c r="HA3" s="208"/>
      <c r="HB3" s="208"/>
      <c r="HC3" s="208"/>
      <c r="HD3" s="208"/>
      <c r="HE3" s="208"/>
      <c r="HF3" s="208"/>
      <c r="HG3" s="208"/>
      <c r="HH3" s="208"/>
      <c r="HI3" s="208"/>
      <c r="HJ3" s="208"/>
      <c r="HK3" s="208"/>
      <c r="HL3" s="208"/>
      <c r="HM3" s="208"/>
      <c r="HN3" s="208"/>
      <c r="HO3" s="208"/>
      <c r="HP3" s="208"/>
      <c r="HQ3" s="208"/>
      <c r="HR3" s="208"/>
      <c r="HS3" s="208"/>
      <c r="HT3" s="208"/>
      <c r="HU3" s="208"/>
      <c r="HV3" s="208"/>
      <c r="HW3" s="208"/>
      <c r="HX3" s="208"/>
      <c r="HY3" s="208"/>
      <c r="HZ3" s="208"/>
      <c r="IA3" s="208"/>
      <c r="IB3" s="208"/>
      <c r="IC3" s="208"/>
      <c r="ID3" s="208"/>
      <c r="IE3" s="208"/>
      <c r="IF3" s="208"/>
      <c r="IG3" s="208"/>
      <c r="IH3" s="208"/>
      <c r="II3" s="208"/>
      <c r="IJ3" s="208"/>
      <c r="IK3" s="208"/>
      <c r="IL3" s="208"/>
      <c r="IM3" s="208"/>
      <c r="IN3" s="208"/>
      <c r="IO3" s="208"/>
      <c r="IP3" s="208"/>
      <c r="IQ3" s="208"/>
      <c r="IR3" s="208"/>
      <c r="IS3" s="208"/>
      <c r="IT3" s="208"/>
      <c r="IU3" s="208"/>
      <c r="IV3" s="208"/>
    </row>
    <row r="4" customFormat="false" ht="14.4" hidden="false" customHeight="false" outlineLevel="0" collapsed="false">
      <c r="A4" s="195" t="n">
        <f aca="false">Data!$A4</f>
        <v>3</v>
      </c>
      <c r="B4" s="195" t="str">
        <f aca="false">Data!$B4</f>
        <v>B316A-EA03-OPT-BAFF-01</v>
      </c>
      <c r="C4" s="195" t="str">
        <f aca="false">Data!$C4</f>
        <v>M4 Baffles VERITAS</v>
      </c>
      <c r="D4" s="195" t="str">
        <f aca="false">Data!$D4</f>
        <v>HL</v>
      </c>
      <c r="E4" s="205" t="str">
        <f aca="true">INDEX(OFFSET(MOTION1!$A$2,0,0,SystemInfo!$B$1,1),MATCH(CONCATENATE(B4,D4),OFFSET(MOTION1!$J$2,0,0,SystemInfo!$B$1,1),0))</f>
        <v>W032652</v>
      </c>
      <c r="F4" s="205" t="str">
        <f aca="true">INDEX(OFFSET(MOTION3!$A$2,0,0,SystemInfo!$B$1,1),MATCH(CONCATENATE(B4,D4),OFFSET(MOTION3!$J$2,0,0,SystemInfo!$B$1,1),0))</f>
        <v>W032653</v>
      </c>
      <c r="G4" s="206" t="n">
        <f aca="false">INT(Data!$P4*Data!$L4)</f>
        <v>400</v>
      </c>
      <c r="H4" s="207" t="n">
        <v>1</v>
      </c>
      <c r="I4" s="206" t="str">
        <f aca="false">Data!U4</f>
        <v>ABSENC</v>
      </c>
      <c r="J4" s="206" t="n">
        <f aca="false">IF($I4="ABSENC",Data!$V4,"")</f>
        <v>1000000</v>
      </c>
      <c r="K4" s="207" t="n">
        <v>1</v>
      </c>
      <c r="L4" s="206" t="str">
        <f aca="false">IF($I4="ENCIN",Data!$V4,"")</f>
        <v/>
      </c>
      <c r="M4" s="207" t="n">
        <v>1</v>
      </c>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c r="BW4" s="208"/>
      <c r="BX4" s="208"/>
      <c r="BY4" s="208"/>
      <c r="BZ4" s="208"/>
      <c r="CA4" s="208"/>
      <c r="CB4" s="208"/>
      <c r="CC4" s="208"/>
      <c r="CD4" s="208"/>
      <c r="CE4" s="208"/>
      <c r="CF4" s="208"/>
      <c r="CG4" s="208"/>
      <c r="CH4" s="208"/>
      <c r="CI4" s="208"/>
      <c r="CJ4" s="208"/>
      <c r="CK4" s="208"/>
      <c r="CL4" s="208"/>
      <c r="CM4" s="208"/>
      <c r="CN4" s="208"/>
      <c r="CO4" s="208"/>
      <c r="CP4" s="208"/>
      <c r="CQ4" s="208"/>
      <c r="CR4" s="208"/>
      <c r="CS4" s="208"/>
      <c r="CT4" s="208"/>
      <c r="CU4" s="208"/>
      <c r="CV4" s="208"/>
      <c r="CW4" s="208"/>
      <c r="CX4" s="208"/>
      <c r="CY4" s="208"/>
      <c r="CZ4" s="208"/>
      <c r="DA4" s="208"/>
      <c r="DB4" s="208"/>
      <c r="DC4" s="208"/>
      <c r="DD4" s="208"/>
      <c r="DE4" s="208"/>
      <c r="DF4" s="208"/>
      <c r="DG4" s="208"/>
      <c r="DH4" s="208"/>
      <c r="DI4" s="208"/>
      <c r="DJ4" s="208"/>
      <c r="DK4" s="208"/>
      <c r="DL4" s="208"/>
      <c r="DM4" s="208"/>
      <c r="DN4" s="208"/>
      <c r="DO4" s="208"/>
      <c r="DP4" s="208"/>
      <c r="DQ4" s="208"/>
      <c r="DR4" s="208"/>
      <c r="DS4" s="208"/>
      <c r="DT4" s="208"/>
      <c r="DU4" s="208"/>
      <c r="DV4" s="208"/>
      <c r="DW4" s="208"/>
      <c r="DX4" s="208"/>
      <c r="DY4" s="208"/>
      <c r="DZ4" s="208"/>
      <c r="EA4" s="208"/>
      <c r="EB4" s="208"/>
      <c r="EC4" s="208"/>
      <c r="ED4" s="208"/>
      <c r="EE4" s="208"/>
      <c r="EF4" s="208"/>
      <c r="EG4" s="208"/>
      <c r="EH4" s="208"/>
      <c r="EI4" s="208"/>
      <c r="EJ4" s="208"/>
      <c r="EK4" s="208"/>
      <c r="EL4" s="208"/>
      <c r="EM4" s="208"/>
      <c r="EN4" s="208"/>
      <c r="EO4" s="208"/>
      <c r="EP4" s="208"/>
      <c r="EQ4" s="208"/>
      <c r="ER4" s="208"/>
      <c r="ES4" s="208"/>
      <c r="ET4" s="208"/>
      <c r="EU4" s="208"/>
      <c r="EV4" s="208"/>
      <c r="EW4" s="208"/>
      <c r="EX4" s="208"/>
      <c r="EY4" s="208"/>
      <c r="EZ4" s="208"/>
      <c r="FA4" s="208"/>
      <c r="FB4" s="208"/>
      <c r="FC4" s="208"/>
      <c r="FD4" s="208"/>
      <c r="FE4" s="208"/>
      <c r="FF4" s="208"/>
      <c r="FG4" s="208"/>
      <c r="FH4" s="208"/>
      <c r="FI4" s="208"/>
      <c r="FJ4" s="208"/>
      <c r="FK4" s="208"/>
      <c r="FL4" s="208"/>
      <c r="FM4" s="208"/>
      <c r="FN4" s="208"/>
      <c r="FO4" s="208"/>
      <c r="FP4" s="208"/>
      <c r="FQ4" s="208"/>
      <c r="FR4" s="208"/>
      <c r="FS4" s="208"/>
      <c r="FT4" s="208"/>
      <c r="FU4" s="208"/>
      <c r="FV4" s="208"/>
      <c r="FW4" s="208"/>
      <c r="FX4" s="208"/>
      <c r="FY4" s="208"/>
      <c r="FZ4" s="208"/>
      <c r="GA4" s="208"/>
      <c r="GB4" s="208"/>
      <c r="GC4" s="208"/>
      <c r="GD4" s="208"/>
      <c r="GE4" s="208"/>
      <c r="GF4" s="208"/>
      <c r="GG4" s="208"/>
      <c r="GH4" s="208"/>
      <c r="GI4" s="208"/>
      <c r="GJ4" s="208"/>
      <c r="GK4" s="208"/>
      <c r="GL4" s="208"/>
      <c r="GM4" s="208"/>
      <c r="GN4" s="208"/>
      <c r="GO4" s="208"/>
      <c r="GP4" s="208"/>
      <c r="GQ4" s="208"/>
      <c r="GR4" s="208"/>
      <c r="GS4" s="208"/>
      <c r="GT4" s="208"/>
      <c r="GU4" s="208"/>
      <c r="GV4" s="208"/>
      <c r="GW4" s="208"/>
      <c r="GX4" s="208"/>
      <c r="GY4" s="208"/>
      <c r="GZ4" s="208"/>
      <c r="HA4" s="208"/>
      <c r="HB4" s="208"/>
      <c r="HC4" s="208"/>
      <c r="HD4" s="208"/>
      <c r="HE4" s="208"/>
      <c r="HF4" s="208"/>
      <c r="HG4" s="208"/>
      <c r="HH4" s="208"/>
      <c r="HI4" s="208"/>
      <c r="HJ4" s="208"/>
      <c r="HK4" s="208"/>
      <c r="HL4" s="208"/>
      <c r="HM4" s="208"/>
      <c r="HN4" s="208"/>
      <c r="HO4" s="208"/>
      <c r="HP4" s="208"/>
      <c r="HQ4" s="208"/>
      <c r="HR4" s="208"/>
      <c r="HS4" s="208"/>
      <c r="HT4" s="208"/>
      <c r="HU4" s="208"/>
      <c r="HV4" s="208"/>
      <c r="HW4" s="208"/>
      <c r="HX4" s="208"/>
      <c r="HY4" s="208"/>
      <c r="HZ4" s="208"/>
      <c r="IA4" s="208"/>
      <c r="IB4" s="208"/>
      <c r="IC4" s="208"/>
      <c r="ID4" s="208"/>
      <c r="IE4" s="208"/>
      <c r="IF4" s="208"/>
      <c r="IG4" s="208"/>
      <c r="IH4" s="208"/>
      <c r="II4" s="208"/>
      <c r="IJ4" s="208"/>
      <c r="IK4" s="208"/>
      <c r="IL4" s="208"/>
      <c r="IM4" s="208"/>
      <c r="IN4" s="208"/>
      <c r="IO4" s="208"/>
      <c r="IP4" s="208"/>
      <c r="IQ4" s="208"/>
      <c r="IR4" s="208"/>
      <c r="IS4" s="208"/>
      <c r="IT4" s="208"/>
      <c r="IU4" s="208"/>
      <c r="IV4" s="208"/>
    </row>
    <row r="5" customFormat="false" ht="14.4" hidden="false" customHeight="false" outlineLevel="0" collapsed="false">
      <c r="A5" s="195" t="n">
        <f aca="false">Data!$A5</f>
        <v>4</v>
      </c>
      <c r="B5" s="195" t="str">
        <f aca="false">Data!$B5</f>
        <v>B316A-EA03-OPT-BAFF-01</v>
      </c>
      <c r="C5" s="195" t="str">
        <f aca="false">Data!$C5</f>
        <v>M4 Baffles VERITAS</v>
      </c>
      <c r="D5" s="195" t="str">
        <f aca="false">Data!$D5</f>
        <v>HR</v>
      </c>
      <c r="E5" s="205" t="str">
        <f aca="true">INDEX(OFFSET(MOTION1!$A$2,0,0,SystemInfo!$B$1,1),MATCH(CONCATENATE(B5,D5),OFFSET(MOTION1!$J$2,0,0,SystemInfo!$B$1,1),0))</f>
        <v>W032654</v>
      </c>
      <c r="F5" s="205" t="str">
        <f aca="true">INDEX(OFFSET(MOTION3!$A$2,0,0,SystemInfo!$B$1,1),MATCH(CONCATENATE(B5,D5),OFFSET(MOTION3!$J$2,0,0,SystemInfo!$B$1,1),0))</f>
        <v>W032655</v>
      </c>
      <c r="G5" s="206" t="n">
        <f aca="false">INT(Data!$P5*Data!$L5)</f>
        <v>400</v>
      </c>
      <c r="H5" s="207" t="n">
        <v>1</v>
      </c>
      <c r="I5" s="206" t="str">
        <f aca="false">Data!U5</f>
        <v>ABSENC</v>
      </c>
      <c r="J5" s="206" t="n">
        <f aca="false">IF($I5="ABSENC",Data!$V5,"")</f>
        <v>1000000</v>
      </c>
      <c r="K5" s="207" t="n">
        <v>1</v>
      </c>
      <c r="L5" s="206" t="str">
        <f aca="false">IF($I5="ENCIN",Data!$V5,"")</f>
        <v/>
      </c>
      <c r="M5" s="207" t="n">
        <v>1</v>
      </c>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208"/>
      <c r="GK5" s="208"/>
      <c r="GL5" s="208"/>
      <c r="GM5" s="208"/>
      <c r="GN5" s="208"/>
      <c r="GO5" s="208"/>
      <c r="GP5" s="208"/>
      <c r="GQ5" s="208"/>
      <c r="GR5" s="208"/>
      <c r="GS5" s="208"/>
      <c r="GT5" s="208"/>
      <c r="GU5" s="208"/>
      <c r="GV5" s="208"/>
      <c r="GW5" s="208"/>
      <c r="GX5" s="208"/>
      <c r="GY5" s="208"/>
      <c r="GZ5" s="208"/>
      <c r="HA5" s="208"/>
      <c r="HB5" s="208"/>
      <c r="HC5" s="208"/>
      <c r="HD5" s="208"/>
      <c r="HE5" s="208"/>
      <c r="HF5" s="208"/>
      <c r="HG5" s="208"/>
      <c r="HH5" s="208"/>
      <c r="HI5" s="208"/>
      <c r="HJ5" s="208"/>
      <c r="HK5" s="208"/>
      <c r="HL5" s="208"/>
      <c r="HM5" s="208"/>
      <c r="HN5" s="208"/>
      <c r="HO5" s="208"/>
      <c r="HP5" s="208"/>
      <c r="HQ5" s="208"/>
      <c r="HR5" s="208"/>
      <c r="HS5" s="208"/>
      <c r="HT5" s="208"/>
      <c r="HU5" s="208"/>
      <c r="HV5" s="208"/>
      <c r="HW5" s="208"/>
      <c r="HX5" s="208"/>
      <c r="HY5" s="208"/>
      <c r="HZ5" s="208"/>
      <c r="IA5" s="208"/>
      <c r="IB5" s="208"/>
      <c r="IC5" s="208"/>
      <c r="ID5" s="208"/>
      <c r="IE5" s="208"/>
      <c r="IF5" s="208"/>
      <c r="IG5" s="208"/>
      <c r="IH5" s="208"/>
      <c r="II5" s="208"/>
      <c r="IJ5" s="208"/>
      <c r="IK5" s="208"/>
      <c r="IL5" s="208"/>
      <c r="IM5" s="208"/>
      <c r="IN5" s="208"/>
      <c r="IO5" s="208"/>
      <c r="IP5" s="208"/>
      <c r="IQ5" s="208"/>
      <c r="IR5" s="208"/>
      <c r="IS5" s="208"/>
      <c r="IT5" s="208"/>
      <c r="IU5" s="208"/>
      <c r="IV5" s="208"/>
    </row>
    <row r="6" customFormat="false" ht="14.4" hidden="false" customHeight="false" outlineLevel="0" collapsed="false">
      <c r="A6" s="195" t="n">
        <f aca="false">Data!$A6</f>
        <v>5</v>
      </c>
      <c r="B6" s="195" t="str">
        <f aca="false">Data!$B6</f>
        <v>B316A-EA03-DIA-BPM-01</v>
      </c>
      <c r="C6" s="195" t="str">
        <f aca="false">Data!$C6</f>
        <v>M4 BPM VERITAS</v>
      </c>
      <c r="D6" s="195" t="str">
        <f aca="false">Data!$D6</f>
        <v>V</v>
      </c>
      <c r="E6" s="205" t="str">
        <f aca="true">INDEX(OFFSET(MOTION1!$A$2,0,0,SystemInfo!$B$1,1),MATCH(CONCATENATE(B6,D6),OFFSET(MOTION1!$J$2,0,0,SystemInfo!$B$1,1),0))</f>
        <v>W032656</v>
      </c>
      <c r="F6" s="205" t="str">
        <f aca="true">INDEX(OFFSET(MOTION3!$A$2,0,0,SystemInfo!$B$1,1),MATCH(CONCATENATE(B6,D6),OFFSET(MOTION3!$J$2,0,0,SystemInfo!$B$1,1),0))</f>
        <v>W032657</v>
      </c>
      <c r="G6" s="206" t="n">
        <f aca="false">INT(Data!$P6*Data!$L6)</f>
        <v>800</v>
      </c>
      <c r="H6" s="207" t="n">
        <v>1</v>
      </c>
      <c r="I6" s="206" t="str">
        <f aca="false">Data!U6</f>
        <v>ABSENC</v>
      </c>
      <c r="J6" s="206" t="n">
        <f aca="false">IF($I6="ABSENC",Data!$V6,"")</f>
        <v>1000000</v>
      </c>
      <c r="K6" s="207" t="n">
        <v>1</v>
      </c>
      <c r="L6" s="206" t="str">
        <f aca="false">IF($I6="ENCIN",Data!$V6,"")</f>
        <v/>
      </c>
      <c r="M6" s="207" t="n">
        <v>1</v>
      </c>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08"/>
      <c r="CR6" s="208"/>
      <c r="CS6" s="208"/>
      <c r="CT6" s="208"/>
      <c r="CU6" s="208"/>
      <c r="CV6" s="208"/>
      <c r="CW6" s="208"/>
      <c r="CX6" s="208"/>
      <c r="CY6" s="208"/>
      <c r="CZ6" s="208"/>
      <c r="DA6" s="208"/>
      <c r="DB6" s="208"/>
      <c r="DC6" s="208"/>
      <c r="DD6" s="208"/>
      <c r="DE6" s="208"/>
      <c r="DF6" s="208"/>
      <c r="DG6" s="208"/>
      <c r="DH6" s="208"/>
      <c r="DI6" s="208"/>
      <c r="DJ6" s="208"/>
      <c r="DK6" s="208"/>
      <c r="DL6" s="208"/>
      <c r="DM6" s="208"/>
      <c r="DN6" s="208"/>
      <c r="DO6" s="208"/>
      <c r="DP6" s="208"/>
      <c r="DQ6" s="208"/>
      <c r="DR6" s="208"/>
      <c r="DS6" s="208"/>
      <c r="DT6" s="208"/>
      <c r="DU6" s="208"/>
      <c r="DV6" s="208"/>
      <c r="DW6" s="208"/>
      <c r="DX6" s="208"/>
      <c r="DY6" s="208"/>
      <c r="DZ6" s="208"/>
      <c r="EA6" s="208"/>
      <c r="EB6" s="208"/>
      <c r="EC6" s="208"/>
      <c r="ED6" s="208"/>
      <c r="EE6" s="208"/>
      <c r="EF6" s="208"/>
      <c r="EG6" s="208"/>
      <c r="EH6" s="208"/>
      <c r="EI6" s="208"/>
      <c r="EJ6" s="208"/>
      <c r="EK6" s="208"/>
      <c r="EL6" s="208"/>
      <c r="EM6" s="208"/>
      <c r="EN6" s="208"/>
      <c r="EO6" s="208"/>
      <c r="EP6" s="208"/>
      <c r="EQ6" s="208"/>
      <c r="ER6" s="208"/>
      <c r="ES6" s="208"/>
      <c r="ET6" s="208"/>
      <c r="EU6" s="208"/>
      <c r="EV6" s="208"/>
      <c r="EW6" s="208"/>
      <c r="EX6" s="208"/>
      <c r="EY6" s="208"/>
      <c r="EZ6" s="208"/>
      <c r="FA6" s="208"/>
      <c r="FB6" s="208"/>
      <c r="FC6" s="208"/>
      <c r="FD6" s="208"/>
      <c r="FE6" s="208"/>
      <c r="FF6" s="208"/>
      <c r="FG6" s="208"/>
      <c r="FH6" s="208"/>
      <c r="FI6" s="208"/>
      <c r="FJ6" s="208"/>
      <c r="FK6" s="208"/>
      <c r="FL6" s="208"/>
      <c r="FM6" s="208"/>
      <c r="FN6" s="208"/>
      <c r="FO6" s="208"/>
      <c r="FP6" s="208"/>
      <c r="FQ6" s="208"/>
      <c r="FR6" s="208"/>
      <c r="FS6" s="208"/>
      <c r="FT6" s="208"/>
      <c r="FU6" s="208"/>
      <c r="FV6" s="208"/>
      <c r="FW6" s="208"/>
      <c r="FX6" s="208"/>
      <c r="FY6" s="208"/>
      <c r="FZ6" s="208"/>
      <c r="GA6" s="208"/>
      <c r="GB6" s="208"/>
      <c r="GC6" s="208"/>
      <c r="GD6" s="208"/>
      <c r="GE6" s="208"/>
      <c r="GF6" s="208"/>
      <c r="GG6" s="208"/>
      <c r="GH6" s="208"/>
      <c r="GI6" s="208"/>
      <c r="GJ6" s="208"/>
      <c r="GK6" s="208"/>
      <c r="GL6" s="208"/>
      <c r="GM6" s="208"/>
      <c r="GN6" s="208"/>
      <c r="GO6" s="208"/>
      <c r="GP6" s="208"/>
      <c r="GQ6" s="208"/>
      <c r="GR6" s="208"/>
      <c r="GS6" s="208"/>
      <c r="GT6" s="208"/>
      <c r="GU6" s="208"/>
      <c r="GV6" s="208"/>
      <c r="GW6" s="208"/>
      <c r="GX6" s="208"/>
      <c r="GY6" s="208"/>
      <c r="GZ6" s="208"/>
      <c r="HA6" s="208"/>
      <c r="HB6" s="208"/>
      <c r="HC6" s="208"/>
      <c r="HD6" s="208"/>
      <c r="HE6" s="208"/>
      <c r="HF6" s="208"/>
      <c r="HG6" s="208"/>
      <c r="HH6" s="208"/>
      <c r="HI6" s="208"/>
      <c r="HJ6" s="208"/>
      <c r="HK6" s="208"/>
      <c r="HL6" s="208"/>
      <c r="HM6" s="208"/>
      <c r="HN6" s="208"/>
      <c r="HO6" s="208"/>
      <c r="HP6" s="208"/>
      <c r="HQ6" s="208"/>
      <c r="HR6" s="208"/>
      <c r="HS6" s="208"/>
      <c r="HT6" s="208"/>
      <c r="HU6" s="208"/>
      <c r="HV6" s="208"/>
      <c r="HW6" s="208"/>
      <c r="HX6" s="208"/>
      <c r="HY6" s="208"/>
      <c r="HZ6" s="208"/>
      <c r="IA6" s="208"/>
      <c r="IB6" s="208"/>
      <c r="IC6" s="208"/>
      <c r="ID6" s="208"/>
      <c r="IE6" s="208"/>
      <c r="IF6" s="208"/>
      <c r="IG6" s="208"/>
      <c r="IH6" s="208"/>
      <c r="II6" s="208"/>
      <c r="IJ6" s="208"/>
      <c r="IK6" s="208"/>
      <c r="IL6" s="208"/>
      <c r="IM6" s="208"/>
      <c r="IN6" s="208"/>
      <c r="IO6" s="208"/>
      <c r="IP6" s="208"/>
      <c r="IQ6" s="208"/>
      <c r="IR6" s="208"/>
      <c r="IS6" s="208"/>
      <c r="IT6" s="208"/>
      <c r="IU6" s="208"/>
      <c r="IV6" s="208"/>
    </row>
    <row r="7" customFormat="false" ht="14.4" hidden="false" customHeight="false" outlineLevel="0" collapsed="false">
      <c r="A7" s="195" t="n">
        <f aca="false">Data!$A7</f>
        <v>6</v>
      </c>
      <c r="B7" s="195" t="str">
        <f aca="false">Data!$B7</f>
        <v>B316A-EA03-OPT-MIR-04</v>
      </c>
      <c r="C7" s="195" t="str">
        <f aca="false">Data!$C7</f>
        <v>Focusing Mirror M4 VERITAS</v>
      </c>
      <c r="D7" s="195" t="str">
        <f aca="false">Data!$D7</f>
        <v>V1</v>
      </c>
      <c r="E7" s="205" t="str">
        <f aca="true">INDEX(OFFSET(MOTION1!$A$2,0,0,SystemInfo!$B$1,1),MATCH(CONCATENATE(B7,D7),OFFSET(MOTION1!$J$2,0,0,SystemInfo!$B$1,1),0))</f>
        <v>W032658</v>
      </c>
      <c r="F7" s="205" t="str">
        <f aca="true">INDEX(OFFSET(MOTION3!$A$2,0,0,SystemInfo!$B$1,1),MATCH(CONCATENATE(B7,D7),OFFSET(MOTION3!$J$2,0,0,SystemInfo!$B$1,1),0))</f>
        <v>W032659</v>
      </c>
      <c r="G7" s="206" t="n">
        <f aca="false">INT(Data!$P7*Data!$L7)</f>
        <v>800</v>
      </c>
      <c r="H7" s="207" t="n">
        <v>1</v>
      </c>
      <c r="I7" s="206" t="str">
        <f aca="false">Data!U7</f>
        <v>ABSENC</v>
      </c>
      <c r="J7" s="206" t="n">
        <f aca="false">IF($I7="ABSENC",Data!$V7,"")</f>
        <v>10000</v>
      </c>
      <c r="K7" s="207" t="n">
        <v>1</v>
      </c>
      <c r="L7" s="206" t="str">
        <f aca="false">IF($I7="ENCIN",Data!$V7,"")</f>
        <v/>
      </c>
      <c r="M7" s="207" t="n">
        <v>1</v>
      </c>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c r="BF7" s="208"/>
      <c r="BG7" s="208"/>
      <c r="BH7" s="208"/>
      <c r="BI7" s="208"/>
      <c r="BJ7" s="208"/>
      <c r="BK7" s="208"/>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8"/>
      <c r="CO7" s="208"/>
      <c r="CP7" s="208"/>
      <c r="CQ7" s="208"/>
      <c r="CR7" s="208"/>
      <c r="CS7" s="208"/>
      <c r="CT7" s="208"/>
      <c r="CU7" s="208"/>
      <c r="CV7" s="208"/>
      <c r="CW7" s="208"/>
      <c r="CX7" s="208"/>
      <c r="CY7" s="208"/>
      <c r="CZ7" s="208"/>
      <c r="DA7" s="208"/>
      <c r="DB7" s="208"/>
      <c r="DC7" s="208"/>
      <c r="DD7" s="208"/>
      <c r="DE7" s="208"/>
      <c r="DF7" s="208"/>
      <c r="DG7" s="208"/>
      <c r="DH7" s="208"/>
      <c r="DI7" s="208"/>
      <c r="DJ7" s="208"/>
      <c r="DK7" s="208"/>
      <c r="DL7" s="208"/>
      <c r="DM7" s="208"/>
      <c r="DN7" s="208"/>
      <c r="DO7" s="208"/>
      <c r="DP7" s="208"/>
      <c r="DQ7" s="208"/>
      <c r="DR7" s="208"/>
      <c r="DS7" s="208"/>
      <c r="DT7" s="208"/>
      <c r="DU7" s="208"/>
      <c r="DV7" s="208"/>
      <c r="DW7" s="208"/>
      <c r="DX7" s="208"/>
      <c r="DY7" s="208"/>
      <c r="DZ7" s="208"/>
      <c r="EA7" s="208"/>
      <c r="EB7" s="208"/>
      <c r="EC7" s="208"/>
      <c r="ED7" s="208"/>
      <c r="EE7" s="208"/>
      <c r="EF7" s="208"/>
      <c r="EG7" s="208"/>
      <c r="EH7" s="208"/>
      <c r="EI7" s="208"/>
      <c r="EJ7" s="208"/>
      <c r="EK7" s="208"/>
      <c r="EL7" s="208"/>
      <c r="EM7" s="208"/>
      <c r="EN7" s="208"/>
      <c r="EO7" s="208"/>
      <c r="EP7" s="208"/>
      <c r="EQ7" s="208"/>
      <c r="ER7" s="208"/>
      <c r="ES7" s="208"/>
      <c r="ET7" s="208"/>
      <c r="EU7" s="208"/>
      <c r="EV7" s="208"/>
      <c r="EW7" s="208"/>
      <c r="EX7" s="208"/>
      <c r="EY7" s="208"/>
      <c r="EZ7" s="208"/>
      <c r="FA7" s="208"/>
      <c r="FB7" s="208"/>
      <c r="FC7" s="208"/>
      <c r="FD7" s="208"/>
      <c r="FE7" s="208"/>
      <c r="FF7" s="208"/>
      <c r="FG7" s="208"/>
      <c r="FH7" s="208"/>
      <c r="FI7" s="208"/>
      <c r="FJ7" s="208"/>
      <c r="FK7" s="208"/>
      <c r="FL7" s="208"/>
      <c r="FM7" s="208"/>
      <c r="FN7" s="208"/>
      <c r="FO7" s="208"/>
      <c r="FP7" s="208"/>
      <c r="FQ7" s="208"/>
      <c r="FR7" s="208"/>
      <c r="FS7" s="208"/>
      <c r="FT7" s="208"/>
      <c r="FU7" s="208"/>
      <c r="FV7" s="208"/>
      <c r="FW7" s="208"/>
      <c r="FX7" s="208"/>
      <c r="FY7" s="208"/>
      <c r="FZ7" s="208"/>
      <c r="GA7" s="208"/>
      <c r="GB7" s="208"/>
      <c r="GC7" s="208"/>
      <c r="GD7" s="208"/>
      <c r="GE7" s="208"/>
      <c r="GF7" s="208"/>
      <c r="GG7" s="208"/>
      <c r="GH7" s="208"/>
      <c r="GI7" s="208"/>
      <c r="GJ7" s="208"/>
      <c r="GK7" s="208"/>
      <c r="GL7" s="208"/>
      <c r="GM7" s="208"/>
      <c r="GN7" s="208"/>
      <c r="GO7" s="208"/>
      <c r="GP7" s="208"/>
      <c r="GQ7" s="208"/>
      <c r="GR7" s="208"/>
      <c r="GS7" s="208"/>
      <c r="GT7" s="208"/>
      <c r="GU7" s="208"/>
      <c r="GV7" s="208"/>
      <c r="GW7" s="208"/>
      <c r="GX7" s="208"/>
      <c r="GY7" s="208"/>
      <c r="GZ7" s="208"/>
      <c r="HA7" s="208"/>
      <c r="HB7" s="208"/>
      <c r="HC7" s="208"/>
      <c r="HD7" s="208"/>
      <c r="HE7" s="208"/>
      <c r="HF7" s="208"/>
      <c r="HG7" s="208"/>
      <c r="HH7" s="208"/>
      <c r="HI7" s="208"/>
      <c r="HJ7" s="208"/>
      <c r="HK7" s="208"/>
      <c r="HL7" s="208"/>
      <c r="HM7" s="208"/>
      <c r="HN7" s="208"/>
      <c r="HO7" s="208"/>
      <c r="HP7" s="208"/>
      <c r="HQ7" s="208"/>
      <c r="HR7" s="208"/>
      <c r="HS7" s="208"/>
      <c r="HT7" s="208"/>
      <c r="HU7" s="208"/>
      <c r="HV7" s="208"/>
      <c r="HW7" s="208"/>
      <c r="HX7" s="208"/>
      <c r="HY7" s="208"/>
      <c r="HZ7" s="208"/>
      <c r="IA7" s="208"/>
      <c r="IB7" s="208"/>
      <c r="IC7" s="208"/>
      <c r="ID7" s="208"/>
      <c r="IE7" s="208"/>
      <c r="IF7" s="208"/>
      <c r="IG7" s="208"/>
      <c r="IH7" s="208"/>
      <c r="II7" s="208"/>
      <c r="IJ7" s="208"/>
      <c r="IK7" s="208"/>
      <c r="IL7" s="208"/>
      <c r="IM7" s="208"/>
      <c r="IN7" s="208"/>
      <c r="IO7" s="208"/>
      <c r="IP7" s="208"/>
      <c r="IQ7" s="208"/>
      <c r="IR7" s="208"/>
      <c r="IS7" s="208"/>
      <c r="IT7" s="208"/>
      <c r="IU7" s="208"/>
      <c r="IV7" s="208"/>
    </row>
    <row r="8" customFormat="false" ht="14.4" hidden="false" customHeight="false" outlineLevel="0" collapsed="false">
      <c r="A8" s="195" t="n">
        <f aca="false">Data!$A8</f>
        <v>7</v>
      </c>
      <c r="B8" s="195" t="str">
        <f aca="false">Data!$B8</f>
        <v>B316A-EA03-OPT-MIR-04</v>
      </c>
      <c r="C8" s="195" t="str">
        <f aca="false">Data!$C8</f>
        <v>Focusing Mirror M4 VERITAS</v>
      </c>
      <c r="D8" s="195" t="str">
        <f aca="false">Data!$D8</f>
        <v>V2</v>
      </c>
      <c r="E8" s="205" t="str">
        <f aca="true">INDEX(OFFSET(MOTION1!$A$2,0,0,SystemInfo!$B$1,1),MATCH(CONCATENATE(B8,D8),OFFSET(MOTION1!$J$2,0,0,SystemInfo!$B$1,1),0))</f>
        <v>W032660</v>
      </c>
      <c r="F8" s="205" t="str">
        <f aca="true">INDEX(OFFSET(MOTION3!$A$2,0,0,SystemInfo!$B$1,1),MATCH(CONCATENATE(B8,D8),OFFSET(MOTION3!$J$2,0,0,SystemInfo!$B$1,1),0))</f>
        <v>W032661</v>
      </c>
      <c r="G8" s="206" t="n">
        <f aca="false">INT(Data!$P8*Data!$L8)</f>
        <v>800</v>
      </c>
      <c r="H8" s="207" t="n">
        <v>1</v>
      </c>
      <c r="I8" s="206" t="str">
        <f aca="false">Data!U8</f>
        <v>ABSENC</v>
      </c>
      <c r="J8" s="206" t="n">
        <f aca="false">IF($I8="ABSENC",Data!$V8,"")</f>
        <v>10000</v>
      </c>
      <c r="K8" s="207" t="n">
        <v>1</v>
      </c>
      <c r="L8" s="206" t="str">
        <f aca="false">IF($I8="ENCIN",Data!$V8,"")</f>
        <v/>
      </c>
      <c r="M8" s="207" t="n">
        <v>1</v>
      </c>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08"/>
      <c r="HD8" s="208"/>
      <c r="HE8" s="208"/>
      <c r="HF8" s="208"/>
      <c r="HG8" s="208"/>
      <c r="HH8" s="208"/>
      <c r="HI8" s="208"/>
      <c r="HJ8" s="208"/>
      <c r="HK8" s="208"/>
      <c r="HL8" s="208"/>
      <c r="HM8" s="208"/>
      <c r="HN8" s="208"/>
      <c r="HO8" s="208"/>
      <c r="HP8" s="208"/>
      <c r="HQ8" s="208"/>
      <c r="HR8" s="208"/>
      <c r="HS8" s="208"/>
      <c r="HT8" s="208"/>
      <c r="HU8" s="208"/>
      <c r="HV8" s="208"/>
      <c r="HW8" s="208"/>
      <c r="HX8" s="208"/>
      <c r="HY8" s="208"/>
      <c r="HZ8" s="208"/>
      <c r="IA8" s="208"/>
      <c r="IB8" s="208"/>
      <c r="IC8" s="208"/>
      <c r="ID8" s="208"/>
      <c r="IE8" s="208"/>
      <c r="IF8" s="208"/>
      <c r="IG8" s="208"/>
      <c r="IH8" s="208"/>
      <c r="II8" s="208"/>
      <c r="IJ8" s="208"/>
      <c r="IK8" s="208"/>
      <c r="IL8" s="208"/>
      <c r="IM8" s="208"/>
      <c r="IN8" s="208"/>
      <c r="IO8" s="208"/>
      <c r="IP8" s="208"/>
      <c r="IQ8" s="208"/>
      <c r="IR8" s="208"/>
      <c r="IS8" s="208"/>
      <c r="IT8" s="208"/>
      <c r="IU8" s="208"/>
      <c r="IV8" s="208"/>
    </row>
    <row r="9" customFormat="false" ht="14.4" hidden="false" customHeight="false" outlineLevel="0" collapsed="false">
      <c r="A9" s="195" t="n">
        <f aca="false">Data!$A9</f>
        <v>8</v>
      </c>
      <c r="B9" s="195" t="str">
        <f aca="false">Data!$B9</f>
        <v>B316A-EA03-OPT-MIR-04</v>
      </c>
      <c r="C9" s="195" t="str">
        <f aca="false">Data!$C9</f>
        <v>Focusing Mirror M4 VERITAS</v>
      </c>
      <c r="D9" s="195" t="str">
        <f aca="false">Data!$D9</f>
        <v>V3</v>
      </c>
      <c r="E9" s="205" t="str">
        <f aca="true">INDEX(OFFSET(MOTION1!$A$2,0,0,SystemInfo!$B$1,1),MATCH(CONCATENATE(B9,D9),OFFSET(MOTION1!$J$2,0,0,SystemInfo!$B$1,1),0))</f>
        <v>W032662</v>
      </c>
      <c r="F9" s="205" t="str">
        <f aca="true">INDEX(OFFSET(MOTION3!$A$2,0,0,SystemInfo!$B$1,1),MATCH(CONCATENATE(B9,D9),OFFSET(MOTION3!$J$2,0,0,SystemInfo!$B$1,1),0))</f>
        <v>W032663</v>
      </c>
      <c r="G9" s="206" t="n">
        <f aca="false">INT(Data!$P9*Data!$L9)</f>
        <v>800</v>
      </c>
      <c r="H9" s="207" t="n">
        <v>1</v>
      </c>
      <c r="I9" s="206" t="str">
        <f aca="false">Data!U9</f>
        <v>ABSENC</v>
      </c>
      <c r="J9" s="206" t="n">
        <f aca="false">IF($I9="ABSENC",Data!$V9,"")</f>
        <v>10000</v>
      </c>
      <c r="K9" s="207" t="n">
        <v>1</v>
      </c>
      <c r="L9" s="206" t="str">
        <f aca="false">IF($I9="ENCIN",Data!$V9,"")</f>
        <v/>
      </c>
      <c r="M9" s="207" t="n">
        <v>1</v>
      </c>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c r="DA9" s="208"/>
      <c r="DB9" s="208"/>
      <c r="DC9" s="208"/>
      <c r="DD9" s="208"/>
      <c r="DE9" s="208"/>
      <c r="DF9" s="208"/>
      <c r="DG9" s="208"/>
      <c r="DH9" s="208"/>
      <c r="DI9" s="208"/>
      <c r="DJ9" s="208"/>
      <c r="DK9" s="208"/>
      <c r="DL9" s="208"/>
      <c r="DM9" s="208"/>
      <c r="DN9" s="208"/>
      <c r="DO9" s="208"/>
      <c r="DP9" s="208"/>
      <c r="DQ9" s="208"/>
      <c r="DR9" s="208"/>
      <c r="DS9" s="208"/>
      <c r="DT9" s="208"/>
      <c r="DU9" s="208"/>
      <c r="DV9" s="208"/>
      <c r="DW9" s="208"/>
      <c r="DX9" s="208"/>
      <c r="DY9" s="208"/>
      <c r="DZ9" s="208"/>
      <c r="EA9" s="208"/>
      <c r="EB9" s="208"/>
      <c r="EC9" s="208"/>
      <c r="ED9" s="208"/>
      <c r="EE9" s="208"/>
      <c r="EF9" s="208"/>
      <c r="EG9" s="208"/>
      <c r="EH9" s="208"/>
      <c r="EI9" s="208"/>
      <c r="EJ9" s="208"/>
      <c r="EK9" s="208"/>
      <c r="EL9" s="208"/>
      <c r="EM9" s="208"/>
      <c r="EN9" s="208"/>
      <c r="EO9" s="208"/>
      <c r="EP9" s="208"/>
      <c r="EQ9" s="208"/>
      <c r="ER9" s="208"/>
      <c r="ES9" s="208"/>
      <c r="ET9" s="208"/>
      <c r="EU9" s="208"/>
      <c r="EV9" s="208"/>
      <c r="EW9" s="208"/>
      <c r="EX9" s="208"/>
      <c r="EY9" s="208"/>
      <c r="EZ9" s="208"/>
      <c r="FA9" s="208"/>
      <c r="FB9" s="208"/>
      <c r="FC9" s="208"/>
      <c r="FD9" s="208"/>
      <c r="FE9" s="208"/>
      <c r="FF9" s="208"/>
      <c r="FG9" s="208"/>
      <c r="FH9" s="208"/>
      <c r="FI9" s="208"/>
      <c r="FJ9" s="208"/>
      <c r="FK9" s="208"/>
      <c r="FL9" s="208"/>
      <c r="FM9" s="208"/>
      <c r="FN9" s="208"/>
      <c r="FO9" s="208"/>
      <c r="FP9" s="208"/>
      <c r="FQ9" s="208"/>
      <c r="FR9" s="208"/>
      <c r="FS9" s="208"/>
      <c r="FT9" s="208"/>
      <c r="FU9" s="208"/>
      <c r="FV9" s="208"/>
      <c r="FW9" s="208"/>
      <c r="FX9" s="208"/>
      <c r="FY9" s="208"/>
      <c r="FZ9" s="208"/>
      <c r="GA9" s="208"/>
      <c r="GB9" s="208"/>
      <c r="GC9" s="208"/>
      <c r="GD9" s="208"/>
      <c r="GE9" s="208"/>
      <c r="GF9" s="208"/>
      <c r="GG9" s="208"/>
      <c r="GH9" s="208"/>
      <c r="GI9" s="208"/>
      <c r="GJ9" s="208"/>
      <c r="GK9" s="208"/>
      <c r="GL9" s="208"/>
      <c r="GM9" s="208"/>
      <c r="GN9" s="208"/>
      <c r="GO9" s="208"/>
      <c r="GP9" s="208"/>
      <c r="GQ9" s="208"/>
      <c r="GR9" s="208"/>
      <c r="GS9" s="208"/>
      <c r="GT9" s="208"/>
      <c r="GU9" s="208"/>
      <c r="GV9" s="208"/>
      <c r="GW9" s="208"/>
      <c r="GX9" s="208"/>
      <c r="GY9" s="208"/>
      <c r="GZ9" s="208"/>
      <c r="HA9" s="208"/>
      <c r="HB9" s="208"/>
      <c r="HC9" s="208"/>
      <c r="HD9" s="208"/>
      <c r="HE9" s="208"/>
      <c r="HF9" s="208"/>
      <c r="HG9" s="208"/>
      <c r="HH9" s="208"/>
      <c r="HI9" s="208"/>
      <c r="HJ9" s="208"/>
      <c r="HK9" s="208"/>
      <c r="HL9" s="208"/>
      <c r="HM9" s="208"/>
      <c r="HN9" s="208"/>
      <c r="HO9" s="208"/>
      <c r="HP9" s="208"/>
      <c r="HQ9" s="208"/>
      <c r="HR9" s="208"/>
      <c r="HS9" s="208"/>
      <c r="HT9" s="208"/>
      <c r="HU9" s="208"/>
      <c r="HV9" s="208"/>
      <c r="HW9" s="208"/>
      <c r="HX9" s="208"/>
      <c r="HY9" s="208"/>
      <c r="HZ9" s="208"/>
      <c r="IA9" s="208"/>
      <c r="IB9" s="208"/>
      <c r="IC9" s="208"/>
      <c r="ID9" s="208"/>
      <c r="IE9" s="208"/>
      <c r="IF9" s="208"/>
      <c r="IG9" s="208"/>
      <c r="IH9" s="208"/>
      <c r="II9" s="208"/>
      <c r="IJ9" s="208"/>
      <c r="IK9" s="208"/>
      <c r="IL9" s="208"/>
      <c r="IM9" s="208"/>
      <c r="IN9" s="208"/>
      <c r="IO9" s="208"/>
      <c r="IP9" s="208"/>
      <c r="IQ9" s="208"/>
      <c r="IR9" s="208"/>
      <c r="IS9" s="208"/>
      <c r="IT9" s="208"/>
      <c r="IU9" s="208"/>
      <c r="IV9" s="208"/>
    </row>
    <row r="10" s="211" customFormat="true" ht="14.4" hidden="false" customHeight="false" outlineLevel="0" collapsed="false">
      <c r="A10" s="209"/>
      <c r="B10" s="209"/>
      <c r="C10" s="209"/>
      <c r="D10" s="209"/>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10"/>
      <c r="BV10" s="210"/>
      <c r="BW10" s="210"/>
      <c r="BX10" s="210"/>
      <c r="BY10" s="210"/>
      <c r="BZ10" s="210"/>
      <c r="CA10" s="210"/>
      <c r="CB10" s="210"/>
      <c r="CC10" s="210"/>
      <c r="CD10" s="210"/>
      <c r="CE10" s="210"/>
      <c r="CF10" s="210"/>
      <c r="CG10" s="210"/>
      <c r="CH10" s="210"/>
      <c r="CI10" s="210"/>
      <c r="CJ10" s="210"/>
      <c r="CK10" s="210"/>
      <c r="CL10" s="210"/>
      <c r="CM10" s="210"/>
      <c r="CN10" s="210"/>
      <c r="CO10" s="210"/>
      <c r="CP10" s="210"/>
      <c r="CQ10" s="210"/>
      <c r="CR10" s="210"/>
      <c r="CS10" s="210"/>
      <c r="CT10" s="210"/>
      <c r="CU10" s="210"/>
      <c r="CV10" s="210"/>
      <c r="CW10" s="210"/>
      <c r="CX10" s="210"/>
      <c r="CY10" s="210"/>
      <c r="CZ10" s="210"/>
      <c r="DA10" s="210"/>
      <c r="DB10" s="210"/>
      <c r="DC10" s="210"/>
      <c r="DD10" s="210"/>
      <c r="DE10" s="210"/>
      <c r="DF10" s="210"/>
      <c r="DG10" s="210"/>
      <c r="DH10" s="210"/>
      <c r="DI10" s="210"/>
      <c r="DJ10" s="210"/>
      <c r="DK10" s="210"/>
      <c r="DL10" s="210"/>
      <c r="DM10" s="210"/>
      <c r="DN10" s="210"/>
      <c r="DO10" s="210"/>
      <c r="DP10" s="210"/>
      <c r="DQ10" s="210"/>
      <c r="DR10" s="210"/>
      <c r="DS10" s="210"/>
      <c r="DT10" s="210"/>
      <c r="DU10" s="210"/>
      <c r="DV10" s="210"/>
      <c r="DW10" s="210"/>
      <c r="DX10" s="210"/>
      <c r="DY10" s="210"/>
      <c r="DZ10" s="210"/>
      <c r="EA10" s="210"/>
      <c r="EB10" s="210"/>
      <c r="EC10" s="210"/>
      <c r="ED10" s="210"/>
      <c r="EE10" s="210"/>
      <c r="EF10" s="210"/>
      <c r="EG10" s="210"/>
      <c r="EH10" s="210"/>
      <c r="EI10" s="210"/>
      <c r="EJ10" s="210"/>
      <c r="EK10" s="210"/>
      <c r="EL10" s="210"/>
      <c r="EM10" s="210"/>
      <c r="EN10" s="210"/>
      <c r="EO10" s="210"/>
      <c r="EP10" s="210"/>
      <c r="EQ10" s="210"/>
      <c r="ER10" s="210"/>
      <c r="ES10" s="210"/>
      <c r="ET10" s="210"/>
      <c r="EU10" s="210"/>
      <c r="EV10" s="210"/>
      <c r="EW10" s="210"/>
      <c r="EX10" s="210"/>
      <c r="EY10" s="210"/>
      <c r="EZ10" s="210"/>
      <c r="FA10" s="210"/>
      <c r="FB10" s="210"/>
      <c r="FC10" s="210"/>
      <c r="FD10" s="210"/>
      <c r="FE10" s="210"/>
      <c r="FF10" s="210"/>
      <c r="FG10" s="210"/>
      <c r="FH10" s="210"/>
      <c r="FI10" s="210"/>
      <c r="FJ10" s="210"/>
      <c r="FK10" s="210"/>
      <c r="FL10" s="210"/>
      <c r="FM10" s="210"/>
      <c r="FN10" s="210"/>
      <c r="FO10" s="210"/>
      <c r="FP10" s="210"/>
      <c r="FQ10" s="210"/>
      <c r="FR10" s="210"/>
      <c r="FS10" s="210"/>
      <c r="FT10" s="210"/>
      <c r="FU10" s="210"/>
      <c r="FV10" s="210"/>
      <c r="FW10" s="210"/>
      <c r="FX10" s="210"/>
      <c r="FY10" s="210"/>
      <c r="FZ10" s="210"/>
      <c r="GA10" s="210"/>
      <c r="GB10" s="210"/>
      <c r="GC10" s="210"/>
      <c r="GD10" s="210"/>
      <c r="GE10" s="210"/>
      <c r="GF10" s="210"/>
      <c r="GG10" s="210"/>
      <c r="GH10" s="210"/>
      <c r="GI10" s="210"/>
      <c r="GJ10" s="210"/>
      <c r="GK10" s="210"/>
      <c r="GL10" s="210"/>
      <c r="GM10" s="210"/>
      <c r="GN10" s="210"/>
      <c r="GO10" s="210"/>
      <c r="GP10" s="210"/>
      <c r="GQ10" s="210"/>
      <c r="GR10" s="210"/>
      <c r="GS10" s="210"/>
      <c r="GT10" s="210"/>
      <c r="GU10" s="210"/>
      <c r="GV10" s="210"/>
      <c r="GW10" s="210"/>
      <c r="GX10" s="210"/>
      <c r="GY10" s="210"/>
      <c r="GZ10" s="210"/>
      <c r="HA10" s="210"/>
      <c r="HB10" s="210"/>
      <c r="HC10" s="210"/>
      <c r="HD10" s="210"/>
      <c r="HE10" s="210"/>
      <c r="HF10" s="210"/>
      <c r="HG10" s="210"/>
      <c r="HH10" s="210"/>
      <c r="HI10" s="210"/>
      <c r="HJ10" s="210"/>
      <c r="HK10" s="210"/>
      <c r="HL10" s="210"/>
      <c r="HM10" s="210"/>
      <c r="HN10" s="210"/>
      <c r="HO10" s="210"/>
      <c r="HP10" s="210"/>
      <c r="HQ10" s="210"/>
      <c r="HR10" s="210"/>
      <c r="HS10" s="210"/>
      <c r="HT10" s="210"/>
      <c r="HU10" s="210"/>
      <c r="HV10" s="210"/>
      <c r="HW10" s="210"/>
      <c r="HX10" s="210"/>
      <c r="HY10" s="210"/>
      <c r="HZ10" s="210"/>
      <c r="IA10" s="210"/>
      <c r="IB10" s="210"/>
      <c r="IC10" s="210"/>
      <c r="ID10" s="210"/>
      <c r="IE10" s="210"/>
      <c r="IF10" s="210"/>
      <c r="IG10" s="210"/>
      <c r="IH10" s="210"/>
      <c r="II10" s="210"/>
      <c r="IJ10" s="210"/>
      <c r="IK10" s="210"/>
      <c r="IL10" s="210"/>
      <c r="IM10" s="210"/>
      <c r="IN10" s="210"/>
      <c r="IO10" s="210"/>
      <c r="IP10" s="210"/>
      <c r="IQ10" s="210"/>
      <c r="IR10" s="210"/>
      <c r="IS10" s="210"/>
      <c r="IT10" s="210"/>
      <c r="IU10" s="210"/>
      <c r="IV10" s="210"/>
    </row>
    <row r="11" customFormat="false" ht="14.4" hidden="false" customHeight="false" outlineLevel="0" collapsed="false">
      <c r="A11" s="195" t="n">
        <f aca="false">Data!$A11</f>
        <v>11</v>
      </c>
      <c r="B11" s="195" t="str">
        <f aca="false">Data!$B11</f>
        <v>B316A-EA03-OPT-MIR-04</v>
      </c>
      <c r="C11" s="195" t="str">
        <f aca="false">Data!$C11</f>
        <v>Focusing Mirror M4 VERITAS</v>
      </c>
      <c r="D11" s="195" t="str">
        <f aca="false">Data!$D11</f>
        <v>H4</v>
      </c>
      <c r="E11" s="205" t="str">
        <f aca="true">INDEX(OFFSET(MOTION1!$A$2,0,0,SystemInfo!$B$1,1),MATCH(CONCATENATE(B11,D11),OFFSET(MOTION1!$J$2,0,0,SystemInfo!$B$1,1),0))</f>
        <v>W032664</v>
      </c>
      <c r="F11" s="205" t="str">
        <f aca="true">INDEX(OFFSET(MOTION3!$A$2,0,0,SystemInfo!$B$1,1),MATCH(CONCATENATE(B11,D11),OFFSET(MOTION3!$J$2,0,0,SystemInfo!$B$1,1),0))</f>
        <v>W032665</v>
      </c>
      <c r="G11" s="206" t="n">
        <f aca="false">INT(Data!$P11*Data!$L11)</f>
        <v>800</v>
      </c>
      <c r="H11" s="207" t="n">
        <v>1</v>
      </c>
      <c r="I11" s="206" t="str">
        <f aca="false">Data!U11</f>
        <v>ABSENC</v>
      </c>
      <c r="J11" s="206" t="n">
        <f aca="false">IF($I11="ABSENC",Data!$V11,"")</f>
        <v>10000</v>
      </c>
      <c r="K11" s="207" t="n">
        <v>1</v>
      </c>
      <c r="L11" s="206" t="str">
        <f aca="false">IF($I11="ENCIN",Data!$V11,"")</f>
        <v/>
      </c>
      <c r="M11" s="207" t="n">
        <v>1</v>
      </c>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08"/>
      <c r="EF11" s="208"/>
      <c r="EG11" s="208"/>
      <c r="EH11" s="208"/>
      <c r="EI11" s="208"/>
      <c r="EJ11" s="208"/>
      <c r="EK11" s="208"/>
      <c r="EL11" s="208"/>
      <c r="EM11" s="208"/>
      <c r="EN11" s="208"/>
      <c r="EO11" s="208"/>
      <c r="EP11" s="208"/>
      <c r="EQ11" s="208"/>
      <c r="ER11" s="208"/>
      <c r="ES11" s="208"/>
      <c r="ET11" s="208"/>
      <c r="EU11" s="208"/>
      <c r="EV11" s="208"/>
      <c r="EW11" s="208"/>
      <c r="EX11" s="208"/>
      <c r="EY11" s="208"/>
      <c r="EZ11" s="208"/>
      <c r="FA11" s="208"/>
      <c r="FB11" s="208"/>
      <c r="FC11" s="208"/>
      <c r="FD11" s="208"/>
      <c r="FE11" s="208"/>
      <c r="FF11" s="208"/>
      <c r="FG11" s="208"/>
      <c r="FH11" s="208"/>
      <c r="FI11" s="208"/>
      <c r="FJ11" s="208"/>
      <c r="FK11" s="208"/>
      <c r="FL11" s="208"/>
      <c r="FM11" s="208"/>
      <c r="FN11" s="208"/>
      <c r="FO11" s="208"/>
      <c r="FP11" s="208"/>
      <c r="FQ11" s="208"/>
      <c r="FR11" s="208"/>
      <c r="FS11" s="208"/>
      <c r="FT11" s="208"/>
      <c r="FU11" s="208"/>
      <c r="FV11" s="208"/>
      <c r="FW11" s="208"/>
      <c r="FX11" s="208"/>
      <c r="FY11" s="208"/>
      <c r="FZ11" s="208"/>
      <c r="GA11" s="208"/>
      <c r="GB11" s="208"/>
      <c r="GC11" s="208"/>
      <c r="GD11" s="208"/>
      <c r="GE11" s="208"/>
      <c r="GF11" s="208"/>
      <c r="GG11" s="208"/>
      <c r="GH11" s="208"/>
      <c r="GI11" s="208"/>
      <c r="GJ11" s="208"/>
      <c r="GK11" s="208"/>
      <c r="GL11" s="208"/>
      <c r="GM11" s="208"/>
      <c r="GN11" s="208"/>
      <c r="GO11" s="208"/>
      <c r="GP11" s="208"/>
      <c r="GQ11" s="208"/>
      <c r="GR11" s="208"/>
      <c r="GS11" s="208"/>
      <c r="GT11" s="208"/>
      <c r="GU11" s="208"/>
      <c r="GV11" s="208"/>
      <c r="GW11" s="208"/>
      <c r="GX11" s="208"/>
      <c r="GY11" s="208"/>
      <c r="GZ11" s="208"/>
      <c r="HA11" s="208"/>
      <c r="HB11" s="208"/>
      <c r="HC11" s="208"/>
      <c r="HD11" s="208"/>
      <c r="HE11" s="208"/>
      <c r="HF11" s="208"/>
      <c r="HG11" s="208"/>
      <c r="HH11" s="208"/>
      <c r="HI11" s="208"/>
      <c r="HJ11" s="208"/>
      <c r="HK11" s="208"/>
      <c r="HL11" s="208"/>
      <c r="HM11" s="208"/>
      <c r="HN11" s="208"/>
      <c r="HO11" s="208"/>
      <c r="HP11" s="208"/>
      <c r="HQ11" s="208"/>
      <c r="HR11" s="208"/>
      <c r="HS11" s="208"/>
      <c r="HT11" s="208"/>
      <c r="HU11" s="208"/>
      <c r="HV11" s="208"/>
      <c r="HW11" s="208"/>
      <c r="HX11" s="208"/>
      <c r="HY11" s="208"/>
      <c r="HZ11" s="208"/>
      <c r="IA11" s="208"/>
      <c r="IB11" s="208"/>
      <c r="IC11" s="208"/>
      <c r="ID11" s="208"/>
      <c r="IE11" s="208"/>
      <c r="IF11" s="208"/>
      <c r="IG11" s="208"/>
      <c r="IH11" s="208"/>
      <c r="II11" s="208"/>
      <c r="IJ11" s="208"/>
      <c r="IK11" s="208"/>
      <c r="IL11" s="208"/>
      <c r="IM11" s="208"/>
      <c r="IN11" s="208"/>
      <c r="IO11" s="208"/>
      <c r="IP11" s="208"/>
      <c r="IQ11" s="208"/>
      <c r="IR11" s="208"/>
      <c r="IS11" s="208"/>
      <c r="IT11" s="208"/>
      <c r="IU11" s="208"/>
      <c r="IV11" s="208"/>
    </row>
    <row r="12" customFormat="false" ht="14.4" hidden="false" customHeight="false" outlineLevel="0" collapsed="false">
      <c r="A12" s="195" t="n">
        <f aca="false">Data!$A12</f>
        <v>12</v>
      </c>
      <c r="B12" s="195" t="str">
        <f aca="false">Data!$B12</f>
        <v>B316A-EA03-OPT-MIR-04</v>
      </c>
      <c r="C12" s="195" t="str">
        <f aca="false">Data!$C12</f>
        <v>Focusing Mirror M4 VERITAS</v>
      </c>
      <c r="D12" s="195" t="str">
        <f aca="false">Data!$D12</f>
        <v>H5</v>
      </c>
      <c r="E12" s="205" t="str">
        <f aca="true">INDEX(OFFSET(MOTION1!$A$2,0,0,SystemInfo!$B$1,1),MATCH(CONCATENATE(B12,D12),OFFSET(MOTION1!$J$2,0,0,SystemInfo!$B$1,1),0))</f>
        <v>W032666</v>
      </c>
      <c r="F12" s="205" t="str">
        <f aca="true">INDEX(OFFSET(MOTION3!$A$2,0,0,SystemInfo!$B$1,1),MATCH(CONCATENATE(B12,D12),OFFSET(MOTION3!$J$2,0,0,SystemInfo!$B$1,1),0))</f>
        <v>W032667</v>
      </c>
      <c r="G12" s="206" t="n">
        <f aca="false">INT(Data!$P12*Data!$L12)</f>
        <v>800</v>
      </c>
      <c r="H12" s="207" t="n">
        <v>1</v>
      </c>
      <c r="I12" s="206" t="str">
        <f aca="false">Data!U12</f>
        <v>ABSENC</v>
      </c>
      <c r="J12" s="206" t="n">
        <f aca="false">IF($I12="ABSENC",Data!$V12,"")</f>
        <v>10000</v>
      </c>
      <c r="K12" s="207" t="n">
        <v>1</v>
      </c>
      <c r="L12" s="206" t="str">
        <f aca="false">IF($I12="ENCIN",Data!$V12,"")</f>
        <v/>
      </c>
      <c r="M12" s="207" t="n">
        <v>1</v>
      </c>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c r="CL12" s="208"/>
      <c r="CM12" s="208"/>
      <c r="CN12" s="208"/>
      <c r="CO12" s="208"/>
      <c r="CP12" s="208"/>
      <c r="CQ12" s="208"/>
      <c r="CR12" s="208"/>
      <c r="CS12" s="208"/>
      <c r="CT12" s="208"/>
      <c r="CU12" s="208"/>
      <c r="CV12" s="208"/>
      <c r="CW12" s="208"/>
      <c r="CX12" s="208"/>
      <c r="CY12" s="208"/>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G12" s="208"/>
      <c r="EH12" s="208"/>
      <c r="EI12" s="208"/>
      <c r="EJ12" s="208"/>
      <c r="EK12" s="208"/>
      <c r="EL12" s="208"/>
      <c r="EM12" s="208"/>
      <c r="EN12" s="208"/>
      <c r="EO12" s="208"/>
      <c r="EP12" s="208"/>
      <c r="EQ12" s="208"/>
      <c r="ER12" s="208"/>
      <c r="ES12" s="208"/>
      <c r="ET12" s="208"/>
      <c r="EU12" s="208"/>
      <c r="EV12" s="208"/>
      <c r="EW12" s="208"/>
      <c r="EX12" s="208"/>
      <c r="EY12" s="208"/>
      <c r="EZ12" s="208"/>
      <c r="FA12" s="208"/>
      <c r="FB12" s="208"/>
      <c r="FC12" s="208"/>
      <c r="FD12" s="208"/>
      <c r="FE12" s="208"/>
      <c r="FF12" s="208"/>
      <c r="FG12" s="208"/>
      <c r="FH12" s="208"/>
      <c r="FI12" s="208"/>
      <c r="FJ12" s="208"/>
      <c r="FK12" s="208"/>
      <c r="FL12" s="208"/>
      <c r="FM12" s="208"/>
      <c r="FN12" s="208"/>
      <c r="FO12" s="208"/>
      <c r="FP12" s="208"/>
      <c r="FQ12" s="208"/>
      <c r="FR12" s="208"/>
      <c r="FS12" s="208"/>
      <c r="FT12" s="208"/>
      <c r="FU12" s="208"/>
      <c r="FV12" s="208"/>
      <c r="FW12" s="208"/>
      <c r="FX12" s="208"/>
      <c r="FY12" s="208"/>
      <c r="FZ12" s="208"/>
      <c r="GA12" s="208"/>
      <c r="GB12" s="208"/>
      <c r="GC12" s="208"/>
      <c r="GD12" s="208"/>
      <c r="GE12" s="208"/>
      <c r="GF12" s="208"/>
      <c r="GG12" s="208"/>
      <c r="GH12" s="208"/>
      <c r="GI12" s="208"/>
      <c r="GJ12" s="208"/>
      <c r="GK12" s="208"/>
      <c r="GL12" s="208"/>
      <c r="GM12" s="208"/>
      <c r="GN12" s="208"/>
      <c r="GO12" s="208"/>
      <c r="GP12" s="208"/>
      <c r="GQ12" s="208"/>
      <c r="GR12" s="208"/>
      <c r="GS12" s="208"/>
      <c r="GT12" s="208"/>
      <c r="GU12" s="208"/>
      <c r="GV12" s="208"/>
      <c r="GW12" s="208"/>
      <c r="GX12" s="208"/>
      <c r="GY12" s="208"/>
      <c r="GZ12" s="208"/>
      <c r="HA12" s="208"/>
      <c r="HB12" s="208"/>
      <c r="HC12" s="208"/>
      <c r="HD12" s="208"/>
      <c r="HE12" s="208"/>
      <c r="HF12" s="208"/>
      <c r="HG12" s="208"/>
      <c r="HH12" s="208"/>
      <c r="HI12" s="208"/>
      <c r="HJ12" s="208"/>
      <c r="HK12" s="208"/>
      <c r="HL12" s="208"/>
      <c r="HM12" s="208"/>
      <c r="HN12" s="208"/>
      <c r="HO12" s="208"/>
      <c r="HP12" s="208"/>
      <c r="HQ12" s="208"/>
      <c r="HR12" s="208"/>
      <c r="HS12" s="208"/>
      <c r="HT12" s="208"/>
      <c r="HU12" s="208"/>
      <c r="HV12" s="208"/>
      <c r="HW12" s="208"/>
      <c r="HX12" s="208"/>
      <c r="HY12" s="208"/>
      <c r="HZ12" s="208"/>
      <c r="IA12" s="208"/>
      <c r="IB12" s="208"/>
      <c r="IC12" s="208"/>
      <c r="ID12" s="208"/>
      <c r="IE12" s="208"/>
      <c r="IF12" s="208"/>
      <c r="IG12" s="208"/>
      <c r="IH12" s="208"/>
      <c r="II12" s="208"/>
      <c r="IJ12" s="208"/>
      <c r="IK12" s="208"/>
      <c r="IL12" s="208"/>
      <c r="IM12" s="208"/>
      <c r="IN12" s="208"/>
      <c r="IO12" s="208"/>
      <c r="IP12" s="208"/>
      <c r="IQ12" s="208"/>
      <c r="IR12" s="208"/>
      <c r="IS12" s="208"/>
      <c r="IT12" s="208"/>
      <c r="IU12" s="208"/>
      <c r="IV12" s="208"/>
    </row>
    <row r="13" customFormat="false" ht="14.4" hidden="false" customHeight="false" outlineLevel="0" collapsed="false">
      <c r="A13" s="195" t="n">
        <f aca="false">Data!$A13</f>
        <v>13</v>
      </c>
      <c r="B13" s="195" t="str">
        <f aca="false">Data!$B13</f>
        <v>B316A-EA04-DIA-MP-01</v>
      </c>
      <c r="C13" s="195" t="str">
        <f aca="false">Data!$C13</f>
        <v>Manipulator VERITAS</v>
      </c>
      <c r="D13" s="195" t="str">
        <f aca="false">Data!$D13</f>
        <v>X</v>
      </c>
      <c r="E13" s="205" t="str">
        <f aca="true">INDEX(OFFSET(MOTION1!$A$2,0,0,SystemInfo!$B$1,1),MATCH(CONCATENATE(B13,D13),OFFSET(MOTION1!$J$2,0,0,SystemInfo!$B$1,1),0))</f>
        <v>W050216</v>
      </c>
      <c r="F13" s="205" t="str">
        <f aca="true">INDEX(OFFSET(MOTION3!$A$2,0,0,SystemInfo!$B$1,1),MATCH(CONCATENATE(B13,D13),OFFSET(MOTION3!$J$2,0,0,SystemInfo!$B$1,1),0))</f>
        <v>W050217</v>
      </c>
      <c r="G13" s="206" t="n">
        <f aca="false">INT(Data!$P13*Data!$L13)</f>
        <v>800</v>
      </c>
      <c r="H13" s="207" t="n">
        <v>1</v>
      </c>
      <c r="I13" s="206" t="str">
        <f aca="false">Data!U13</f>
        <v>ABSENC</v>
      </c>
      <c r="J13" s="206" t="n">
        <f aca="false">IF($I13="ABSENC",Data!$V13,"")</f>
        <v>2000000</v>
      </c>
      <c r="K13" s="207" t="n">
        <v>1</v>
      </c>
      <c r="L13" s="206" t="str">
        <f aca="false">IF($I13="ENCIN",Data!$V13,"")</f>
        <v/>
      </c>
      <c r="M13" s="207" t="n">
        <v>1</v>
      </c>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08"/>
      <c r="DN13" s="208"/>
      <c r="DO13" s="208"/>
      <c r="DP13" s="208"/>
      <c r="DQ13" s="208"/>
      <c r="DR13" s="208"/>
      <c r="DS13" s="208"/>
      <c r="DT13" s="208"/>
      <c r="DU13" s="208"/>
      <c r="DV13" s="208"/>
      <c r="DW13" s="208"/>
      <c r="DX13" s="208"/>
      <c r="DY13" s="208"/>
      <c r="DZ13" s="208"/>
      <c r="EA13" s="208"/>
      <c r="EB13" s="208"/>
      <c r="EC13" s="208"/>
      <c r="ED13" s="208"/>
      <c r="EE13" s="208"/>
      <c r="EF13" s="208"/>
      <c r="EG13" s="208"/>
      <c r="EH13" s="208"/>
      <c r="EI13" s="208"/>
      <c r="EJ13" s="208"/>
      <c r="EK13" s="208"/>
      <c r="EL13" s="208"/>
      <c r="EM13" s="208"/>
      <c r="EN13" s="208"/>
      <c r="EO13" s="208"/>
      <c r="EP13" s="208"/>
      <c r="EQ13" s="208"/>
      <c r="ER13" s="208"/>
      <c r="ES13" s="208"/>
      <c r="ET13" s="208"/>
      <c r="EU13" s="208"/>
      <c r="EV13" s="208"/>
      <c r="EW13" s="208"/>
      <c r="EX13" s="208"/>
      <c r="EY13" s="208"/>
      <c r="EZ13" s="208"/>
      <c r="FA13" s="208"/>
      <c r="FB13" s="208"/>
      <c r="FC13" s="208"/>
      <c r="FD13" s="208"/>
      <c r="FE13" s="208"/>
      <c r="FF13" s="208"/>
      <c r="FG13" s="208"/>
      <c r="FH13" s="208"/>
      <c r="FI13" s="208"/>
      <c r="FJ13" s="208"/>
      <c r="FK13" s="208"/>
      <c r="FL13" s="208"/>
      <c r="FM13" s="208"/>
      <c r="FN13" s="208"/>
      <c r="FO13" s="208"/>
      <c r="FP13" s="208"/>
      <c r="FQ13" s="208"/>
      <c r="FR13" s="208"/>
      <c r="FS13" s="208"/>
      <c r="FT13" s="208"/>
      <c r="FU13" s="208"/>
      <c r="FV13" s="208"/>
      <c r="FW13" s="208"/>
      <c r="FX13" s="208"/>
      <c r="FY13" s="208"/>
      <c r="FZ13" s="208"/>
      <c r="GA13" s="208"/>
      <c r="GB13" s="208"/>
      <c r="GC13" s="208"/>
      <c r="GD13" s="208"/>
      <c r="GE13" s="208"/>
      <c r="GF13" s="208"/>
      <c r="GG13" s="208"/>
      <c r="GH13" s="208"/>
      <c r="GI13" s="208"/>
      <c r="GJ13" s="208"/>
      <c r="GK13" s="208"/>
      <c r="GL13" s="208"/>
      <c r="GM13" s="208"/>
      <c r="GN13" s="208"/>
      <c r="GO13" s="208"/>
      <c r="GP13" s="208"/>
      <c r="GQ13" s="208"/>
      <c r="GR13" s="208"/>
      <c r="GS13" s="208"/>
      <c r="GT13" s="208"/>
      <c r="GU13" s="208"/>
      <c r="GV13" s="208"/>
      <c r="GW13" s="208"/>
      <c r="GX13" s="208"/>
      <c r="GY13" s="208"/>
      <c r="GZ13" s="208"/>
      <c r="HA13" s="208"/>
      <c r="HB13" s="208"/>
      <c r="HC13" s="208"/>
      <c r="HD13" s="208"/>
      <c r="HE13" s="208"/>
      <c r="HF13" s="208"/>
      <c r="HG13" s="208"/>
      <c r="HH13" s="208"/>
      <c r="HI13" s="208"/>
      <c r="HJ13" s="208"/>
      <c r="HK13" s="208"/>
      <c r="HL13" s="208"/>
      <c r="HM13" s="208"/>
      <c r="HN13" s="208"/>
      <c r="HO13" s="208"/>
      <c r="HP13" s="208"/>
      <c r="HQ13" s="208"/>
      <c r="HR13" s="208"/>
      <c r="HS13" s="208"/>
      <c r="HT13" s="208"/>
      <c r="HU13" s="208"/>
      <c r="HV13" s="208"/>
      <c r="HW13" s="208"/>
      <c r="HX13" s="208"/>
      <c r="HY13" s="208"/>
      <c r="HZ13" s="208"/>
      <c r="IA13" s="208"/>
      <c r="IB13" s="208"/>
      <c r="IC13" s="208"/>
      <c r="ID13" s="208"/>
      <c r="IE13" s="208"/>
      <c r="IF13" s="208"/>
      <c r="IG13" s="208"/>
      <c r="IH13" s="208"/>
      <c r="II13" s="208"/>
      <c r="IJ13" s="208"/>
      <c r="IK13" s="208"/>
      <c r="IL13" s="208"/>
      <c r="IM13" s="208"/>
      <c r="IN13" s="208"/>
      <c r="IO13" s="208"/>
      <c r="IP13" s="208"/>
      <c r="IQ13" s="208"/>
      <c r="IR13" s="208"/>
      <c r="IS13" s="208"/>
      <c r="IT13" s="208"/>
      <c r="IU13" s="208"/>
      <c r="IV13" s="208"/>
    </row>
    <row r="14" customFormat="false" ht="14.4" hidden="false" customHeight="false" outlineLevel="0" collapsed="false">
      <c r="A14" s="195" t="n">
        <f aca="false">Data!$A14</f>
        <v>14</v>
      </c>
      <c r="B14" s="195" t="str">
        <f aca="false">Data!$B14</f>
        <v>B316A-EA04-DIA-MP-01</v>
      </c>
      <c r="C14" s="195" t="str">
        <f aca="false">Data!$C14</f>
        <v>Manipulator VERITAS</v>
      </c>
      <c r="D14" s="195" t="str">
        <f aca="false">Data!$D14</f>
        <v>Z</v>
      </c>
      <c r="E14" s="205" t="str">
        <f aca="true">INDEX(OFFSET(MOTION1!$A$2,0,0,SystemInfo!$B$1,1),MATCH(CONCATENATE(B14,D14),OFFSET(MOTION1!$J$2,0,0,SystemInfo!$B$1,1),0))</f>
        <v>W050218</v>
      </c>
      <c r="F14" s="205" t="str">
        <f aca="true">INDEX(OFFSET(MOTION3!$A$2,0,0,SystemInfo!$B$1,1),MATCH(CONCATENATE(B14,D14),OFFSET(MOTION3!$J$2,0,0,SystemInfo!$B$1,1),0))</f>
        <v>W050219</v>
      </c>
      <c r="G14" s="206" t="n">
        <f aca="false">INT(Data!$P14*Data!$L14)</f>
        <v>800</v>
      </c>
      <c r="H14" s="207" t="n">
        <v>1</v>
      </c>
      <c r="I14" s="206" t="str">
        <f aca="false">Data!U14</f>
        <v>ABSENC</v>
      </c>
      <c r="J14" s="206" t="n">
        <f aca="false">IF($I14="ABSENC",Data!$V14,"")</f>
        <v>2000000</v>
      </c>
      <c r="K14" s="207" t="n">
        <v>1</v>
      </c>
      <c r="L14" s="206" t="str">
        <f aca="false">IF($I14="ENCIN",Data!$V14,"")</f>
        <v/>
      </c>
      <c r="M14" s="207" t="n">
        <v>1</v>
      </c>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08"/>
      <c r="EF14" s="208"/>
      <c r="EG14" s="208"/>
      <c r="EH14" s="208"/>
      <c r="EI14" s="208"/>
      <c r="EJ14" s="208"/>
      <c r="EK14" s="208"/>
      <c r="EL14" s="208"/>
      <c r="EM14" s="208"/>
      <c r="EN14" s="208"/>
      <c r="EO14" s="208"/>
      <c r="EP14" s="208"/>
      <c r="EQ14" s="208"/>
      <c r="ER14" s="208"/>
      <c r="ES14" s="208"/>
      <c r="ET14" s="208"/>
      <c r="EU14" s="208"/>
      <c r="EV14" s="208"/>
      <c r="EW14" s="208"/>
      <c r="EX14" s="208"/>
      <c r="EY14" s="208"/>
      <c r="EZ14" s="208"/>
      <c r="FA14" s="208"/>
      <c r="FB14" s="208"/>
      <c r="FC14" s="208"/>
      <c r="FD14" s="208"/>
      <c r="FE14" s="208"/>
      <c r="FF14" s="208"/>
      <c r="FG14" s="208"/>
      <c r="FH14" s="208"/>
      <c r="FI14" s="208"/>
      <c r="FJ14" s="208"/>
      <c r="FK14" s="208"/>
      <c r="FL14" s="208"/>
      <c r="FM14" s="208"/>
      <c r="FN14" s="208"/>
      <c r="FO14" s="208"/>
      <c r="FP14" s="208"/>
      <c r="FQ14" s="208"/>
      <c r="FR14" s="208"/>
      <c r="FS14" s="208"/>
      <c r="FT14" s="208"/>
      <c r="FU14" s="208"/>
      <c r="FV14" s="208"/>
      <c r="FW14" s="208"/>
      <c r="FX14" s="208"/>
      <c r="FY14" s="208"/>
      <c r="FZ14" s="208"/>
      <c r="GA14" s="208"/>
      <c r="GB14" s="208"/>
      <c r="GC14" s="208"/>
      <c r="GD14" s="208"/>
      <c r="GE14" s="208"/>
      <c r="GF14" s="208"/>
      <c r="GG14" s="208"/>
      <c r="GH14" s="208"/>
      <c r="GI14" s="208"/>
      <c r="GJ14" s="208"/>
      <c r="GK14" s="208"/>
      <c r="GL14" s="208"/>
      <c r="GM14" s="208"/>
      <c r="GN14" s="208"/>
      <c r="GO14" s="208"/>
      <c r="GP14" s="208"/>
      <c r="GQ14" s="208"/>
      <c r="GR14" s="208"/>
      <c r="GS14" s="208"/>
      <c r="GT14" s="208"/>
      <c r="GU14" s="208"/>
      <c r="GV14" s="208"/>
      <c r="GW14" s="208"/>
      <c r="GX14" s="208"/>
      <c r="GY14" s="208"/>
      <c r="GZ14" s="208"/>
      <c r="HA14" s="208"/>
      <c r="HB14" s="208"/>
      <c r="HC14" s="208"/>
      <c r="HD14" s="208"/>
      <c r="HE14" s="208"/>
      <c r="HF14" s="208"/>
      <c r="HG14" s="208"/>
      <c r="HH14" s="208"/>
      <c r="HI14" s="208"/>
      <c r="HJ14" s="208"/>
      <c r="HK14" s="208"/>
      <c r="HL14" s="208"/>
      <c r="HM14" s="208"/>
      <c r="HN14" s="208"/>
      <c r="HO14" s="208"/>
      <c r="HP14" s="208"/>
      <c r="HQ14" s="208"/>
      <c r="HR14" s="208"/>
      <c r="HS14" s="208"/>
      <c r="HT14" s="208"/>
      <c r="HU14" s="208"/>
      <c r="HV14" s="208"/>
      <c r="HW14" s="208"/>
      <c r="HX14" s="208"/>
      <c r="HY14" s="208"/>
      <c r="HZ14" s="208"/>
      <c r="IA14" s="208"/>
      <c r="IB14" s="208"/>
      <c r="IC14" s="208"/>
      <c r="ID14" s="208"/>
      <c r="IE14" s="208"/>
      <c r="IF14" s="208"/>
      <c r="IG14" s="208"/>
      <c r="IH14" s="208"/>
      <c r="II14" s="208"/>
      <c r="IJ14" s="208"/>
      <c r="IK14" s="208"/>
      <c r="IL14" s="208"/>
      <c r="IM14" s="208"/>
      <c r="IN14" s="208"/>
      <c r="IO14" s="208"/>
      <c r="IP14" s="208"/>
      <c r="IQ14" s="208"/>
      <c r="IR14" s="208"/>
      <c r="IS14" s="208"/>
      <c r="IT14" s="208"/>
      <c r="IU14" s="208"/>
      <c r="IV14" s="208"/>
    </row>
    <row r="15" customFormat="false" ht="14.4" hidden="false" customHeight="false" outlineLevel="0" collapsed="false">
      <c r="A15" s="195" t="n">
        <f aca="false">Data!$A15</f>
        <v>15</v>
      </c>
      <c r="B15" s="195" t="str">
        <f aca="false">Data!$B15</f>
        <v>B316A-EA04-DIA-MP-01</v>
      </c>
      <c r="C15" s="195" t="str">
        <f aca="false">Data!$C15</f>
        <v>Manipulator VERITAS</v>
      </c>
      <c r="D15" s="195" t="str">
        <f aca="false">Data!$D15</f>
        <v>Y</v>
      </c>
      <c r="E15" s="205" t="str">
        <f aca="true">INDEX(OFFSET(MOTION1!$A$2,0,0,SystemInfo!$B$1,1),MATCH(CONCATENATE(B15,D15),OFFSET(MOTION1!$J$2,0,0,SystemInfo!$B$1,1),0))</f>
        <v>W050220</v>
      </c>
      <c r="F15" s="205" t="str">
        <f aca="true">INDEX(OFFSET(MOTION3!$A$2,0,0,SystemInfo!$B$1,1),MATCH(CONCATENATE(B15,D15),OFFSET(MOTION3!$J$2,0,0,SystemInfo!$B$1,1),0))</f>
        <v>W050221</v>
      </c>
      <c r="G15" s="206" t="n">
        <f aca="false">INT(Data!$P15*Data!$L15)</f>
        <v>800</v>
      </c>
      <c r="H15" s="207" t="n">
        <v>1</v>
      </c>
      <c r="I15" s="206" t="str">
        <f aca="false">Data!U15</f>
        <v>ABSENC</v>
      </c>
      <c r="J15" s="206" t="n">
        <f aca="false">IF($I15="ABSENC",Data!$V15,"")</f>
        <v>2000000</v>
      </c>
      <c r="K15" s="207" t="n">
        <v>1</v>
      </c>
      <c r="L15" s="206" t="str">
        <f aca="false">IF($I15="ENCIN",Data!$V15,"")</f>
        <v/>
      </c>
      <c r="M15" s="207" t="n">
        <v>1</v>
      </c>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08"/>
      <c r="EF15" s="208"/>
      <c r="EG15" s="208"/>
      <c r="EH15" s="208"/>
      <c r="EI15" s="208"/>
      <c r="EJ15" s="208"/>
      <c r="EK15" s="208"/>
      <c r="EL15" s="208"/>
      <c r="EM15" s="208"/>
      <c r="EN15" s="208"/>
      <c r="EO15" s="208"/>
      <c r="EP15" s="208"/>
      <c r="EQ15" s="208"/>
      <c r="ER15" s="208"/>
      <c r="ES15" s="208"/>
      <c r="ET15" s="208"/>
      <c r="EU15" s="208"/>
      <c r="EV15" s="208"/>
      <c r="EW15" s="208"/>
      <c r="EX15" s="208"/>
      <c r="EY15" s="208"/>
      <c r="EZ15" s="208"/>
      <c r="FA15" s="208"/>
      <c r="FB15" s="208"/>
      <c r="FC15" s="208"/>
      <c r="FD15" s="208"/>
      <c r="FE15" s="208"/>
      <c r="FF15" s="208"/>
      <c r="FG15" s="208"/>
      <c r="FH15" s="208"/>
      <c r="FI15" s="208"/>
      <c r="FJ15" s="208"/>
      <c r="FK15" s="208"/>
      <c r="FL15" s="208"/>
      <c r="FM15" s="208"/>
      <c r="FN15" s="208"/>
      <c r="FO15" s="208"/>
      <c r="FP15" s="208"/>
      <c r="FQ15" s="208"/>
      <c r="FR15" s="208"/>
      <c r="FS15" s="208"/>
      <c r="FT15" s="208"/>
      <c r="FU15" s="208"/>
      <c r="FV15" s="208"/>
      <c r="FW15" s="208"/>
      <c r="FX15" s="208"/>
      <c r="FY15" s="208"/>
      <c r="FZ15" s="208"/>
      <c r="GA15" s="208"/>
      <c r="GB15" s="208"/>
      <c r="GC15" s="208"/>
      <c r="GD15" s="208"/>
      <c r="GE15" s="208"/>
      <c r="GF15" s="208"/>
      <c r="GG15" s="208"/>
      <c r="GH15" s="208"/>
      <c r="GI15" s="208"/>
      <c r="GJ15" s="208"/>
      <c r="GK15" s="208"/>
      <c r="GL15" s="208"/>
      <c r="GM15" s="208"/>
      <c r="GN15" s="208"/>
      <c r="GO15" s="208"/>
      <c r="GP15" s="208"/>
      <c r="GQ15" s="208"/>
      <c r="GR15" s="208"/>
      <c r="GS15" s="208"/>
      <c r="GT15" s="208"/>
      <c r="GU15" s="208"/>
      <c r="GV15" s="208"/>
      <c r="GW15" s="208"/>
      <c r="GX15" s="208"/>
      <c r="GY15" s="208"/>
      <c r="GZ15" s="208"/>
      <c r="HA15" s="208"/>
      <c r="HB15" s="208"/>
      <c r="HC15" s="208"/>
      <c r="HD15" s="208"/>
      <c r="HE15" s="208"/>
      <c r="HF15" s="208"/>
      <c r="HG15" s="208"/>
      <c r="HH15" s="208"/>
      <c r="HI15" s="208"/>
      <c r="HJ15" s="208"/>
      <c r="HK15" s="208"/>
      <c r="HL15" s="208"/>
      <c r="HM15" s="208"/>
      <c r="HN15" s="208"/>
      <c r="HO15" s="208"/>
      <c r="HP15" s="208"/>
      <c r="HQ15" s="208"/>
      <c r="HR15" s="208"/>
      <c r="HS15" s="208"/>
      <c r="HT15" s="208"/>
      <c r="HU15" s="208"/>
      <c r="HV15" s="208"/>
      <c r="HW15" s="208"/>
      <c r="HX15" s="208"/>
      <c r="HY15" s="208"/>
      <c r="HZ15" s="208"/>
      <c r="IA15" s="208"/>
      <c r="IB15" s="208"/>
      <c r="IC15" s="208"/>
      <c r="ID15" s="208"/>
      <c r="IE15" s="208"/>
      <c r="IF15" s="208"/>
      <c r="IG15" s="208"/>
      <c r="IH15" s="208"/>
      <c r="II15" s="208"/>
      <c r="IJ15" s="208"/>
      <c r="IK15" s="208"/>
      <c r="IL15" s="208"/>
      <c r="IM15" s="208"/>
      <c r="IN15" s="208"/>
      <c r="IO15" s="208"/>
      <c r="IP15" s="208"/>
      <c r="IQ15" s="208"/>
      <c r="IR15" s="208"/>
      <c r="IS15" s="208"/>
      <c r="IT15" s="208"/>
      <c r="IU15" s="208"/>
      <c r="IV15" s="208"/>
    </row>
    <row r="16" customFormat="false" ht="14.4" hidden="false" customHeight="false" outlineLevel="0" collapsed="false">
      <c r="A16" s="195" t="n">
        <f aca="false">Data!$A16</f>
        <v>16</v>
      </c>
      <c r="B16" s="195" t="str">
        <f aca="false">Data!$B16</f>
        <v>B316A-EA04-DIA-MP-01</v>
      </c>
      <c r="C16" s="195" t="str">
        <f aca="false">Data!$C16</f>
        <v>Manipulator VERITAS</v>
      </c>
      <c r="D16" s="195" t="str">
        <f aca="false">Data!$D16</f>
        <v>YAW</v>
      </c>
      <c r="E16" s="205" t="str">
        <f aca="true">INDEX(OFFSET(MOTION1!$A$2,0,0,SystemInfo!$B$1,1),MATCH(CONCATENATE(B16,D16),OFFSET(MOTION1!$J$2,0,0,SystemInfo!$B$1,1),0))</f>
        <v>W050222</v>
      </c>
      <c r="F16" s="205" t="str">
        <f aca="true">INDEX(OFFSET(MOTION3!$A$2,0,0,SystemInfo!$B$1,1),MATCH(CONCATENATE(B16,D16),OFFSET(MOTION3!$J$2,0,0,SystemInfo!$B$1,1),0))</f>
        <v>W050223</v>
      </c>
      <c r="G16" s="206" t="n">
        <f aca="false">INT(Data!$P16*Data!$L16)</f>
        <v>400</v>
      </c>
      <c r="H16" s="207" t="n">
        <v>1</v>
      </c>
      <c r="I16" s="206" t="str">
        <f aca="false">Data!U16</f>
        <v>ABSENC</v>
      </c>
      <c r="J16" s="206" t="n">
        <f aca="false">IF($I16="ABSENC",Data!$V16,"")</f>
        <v>11930445.5027192</v>
      </c>
      <c r="K16" s="207" t="n">
        <v>1</v>
      </c>
      <c r="L16" s="206" t="str">
        <f aca="false">IF($I16="ENCIN",Data!$V16,"")</f>
        <v/>
      </c>
      <c r="M16" s="207" t="n">
        <v>1</v>
      </c>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c r="CL16" s="208"/>
      <c r="CM16" s="208"/>
      <c r="CN16" s="208"/>
      <c r="CO16" s="208"/>
      <c r="CP16" s="208"/>
      <c r="CQ16" s="208"/>
      <c r="CR16" s="208"/>
      <c r="CS16" s="208"/>
      <c r="CT16" s="208"/>
      <c r="CU16" s="208"/>
      <c r="CV16" s="208"/>
      <c r="CW16" s="208"/>
      <c r="CX16" s="208"/>
      <c r="CY16" s="208"/>
      <c r="CZ16" s="208"/>
      <c r="DA16" s="208"/>
      <c r="DB16" s="208"/>
      <c r="DC16" s="208"/>
      <c r="DD16" s="208"/>
      <c r="DE16" s="208"/>
      <c r="DF16" s="208"/>
      <c r="DG16" s="208"/>
      <c r="DH16" s="208"/>
      <c r="DI16" s="208"/>
      <c r="DJ16" s="208"/>
      <c r="DK16" s="208"/>
      <c r="DL16" s="208"/>
      <c r="DM16" s="208"/>
      <c r="DN16" s="208"/>
      <c r="DO16" s="208"/>
      <c r="DP16" s="208"/>
      <c r="DQ16" s="208"/>
      <c r="DR16" s="208"/>
      <c r="DS16" s="208"/>
      <c r="DT16" s="208"/>
      <c r="DU16" s="208"/>
      <c r="DV16" s="208"/>
      <c r="DW16" s="208"/>
      <c r="DX16" s="208"/>
      <c r="DY16" s="208"/>
      <c r="DZ16" s="208"/>
      <c r="EA16" s="208"/>
      <c r="EB16" s="208"/>
      <c r="EC16" s="208"/>
      <c r="ED16" s="208"/>
      <c r="EE16" s="208"/>
      <c r="EF16" s="208"/>
      <c r="EG16" s="208"/>
      <c r="EH16" s="208"/>
      <c r="EI16" s="208"/>
      <c r="EJ16" s="208"/>
      <c r="EK16" s="208"/>
      <c r="EL16" s="208"/>
      <c r="EM16" s="208"/>
      <c r="EN16" s="208"/>
      <c r="EO16" s="208"/>
      <c r="EP16" s="208"/>
      <c r="EQ16" s="208"/>
      <c r="ER16" s="208"/>
      <c r="ES16" s="208"/>
      <c r="ET16" s="208"/>
      <c r="EU16" s="208"/>
      <c r="EV16" s="208"/>
      <c r="EW16" s="208"/>
      <c r="EX16" s="208"/>
      <c r="EY16" s="208"/>
      <c r="EZ16" s="208"/>
      <c r="FA16" s="208"/>
      <c r="FB16" s="208"/>
      <c r="FC16" s="208"/>
      <c r="FD16" s="208"/>
      <c r="FE16" s="208"/>
      <c r="FF16" s="208"/>
      <c r="FG16" s="208"/>
      <c r="FH16" s="208"/>
      <c r="FI16" s="208"/>
      <c r="FJ16" s="208"/>
      <c r="FK16" s="208"/>
      <c r="FL16" s="208"/>
      <c r="FM16" s="208"/>
      <c r="FN16" s="208"/>
      <c r="FO16" s="208"/>
      <c r="FP16" s="208"/>
      <c r="FQ16" s="208"/>
      <c r="FR16" s="208"/>
      <c r="FS16" s="208"/>
      <c r="FT16" s="208"/>
      <c r="FU16" s="208"/>
      <c r="FV16" s="208"/>
      <c r="FW16" s="208"/>
      <c r="FX16" s="208"/>
      <c r="FY16" s="208"/>
      <c r="FZ16" s="208"/>
      <c r="GA16" s="208"/>
      <c r="GB16" s="208"/>
      <c r="GC16" s="208"/>
      <c r="GD16" s="208"/>
      <c r="GE16" s="208"/>
      <c r="GF16" s="208"/>
      <c r="GG16" s="208"/>
      <c r="GH16" s="208"/>
      <c r="GI16" s="208"/>
      <c r="GJ16" s="208"/>
      <c r="GK16" s="208"/>
      <c r="GL16" s="208"/>
      <c r="GM16" s="208"/>
      <c r="GN16" s="208"/>
      <c r="GO16" s="208"/>
      <c r="GP16" s="208"/>
      <c r="GQ16" s="208"/>
      <c r="GR16" s="208"/>
      <c r="GS16" s="208"/>
      <c r="GT16" s="208"/>
      <c r="GU16" s="208"/>
      <c r="GV16" s="208"/>
      <c r="GW16" s="208"/>
      <c r="GX16" s="208"/>
      <c r="GY16" s="208"/>
      <c r="GZ16" s="208"/>
      <c r="HA16" s="208"/>
      <c r="HB16" s="208"/>
      <c r="HC16" s="208"/>
      <c r="HD16" s="208"/>
      <c r="HE16" s="208"/>
      <c r="HF16" s="208"/>
      <c r="HG16" s="208"/>
      <c r="HH16" s="208"/>
      <c r="HI16" s="208"/>
      <c r="HJ16" s="208"/>
      <c r="HK16" s="208"/>
      <c r="HL16" s="208"/>
      <c r="HM16" s="208"/>
      <c r="HN16" s="208"/>
      <c r="HO16" s="208"/>
      <c r="HP16" s="208"/>
      <c r="HQ16" s="208"/>
      <c r="HR16" s="208"/>
      <c r="HS16" s="208"/>
      <c r="HT16" s="208"/>
      <c r="HU16" s="208"/>
      <c r="HV16" s="208"/>
      <c r="HW16" s="208"/>
      <c r="HX16" s="208"/>
      <c r="HY16" s="208"/>
      <c r="HZ16" s="208"/>
      <c r="IA16" s="208"/>
      <c r="IB16" s="208"/>
      <c r="IC16" s="208"/>
      <c r="ID16" s="208"/>
      <c r="IE16" s="208"/>
      <c r="IF16" s="208"/>
      <c r="IG16" s="208"/>
      <c r="IH16" s="208"/>
      <c r="II16" s="208"/>
      <c r="IJ16" s="208"/>
      <c r="IK16" s="208"/>
      <c r="IL16" s="208"/>
      <c r="IM16" s="208"/>
      <c r="IN16" s="208"/>
      <c r="IO16" s="208"/>
      <c r="IP16" s="208"/>
      <c r="IQ16" s="208"/>
      <c r="IR16" s="208"/>
      <c r="IS16" s="208"/>
      <c r="IT16" s="208"/>
      <c r="IU16" s="208"/>
      <c r="IV16" s="208"/>
    </row>
    <row r="17" customFormat="false" ht="14.4" hidden="false" customHeight="false" outlineLevel="0" collapsed="false">
      <c r="A17" s="195" t="n">
        <f aca="false">Data!$A17</f>
        <v>17</v>
      </c>
      <c r="B17" s="195" t="str">
        <f aca="false">Data!$B17</f>
        <v>B316A-EA05-DIA-SPC-01</v>
      </c>
      <c r="C17" s="195" t="str">
        <f aca="false">Data!$C17</f>
        <v>Q-Chamber VERITAS</v>
      </c>
      <c r="D17" s="195" t="str">
        <f aca="false">Data!$D17</f>
        <v>YAW</v>
      </c>
      <c r="E17" s="205" t="e">
        <f aca="true">INDEX(OFFSET(MOTION1!$A$2,0,0,SystemInfo!$B$1,1),MATCH(CONCATENATE(B17,D17),OFFSET(MOTION1!$J$2,0,0,SystemInfo!$B$1,1),0))</f>
        <v>#N/A</v>
      </c>
      <c r="F17" s="205" t="e">
        <f aca="true">INDEX(OFFSET(MOTION3!$A$2,0,0,SystemInfo!$B$1,1),MATCH(CONCATENATE(B17,D17),OFFSET(MOTION3!$J$2,0,0,SystemInfo!$B$1,1),0))</f>
        <v>#N/A</v>
      </c>
      <c r="G17" s="206" t="n">
        <f aca="false">INT(Data!$P17*Data!$L17)</f>
        <v>400</v>
      </c>
      <c r="H17" s="207" t="n">
        <v>1</v>
      </c>
      <c r="I17" s="206" t="str">
        <f aca="false">Data!U17</f>
        <v>ABSENC</v>
      </c>
      <c r="J17" s="206" t="n">
        <f aca="false">IF($I17="ABSENC",Data!$V17,"")</f>
        <v>0</v>
      </c>
      <c r="K17" s="207" t="n">
        <v>1</v>
      </c>
      <c r="L17" s="206" t="str">
        <f aca="false">IF($I17="ENCIN",Data!$V17,"")</f>
        <v/>
      </c>
      <c r="M17" s="207" t="n">
        <v>1</v>
      </c>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c r="CL17" s="208"/>
      <c r="CM17" s="208"/>
      <c r="CN17" s="208"/>
      <c r="CO17" s="208"/>
      <c r="CP17" s="208"/>
      <c r="CQ17" s="208"/>
      <c r="CR17" s="208"/>
      <c r="CS17" s="208"/>
      <c r="CT17" s="208"/>
      <c r="CU17" s="208"/>
      <c r="CV17" s="208"/>
      <c r="CW17" s="208"/>
      <c r="CX17" s="208"/>
      <c r="CY17" s="208"/>
      <c r="CZ17" s="208"/>
      <c r="DA17" s="208"/>
      <c r="DB17" s="208"/>
      <c r="DC17" s="208"/>
      <c r="DD17" s="208"/>
      <c r="DE17" s="208"/>
      <c r="DF17" s="208"/>
      <c r="DG17" s="208"/>
      <c r="DH17" s="208"/>
      <c r="DI17" s="208"/>
      <c r="DJ17" s="208"/>
      <c r="DK17" s="208"/>
      <c r="DL17" s="208"/>
      <c r="DM17" s="208"/>
      <c r="DN17" s="208"/>
      <c r="DO17" s="208"/>
      <c r="DP17" s="208"/>
      <c r="DQ17" s="208"/>
      <c r="DR17" s="208"/>
      <c r="DS17" s="208"/>
      <c r="DT17" s="208"/>
      <c r="DU17" s="208"/>
      <c r="DV17" s="208"/>
      <c r="DW17" s="208"/>
      <c r="DX17" s="208"/>
      <c r="DY17" s="208"/>
      <c r="DZ17" s="208"/>
      <c r="EA17" s="208"/>
      <c r="EB17" s="208"/>
      <c r="EC17" s="208"/>
      <c r="ED17" s="208"/>
      <c r="EE17" s="208"/>
      <c r="EF17" s="208"/>
      <c r="EG17" s="208"/>
      <c r="EH17" s="208"/>
      <c r="EI17" s="208"/>
      <c r="EJ17" s="208"/>
      <c r="EK17" s="208"/>
      <c r="EL17" s="208"/>
      <c r="EM17" s="208"/>
      <c r="EN17" s="208"/>
      <c r="EO17" s="208"/>
      <c r="EP17" s="208"/>
      <c r="EQ17" s="208"/>
      <c r="ER17" s="208"/>
      <c r="ES17" s="208"/>
      <c r="ET17" s="208"/>
      <c r="EU17" s="208"/>
      <c r="EV17" s="208"/>
      <c r="EW17" s="208"/>
      <c r="EX17" s="208"/>
      <c r="EY17" s="208"/>
      <c r="EZ17" s="208"/>
      <c r="FA17" s="208"/>
      <c r="FB17" s="208"/>
      <c r="FC17" s="208"/>
      <c r="FD17" s="208"/>
      <c r="FE17" s="208"/>
      <c r="FF17" s="208"/>
      <c r="FG17" s="208"/>
      <c r="FH17" s="208"/>
      <c r="FI17" s="208"/>
      <c r="FJ17" s="208"/>
      <c r="FK17" s="208"/>
      <c r="FL17" s="208"/>
      <c r="FM17" s="208"/>
      <c r="FN17" s="208"/>
      <c r="FO17" s="208"/>
      <c r="FP17" s="208"/>
      <c r="FQ17" s="208"/>
      <c r="FR17" s="208"/>
      <c r="FS17" s="208"/>
      <c r="FT17" s="208"/>
      <c r="FU17" s="208"/>
      <c r="FV17" s="208"/>
      <c r="FW17" s="208"/>
      <c r="FX17" s="208"/>
      <c r="FY17" s="208"/>
      <c r="FZ17" s="208"/>
      <c r="GA17" s="208"/>
      <c r="GB17" s="208"/>
      <c r="GC17" s="208"/>
      <c r="GD17" s="208"/>
      <c r="GE17" s="208"/>
      <c r="GF17" s="208"/>
      <c r="GG17" s="208"/>
      <c r="GH17" s="208"/>
      <c r="GI17" s="208"/>
      <c r="GJ17" s="208"/>
      <c r="GK17" s="208"/>
      <c r="GL17" s="208"/>
      <c r="GM17" s="208"/>
      <c r="GN17" s="208"/>
      <c r="GO17" s="208"/>
      <c r="GP17" s="208"/>
      <c r="GQ17" s="208"/>
      <c r="GR17" s="208"/>
      <c r="GS17" s="208"/>
      <c r="GT17" s="208"/>
      <c r="GU17" s="208"/>
      <c r="GV17" s="208"/>
      <c r="GW17" s="208"/>
      <c r="GX17" s="208"/>
      <c r="GY17" s="208"/>
      <c r="GZ17" s="208"/>
      <c r="HA17" s="208"/>
      <c r="HB17" s="208"/>
      <c r="HC17" s="208"/>
      <c r="HD17" s="208"/>
      <c r="HE17" s="208"/>
      <c r="HF17" s="208"/>
      <c r="HG17" s="208"/>
      <c r="HH17" s="208"/>
      <c r="HI17" s="208"/>
      <c r="HJ17" s="208"/>
      <c r="HK17" s="208"/>
      <c r="HL17" s="208"/>
      <c r="HM17" s="208"/>
      <c r="HN17" s="208"/>
      <c r="HO17" s="208"/>
      <c r="HP17" s="208"/>
      <c r="HQ17" s="208"/>
      <c r="HR17" s="208"/>
      <c r="HS17" s="208"/>
      <c r="HT17" s="208"/>
      <c r="HU17" s="208"/>
      <c r="HV17" s="208"/>
      <c r="HW17" s="208"/>
      <c r="HX17" s="208"/>
      <c r="HY17" s="208"/>
      <c r="HZ17" s="208"/>
      <c r="IA17" s="208"/>
      <c r="IB17" s="208"/>
      <c r="IC17" s="208"/>
      <c r="ID17" s="208"/>
      <c r="IE17" s="208"/>
      <c r="IF17" s="208"/>
      <c r="IG17" s="208"/>
      <c r="IH17" s="208"/>
      <c r="II17" s="208"/>
      <c r="IJ17" s="208"/>
      <c r="IK17" s="208"/>
      <c r="IL17" s="208"/>
      <c r="IM17" s="208"/>
      <c r="IN17" s="208"/>
      <c r="IO17" s="208"/>
      <c r="IP17" s="208"/>
      <c r="IQ17" s="208"/>
      <c r="IR17" s="208"/>
      <c r="IS17" s="208"/>
      <c r="IT17" s="208"/>
      <c r="IU17" s="208"/>
      <c r="IV17" s="208"/>
    </row>
    <row r="18" customFormat="false" ht="14.4" hidden="false" customHeight="false" outlineLevel="0" collapsed="false">
      <c r="A18" s="195" t="n">
        <f aca="false">Data!$A18</f>
        <v>18</v>
      </c>
      <c r="B18" s="195" t="str">
        <f aca="false">Data!$B18</f>
        <v>B316A-EA07-OPT-BAFF-01</v>
      </c>
      <c r="C18" s="195" t="str">
        <f aca="false">Data!$C18</f>
        <v>Grating Baffles VERITAS</v>
      </c>
      <c r="D18" s="195" t="str">
        <f aca="false">Data!$D18</f>
        <v>VT</v>
      </c>
      <c r="E18" s="205" t="e">
        <f aca="true">INDEX(OFFSET(MOTION1!$A$2,0,0,SystemInfo!$B$1,1),MATCH(CONCATENATE(B18,D18),OFFSET(MOTION1!$J$2,0,0,SystemInfo!$B$1,1),0))</f>
        <v>#N/A</v>
      </c>
      <c r="F18" s="205" t="e">
        <f aca="true">INDEX(OFFSET(MOTION3!$A$2,0,0,SystemInfo!$B$1,1),MATCH(CONCATENATE(B18,D18),OFFSET(MOTION3!$J$2,0,0,SystemInfo!$B$1,1),0))</f>
        <v>#N/A</v>
      </c>
      <c r="G18" s="206" t="n">
        <f aca="false">INT(Data!$P18*Data!$L18)</f>
        <v>800</v>
      </c>
      <c r="H18" s="207" t="n">
        <v>1</v>
      </c>
      <c r="I18" s="206" t="str">
        <f aca="false">Data!U18</f>
        <v>ABSENC</v>
      </c>
      <c r="J18" s="206" t="n">
        <f aca="false">IF($I18="ABSENC",Data!$V18,"")</f>
        <v>1000000</v>
      </c>
      <c r="K18" s="207" t="n">
        <v>1</v>
      </c>
      <c r="L18" s="206" t="str">
        <f aca="false">IF($I18="ENCIN",Data!$V18,"")</f>
        <v/>
      </c>
      <c r="M18" s="207" t="n">
        <v>1</v>
      </c>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c r="CL18" s="208"/>
      <c r="CM18" s="208"/>
      <c r="CN18" s="208"/>
      <c r="CO18" s="208"/>
      <c r="CP18" s="208"/>
      <c r="CQ18" s="208"/>
      <c r="CR18" s="208"/>
      <c r="CS18" s="208"/>
      <c r="CT18" s="208"/>
      <c r="CU18" s="208"/>
      <c r="CV18" s="208"/>
      <c r="CW18" s="208"/>
      <c r="CX18" s="208"/>
      <c r="CY18" s="208"/>
      <c r="CZ18" s="208"/>
      <c r="DA18" s="208"/>
      <c r="DB18" s="208"/>
      <c r="DC18" s="208"/>
      <c r="DD18" s="208"/>
      <c r="DE18" s="208"/>
      <c r="DF18" s="208"/>
      <c r="DG18" s="208"/>
      <c r="DH18" s="208"/>
      <c r="DI18" s="208"/>
      <c r="DJ18" s="208"/>
      <c r="DK18" s="208"/>
      <c r="DL18" s="208"/>
      <c r="DM18" s="208"/>
      <c r="DN18" s="208"/>
      <c r="DO18" s="208"/>
      <c r="DP18" s="208"/>
      <c r="DQ18" s="208"/>
      <c r="DR18" s="208"/>
      <c r="DS18" s="208"/>
      <c r="DT18" s="208"/>
      <c r="DU18" s="208"/>
      <c r="DV18" s="208"/>
      <c r="DW18" s="208"/>
      <c r="DX18" s="208"/>
      <c r="DY18" s="208"/>
      <c r="DZ18" s="208"/>
      <c r="EA18" s="208"/>
      <c r="EB18" s="208"/>
      <c r="EC18" s="208"/>
      <c r="ED18" s="208"/>
      <c r="EE18" s="208"/>
      <c r="EF18" s="208"/>
      <c r="EG18" s="208"/>
      <c r="EH18" s="208"/>
      <c r="EI18" s="208"/>
      <c r="EJ18" s="208"/>
      <c r="EK18" s="208"/>
      <c r="EL18" s="208"/>
      <c r="EM18" s="208"/>
      <c r="EN18" s="208"/>
      <c r="EO18" s="208"/>
      <c r="EP18" s="208"/>
      <c r="EQ18" s="208"/>
      <c r="ER18" s="208"/>
      <c r="ES18" s="208"/>
      <c r="ET18" s="208"/>
      <c r="EU18" s="208"/>
      <c r="EV18" s="208"/>
      <c r="EW18" s="208"/>
      <c r="EX18" s="208"/>
      <c r="EY18" s="208"/>
      <c r="EZ18" s="208"/>
      <c r="FA18" s="208"/>
      <c r="FB18" s="208"/>
      <c r="FC18" s="208"/>
      <c r="FD18" s="208"/>
      <c r="FE18" s="208"/>
      <c r="FF18" s="208"/>
      <c r="FG18" s="208"/>
      <c r="FH18" s="208"/>
      <c r="FI18" s="208"/>
      <c r="FJ18" s="208"/>
      <c r="FK18" s="208"/>
      <c r="FL18" s="208"/>
      <c r="FM18" s="208"/>
      <c r="FN18" s="208"/>
      <c r="FO18" s="208"/>
      <c r="FP18" s="208"/>
      <c r="FQ18" s="208"/>
      <c r="FR18" s="208"/>
      <c r="FS18" s="208"/>
      <c r="FT18" s="208"/>
      <c r="FU18" s="208"/>
      <c r="FV18" s="208"/>
      <c r="FW18" s="208"/>
      <c r="FX18" s="208"/>
      <c r="FY18" s="208"/>
      <c r="FZ18" s="208"/>
      <c r="GA18" s="208"/>
      <c r="GB18" s="208"/>
      <c r="GC18" s="208"/>
      <c r="GD18" s="208"/>
      <c r="GE18" s="208"/>
      <c r="GF18" s="208"/>
      <c r="GG18" s="208"/>
      <c r="GH18" s="208"/>
      <c r="GI18" s="208"/>
      <c r="GJ18" s="208"/>
      <c r="GK18" s="208"/>
      <c r="GL18" s="208"/>
      <c r="GM18" s="208"/>
      <c r="GN18" s="208"/>
      <c r="GO18" s="208"/>
      <c r="GP18" s="208"/>
      <c r="GQ18" s="208"/>
      <c r="GR18" s="208"/>
      <c r="GS18" s="208"/>
      <c r="GT18" s="208"/>
      <c r="GU18" s="208"/>
      <c r="GV18" s="208"/>
      <c r="GW18" s="208"/>
      <c r="GX18" s="208"/>
      <c r="GY18" s="208"/>
      <c r="GZ18" s="208"/>
      <c r="HA18" s="208"/>
      <c r="HB18" s="208"/>
      <c r="HC18" s="208"/>
      <c r="HD18" s="208"/>
      <c r="HE18" s="208"/>
      <c r="HF18" s="208"/>
      <c r="HG18" s="208"/>
      <c r="HH18" s="208"/>
      <c r="HI18" s="208"/>
      <c r="HJ18" s="208"/>
      <c r="HK18" s="208"/>
      <c r="HL18" s="208"/>
      <c r="HM18" s="208"/>
      <c r="HN18" s="208"/>
      <c r="HO18" s="208"/>
      <c r="HP18" s="208"/>
      <c r="HQ18" s="208"/>
      <c r="HR18" s="208"/>
      <c r="HS18" s="208"/>
      <c r="HT18" s="208"/>
      <c r="HU18" s="208"/>
      <c r="HV18" s="208"/>
      <c r="HW18" s="208"/>
      <c r="HX18" s="208"/>
      <c r="HY18" s="208"/>
      <c r="HZ18" s="208"/>
      <c r="IA18" s="208"/>
      <c r="IB18" s="208"/>
      <c r="IC18" s="208"/>
      <c r="ID18" s="208"/>
      <c r="IE18" s="208"/>
      <c r="IF18" s="208"/>
      <c r="IG18" s="208"/>
      <c r="IH18" s="208"/>
      <c r="II18" s="208"/>
      <c r="IJ18" s="208"/>
      <c r="IK18" s="208"/>
      <c r="IL18" s="208"/>
      <c r="IM18" s="208"/>
      <c r="IN18" s="208"/>
      <c r="IO18" s="208"/>
      <c r="IP18" s="208"/>
      <c r="IQ18" s="208"/>
      <c r="IR18" s="208"/>
      <c r="IS18" s="208"/>
      <c r="IT18" s="208"/>
      <c r="IU18" s="208"/>
      <c r="IV18" s="208"/>
    </row>
    <row r="19" s="211" customFormat="true" ht="14.4" hidden="false" customHeight="false" outlineLevel="0" collapsed="false">
      <c r="A19" s="209" t="n">
        <f aca="false">Data!$A19</f>
        <v>0</v>
      </c>
      <c r="B19" s="209"/>
      <c r="C19" s="209"/>
      <c r="D19" s="209"/>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c r="BW19" s="210"/>
      <c r="BX19" s="210"/>
      <c r="BY19" s="210"/>
      <c r="BZ19" s="210"/>
      <c r="CA19" s="210"/>
      <c r="CB19" s="210"/>
      <c r="CC19" s="210"/>
      <c r="CD19" s="210"/>
      <c r="CE19" s="210"/>
      <c r="CF19" s="210"/>
      <c r="CG19" s="210"/>
      <c r="CH19" s="210"/>
      <c r="CI19" s="210"/>
      <c r="CJ19" s="210"/>
      <c r="CK19" s="210"/>
      <c r="CL19" s="210"/>
      <c r="CM19" s="210"/>
      <c r="CN19" s="210"/>
      <c r="CO19" s="210"/>
      <c r="CP19" s="210"/>
      <c r="CQ19" s="210"/>
      <c r="CR19" s="210"/>
      <c r="CS19" s="210"/>
      <c r="CT19" s="210"/>
      <c r="CU19" s="210"/>
      <c r="CV19" s="210"/>
      <c r="CW19" s="210"/>
      <c r="CX19" s="210"/>
      <c r="CY19" s="210"/>
      <c r="CZ19" s="210"/>
      <c r="DA19" s="210"/>
      <c r="DB19" s="210"/>
      <c r="DC19" s="210"/>
      <c r="DD19" s="210"/>
      <c r="DE19" s="210"/>
      <c r="DF19" s="210"/>
      <c r="DG19" s="210"/>
      <c r="DH19" s="210"/>
      <c r="DI19" s="210"/>
      <c r="DJ19" s="210"/>
      <c r="DK19" s="210"/>
      <c r="DL19" s="210"/>
      <c r="DM19" s="210"/>
      <c r="DN19" s="210"/>
      <c r="DO19" s="210"/>
      <c r="DP19" s="210"/>
      <c r="DQ19" s="210"/>
      <c r="DR19" s="210"/>
      <c r="DS19" s="210"/>
      <c r="DT19" s="210"/>
      <c r="DU19" s="210"/>
      <c r="DV19" s="210"/>
      <c r="DW19" s="210"/>
      <c r="DX19" s="210"/>
      <c r="DY19" s="210"/>
      <c r="DZ19" s="210"/>
      <c r="EA19" s="210"/>
      <c r="EB19" s="210"/>
      <c r="EC19" s="210"/>
      <c r="ED19" s="210"/>
      <c r="EE19" s="210"/>
      <c r="EF19" s="210"/>
      <c r="EG19" s="210"/>
      <c r="EH19" s="210"/>
      <c r="EI19" s="210"/>
      <c r="EJ19" s="210"/>
      <c r="EK19" s="210"/>
      <c r="EL19" s="210"/>
      <c r="EM19" s="210"/>
      <c r="EN19" s="210"/>
      <c r="EO19" s="210"/>
      <c r="EP19" s="210"/>
      <c r="EQ19" s="210"/>
      <c r="ER19" s="210"/>
      <c r="ES19" s="210"/>
      <c r="ET19" s="210"/>
      <c r="EU19" s="210"/>
      <c r="EV19" s="210"/>
      <c r="EW19" s="210"/>
      <c r="EX19" s="210"/>
      <c r="EY19" s="210"/>
      <c r="EZ19" s="210"/>
      <c r="FA19" s="210"/>
      <c r="FB19" s="210"/>
      <c r="FC19" s="210"/>
      <c r="FD19" s="210"/>
      <c r="FE19" s="210"/>
      <c r="FF19" s="210"/>
      <c r="FG19" s="210"/>
      <c r="FH19" s="210"/>
      <c r="FI19" s="210"/>
      <c r="FJ19" s="210"/>
      <c r="FK19" s="210"/>
      <c r="FL19" s="210"/>
      <c r="FM19" s="210"/>
      <c r="FN19" s="210"/>
      <c r="FO19" s="210"/>
      <c r="FP19" s="210"/>
      <c r="FQ19" s="210"/>
      <c r="FR19" s="210"/>
      <c r="FS19" s="210"/>
      <c r="FT19" s="210"/>
      <c r="FU19" s="210"/>
      <c r="FV19" s="210"/>
      <c r="FW19" s="210"/>
      <c r="FX19" s="210"/>
      <c r="FY19" s="210"/>
      <c r="FZ19" s="210"/>
      <c r="GA19" s="210"/>
      <c r="GB19" s="210"/>
      <c r="GC19" s="210"/>
      <c r="GD19" s="210"/>
      <c r="GE19" s="210"/>
      <c r="GF19" s="210"/>
      <c r="GG19" s="210"/>
      <c r="GH19" s="210"/>
      <c r="GI19" s="210"/>
      <c r="GJ19" s="210"/>
      <c r="GK19" s="210"/>
      <c r="GL19" s="210"/>
      <c r="GM19" s="210"/>
      <c r="GN19" s="210"/>
      <c r="GO19" s="210"/>
      <c r="GP19" s="210"/>
      <c r="GQ19" s="210"/>
      <c r="GR19" s="210"/>
      <c r="GS19" s="210"/>
      <c r="GT19" s="210"/>
      <c r="GU19" s="210"/>
      <c r="GV19" s="210"/>
      <c r="GW19" s="210"/>
      <c r="GX19" s="210"/>
      <c r="GY19" s="210"/>
      <c r="GZ19" s="210"/>
      <c r="HA19" s="210"/>
      <c r="HB19" s="210"/>
      <c r="HC19" s="210"/>
      <c r="HD19" s="210"/>
      <c r="HE19" s="210"/>
      <c r="HF19" s="210"/>
      <c r="HG19" s="210"/>
      <c r="HH19" s="210"/>
      <c r="HI19" s="210"/>
      <c r="HJ19" s="210"/>
      <c r="HK19" s="210"/>
      <c r="HL19" s="210"/>
      <c r="HM19" s="210"/>
      <c r="HN19" s="210"/>
      <c r="HO19" s="210"/>
      <c r="HP19" s="210"/>
      <c r="HQ19" s="210"/>
      <c r="HR19" s="210"/>
      <c r="HS19" s="210"/>
      <c r="HT19" s="210"/>
      <c r="HU19" s="210"/>
      <c r="HV19" s="210"/>
      <c r="HW19" s="210"/>
      <c r="HX19" s="210"/>
      <c r="HY19" s="210"/>
      <c r="HZ19" s="210"/>
      <c r="IA19" s="210"/>
      <c r="IB19" s="210"/>
      <c r="IC19" s="210"/>
      <c r="ID19" s="210"/>
      <c r="IE19" s="210"/>
      <c r="IF19" s="210"/>
      <c r="IG19" s="210"/>
      <c r="IH19" s="210"/>
      <c r="II19" s="210"/>
      <c r="IJ19" s="210"/>
      <c r="IK19" s="210"/>
      <c r="IL19" s="210"/>
      <c r="IM19" s="210"/>
      <c r="IN19" s="210"/>
      <c r="IO19" s="210"/>
      <c r="IP19" s="210"/>
      <c r="IQ19" s="210"/>
      <c r="IR19" s="210"/>
      <c r="IS19" s="210"/>
      <c r="IT19" s="210"/>
      <c r="IU19" s="210"/>
      <c r="IV19" s="210"/>
    </row>
    <row r="20" s="211" customFormat="true" ht="14.4" hidden="false" customHeight="false" outlineLevel="0" collapsed="false">
      <c r="A20" s="209" t="n">
        <f aca="false">Data!$A20</f>
        <v>0</v>
      </c>
      <c r="B20" s="209"/>
      <c r="C20" s="209"/>
      <c r="D20" s="209"/>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c r="BW20" s="210"/>
      <c r="BX20" s="210"/>
      <c r="BY20" s="210"/>
      <c r="BZ20" s="210"/>
      <c r="CA20" s="210"/>
      <c r="CB20" s="210"/>
      <c r="CC20" s="210"/>
      <c r="CD20" s="210"/>
      <c r="CE20" s="210"/>
      <c r="CF20" s="210"/>
      <c r="CG20" s="210"/>
      <c r="CH20" s="210"/>
      <c r="CI20" s="210"/>
      <c r="CJ20" s="210"/>
      <c r="CK20" s="210"/>
      <c r="CL20" s="210"/>
      <c r="CM20" s="210"/>
      <c r="CN20" s="210"/>
      <c r="CO20" s="210"/>
      <c r="CP20" s="210"/>
      <c r="CQ20" s="210"/>
      <c r="CR20" s="210"/>
      <c r="CS20" s="210"/>
      <c r="CT20" s="210"/>
      <c r="CU20" s="210"/>
      <c r="CV20" s="210"/>
      <c r="CW20" s="210"/>
      <c r="CX20" s="210"/>
      <c r="CY20" s="210"/>
      <c r="CZ20" s="210"/>
      <c r="DA20" s="210"/>
      <c r="DB20" s="210"/>
      <c r="DC20" s="210"/>
      <c r="DD20" s="210"/>
      <c r="DE20" s="210"/>
      <c r="DF20" s="210"/>
      <c r="DG20" s="210"/>
      <c r="DH20" s="210"/>
      <c r="DI20" s="210"/>
      <c r="DJ20" s="210"/>
      <c r="DK20" s="210"/>
      <c r="DL20" s="210"/>
      <c r="DM20" s="210"/>
      <c r="DN20" s="210"/>
      <c r="DO20" s="210"/>
      <c r="DP20" s="210"/>
      <c r="DQ20" s="210"/>
      <c r="DR20" s="210"/>
      <c r="DS20" s="210"/>
      <c r="DT20" s="210"/>
      <c r="DU20" s="210"/>
      <c r="DV20" s="210"/>
      <c r="DW20" s="210"/>
      <c r="DX20" s="210"/>
      <c r="DY20" s="210"/>
      <c r="DZ20" s="210"/>
      <c r="EA20" s="210"/>
      <c r="EB20" s="210"/>
      <c r="EC20" s="210"/>
      <c r="ED20" s="210"/>
      <c r="EE20" s="210"/>
      <c r="EF20" s="210"/>
      <c r="EG20" s="210"/>
      <c r="EH20" s="210"/>
      <c r="EI20" s="210"/>
      <c r="EJ20" s="210"/>
      <c r="EK20" s="210"/>
      <c r="EL20" s="210"/>
      <c r="EM20" s="210"/>
      <c r="EN20" s="210"/>
      <c r="EO20" s="210"/>
      <c r="EP20" s="210"/>
      <c r="EQ20" s="210"/>
      <c r="ER20" s="210"/>
      <c r="ES20" s="210"/>
      <c r="ET20" s="210"/>
      <c r="EU20" s="210"/>
      <c r="EV20" s="210"/>
      <c r="EW20" s="210"/>
      <c r="EX20" s="210"/>
      <c r="EY20" s="210"/>
      <c r="EZ20" s="210"/>
      <c r="FA20" s="210"/>
      <c r="FB20" s="210"/>
      <c r="FC20" s="210"/>
      <c r="FD20" s="210"/>
      <c r="FE20" s="210"/>
      <c r="FF20" s="210"/>
      <c r="FG20" s="210"/>
      <c r="FH20" s="210"/>
      <c r="FI20" s="210"/>
      <c r="FJ20" s="210"/>
      <c r="FK20" s="210"/>
      <c r="FL20" s="210"/>
      <c r="FM20" s="210"/>
      <c r="FN20" s="210"/>
      <c r="FO20" s="210"/>
      <c r="FP20" s="210"/>
      <c r="FQ20" s="210"/>
      <c r="FR20" s="210"/>
      <c r="FS20" s="210"/>
      <c r="FT20" s="210"/>
      <c r="FU20" s="210"/>
      <c r="FV20" s="210"/>
      <c r="FW20" s="210"/>
      <c r="FX20" s="210"/>
      <c r="FY20" s="210"/>
      <c r="FZ20" s="210"/>
      <c r="GA20" s="210"/>
      <c r="GB20" s="210"/>
      <c r="GC20" s="210"/>
      <c r="GD20" s="210"/>
      <c r="GE20" s="210"/>
      <c r="GF20" s="210"/>
      <c r="GG20" s="210"/>
      <c r="GH20" s="210"/>
      <c r="GI20" s="210"/>
      <c r="GJ20" s="210"/>
      <c r="GK20" s="210"/>
      <c r="GL20" s="210"/>
      <c r="GM20" s="210"/>
      <c r="GN20" s="210"/>
      <c r="GO20" s="210"/>
      <c r="GP20" s="210"/>
      <c r="GQ20" s="210"/>
      <c r="GR20" s="210"/>
      <c r="GS20" s="210"/>
      <c r="GT20" s="210"/>
      <c r="GU20" s="210"/>
      <c r="GV20" s="210"/>
      <c r="GW20" s="210"/>
      <c r="GX20" s="210"/>
      <c r="GY20" s="210"/>
      <c r="GZ20" s="210"/>
      <c r="HA20" s="210"/>
      <c r="HB20" s="210"/>
      <c r="HC20" s="210"/>
      <c r="HD20" s="210"/>
      <c r="HE20" s="210"/>
      <c r="HF20" s="210"/>
      <c r="HG20" s="210"/>
      <c r="HH20" s="210"/>
      <c r="HI20" s="210"/>
      <c r="HJ20" s="210"/>
      <c r="HK20" s="210"/>
      <c r="HL20" s="210"/>
      <c r="HM20" s="210"/>
      <c r="HN20" s="210"/>
      <c r="HO20" s="210"/>
      <c r="HP20" s="210"/>
      <c r="HQ20" s="210"/>
      <c r="HR20" s="210"/>
      <c r="HS20" s="210"/>
      <c r="HT20" s="210"/>
      <c r="HU20" s="210"/>
      <c r="HV20" s="210"/>
      <c r="HW20" s="210"/>
      <c r="HX20" s="210"/>
      <c r="HY20" s="210"/>
      <c r="HZ20" s="210"/>
      <c r="IA20" s="210"/>
      <c r="IB20" s="210"/>
      <c r="IC20" s="210"/>
      <c r="ID20" s="210"/>
      <c r="IE20" s="210"/>
      <c r="IF20" s="210"/>
      <c r="IG20" s="210"/>
      <c r="IH20" s="210"/>
      <c r="II20" s="210"/>
      <c r="IJ20" s="210"/>
      <c r="IK20" s="210"/>
      <c r="IL20" s="210"/>
      <c r="IM20" s="210"/>
      <c r="IN20" s="210"/>
      <c r="IO20" s="210"/>
      <c r="IP20" s="210"/>
      <c r="IQ20" s="210"/>
      <c r="IR20" s="210"/>
      <c r="IS20" s="210"/>
      <c r="IT20" s="210"/>
      <c r="IU20" s="210"/>
      <c r="IV20" s="210"/>
    </row>
    <row r="21" customFormat="false" ht="14.4" hidden="false" customHeight="false" outlineLevel="0" collapsed="false">
      <c r="A21" s="195" t="n">
        <f aca="false">Data!$A21</f>
        <v>21</v>
      </c>
      <c r="B21" s="195" t="str">
        <f aca="false">Data!$B21</f>
        <v>B316A-EA07-OPT-BAFF-01</v>
      </c>
      <c r="C21" s="195" t="str">
        <f aca="false">Data!$C21</f>
        <v>Grating Baffles VERITAS</v>
      </c>
      <c r="D21" s="195" t="str">
        <f aca="false">Data!$D21</f>
        <v>VB</v>
      </c>
      <c r="E21" s="205" t="e">
        <f aca="true">INDEX(OFFSET(MOTION1!$A$2,0,0,SystemInfo!$B$1,1),MATCH(CONCATENATE(B21,D21),OFFSET(MOTION1!$J$2,0,0,SystemInfo!$B$1,1),0))</f>
        <v>#N/A</v>
      </c>
      <c r="F21" s="205" t="e">
        <f aca="true">INDEX(OFFSET(MOTION3!$A$2,0,0,SystemInfo!$B$1,1),MATCH(CONCATENATE(B21,D21),OFFSET(MOTION3!$J$2,0,0,SystemInfo!$B$1,1),0))</f>
        <v>#N/A</v>
      </c>
      <c r="G21" s="206" t="n">
        <f aca="false">INT(Data!$P21*Data!$L21)</f>
        <v>800</v>
      </c>
      <c r="H21" s="207" t="n">
        <v>1</v>
      </c>
      <c r="I21" s="206" t="str">
        <f aca="false">Data!U21</f>
        <v>ABSENC</v>
      </c>
      <c r="J21" s="206" t="n">
        <f aca="false">IF($I21="ABSENC",Data!$V21,"")</f>
        <v>1000000</v>
      </c>
      <c r="K21" s="207" t="n">
        <v>1</v>
      </c>
      <c r="L21" s="206" t="str">
        <f aca="false">IF($I21="ENCIN",Data!$V21,"")</f>
        <v/>
      </c>
      <c r="M21" s="207" t="n">
        <v>1</v>
      </c>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c r="CL21" s="208"/>
      <c r="CM21" s="208"/>
      <c r="CN21" s="208"/>
      <c r="CO21" s="208"/>
      <c r="CP21" s="208"/>
      <c r="CQ21" s="208"/>
      <c r="CR21" s="208"/>
      <c r="CS21" s="208"/>
      <c r="CT21" s="208"/>
      <c r="CU21" s="208"/>
      <c r="CV21" s="208"/>
      <c r="CW21" s="208"/>
      <c r="CX21" s="208"/>
      <c r="CY21" s="208"/>
      <c r="CZ21" s="208"/>
      <c r="DA21" s="208"/>
      <c r="DB21" s="208"/>
      <c r="DC21" s="208"/>
      <c r="DD21" s="208"/>
      <c r="DE21" s="208"/>
      <c r="DF21" s="208"/>
      <c r="DG21" s="208"/>
      <c r="DH21" s="208"/>
      <c r="DI21" s="208"/>
      <c r="DJ21" s="208"/>
      <c r="DK21" s="208"/>
      <c r="DL21" s="208"/>
      <c r="DM21" s="208"/>
      <c r="DN21" s="208"/>
      <c r="DO21" s="208"/>
      <c r="DP21" s="208"/>
      <c r="DQ21" s="208"/>
      <c r="DR21" s="208"/>
      <c r="DS21" s="208"/>
      <c r="DT21" s="208"/>
      <c r="DU21" s="208"/>
      <c r="DV21" s="208"/>
      <c r="DW21" s="208"/>
      <c r="DX21" s="208"/>
      <c r="DY21" s="208"/>
      <c r="DZ21" s="208"/>
      <c r="EA21" s="208"/>
      <c r="EB21" s="208"/>
      <c r="EC21" s="208"/>
      <c r="ED21" s="208"/>
      <c r="EE21" s="208"/>
      <c r="EF21" s="208"/>
      <c r="EG21" s="208"/>
      <c r="EH21" s="208"/>
      <c r="EI21" s="208"/>
      <c r="EJ21" s="208"/>
      <c r="EK21" s="208"/>
      <c r="EL21" s="208"/>
      <c r="EM21" s="208"/>
      <c r="EN21" s="208"/>
      <c r="EO21" s="208"/>
      <c r="EP21" s="208"/>
      <c r="EQ21" s="208"/>
      <c r="ER21" s="208"/>
      <c r="ES21" s="208"/>
      <c r="ET21" s="208"/>
      <c r="EU21" s="208"/>
      <c r="EV21" s="208"/>
      <c r="EW21" s="208"/>
      <c r="EX21" s="208"/>
      <c r="EY21" s="208"/>
      <c r="EZ21" s="208"/>
      <c r="FA21" s="208"/>
      <c r="FB21" s="208"/>
      <c r="FC21" s="208"/>
      <c r="FD21" s="208"/>
      <c r="FE21" s="208"/>
      <c r="FF21" s="208"/>
      <c r="FG21" s="208"/>
      <c r="FH21" s="208"/>
      <c r="FI21" s="208"/>
      <c r="FJ21" s="208"/>
      <c r="FK21" s="208"/>
      <c r="FL21" s="208"/>
      <c r="FM21" s="208"/>
      <c r="FN21" s="208"/>
      <c r="FO21" s="208"/>
      <c r="FP21" s="208"/>
      <c r="FQ21" s="208"/>
      <c r="FR21" s="208"/>
      <c r="FS21" s="208"/>
      <c r="FT21" s="208"/>
      <c r="FU21" s="208"/>
      <c r="FV21" s="208"/>
      <c r="FW21" s="208"/>
      <c r="FX21" s="208"/>
      <c r="FY21" s="208"/>
      <c r="FZ21" s="208"/>
      <c r="GA21" s="208"/>
      <c r="GB21" s="208"/>
      <c r="GC21" s="208"/>
      <c r="GD21" s="208"/>
      <c r="GE21" s="208"/>
      <c r="GF21" s="208"/>
      <c r="GG21" s="208"/>
      <c r="GH21" s="208"/>
      <c r="GI21" s="208"/>
      <c r="GJ21" s="208"/>
      <c r="GK21" s="208"/>
      <c r="GL21" s="208"/>
      <c r="GM21" s="208"/>
      <c r="GN21" s="208"/>
      <c r="GO21" s="208"/>
      <c r="GP21" s="208"/>
      <c r="GQ21" s="208"/>
      <c r="GR21" s="208"/>
      <c r="GS21" s="208"/>
      <c r="GT21" s="208"/>
      <c r="GU21" s="208"/>
      <c r="GV21" s="208"/>
      <c r="GW21" s="208"/>
      <c r="GX21" s="208"/>
      <c r="GY21" s="208"/>
      <c r="GZ21" s="208"/>
      <c r="HA21" s="208"/>
      <c r="HB21" s="208"/>
      <c r="HC21" s="208"/>
      <c r="HD21" s="208"/>
      <c r="HE21" s="208"/>
      <c r="HF21" s="208"/>
      <c r="HG21" s="208"/>
      <c r="HH21" s="208"/>
      <c r="HI21" s="208"/>
      <c r="HJ21" s="208"/>
      <c r="HK21" s="208"/>
      <c r="HL21" s="208"/>
      <c r="HM21" s="208"/>
      <c r="HN21" s="208"/>
      <c r="HO21" s="208"/>
      <c r="HP21" s="208"/>
      <c r="HQ21" s="208"/>
      <c r="HR21" s="208"/>
      <c r="HS21" s="208"/>
      <c r="HT21" s="208"/>
      <c r="HU21" s="208"/>
      <c r="HV21" s="208"/>
      <c r="HW21" s="208"/>
      <c r="HX21" s="208"/>
      <c r="HY21" s="208"/>
      <c r="HZ21" s="208"/>
      <c r="IA21" s="208"/>
      <c r="IB21" s="208"/>
      <c r="IC21" s="208"/>
      <c r="ID21" s="208"/>
      <c r="IE21" s="208"/>
      <c r="IF21" s="208"/>
      <c r="IG21" s="208"/>
      <c r="IH21" s="208"/>
      <c r="II21" s="208"/>
      <c r="IJ21" s="208"/>
      <c r="IK21" s="208"/>
      <c r="IL21" s="208"/>
      <c r="IM21" s="208"/>
      <c r="IN21" s="208"/>
      <c r="IO21" s="208"/>
      <c r="IP21" s="208"/>
      <c r="IQ21" s="208"/>
      <c r="IR21" s="208"/>
      <c r="IS21" s="208"/>
      <c r="IT21" s="208"/>
      <c r="IU21" s="208"/>
      <c r="IV21" s="208"/>
    </row>
    <row r="22" customFormat="false" ht="14.4" hidden="false" customHeight="false" outlineLevel="0" collapsed="false">
      <c r="A22" s="195" t="n">
        <f aca="false">Data!$A22</f>
        <v>22</v>
      </c>
      <c r="B22" s="195" t="str">
        <f aca="false">Data!$B22</f>
        <v>B316A-EA07-OPT-BAFF-01</v>
      </c>
      <c r="C22" s="195" t="str">
        <f aca="false">Data!$C22</f>
        <v>Grating Baffles VERITAS</v>
      </c>
      <c r="D22" s="195" t="str">
        <f aca="false">Data!$D22</f>
        <v>HR</v>
      </c>
      <c r="E22" s="205" t="e">
        <f aca="true">INDEX(OFFSET(MOTION1!$A$2,0,0,SystemInfo!$B$1,1),MATCH(CONCATENATE(B22,D22),OFFSET(MOTION1!$J$2,0,0,SystemInfo!$B$1,1),0))</f>
        <v>#N/A</v>
      </c>
      <c r="F22" s="205" t="e">
        <f aca="true">INDEX(OFFSET(MOTION3!$A$2,0,0,SystemInfo!$B$1,1),MATCH(CONCATENATE(B22,D22),OFFSET(MOTION3!$J$2,0,0,SystemInfo!$B$1,1),0))</f>
        <v>#N/A</v>
      </c>
      <c r="G22" s="206" t="n">
        <f aca="false">INT(Data!$P22*Data!$L22)</f>
        <v>800</v>
      </c>
      <c r="H22" s="207" t="n">
        <v>1</v>
      </c>
      <c r="I22" s="206" t="str">
        <f aca="false">Data!U22</f>
        <v>ABSENC</v>
      </c>
      <c r="J22" s="206" t="n">
        <f aca="false">IF($I22="ABSENC",Data!$V22,"")</f>
        <v>1000000</v>
      </c>
      <c r="K22" s="207" t="n">
        <v>1</v>
      </c>
      <c r="L22" s="206" t="str">
        <f aca="false">IF($I22="ENCIN",Data!$V22,"")</f>
        <v/>
      </c>
      <c r="M22" s="207" t="n">
        <v>1</v>
      </c>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8"/>
      <c r="CA22" s="208"/>
      <c r="CB22" s="208"/>
      <c r="CC22" s="208"/>
      <c r="CD22" s="208"/>
      <c r="CE22" s="208"/>
      <c r="CF22" s="208"/>
      <c r="CG22" s="208"/>
      <c r="CH22" s="208"/>
      <c r="CI22" s="208"/>
      <c r="CJ22" s="208"/>
      <c r="CK22" s="208"/>
      <c r="CL22" s="208"/>
      <c r="CM22" s="208"/>
      <c r="CN22" s="208"/>
      <c r="CO22" s="208"/>
      <c r="CP22" s="208"/>
      <c r="CQ22" s="208"/>
      <c r="CR22" s="208"/>
      <c r="CS22" s="208"/>
      <c r="CT22" s="208"/>
      <c r="CU22" s="208"/>
      <c r="CV22" s="208"/>
      <c r="CW22" s="208"/>
      <c r="CX22" s="208"/>
      <c r="CY22" s="208"/>
      <c r="CZ22" s="208"/>
      <c r="DA22" s="208"/>
      <c r="DB22" s="208"/>
      <c r="DC22" s="208"/>
      <c r="DD22" s="208"/>
      <c r="DE22" s="208"/>
      <c r="DF22" s="208"/>
      <c r="DG22" s="208"/>
      <c r="DH22" s="208"/>
      <c r="DI22" s="208"/>
      <c r="DJ22" s="208"/>
      <c r="DK22" s="208"/>
      <c r="DL22" s="208"/>
      <c r="DM22" s="208"/>
      <c r="DN22" s="208"/>
      <c r="DO22" s="208"/>
      <c r="DP22" s="208"/>
      <c r="DQ22" s="208"/>
      <c r="DR22" s="208"/>
      <c r="DS22" s="208"/>
      <c r="DT22" s="208"/>
      <c r="DU22" s="208"/>
      <c r="DV22" s="208"/>
      <c r="DW22" s="208"/>
      <c r="DX22" s="208"/>
      <c r="DY22" s="208"/>
      <c r="DZ22" s="208"/>
      <c r="EA22" s="208"/>
      <c r="EB22" s="208"/>
      <c r="EC22" s="208"/>
      <c r="ED22" s="208"/>
      <c r="EE22" s="208"/>
      <c r="EF22" s="208"/>
      <c r="EG22" s="208"/>
      <c r="EH22" s="208"/>
      <c r="EI22" s="208"/>
      <c r="EJ22" s="208"/>
      <c r="EK22" s="208"/>
      <c r="EL22" s="208"/>
      <c r="EM22" s="208"/>
      <c r="EN22" s="208"/>
      <c r="EO22" s="208"/>
      <c r="EP22" s="208"/>
      <c r="EQ22" s="208"/>
      <c r="ER22" s="208"/>
      <c r="ES22" s="208"/>
      <c r="ET22" s="208"/>
      <c r="EU22" s="208"/>
      <c r="EV22" s="208"/>
      <c r="EW22" s="208"/>
      <c r="EX22" s="208"/>
      <c r="EY22" s="208"/>
      <c r="EZ22" s="208"/>
      <c r="FA22" s="208"/>
      <c r="FB22" s="208"/>
      <c r="FC22" s="208"/>
      <c r="FD22" s="208"/>
      <c r="FE22" s="208"/>
      <c r="FF22" s="208"/>
      <c r="FG22" s="208"/>
      <c r="FH22" s="208"/>
      <c r="FI22" s="208"/>
      <c r="FJ22" s="208"/>
      <c r="FK22" s="208"/>
      <c r="FL22" s="208"/>
      <c r="FM22" s="208"/>
      <c r="FN22" s="208"/>
      <c r="FO22" s="208"/>
      <c r="FP22" s="208"/>
      <c r="FQ22" s="208"/>
      <c r="FR22" s="208"/>
      <c r="FS22" s="208"/>
      <c r="FT22" s="208"/>
      <c r="FU22" s="208"/>
      <c r="FV22" s="208"/>
      <c r="FW22" s="208"/>
      <c r="FX22" s="208"/>
      <c r="FY22" s="208"/>
      <c r="FZ22" s="208"/>
      <c r="GA22" s="208"/>
      <c r="GB22" s="208"/>
      <c r="GC22" s="208"/>
      <c r="GD22" s="208"/>
      <c r="GE22" s="208"/>
      <c r="GF22" s="208"/>
      <c r="GG22" s="208"/>
      <c r="GH22" s="208"/>
      <c r="GI22" s="208"/>
      <c r="GJ22" s="208"/>
      <c r="GK22" s="208"/>
      <c r="GL22" s="208"/>
      <c r="GM22" s="208"/>
      <c r="GN22" s="208"/>
      <c r="GO22" s="208"/>
      <c r="GP22" s="208"/>
      <c r="GQ22" s="208"/>
      <c r="GR22" s="208"/>
      <c r="GS22" s="208"/>
      <c r="GT22" s="208"/>
      <c r="GU22" s="208"/>
      <c r="GV22" s="208"/>
      <c r="GW22" s="208"/>
      <c r="GX22" s="208"/>
      <c r="GY22" s="208"/>
      <c r="GZ22" s="208"/>
      <c r="HA22" s="208"/>
      <c r="HB22" s="208"/>
      <c r="HC22" s="208"/>
      <c r="HD22" s="208"/>
      <c r="HE22" s="208"/>
      <c r="HF22" s="208"/>
      <c r="HG22" s="208"/>
      <c r="HH22" s="208"/>
      <c r="HI22" s="208"/>
      <c r="HJ22" s="208"/>
      <c r="HK22" s="208"/>
      <c r="HL22" s="208"/>
      <c r="HM22" s="208"/>
      <c r="HN22" s="208"/>
      <c r="HO22" s="208"/>
      <c r="HP22" s="208"/>
      <c r="HQ22" s="208"/>
      <c r="HR22" s="208"/>
      <c r="HS22" s="208"/>
      <c r="HT22" s="208"/>
      <c r="HU22" s="208"/>
      <c r="HV22" s="208"/>
      <c r="HW22" s="208"/>
      <c r="HX22" s="208"/>
      <c r="HY22" s="208"/>
      <c r="HZ22" s="208"/>
      <c r="IA22" s="208"/>
      <c r="IB22" s="208"/>
      <c r="IC22" s="208"/>
      <c r="ID22" s="208"/>
      <c r="IE22" s="208"/>
      <c r="IF22" s="208"/>
      <c r="IG22" s="208"/>
      <c r="IH22" s="208"/>
      <c r="II22" s="208"/>
      <c r="IJ22" s="208"/>
      <c r="IK22" s="208"/>
      <c r="IL22" s="208"/>
      <c r="IM22" s="208"/>
      <c r="IN22" s="208"/>
      <c r="IO22" s="208"/>
      <c r="IP22" s="208"/>
      <c r="IQ22" s="208"/>
      <c r="IR22" s="208"/>
      <c r="IS22" s="208"/>
      <c r="IT22" s="208"/>
      <c r="IU22" s="208"/>
      <c r="IV22" s="208"/>
    </row>
    <row r="23" customFormat="false" ht="14.4" hidden="false" customHeight="false" outlineLevel="0" collapsed="false">
      <c r="A23" s="195" t="n">
        <f aca="false">Data!$A23</f>
        <v>23</v>
      </c>
      <c r="B23" s="195" t="str">
        <f aca="false">Data!$B23</f>
        <v>B316A-EA07-OPT-BAFF-01</v>
      </c>
      <c r="C23" s="195" t="str">
        <f aca="false">Data!$C23</f>
        <v>Grating Baffles VERITAS</v>
      </c>
      <c r="D23" s="195" t="str">
        <f aca="false">Data!$D23</f>
        <v>HL</v>
      </c>
      <c r="E23" s="205" t="e">
        <f aca="true">INDEX(OFFSET(MOTION1!$A$2,0,0,SystemInfo!$B$1,1),MATCH(CONCATENATE(B23,D23),OFFSET(MOTION1!$J$2,0,0,SystemInfo!$B$1,1),0))</f>
        <v>#N/A</v>
      </c>
      <c r="F23" s="205" t="e">
        <f aca="true">INDEX(OFFSET(MOTION3!$A$2,0,0,SystemInfo!$B$1,1),MATCH(CONCATENATE(B23,D23),OFFSET(MOTION3!$J$2,0,0,SystemInfo!$B$1,1),0))</f>
        <v>#N/A</v>
      </c>
      <c r="G23" s="206" t="n">
        <f aca="false">INT(Data!$P23*Data!$L23)</f>
        <v>800</v>
      </c>
      <c r="H23" s="207" t="n">
        <v>1</v>
      </c>
      <c r="I23" s="206" t="str">
        <f aca="false">Data!U23</f>
        <v>ABSENC</v>
      </c>
      <c r="J23" s="206" t="n">
        <f aca="false">IF($I23="ABSENC",Data!$V23,"")</f>
        <v>1000000</v>
      </c>
      <c r="K23" s="207" t="n">
        <v>1</v>
      </c>
      <c r="L23" s="206" t="str">
        <f aca="false">IF($I23="ENCIN",Data!$V23,"")</f>
        <v/>
      </c>
      <c r="M23" s="207" t="n">
        <v>1</v>
      </c>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8"/>
      <c r="CA23" s="208"/>
      <c r="CB23" s="208"/>
      <c r="CC23" s="208"/>
      <c r="CD23" s="208"/>
      <c r="CE23" s="208"/>
      <c r="CF23" s="208"/>
      <c r="CG23" s="208"/>
      <c r="CH23" s="208"/>
      <c r="CI23" s="208"/>
      <c r="CJ23" s="208"/>
      <c r="CK23" s="208"/>
      <c r="CL23" s="208"/>
      <c r="CM23" s="208"/>
      <c r="CN23" s="208"/>
      <c r="CO23" s="208"/>
      <c r="CP23" s="208"/>
      <c r="CQ23" s="208"/>
      <c r="CR23" s="208"/>
      <c r="CS23" s="208"/>
      <c r="CT23" s="208"/>
      <c r="CU23" s="208"/>
      <c r="CV23" s="208"/>
      <c r="CW23" s="208"/>
      <c r="CX23" s="208"/>
      <c r="CY23" s="208"/>
      <c r="CZ23" s="208"/>
      <c r="DA23" s="208"/>
      <c r="DB23" s="208"/>
      <c r="DC23" s="208"/>
      <c r="DD23" s="208"/>
      <c r="DE23" s="208"/>
      <c r="DF23" s="208"/>
      <c r="DG23" s="208"/>
      <c r="DH23" s="208"/>
      <c r="DI23" s="208"/>
      <c r="DJ23" s="208"/>
      <c r="DK23" s="208"/>
      <c r="DL23" s="208"/>
      <c r="DM23" s="208"/>
      <c r="DN23" s="208"/>
      <c r="DO23" s="208"/>
      <c r="DP23" s="208"/>
      <c r="DQ23" s="208"/>
      <c r="DR23" s="208"/>
      <c r="DS23" s="208"/>
      <c r="DT23" s="208"/>
      <c r="DU23" s="208"/>
      <c r="DV23" s="208"/>
      <c r="DW23" s="208"/>
      <c r="DX23" s="208"/>
      <c r="DY23" s="208"/>
      <c r="DZ23" s="208"/>
      <c r="EA23" s="208"/>
      <c r="EB23" s="208"/>
      <c r="EC23" s="208"/>
      <c r="ED23" s="208"/>
      <c r="EE23" s="208"/>
      <c r="EF23" s="208"/>
      <c r="EG23" s="208"/>
      <c r="EH23" s="208"/>
      <c r="EI23" s="208"/>
      <c r="EJ23" s="208"/>
      <c r="EK23" s="208"/>
      <c r="EL23" s="208"/>
      <c r="EM23" s="208"/>
      <c r="EN23" s="208"/>
      <c r="EO23" s="208"/>
      <c r="EP23" s="208"/>
      <c r="EQ23" s="208"/>
      <c r="ER23" s="208"/>
      <c r="ES23" s="208"/>
      <c r="ET23" s="208"/>
      <c r="EU23" s="208"/>
      <c r="EV23" s="208"/>
      <c r="EW23" s="208"/>
      <c r="EX23" s="208"/>
      <c r="EY23" s="208"/>
      <c r="EZ23" s="208"/>
      <c r="FA23" s="208"/>
      <c r="FB23" s="208"/>
      <c r="FC23" s="208"/>
      <c r="FD23" s="208"/>
      <c r="FE23" s="208"/>
      <c r="FF23" s="208"/>
      <c r="FG23" s="208"/>
      <c r="FH23" s="208"/>
      <c r="FI23" s="208"/>
      <c r="FJ23" s="208"/>
      <c r="FK23" s="208"/>
      <c r="FL23" s="208"/>
      <c r="FM23" s="208"/>
      <c r="FN23" s="208"/>
      <c r="FO23" s="208"/>
      <c r="FP23" s="208"/>
      <c r="FQ23" s="208"/>
      <c r="FR23" s="208"/>
      <c r="FS23" s="208"/>
      <c r="FT23" s="208"/>
      <c r="FU23" s="208"/>
      <c r="FV23" s="208"/>
      <c r="FW23" s="208"/>
      <c r="FX23" s="208"/>
      <c r="FY23" s="208"/>
      <c r="FZ23" s="208"/>
      <c r="GA23" s="208"/>
      <c r="GB23" s="208"/>
      <c r="GC23" s="208"/>
      <c r="GD23" s="208"/>
      <c r="GE23" s="208"/>
      <c r="GF23" s="208"/>
      <c r="GG23" s="208"/>
      <c r="GH23" s="208"/>
      <c r="GI23" s="208"/>
      <c r="GJ23" s="208"/>
      <c r="GK23" s="208"/>
      <c r="GL23" s="208"/>
      <c r="GM23" s="208"/>
      <c r="GN23" s="208"/>
      <c r="GO23" s="208"/>
      <c r="GP23" s="208"/>
      <c r="GQ23" s="208"/>
      <c r="GR23" s="208"/>
      <c r="GS23" s="208"/>
      <c r="GT23" s="208"/>
      <c r="GU23" s="208"/>
      <c r="GV23" s="208"/>
      <c r="GW23" s="208"/>
      <c r="GX23" s="208"/>
      <c r="GY23" s="208"/>
      <c r="GZ23" s="208"/>
      <c r="HA23" s="208"/>
      <c r="HB23" s="208"/>
      <c r="HC23" s="208"/>
      <c r="HD23" s="208"/>
      <c r="HE23" s="208"/>
      <c r="HF23" s="208"/>
      <c r="HG23" s="208"/>
      <c r="HH23" s="208"/>
      <c r="HI23" s="208"/>
      <c r="HJ23" s="208"/>
      <c r="HK23" s="208"/>
      <c r="HL23" s="208"/>
      <c r="HM23" s="208"/>
      <c r="HN23" s="208"/>
      <c r="HO23" s="208"/>
      <c r="HP23" s="208"/>
      <c r="HQ23" s="208"/>
      <c r="HR23" s="208"/>
      <c r="HS23" s="208"/>
      <c r="HT23" s="208"/>
      <c r="HU23" s="208"/>
      <c r="HV23" s="208"/>
      <c r="HW23" s="208"/>
      <c r="HX23" s="208"/>
      <c r="HY23" s="208"/>
      <c r="HZ23" s="208"/>
      <c r="IA23" s="208"/>
      <c r="IB23" s="208"/>
      <c r="IC23" s="208"/>
      <c r="ID23" s="208"/>
      <c r="IE23" s="208"/>
      <c r="IF23" s="208"/>
      <c r="IG23" s="208"/>
      <c r="IH23" s="208"/>
      <c r="II23" s="208"/>
      <c r="IJ23" s="208"/>
      <c r="IK23" s="208"/>
      <c r="IL23" s="208"/>
      <c r="IM23" s="208"/>
      <c r="IN23" s="208"/>
      <c r="IO23" s="208"/>
      <c r="IP23" s="208"/>
      <c r="IQ23" s="208"/>
      <c r="IR23" s="208"/>
      <c r="IS23" s="208"/>
      <c r="IT23" s="208"/>
      <c r="IU23" s="208"/>
      <c r="IV23" s="208"/>
    </row>
    <row r="24" customFormat="false" ht="14.4" hidden="false" customHeight="false" outlineLevel="0" collapsed="false">
      <c r="A24" s="195" t="n">
        <f aca="false">Data!$A24</f>
        <v>24</v>
      </c>
      <c r="B24" s="195" t="str">
        <f aca="false">Data!$B24</f>
        <v>B316A-EA07-OPT-GRA-01</v>
      </c>
      <c r="C24" s="195" t="str">
        <f aca="false">Data!$C24</f>
        <v>Grating VERITAS</v>
      </c>
      <c r="D24" s="195" t="str">
        <f aca="false">Data!$D24</f>
        <v>Y1</v>
      </c>
      <c r="E24" s="205" t="e">
        <f aca="true">INDEX(OFFSET(MOTION1!$A$2,0,0,SystemInfo!$B$1,1),MATCH(CONCATENATE(B24,D24),OFFSET(MOTION1!$J$2,0,0,SystemInfo!$B$1,1),0))</f>
        <v>#N/A</v>
      </c>
      <c r="F24" s="205" t="e">
        <f aca="true">INDEX(OFFSET(MOTION3!$A$2,0,0,SystemInfo!$B$1,1),MATCH(CONCATENATE(B24,D24),OFFSET(MOTION3!$J$2,0,0,SystemInfo!$B$1,1),0))</f>
        <v>#N/A</v>
      </c>
      <c r="G24" s="206" t="e">
        <f aca="false">INT(Data!$P24*Data!$L24)</f>
        <v>#N/A</v>
      </c>
      <c r="H24" s="207" t="n">
        <v>1</v>
      </c>
      <c r="I24" s="206" t="n">
        <f aca="false">Data!U24</f>
        <v>0</v>
      </c>
      <c r="J24" s="206" t="str">
        <f aca="false">IF($I24="ABSENC",Data!$V24,"")</f>
        <v/>
      </c>
      <c r="K24" s="207" t="n">
        <v>1</v>
      </c>
      <c r="L24" s="206" t="str">
        <f aca="false">IF($I24="ENCIN",Data!$V24,"")</f>
        <v/>
      </c>
      <c r="M24" s="207" t="n">
        <v>1</v>
      </c>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8"/>
      <c r="CA24" s="208"/>
      <c r="CB24" s="208"/>
      <c r="CC24" s="208"/>
      <c r="CD24" s="208"/>
      <c r="CE24" s="208"/>
      <c r="CF24" s="208"/>
      <c r="CG24" s="208"/>
      <c r="CH24" s="208"/>
      <c r="CI24" s="208"/>
      <c r="CJ24" s="208"/>
      <c r="CK24" s="208"/>
      <c r="CL24" s="208"/>
      <c r="CM24" s="208"/>
      <c r="CN24" s="208"/>
      <c r="CO24" s="208"/>
      <c r="CP24" s="208"/>
      <c r="CQ24" s="208"/>
      <c r="CR24" s="208"/>
      <c r="CS24" s="208"/>
      <c r="CT24" s="208"/>
      <c r="CU24" s="208"/>
      <c r="CV24" s="208"/>
      <c r="CW24" s="208"/>
      <c r="CX24" s="208"/>
      <c r="CY24" s="208"/>
      <c r="CZ24" s="208"/>
      <c r="DA24" s="208"/>
      <c r="DB24" s="208"/>
      <c r="DC24" s="208"/>
      <c r="DD24" s="208"/>
      <c r="DE24" s="208"/>
      <c r="DF24" s="208"/>
      <c r="DG24" s="208"/>
      <c r="DH24" s="208"/>
      <c r="DI24" s="208"/>
      <c r="DJ24" s="208"/>
      <c r="DK24" s="208"/>
      <c r="DL24" s="208"/>
      <c r="DM24" s="208"/>
      <c r="DN24" s="208"/>
      <c r="DO24" s="208"/>
      <c r="DP24" s="208"/>
      <c r="DQ24" s="208"/>
      <c r="DR24" s="208"/>
      <c r="DS24" s="208"/>
      <c r="DT24" s="208"/>
      <c r="DU24" s="208"/>
      <c r="DV24" s="208"/>
      <c r="DW24" s="208"/>
      <c r="DX24" s="208"/>
      <c r="DY24" s="208"/>
      <c r="DZ24" s="208"/>
      <c r="EA24" s="208"/>
      <c r="EB24" s="208"/>
      <c r="EC24" s="208"/>
      <c r="ED24" s="208"/>
      <c r="EE24" s="208"/>
      <c r="EF24" s="208"/>
      <c r="EG24" s="208"/>
      <c r="EH24" s="208"/>
      <c r="EI24" s="208"/>
      <c r="EJ24" s="208"/>
      <c r="EK24" s="208"/>
      <c r="EL24" s="208"/>
      <c r="EM24" s="208"/>
      <c r="EN24" s="208"/>
      <c r="EO24" s="208"/>
      <c r="EP24" s="208"/>
      <c r="EQ24" s="208"/>
      <c r="ER24" s="208"/>
      <c r="ES24" s="208"/>
      <c r="ET24" s="208"/>
      <c r="EU24" s="208"/>
      <c r="EV24" s="208"/>
      <c r="EW24" s="208"/>
      <c r="EX24" s="208"/>
      <c r="EY24" s="208"/>
      <c r="EZ24" s="208"/>
      <c r="FA24" s="208"/>
      <c r="FB24" s="208"/>
      <c r="FC24" s="208"/>
      <c r="FD24" s="208"/>
      <c r="FE24" s="208"/>
      <c r="FF24" s="208"/>
      <c r="FG24" s="208"/>
      <c r="FH24" s="208"/>
      <c r="FI24" s="208"/>
      <c r="FJ24" s="208"/>
      <c r="FK24" s="208"/>
      <c r="FL24" s="208"/>
      <c r="FM24" s="208"/>
      <c r="FN24" s="208"/>
      <c r="FO24" s="208"/>
      <c r="FP24" s="208"/>
      <c r="FQ24" s="208"/>
      <c r="FR24" s="208"/>
      <c r="FS24" s="208"/>
      <c r="FT24" s="208"/>
      <c r="FU24" s="208"/>
      <c r="FV24" s="208"/>
      <c r="FW24" s="208"/>
      <c r="FX24" s="208"/>
      <c r="FY24" s="208"/>
      <c r="FZ24" s="208"/>
      <c r="GA24" s="208"/>
      <c r="GB24" s="208"/>
      <c r="GC24" s="208"/>
      <c r="GD24" s="208"/>
      <c r="GE24" s="208"/>
      <c r="GF24" s="208"/>
      <c r="GG24" s="208"/>
      <c r="GH24" s="208"/>
      <c r="GI24" s="208"/>
      <c r="GJ24" s="208"/>
      <c r="GK24" s="208"/>
      <c r="GL24" s="208"/>
      <c r="GM24" s="208"/>
      <c r="GN24" s="208"/>
      <c r="GO24" s="208"/>
      <c r="GP24" s="208"/>
      <c r="GQ24" s="208"/>
      <c r="GR24" s="208"/>
      <c r="GS24" s="208"/>
      <c r="GT24" s="208"/>
      <c r="GU24" s="208"/>
      <c r="GV24" s="208"/>
      <c r="GW24" s="208"/>
      <c r="GX24" s="208"/>
      <c r="GY24" s="208"/>
      <c r="GZ24" s="208"/>
      <c r="HA24" s="208"/>
      <c r="HB24" s="208"/>
      <c r="HC24" s="208"/>
      <c r="HD24" s="208"/>
      <c r="HE24" s="208"/>
      <c r="HF24" s="208"/>
      <c r="HG24" s="208"/>
      <c r="HH24" s="208"/>
      <c r="HI24" s="208"/>
      <c r="HJ24" s="208"/>
      <c r="HK24" s="208"/>
      <c r="HL24" s="208"/>
      <c r="HM24" s="208"/>
      <c r="HN24" s="208"/>
      <c r="HO24" s="208"/>
      <c r="HP24" s="208"/>
      <c r="HQ24" s="208"/>
      <c r="HR24" s="208"/>
      <c r="HS24" s="208"/>
      <c r="HT24" s="208"/>
      <c r="HU24" s="208"/>
      <c r="HV24" s="208"/>
      <c r="HW24" s="208"/>
      <c r="HX24" s="208"/>
      <c r="HY24" s="208"/>
      <c r="HZ24" s="208"/>
      <c r="IA24" s="208"/>
      <c r="IB24" s="208"/>
      <c r="IC24" s="208"/>
      <c r="ID24" s="208"/>
      <c r="IE24" s="208"/>
      <c r="IF24" s="208"/>
      <c r="IG24" s="208"/>
      <c r="IH24" s="208"/>
      <c r="II24" s="208"/>
      <c r="IJ24" s="208"/>
      <c r="IK24" s="208"/>
      <c r="IL24" s="208"/>
      <c r="IM24" s="208"/>
      <c r="IN24" s="208"/>
      <c r="IO24" s="208"/>
      <c r="IP24" s="208"/>
      <c r="IQ24" s="208"/>
      <c r="IR24" s="208"/>
      <c r="IS24" s="208"/>
      <c r="IT24" s="208"/>
      <c r="IU24" s="208"/>
      <c r="IV24" s="208"/>
    </row>
    <row r="25" customFormat="false" ht="14.4" hidden="false" customHeight="false" outlineLevel="0" collapsed="false">
      <c r="A25" s="195" t="n">
        <f aca="false">Data!$A25</f>
        <v>25</v>
      </c>
      <c r="B25" s="195" t="str">
        <f aca="false">Data!$B25</f>
        <v>B316A-EA07-OPT-GRA-01</v>
      </c>
      <c r="C25" s="195" t="str">
        <f aca="false">Data!$C25</f>
        <v>Grating VERITAS</v>
      </c>
      <c r="D25" s="195" t="str">
        <f aca="false">Data!$D25</f>
        <v>Y2</v>
      </c>
      <c r="E25" s="205" t="e">
        <f aca="true">INDEX(OFFSET(MOTION1!$A$2,0,0,SystemInfo!$B$1,1),MATCH(CONCATENATE(B25,D25),OFFSET(MOTION1!$J$2,0,0,SystemInfo!$B$1,1),0))</f>
        <v>#N/A</v>
      </c>
      <c r="F25" s="205" t="e">
        <f aca="true">INDEX(OFFSET(MOTION3!$A$2,0,0,SystemInfo!$B$1,1),MATCH(CONCATENATE(B25,D25),OFFSET(MOTION3!$J$2,0,0,SystemInfo!$B$1,1),0))</f>
        <v>#N/A</v>
      </c>
      <c r="G25" s="206" t="e">
        <f aca="false">INT(Data!$P25*Data!$L25)</f>
        <v>#N/A</v>
      </c>
      <c r="H25" s="207" t="n">
        <v>1</v>
      </c>
      <c r="I25" s="206" t="n">
        <f aca="false">Data!U25</f>
        <v>0</v>
      </c>
      <c r="J25" s="206" t="str">
        <f aca="false">IF($I25="ABSENC",Data!$V25,"")</f>
        <v/>
      </c>
      <c r="K25" s="207" t="n">
        <v>1</v>
      </c>
      <c r="L25" s="206" t="str">
        <f aca="false">IF($I25="ENCIN",Data!$V25,"")</f>
        <v/>
      </c>
      <c r="M25" s="207" t="n">
        <v>1</v>
      </c>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c r="BZ25" s="208"/>
      <c r="CA25" s="208"/>
      <c r="CB25" s="208"/>
      <c r="CC25" s="208"/>
      <c r="CD25" s="208"/>
      <c r="CE25" s="208"/>
      <c r="CF25" s="208"/>
      <c r="CG25" s="208"/>
      <c r="CH25" s="208"/>
      <c r="CI25" s="208"/>
      <c r="CJ25" s="208"/>
      <c r="CK25" s="208"/>
      <c r="CL25" s="208"/>
      <c r="CM25" s="208"/>
      <c r="CN25" s="208"/>
      <c r="CO25" s="208"/>
      <c r="CP25" s="208"/>
      <c r="CQ25" s="208"/>
      <c r="CR25" s="208"/>
      <c r="CS25" s="208"/>
      <c r="CT25" s="208"/>
      <c r="CU25" s="208"/>
      <c r="CV25" s="208"/>
      <c r="CW25" s="208"/>
      <c r="CX25" s="208"/>
      <c r="CY25" s="208"/>
      <c r="CZ25" s="208"/>
      <c r="DA25" s="208"/>
      <c r="DB25" s="208"/>
      <c r="DC25" s="208"/>
      <c r="DD25" s="208"/>
      <c r="DE25" s="208"/>
      <c r="DF25" s="208"/>
      <c r="DG25" s="208"/>
      <c r="DH25" s="208"/>
      <c r="DI25" s="208"/>
      <c r="DJ25" s="208"/>
      <c r="DK25" s="208"/>
      <c r="DL25" s="208"/>
      <c r="DM25" s="208"/>
      <c r="DN25" s="208"/>
      <c r="DO25" s="208"/>
      <c r="DP25" s="208"/>
      <c r="DQ25" s="208"/>
      <c r="DR25" s="208"/>
      <c r="DS25" s="208"/>
      <c r="DT25" s="208"/>
      <c r="DU25" s="208"/>
      <c r="DV25" s="208"/>
      <c r="DW25" s="208"/>
      <c r="DX25" s="208"/>
      <c r="DY25" s="208"/>
      <c r="DZ25" s="208"/>
      <c r="EA25" s="208"/>
      <c r="EB25" s="208"/>
      <c r="EC25" s="208"/>
      <c r="ED25" s="208"/>
      <c r="EE25" s="208"/>
      <c r="EF25" s="208"/>
      <c r="EG25" s="208"/>
      <c r="EH25" s="208"/>
      <c r="EI25" s="208"/>
      <c r="EJ25" s="208"/>
      <c r="EK25" s="208"/>
      <c r="EL25" s="208"/>
      <c r="EM25" s="208"/>
      <c r="EN25" s="208"/>
      <c r="EO25" s="208"/>
      <c r="EP25" s="208"/>
      <c r="EQ25" s="208"/>
      <c r="ER25" s="208"/>
      <c r="ES25" s="208"/>
      <c r="ET25" s="208"/>
      <c r="EU25" s="208"/>
      <c r="EV25" s="208"/>
      <c r="EW25" s="208"/>
      <c r="EX25" s="208"/>
      <c r="EY25" s="208"/>
      <c r="EZ25" s="208"/>
      <c r="FA25" s="208"/>
      <c r="FB25" s="208"/>
      <c r="FC25" s="208"/>
      <c r="FD25" s="208"/>
      <c r="FE25" s="208"/>
      <c r="FF25" s="208"/>
      <c r="FG25" s="208"/>
      <c r="FH25" s="208"/>
      <c r="FI25" s="208"/>
      <c r="FJ25" s="208"/>
      <c r="FK25" s="208"/>
      <c r="FL25" s="208"/>
      <c r="FM25" s="208"/>
      <c r="FN25" s="208"/>
      <c r="FO25" s="208"/>
      <c r="FP25" s="208"/>
      <c r="FQ25" s="208"/>
      <c r="FR25" s="208"/>
      <c r="FS25" s="208"/>
      <c r="FT25" s="208"/>
      <c r="FU25" s="208"/>
      <c r="FV25" s="208"/>
      <c r="FW25" s="208"/>
      <c r="FX25" s="208"/>
      <c r="FY25" s="208"/>
      <c r="FZ25" s="208"/>
      <c r="GA25" s="208"/>
      <c r="GB25" s="208"/>
      <c r="GC25" s="208"/>
      <c r="GD25" s="208"/>
      <c r="GE25" s="208"/>
      <c r="GF25" s="208"/>
      <c r="GG25" s="208"/>
      <c r="GH25" s="208"/>
      <c r="GI25" s="208"/>
      <c r="GJ25" s="208"/>
      <c r="GK25" s="208"/>
      <c r="GL25" s="208"/>
      <c r="GM25" s="208"/>
      <c r="GN25" s="208"/>
      <c r="GO25" s="208"/>
      <c r="GP25" s="208"/>
      <c r="GQ25" s="208"/>
      <c r="GR25" s="208"/>
      <c r="GS25" s="208"/>
      <c r="GT25" s="208"/>
      <c r="GU25" s="208"/>
      <c r="GV25" s="208"/>
      <c r="GW25" s="208"/>
      <c r="GX25" s="208"/>
      <c r="GY25" s="208"/>
      <c r="GZ25" s="208"/>
      <c r="HA25" s="208"/>
      <c r="HB25" s="208"/>
      <c r="HC25" s="208"/>
      <c r="HD25" s="208"/>
      <c r="HE25" s="208"/>
      <c r="HF25" s="208"/>
      <c r="HG25" s="208"/>
      <c r="HH25" s="208"/>
      <c r="HI25" s="208"/>
      <c r="HJ25" s="208"/>
      <c r="HK25" s="208"/>
      <c r="HL25" s="208"/>
      <c r="HM25" s="208"/>
      <c r="HN25" s="208"/>
      <c r="HO25" s="208"/>
      <c r="HP25" s="208"/>
      <c r="HQ25" s="208"/>
      <c r="HR25" s="208"/>
      <c r="HS25" s="208"/>
      <c r="HT25" s="208"/>
      <c r="HU25" s="208"/>
      <c r="HV25" s="208"/>
      <c r="HW25" s="208"/>
      <c r="HX25" s="208"/>
      <c r="HY25" s="208"/>
      <c r="HZ25" s="208"/>
      <c r="IA25" s="208"/>
      <c r="IB25" s="208"/>
      <c r="IC25" s="208"/>
      <c r="ID25" s="208"/>
      <c r="IE25" s="208"/>
      <c r="IF25" s="208"/>
      <c r="IG25" s="208"/>
      <c r="IH25" s="208"/>
      <c r="II25" s="208"/>
      <c r="IJ25" s="208"/>
      <c r="IK25" s="208"/>
      <c r="IL25" s="208"/>
      <c r="IM25" s="208"/>
      <c r="IN25" s="208"/>
      <c r="IO25" s="208"/>
      <c r="IP25" s="208"/>
      <c r="IQ25" s="208"/>
      <c r="IR25" s="208"/>
      <c r="IS25" s="208"/>
      <c r="IT25" s="208"/>
      <c r="IU25" s="208"/>
      <c r="IV25" s="208"/>
    </row>
    <row r="26" customFormat="false" ht="14.4" hidden="false" customHeight="false" outlineLevel="0" collapsed="false">
      <c r="A26" s="195" t="n">
        <f aca="false">Data!$A26</f>
        <v>26</v>
      </c>
      <c r="B26" s="195" t="str">
        <f aca="false">Data!$B26</f>
        <v>B316A-EA07-OPT-GRA-01</v>
      </c>
      <c r="C26" s="195" t="str">
        <f aca="false">Data!$C26</f>
        <v>Grating VERITAS</v>
      </c>
      <c r="D26" s="195" t="str">
        <f aca="false">Data!$D26</f>
        <v>Y3</v>
      </c>
      <c r="E26" s="205" t="e">
        <f aca="true">INDEX(OFFSET(MOTION1!$A$2,0,0,SystemInfo!$B$1,1),MATCH(CONCATENATE(B26,D26),OFFSET(MOTION1!$J$2,0,0,SystemInfo!$B$1,1),0))</f>
        <v>#N/A</v>
      </c>
      <c r="F26" s="205" t="e">
        <f aca="true">INDEX(OFFSET(MOTION3!$A$2,0,0,SystemInfo!$B$1,1),MATCH(CONCATENATE(B26,D26),OFFSET(MOTION3!$J$2,0,0,SystemInfo!$B$1,1),0))</f>
        <v>#N/A</v>
      </c>
      <c r="G26" s="206" t="e">
        <f aca="false">INT(Data!$P26*Data!$L26)</f>
        <v>#N/A</v>
      </c>
      <c r="H26" s="207" t="n">
        <v>1</v>
      </c>
      <c r="I26" s="206" t="n">
        <f aca="false">Data!U26</f>
        <v>0</v>
      </c>
      <c r="J26" s="206" t="str">
        <f aca="false">IF($I26="ABSENC",Data!$V26,"")</f>
        <v/>
      </c>
      <c r="K26" s="207" t="n">
        <v>1</v>
      </c>
      <c r="L26" s="206" t="str">
        <f aca="false">IF($I26="ENCIN",Data!$V26,"")</f>
        <v/>
      </c>
      <c r="M26" s="207" t="n">
        <v>1</v>
      </c>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c r="CG26" s="208"/>
      <c r="CH26" s="208"/>
      <c r="CI26" s="208"/>
      <c r="CJ26" s="208"/>
      <c r="CK26" s="208"/>
      <c r="CL26" s="208"/>
      <c r="CM26" s="208"/>
      <c r="CN26" s="208"/>
      <c r="CO26" s="208"/>
      <c r="CP26" s="208"/>
      <c r="CQ26" s="208"/>
      <c r="CR26" s="208"/>
      <c r="CS26" s="208"/>
      <c r="CT26" s="208"/>
      <c r="CU26" s="208"/>
      <c r="CV26" s="208"/>
      <c r="CW26" s="208"/>
      <c r="CX26" s="208"/>
      <c r="CY26" s="208"/>
      <c r="CZ26" s="208"/>
      <c r="DA26" s="208"/>
      <c r="DB26" s="208"/>
      <c r="DC26" s="208"/>
      <c r="DD26" s="208"/>
      <c r="DE26" s="208"/>
      <c r="DF26" s="208"/>
      <c r="DG26" s="208"/>
      <c r="DH26" s="208"/>
      <c r="DI26" s="208"/>
      <c r="DJ26" s="208"/>
      <c r="DK26" s="208"/>
      <c r="DL26" s="208"/>
      <c r="DM26" s="208"/>
      <c r="DN26" s="208"/>
      <c r="DO26" s="208"/>
      <c r="DP26" s="208"/>
      <c r="DQ26" s="208"/>
      <c r="DR26" s="208"/>
      <c r="DS26" s="208"/>
      <c r="DT26" s="208"/>
      <c r="DU26" s="208"/>
      <c r="DV26" s="208"/>
      <c r="DW26" s="208"/>
      <c r="DX26" s="208"/>
      <c r="DY26" s="208"/>
      <c r="DZ26" s="208"/>
      <c r="EA26" s="208"/>
      <c r="EB26" s="208"/>
      <c r="EC26" s="208"/>
      <c r="ED26" s="208"/>
      <c r="EE26" s="208"/>
      <c r="EF26" s="208"/>
      <c r="EG26" s="208"/>
      <c r="EH26" s="208"/>
      <c r="EI26" s="208"/>
      <c r="EJ26" s="208"/>
      <c r="EK26" s="208"/>
      <c r="EL26" s="208"/>
      <c r="EM26" s="208"/>
      <c r="EN26" s="208"/>
      <c r="EO26" s="208"/>
      <c r="EP26" s="208"/>
      <c r="EQ26" s="208"/>
      <c r="ER26" s="208"/>
      <c r="ES26" s="208"/>
      <c r="ET26" s="208"/>
      <c r="EU26" s="208"/>
      <c r="EV26" s="208"/>
      <c r="EW26" s="208"/>
      <c r="EX26" s="208"/>
      <c r="EY26" s="208"/>
      <c r="EZ26" s="208"/>
      <c r="FA26" s="208"/>
      <c r="FB26" s="208"/>
      <c r="FC26" s="208"/>
      <c r="FD26" s="208"/>
      <c r="FE26" s="208"/>
      <c r="FF26" s="208"/>
      <c r="FG26" s="208"/>
      <c r="FH26" s="208"/>
      <c r="FI26" s="208"/>
      <c r="FJ26" s="208"/>
      <c r="FK26" s="208"/>
      <c r="FL26" s="208"/>
      <c r="FM26" s="208"/>
      <c r="FN26" s="208"/>
      <c r="FO26" s="208"/>
      <c r="FP26" s="208"/>
      <c r="FQ26" s="208"/>
      <c r="FR26" s="208"/>
      <c r="FS26" s="208"/>
      <c r="FT26" s="208"/>
      <c r="FU26" s="208"/>
      <c r="FV26" s="208"/>
      <c r="FW26" s="208"/>
      <c r="FX26" s="208"/>
      <c r="FY26" s="208"/>
      <c r="FZ26" s="208"/>
      <c r="GA26" s="208"/>
      <c r="GB26" s="208"/>
      <c r="GC26" s="208"/>
      <c r="GD26" s="208"/>
      <c r="GE26" s="208"/>
      <c r="GF26" s="208"/>
      <c r="GG26" s="208"/>
      <c r="GH26" s="208"/>
      <c r="GI26" s="208"/>
      <c r="GJ26" s="208"/>
      <c r="GK26" s="208"/>
      <c r="GL26" s="208"/>
      <c r="GM26" s="208"/>
      <c r="GN26" s="208"/>
      <c r="GO26" s="208"/>
      <c r="GP26" s="208"/>
      <c r="GQ26" s="208"/>
      <c r="GR26" s="208"/>
      <c r="GS26" s="208"/>
      <c r="GT26" s="208"/>
      <c r="GU26" s="208"/>
      <c r="GV26" s="208"/>
      <c r="GW26" s="208"/>
      <c r="GX26" s="208"/>
      <c r="GY26" s="208"/>
      <c r="GZ26" s="208"/>
      <c r="HA26" s="208"/>
      <c r="HB26" s="208"/>
      <c r="HC26" s="208"/>
      <c r="HD26" s="208"/>
      <c r="HE26" s="208"/>
      <c r="HF26" s="208"/>
      <c r="HG26" s="208"/>
      <c r="HH26" s="208"/>
      <c r="HI26" s="208"/>
      <c r="HJ26" s="208"/>
      <c r="HK26" s="208"/>
      <c r="HL26" s="208"/>
      <c r="HM26" s="208"/>
      <c r="HN26" s="208"/>
      <c r="HO26" s="208"/>
      <c r="HP26" s="208"/>
      <c r="HQ26" s="208"/>
      <c r="HR26" s="208"/>
      <c r="HS26" s="208"/>
      <c r="HT26" s="208"/>
      <c r="HU26" s="208"/>
      <c r="HV26" s="208"/>
      <c r="HW26" s="208"/>
      <c r="HX26" s="208"/>
      <c r="HY26" s="208"/>
      <c r="HZ26" s="208"/>
      <c r="IA26" s="208"/>
      <c r="IB26" s="208"/>
      <c r="IC26" s="208"/>
      <c r="ID26" s="208"/>
      <c r="IE26" s="208"/>
      <c r="IF26" s="208"/>
      <c r="IG26" s="208"/>
      <c r="IH26" s="208"/>
      <c r="II26" s="208"/>
      <c r="IJ26" s="208"/>
      <c r="IK26" s="208"/>
      <c r="IL26" s="208"/>
      <c r="IM26" s="208"/>
      <c r="IN26" s="208"/>
      <c r="IO26" s="208"/>
      <c r="IP26" s="208"/>
      <c r="IQ26" s="208"/>
      <c r="IR26" s="208"/>
      <c r="IS26" s="208"/>
      <c r="IT26" s="208"/>
      <c r="IU26" s="208"/>
      <c r="IV26" s="208"/>
    </row>
    <row r="27" customFormat="false" ht="14.4" hidden="false" customHeight="false" outlineLevel="0" collapsed="false">
      <c r="A27" s="195" t="n">
        <f aca="false">Data!$A27</f>
        <v>27</v>
      </c>
      <c r="B27" s="195" t="str">
        <f aca="false">Data!$B27</f>
        <v>B316A-EA07-OPT-GRA-02</v>
      </c>
      <c r="C27" s="195" t="str">
        <f aca="false">Data!$C27</f>
        <v>Grating VERITAS</v>
      </c>
      <c r="D27" s="195" t="str">
        <f aca="false">Data!$D27</f>
        <v>Y1</v>
      </c>
      <c r="E27" s="205" t="e">
        <f aca="true">INDEX(OFFSET(MOTION1!$A$2,0,0,SystemInfo!$B$1,1),MATCH(CONCATENATE(B27,D27),OFFSET(MOTION1!$J$2,0,0,SystemInfo!$B$1,1),0))</f>
        <v>#N/A</v>
      </c>
      <c r="F27" s="205" t="e">
        <f aca="true">INDEX(OFFSET(MOTION3!$A$2,0,0,SystemInfo!$B$1,1),MATCH(CONCATENATE(B27,D27),OFFSET(MOTION3!$J$2,0,0,SystemInfo!$B$1,1),0))</f>
        <v>#N/A</v>
      </c>
      <c r="G27" s="206" t="e">
        <f aca="false">INT(Data!$P27*Data!$L27)</f>
        <v>#N/A</v>
      </c>
      <c r="H27" s="207" t="n">
        <v>1</v>
      </c>
      <c r="I27" s="206" t="n">
        <f aca="false">Data!U27</f>
        <v>0</v>
      </c>
      <c r="J27" s="206" t="str">
        <f aca="false">IF($I27="ABSENC",Data!$V27,"")</f>
        <v/>
      </c>
      <c r="K27" s="207" t="n">
        <v>1</v>
      </c>
      <c r="L27" s="206" t="str">
        <f aca="false">IF($I27="ENCIN",Data!$V27,"")</f>
        <v/>
      </c>
      <c r="M27" s="207" t="n">
        <v>1</v>
      </c>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c r="BZ27" s="208"/>
      <c r="CA27" s="208"/>
      <c r="CB27" s="208"/>
      <c r="CC27" s="208"/>
      <c r="CD27" s="208"/>
      <c r="CE27" s="208"/>
      <c r="CF27" s="208"/>
      <c r="CG27" s="208"/>
      <c r="CH27" s="208"/>
      <c r="CI27" s="208"/>
      <c r="CJ27" s="208"/>
      <c r="CK27" s="208"/>
      <c r="CL27" s="208"/>
      <c r="CM27" s="208"/>
      <c r="CN27" s="208"/>
      <c r="CO27" s="208"/>
      <c r="CP27" s="208"/>
      <c r="CQ27" s="208"/>
      <c r="CR27" s="208"/>
      <c r="CS27" s="208"/>
      <c r="CT27" s="208"/>
      <c r="CU27" s="208"/>
      <c r="CV27" s="208"/>
      <c r="CW27" s="208"/>
      <c r="CX27" s="208"/>
      <c r="CY27" s="208"/>
      <c r="CZ27" s="208"/>
      <c r="DA27" s="208"/>
      <c r="DB27" s="208"/>
      <c r="DC27" s="208"/>
      <c r="DD27" s="208"/>
      <c r="DE27" s="208"/>
      <c r="DF27" s="208"/>
      <c r="DG27" s="208"/>
      <c r="DH27" s="208"/>
      <c r="DI27" s="208"/>
      <c r="DJ27" s="208"/>
      <c r="DK27" s="208"/>
      <c r="DL27" s="208"/>
      <c r="DM27" s="208"/>
      <c r="DN27" s="208"/>
      <c r="DO27" s="208"/>
      <c r="DP27" s="208"/>
      <c r="DQ27" s="208"/>
      <c r="DR27" s="208"/>
      <c r="DS27" s="208"/>
      <c r="DT27" s="208"/>
      <c r="DU27" s="208"/>
      <c r="DV27" s="208"/>
      <c r="DW27" s="208"/>
      <c r="DX27" s="208"/>
      <c r="DY27" s="208"/>
      <c r="DZ27" s="208"/>
      <c r="EA27" s="208"/>
      <c r="EB27" s="208"/>
      <c r="EC27" s="208"/>
      <c r="ED27" s="208"/>
      <c r="EE27" s="208"/>
      <c r="EF27" s="208"/>
      <c r="EG27" s="208"/>
      <c r="EH27" s="208"/>
      <c r="EI27" s="208"/>
      <c r="EJ27" s="208"/>
      <c r="EK27" s="208"/>
      <c r="EL27" s="208"/>
      <c r="EM27" s="208"/>
      <c r="EN27" s="208"/>
      <c r="EO27" s="208"/>
      <c r="EP27" s="208"/>
      <c r="EQ27" s="208"/>
      <c r="ER27" s="208"/>
      <c r="ES27" s="208"/>
      <c r="ET27" s="208"/>
      <c r="EU27" s="208"/>
      <c r="EV27" s="208"/>
      <c r="EW27" s="208"/>
      <c r="EX27" s="208"/>
      <c r="EY27" s="208"/>
      <c r="EZ27" s="208"/>
      <c r="FA27" s="208"/>
      <c r="FB27" s="208"/>
      <c r="FC27" s="208"/>
      <c r="FD27" s="208"/>
      <c r="FE27" s="208"/>
      <c r="FF27" s="208"/>
      <c r="FG27" s="208"/>
      <c r="FH27" s="208"/>
      <c r="FI27" s="208"/>
      <c r="FJ27" s="208"/>
      <c r="FK27" s="208"/>
      <c r="FL27" s="208"/>
      <c r="FM27" s="208"/>
      <c r="FN27" s="208"/>
      <c r="FO27" s="208"/>
      <c r="FP27" s="208"/>
      <c r="FQ27" s="208"/>
      <c r="FR27" s="208"/>
      <c r="FS27" s="208"/>
      <c r="FT27" s="208"/>
      <c r="FU27" s="208"/>
      <c r="FV27" s="208"/>
      <c r="FW27" s="208"/>
      <c r="FX27" s="208"/>
      <c r="FY27" s="208"/>
      <c r="FZ27" s="208"/>
      <c r="GA27" s="208"/>
      <c r="GB27" s="208"/>
      <c r="GC27" s="208"/>
      <c r="GD27" s="208"/>
      <c r="GE27" s="208"/>
      <c r="GF27" s="208"/>
      <c r="GG27" s="208"/>
      <c r="GH27" s="208"/>
      <c r="GI27" s="208"/>
      <c r="GJ27" s="208"/>
      <c r="GK27" s="208"/>
      <c r="GL27" s="208"/>
      <c r="GM27" s="208"/>
      <c r="GN27" s="208"/>
      <c r="GO27" s="208"/>
      <c r="GP27" s="208"/>
      <c r="GQ27" s="208"/>
      <c r="GR27" s="208"/>
      <c r="GS27" s="208"/>
      <c r="GT27" s="208"/>
      <c r="GU27" s="208"/>
      <c r="GV27" s="208"/>
      <c r="GW27" s="208"/>
      <c r="GX27" s="208"/>
      <c r="GY27" s="208"/>
      <c r="GZ27" s="208"/>
      <c r="HA27" s="208"/>
      <c r="HB27" s="208"/>
      <c r="HC27" s="208"/>
      <c r="HD27" s="208"/>
      <c r="HE27" s="208"/>
      <c r="HF27" s="208"/>
      <c r="HG27" s="208"/>
      <c r="HH27" s="208"/>
      <c r="HI27" s="208"/>
      <c r="HJ27" s="208"/>
      <c r="HK27" s="208"/>
      <c r="HL27" s="208"/>
      <c r="HM27" s="208"/>
      <c r="HN27" s="208"/>
      <c r="HO27" s="208"/>
      <c r="HP27" s="208"/>
      <c r="HQ27" s="208"/>
      <c r="HR27" s="208"/>
      <c r="HS27" s="208"/>
      <c r="HT27" s="208"/>
      <c r="HU27" s="208"/>
      <c r="HV27" s="208"/>
      <c r="HW27" s="208"/>
      <c r="HX27" s="208"/>
      <c r="HY27" s="208"/>
      <c r="HZ27" s="208"/>
      <c r="IA27" s="208"/>
      <c r="IB27" s="208"/>
      <c r="IC27" s="208"/>
      <c r="ID27" s="208"/>
      <c r="IE27" s="208"/>
      <c r="IF27" s="208"/>
      <c r="IG27" s="208"/>
      <c r="IH27" s="208"/>
      <c r="II27" s="208"/>
      <c r="IJ27" s="208"/>
      <c r="IK27" s="208"/>
      <c r="IL27" s="208"/>
      <c r="IM27" s="208"/>
      <c r="IN27" s="208"/>
      <c r="IO27" s="208"/>
      <c r="IP27" s="208"/>
      <c r="IQ27" s="208"/>
      <c r="IR27" s="208"/>
      <c r="IS27" s="208"/>
      <c r="IT27" s="208"/>
      <c r="IU27" s="208"/>
      <c r="IV27" s="208"/>
    </row>
    <row r="28" customFormat="false" ht="14.4" hidden="false" customHeight="false" outlineLevel="0" collapsed="false">
      <c r="A28" s="195" t="n">
        <f aca="false">Data!$A28</f>
        <v>28</v>
      </c>
      <c r="B28" s="195" t="str">
        <f aca="false">Data!$B28</f>
        <v>B316A-EA07-OPT-GRA-02</v>
      </c>
      <c r="C28" s="195" t="str">
        <f aca="false">Data!$C28</f>
        <v>Grating VERITAS</v>
      </c>
      <c r="D28" s="195" t="str">
        <f aca="false">Data!$D28</f>
        <v>Y2</v>
      </c>
      <c r="E28" s="205" t="e">
        <f aca="true">INDEX(OFFSET(MOTION1!$A$2,0,0,SystemInfo!$B$1,1),MATCH(CONCATENATE(B28,D28),OFFSET(MOTION1!$J$2,0,0,SystemInfo!$B$1,1),0))</f>
        <v>#N/A</v>
      </c>
      <c r="F28" s="205" t="e">
        <f aca="true">INDEX(OFFSET(MOTION3!$A$2,0,0,SystemInfo!$B$1,1),MATCH(CONCATENATE(B28,D28),OFFSET(MOTION3!$J$2,0,0,SystemInfo!$B$1,1),0))</f>
        <v>#N/A</v>
      </c>
      <c r="G28" s="206" t="e">
        <f aca="false">INT(Data!$P28*Data!$L28)</f>
        <v>#N/A</v>
      </c>
      <c r="H28" s="207" t="n">
        <v>1</v>
      </c>
      <c r="I28" s="206" t="n">
        <f aca="false">Data!U28</f>
        <v>0</v>
      </c>
      <c r="J28" s="206" t="str">
        <f aca="false">IF($I28="ABSENC",Data!$V28,"")</f>
        <v/>
      </c>
      <c r="K28" s="207" t="n">
        <v>1</v>
      </c>
      <c r="L28" s="206" t="str">
        <f aca="false">IF($I28="ENCIN",Data!$V28,"")</f>
        <v/>
      </c>
      <c r="M28" s="207" t="n">
        <v>1</v>
      </c>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c r="BZ28" s="208"/>
      <c r="CA28" s="208"/>
      <c r="CB28" s="208"/>
      <c r="CC28" s="208"/>
      <c r="CD28" s="208"/>
      <c r="CE28" s="208"/>
      <c r="CF28" s="208"/>
      <c r="CG28" s="208"/>
      <c r="CH28" s="208"/>
      <c r="CI28" s="208"/>
      <c r="CJ28" s="208"/>
      <c r="CK28" s="208"/>
      <c r="CL28" s="208"/>
      <c r="CM28" s="208"/>
      <c r="CN28" s="208"/>
      <c r="CO28" s="208"/>
      <c r="CP28" s="208"/>
      <c r="CQ28" s="208"/>
      <c r="CR28" s="208"/>
      <c r="CS28" s="208"/>
      <c r="CT28" s="208"/>
      <c r="CU28" s="208"/>
      <c r="CV28" s="208"/>
      <c r="CW28" s="208"/>
      <c r="CX28" s="208"/>
      <c r="CY28" s="208"/>
      <c r="CZ28" s="208"/>
      <c r="DA28" s="208"/>
      <c r="DB28" s="208"/>
      <c r="DC28" s="208"/>
      <c r="DD28" s="208"/>
      <c r="DE28" s="208"/>
      <c r="DF28" s="208"/>
      <c r="DG28" s="208"/>
      <c r="DH28" s="208"/>
      <c r="DI28" s="208"/>
      <c r="DJ28" s="208"/>
      <c r="DK28" s="208"/>
      <c r="DL28" s="208"/>
      <c r="DM28" s="208"/>
      <c r="DN28" s="208"/>
      <c r="DO28" s="208"/>
      <c r="DP28" s="208"/>
      <c r="DQ28" s="208"/>
      <c r="DR28" s="208"/>
      <c r="DS28" s="208"/>
      <c r="DT28" s="208"/>
      <c r="DU28" s="208"/>
      <c r="DV28" s="208"/>
      <c r="DW28" s="208"/>
      <c r="DX28" s="208"/>
      <c r="DY28" s="208"/>
      <c r="DZ28" s="208"/>
      <c r="EA28" s="208"/>
      <c r="EB28" s="208"/>
      <c r="EC28" s="208"/>
      <c r="ED28" s="208"/>
      <c r="EE28" s="208"/>
      <c r="EF28" s="208"/>
      <c r="EG28" s="208"/>
      <c r="EH28" s="208"/>
      <c r="EI28" s="208"/>
      <c r="EJ28" s="208"/>
      <c r="EK28" s="208"/>
      <c r="EL28" s="208"/>
      <c r="EM28" s="208"/>
      <c r="EN28" s="208"/>
      <c r="EO28" s="208"/>
      <c r="EP28" s="208"/>
      <c r="EQ28" s="208"/>
      <c r="ER28" s="208"/>
      <c r="ES28" s="208"/>
      <c r="ET28" s="208"/>
      <c r="EU28" s="208"/>
      <c r="EV28" s="208"/>
      <c r="EW28" s="208"/>
      <c r="EX28" s="208"/>
      <c r="EY28" s="208"/>
      <c r="EZ28" s="208"/>
      <c r="FA28" s="208"/>
      <c r="FB28" s="208"/>
      <c r="FC28" s="208"/>
      <c r="FD28" s="208"/>
      <c r="FE28" s="208"/>
      <c r="FF28" s="208"/>
      <c r="FG28" s="208"/>
      <c r="FH28" s="208"/>
      <c r="FI28" s="208"/>
      <c r="FJ28" s="208"/>
      <c r="FK28" s="208"/>
      <c r="FL28" s="208"/>
      <c r="FM28" s="208"/>
      <c r="FN28" s="208"/>
      <c r="FO28" s="208"/>
      <c r="FP28" s="208"/>
      <c r="FQ28" s="208"/>
      <c r="FR28" s="208"/>
      <c r="FS28" s="208"/>
      <c r="FT28" s="208"/>
      <c r="FU28" s="208"/>
      <c r="FV28" s="208"/>
      <c r="FW28" s="208"/>
      <c r="FX28" s="208"/>
      <c r="FY28" s="208"/>
      <c r="FZ28" s="208"/>
      <c r="GA28" s="208"/>
      <c r="GB28" s="208"/>
      <c r="GC28" s="208"/>
      <c r="GD28" s="208"/>
      <c r="GE28" s="208"/>
      <c r="GF28" s="208"/>
      <c r="GG28" s="208"/>
      <c r="GH28" s="208"/>
      <c r="GI28" s="208"/>
      <c r="GJ28" s="208"/>
      <c r="GK28" s="208"/>
      <c r="GL28" s="208"/>
      <c r="GM28" s="208"/>
      <c r="GN28" s="208"/>
      <c r="GO28" s="208"/>
      <c r="GP28" s="208"/>
      <c r="GQ28" s="208"/>
      <c r="GR28" s="208"/>
      <c r="GS28" s="208"/>
      <c r="GT28" s="208"/>
      <c r="GU28" s="208"/>
      <c r="GV28" s="208"/>
      <c r="GW28" s="208"/>
      <c r="GX28" s="208"/>
      <c r="GY28" s="208"/>
      <c r="GZ28" s="208"/>
      <c r="HA28" s="208"/>
      <c r="HB28" s="208"/>
      <c r="HC28" s="208"/>
      <c r="HD28" s="208"/>
      <c r="HE28" s="208"/>
      <c r="HF28" s="208"/>
      <c r="HG28" s="208"/>
      <c r="HH28" s="208"/>
      <c r="HI28" s="208"/>
      <c r="HJ28" s="208"/>
      <c r="HK28" s="208"/>
      <c r="HL28" s="208"/>
      <c r="HM28" s="208"/>
      <c r="HN28" s="208"/>
      <c r="HO28" s="208"/>
      <c r="HP28" s="208"/>
      <c r="HQ28" s="208"/>
      <c r="HR28" s="208"/>
      <c r="HS28" s="208"/>
      <c r="HT28" s="208"/>
      <c r="HU28" s="208"/>
      <c r="HV28" s="208"/>
      <c r="HW28" s="208"/>
      <c r="HX28" s="208"/>
      <c r="HY28" s="208"/>
      <c r="HZ28" s="208"/>
      <c r="IA28" s="208"/>
      <c r="IB28" s="208"/>
      <c r="IC28" s="208"/>
      <c r="ID28" s="208"/>
      <c r="IE28" s="208"/>
      <c r="IF28" s="208"/>
      <c r="IG28" s="208"/>
      <c r="IH28" s="208"/>
      <c r="II28" s="208"/>
      <c r="IJ28" s="208"/>
      <c r="IK28" s="208"/>
      <c r="IL28" s="208"/>
      <c r="IM28" s="208"/>
      <c r="IN28" s="208"/>
      <c r="IO28" s="208"/>
      <c r="IP28" s="208"/>
      <c r="IQ28" s="208"/>
      <c r="IR28" s="208"/>
      <c r="IS28" s="208"/>
      <c r="IT28" s="208"/>
      <c r="IU28" s="208"/>
      <c r="IV28" s="208"/>
    </row>
    <row r="29" s="211" customFormat="true" ht="14.4" hidden="false" customHeight="false" outlineLevel="0" collapsed="false">
      <c r="A29" s="209" t="n">
        <f aca="false">Data!$A29</f>
        <v>0</v>
      </c>
      <c r="B29" s="209"/>
      <c r="C29" s="209"/>
      <c r="D29" s="209"/>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c r="BW29" s="210"/>
      <c r="BX29" s="210"/>
      <c r="BY29" s="210"/>
      <c r="BZ29" s="210"/>
      <c r="CA29" s="210"/>
      <c r="CB29" s="210"/>
      <c r="CC29" s="210"/>
      <c r="CD29" s="210"/>
      <c r="CE29" s="210"/>
      <c r="CF29" s="210"/>
      <c r="CG29" s="210"/>
      <c r="CH29" s="210"/>
      <c r="CI29" s="210"/>
      <c r="CJ29" s="210"/>
      <c r="CK29" s="210"/>
      <c r="CL29" s="210"/>
      <c r="CM29" s="210"/>
      <c r="CN29" s="210"/>
      <c r="CO29" s="210"/>
      <c r="CP29" s="210"/>
      <c r="CQ29" s="210"/>
      <c r="CR29" s="210"/>
      <c r="CS29" s="210"/>
      <c r="CT29" s="210"/>
      <c r="CU29" s="210"/>
      <c r="CV29" s="210"/>
      <c r="CW29" s="210"/>
      <c r="CX29" s="210"/>
      <c r="CY29" s="210"/>
      <c r="CZ29" s="210"/>
      <c r="DA29" s="210"/>
      <c r="DB29" s="210"/>
      <c r="DC29" s="210"/>
      <c r="DD29" s="210"/>
      <c r="DE29" s="210"/>
      <c r="DF29" s="210"/>
      <c r="DG29" s="210"/>
      <c r="DH29" s="210"/>
      <c r="DI29" s="210"/>
      <c r="DJ29" s="210"/>
      <c r="DK29" s="210"/>
      <c r="DL29" s="210"/>
      <c r="DM29" s="210"/>
      <c r="DN29" s="210"/>
      <c r="DO29" s="210"/>
      <c r="DP29" s="210"/>
      <c r="DQ29" s="210"/>
      <c r="DR29" s="210"/>
      <c r="DS29" s="210"/>
      <c r="DT29" s="210"/>
      <c r="DU29" s="210"/>
      <c r="DV29" s="210"/>
      <c r="DW29" s="210"/>
      <c r="DX29" s="210"/>
      <c r="DY29" s="210"/>
      <c r="DZ29" s="210"/>
      <c r="EA29" s="210"/>
      <c r="EB29" s="210"/>
      <c r="EC29" s="210"/>
      <c r="ED29" s="210"/>
      <c r="EE29" s="210"/>
      <c r="EF29" s="210"/>
      <c r="EG29" s="210"/>
      <c r="EH29" s="210"/>
      <c r="EI29" s="210"/>
      <c r="EJ29" s="210"/>
      <c r="EK29" s="210"/>
      <c r="EL29" s="210"/>
      <c r="EM29" s="210"/>
      <c r="EN29" s="210"/>
      <c r="EO29" s="210"/>
      <c r="EP29" s="210"/>
      <c r="EQ29" s="210"/>
      <c r="ER29" s="210"/>
      <c r="ES29" s="210"/>
      <c r="ET29" s="210"/>
      <c r="EU29" s="210"/>
      <c r="EV29" s="210"/>
      <c r="EW29" s="210"/>
      <c r="EX29" s="210"/>
      <c r="EY29" s="210"/>
      <c r="EZ29" s="210"/>
      <c r="FA29" s="210"/>
      <c r="FB29" s="210"/>
      <c r="FC29" s="210"/>
      <c r="FD29" s="210"/>
      <c r="FE29" s="210"/>
      <c r="FF29" s="210"/>
      <c r="FG29" s="210"/>
      <c r="FH29" s="210"/>
      <c r="FI29" s="210"/>
      <c r="FJ29" s="210"/>
      <c r="FK29" s="210"/>
      <c r="FL29" s="210"/>
      <c r="FM29" s="210"/>
      <c r="FN29" s="210"/>
      <c r="FO29" s="210"/>
      <c r="FP29" s="210"/>
      <c r="FQ29" s="210"/>
      <c r="FR29" s="210"/>
      <c r="FS29" s="210"/>
      <c r="FT29" s="210"/>
      <c r="FU29" s="210"/>
      <c r="FV29" s="210"/>
      <c r="FW29" s="210"/>
      <c r="FX29" s="210"/>
      <c r="FY29" s="210"/>
      <c r="FZ29" s="210"/>
      <c r="GA29" s="210"/>
      <c r="GB29" s="210"/>
      <c r="GC29" s="210"/>
      <c r="GD29" s="210"/>
      <c r="GE29" s="210"/>
      <c r="GF29" s="210"/>
      <c r="GG29" s="210"/>
      <c r="GH29" s="210"/>
      <c r="GI29" s="210"/>
      <c r="GJ29" s="210"/>
      <c r="GK29" s="210"/>
      <c r="GL29" s="210"/>
      <c r="GM29" s="210"/>
      <c r="GN29" s="210"/>
      <c r="GO29" s="210"/>
      <c r="GP29" s="210"/>
      <c r="GQ29" s="210"/>
      <c r="GR29" s="210"/>
      <c r="GS29" s="210"/>
      <c r="GT29" s="210"/>
      <c r="GU29" s="210"/>
      <c r="GV29" s="210"/>
      <c r="GW29" s="210"/>
      <c r="GX29" s="210"/>
      <c r="GY29" s="210"/>
      <c r="GZ29" s="210"/>
      <c r="HA29" s="210"/>
      <c r="HB29" s="210"/>
      <c r="HC29" s="210"/>
      <c r="HD29" s="210"/>
      <c r="HE29" s="210"/>
      <c r="HF29" s="210"/>
      <c r="HG29" s="210"/>
      <c r="HH29" s="210"/>
      <c r="HI29" s="210"/>
      <c r="HJ29" s="210"/>
      <c r="HK29" s="210"/>
      <c r="HL29" s="210"/>
      <c r="HM29" s="210"/>
      <c r="HN29" s="210"/>
      <c r="HO29" s="210"/>
      <c r="HP29" s="210"/>
      <c r="HQ29" s="210"/>
      <c r="HR29" s="210"/>
      <c r="HS29" s="210"/>
      <c r="HT29" s="210"/>
      <c r="HU29" s="210"/>
      <c r="HV29" s="210"/>
      <c r="HW29" s="210"/>
      <c r="HX29" s="210"/>
      <c r="HY29" s="210"/>
      <c r="HZ29" s="210"/>
      <c r="IA29" s="210"/>
      <c r="IB29" s="210"/>
      <c r="IC29" s="210"/>
      <c r="ID29" s="210"/>
      <c r="IE29" s="210"/>
      <c r="IF29" s="210"/>
      <c r="IG29" s="210"/>
      <c r="IH29" s="210"/>
      <c r="II29" s="210"/>
      <c r="IJ29" s="210"/>
      <c r="IK29" s="210"/>
      <c r="IL29" s="210"/>
      <c r="IM29" s="210"/>
      <c r="IN29" s="210"/>
      <c r="IO29" s="210"/>
      <c r="IP29" s="210"/>
      <c r="IQ29" s="210"/>
      <c r="IR29" s="210"/>
      <c r="IS29" s="210"/>
      <c r="IT29" s="210"/>
      <c r="IU29" s="210"/>
      <c r="IV29" s="210"/>
    </row>
    <row r="30" s="211" customFormat="true" ht="14.4" hidden="false" customHeight="false" outlineLevel="0" collapsed="false">
      <c r="A30" s="209" t="n">
        <f aca="false">Data!$A30</f>
        <v>0</v>
      </c>
      <c r="B30" s="209"/>
      <c r="C30" s="209"/>
      <c r="D30" s="209"/>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c r="BR30" s="210"/>
      <c r="BS30" s="210"/>
      <c r="BT30" s="210"/>
      <c r="BU30" s="210"/>
      <c r="BV30" s="210"/>
      <c r="BW30" s="210"/>
      <c r="BX30" s="210"/>
      <c r="BY30" s="210"/>
      <c r="BZ30" s="210"/>
      <c r="CA30" s="210"/>
      <c r="CB30" s="210"/>
      <c r="CC30" s="210"/>
      <c r="CD30" s="210"/>
      <c r="CE30" s="210"/>
      <c r="CF30" s="210"/>
      <c r="CG30" s="210"/>
      <c r="CH30" s="210"/>
      <c r="CI30" s="210"/>
      <c r="CJ30" s="210"/>
      <c r="CK30" s="210"/>
      <c r="CL30" s="210"/>
      <c r="CM30" s="210"/>
      <c r="CN30" s="210"/>
      <c r="CO30" s="210"/>
      <c r="CP30" s="210"/>
      <c r="CQ30" s="210"/>
      <c r="CR30" s="210"/>
      <c r="CS30" s="210"/>
      <c r="CT30" s="210"/>
      <c r="CU30" s="210"/>
      <c r="CV30" s="210"/>
      <c r="CW30" s="210"/>
      <c r="CX30" s="210"/>
      <c r="CY30" s="210"/>
      <c r="CZ30" s="210"/>
      <c r="DA30" s="210"/>
      <c r="DB30" s="210"/>
      <c r="DC30" s="210"/>
      <c r="DD30" s="210"/>
      <c r="DE30" s="210"/>
      <c r="DF30" s="210"/>
      <c r="DG30" s="210"/>
      <c r="DH30" s="210"/>
      <c r="DI30" s="210"/>
      <c r="DJ30" s="210"/>
      <c r="DK30" s="210"/>
      <c r="DL30" s="210"/>
      <c r="DM30" s="210"/>
      <c r="DN30" s="210"/>
      <c r="DO30" s="210"/>
      <c r="DP30" s="210"/>
      <c r="DQ30" s="210"/>
      <c r="DR30" s="210"/>
      <c r="DS30" s="210"/>
      <c r="DT30" s="210"/>
      <c r="DU30" s="210"/>
      <c r="DV30" s="210"/>
      <c r="DW30" s="210"/>
      <c r="DX30" s="210"/>
      <c r="DY30" s="210"/>
      <c r="DZ30" s="210"/>
      <c r="EA30" s="210"/>
      <c r="EB30" s="210"/>
      <c r="EC30" s="210"/>
      <c r="ED30" s="210"/>
      <c r="EE30" s="210"/>
      <c r="EF30" s="210"/>
      <c r="EG30" s="210"/>
      <c r="EH30" s="210"/>
      <c r="EI30" s="210"/>
      <c r="EJ30" s="210"/>
      <c r="EK30" s="210"/>
      <c r="EL30" s="210"/>
      <c r="EM30" s="210"/>
      <c r="EN30" s="210"/>
      <c r="EO30" s="210"/>
      <c r="EP30" s="210"/>
      <c r="EQ30" s="210"/>
      <c r="ER30" s="210"/>
      <c r="ES30" s="210"/>
      <c r="ET30" s="210"/>
      <c r="EU30" s="210"/>
      <c r="EV30" s="210"/>
      <c r="EW30" s="210"/>
      <c r="EX30" s="210"/>
      <c r="EY30" s="210"/>
      <c r="EZ30" s="210"/>
      <c r="FA30" s="210"/>
      <c r="FB30" s="210"/>
      <c r="FC30" s="210"/>
      <c r="FD30" s="210"/>
      <c r="FE30" s="210"/>
      <c r="FF30" s="210"/>
      <c r="FG30" s="210"/>
      <c r="FH30" s="210"/>
      <c r="FI30" s="210"/>
      <c r="FJ30" s="210"/>
      <c r="FK30" s="210"/>
      <c r="FL30" s="210"/>
      <c r="FM30" s="210"/>
      <c r="FN30" s="210"/>
      <c r="FO30" s="210"/>
      <c r="FP30" s="210"/>
      <c r="FQ30" s="210"/>
      <c r="FR30" s="210"/>
      <c r="FS30" s="210"/>
      <c r="FT30" s="210"/>
      <c r="FU30" s="210"/>
      <c r="FV30" s="210"/>
      <c r="FW30" s="210"/>
      <c r="FX30" s="210"/>
      <c r="FY30" s="210"/>
      <c r="FZ30" s="210"/>
      <c r="GA30" s="210"/>
      <c r="GB30" s="210"/>
      <c r="GC30" s="210"/>
      <c r="GD30" s="210"/>
      <c r="GE30" s="210"/>
      <c r="GF30" s="210"/>
      <c r="GG30" s="210"/>
      <c r="GH30" s="210"/>
      <c r="GI30" s="210"/>
      <c r="GJ30" s="210"/>
      <c r="GK30" s="210"/>
      <c r="GL30" s="210"/>
      <c r="GM30" s="210"/>
      <c r="GN30" s="210"/>
      <c r="GO30" s="210"/>
      <c r="GP30" s="210"/>
      <c r="GQ30" s="210"/>
      <c r="GR30" s="210"/>
      <c r="GS30" s="210"/>
      <c r="GT30" s="210"/>
      <c r="GU30" s="210"/>
      <c r="GV30" s="210"/>
      <c r="GW30" s="210"/>
      <c r="GX30" s="210"/>
      <c r="GY30" s="210"/>
      <c r="GZ30" s="210"/>
      <c r="HA30" s="210"/>
      <c r="HB30" s="210"/>
      <c r="HC30" s="210"/>
      <c r="HD30" s="210"/>
      <c r="HE30" s="210"/>
      <c r="HF30" s="210"/>
      <c r="HG30" s="210"/>
      <c r="HH30" s="210"/>
      <c r="HI30" s="210"/>
      <c r="HJ30" s="210"/>
      <c r="HK30" s="210"/>
      <c r="HL30" s="210"/>
      <c r="HM30" s="210"/>
      <c r="HN30" s="210"/>
      <c r="HO30" s="210"/>
      <c r="HP30" s="210"/>
      <c r="HQ30" s="210"/>
      <c r="HR30" s="210"/>
      <c r="HS30" s="210"/>
      <c r="HT30" s="210"/>
      <c r="HU30" s="210"/>
      <c r="HV30" s="210"/>
      <c r="HW30" s="210"/>
      <c r="HX30" s="210"/>
      <c r="HY30" s="210"/>
      <c r="HZ30" s="210"/>
      <c r="IA30" s="210"/>
      <c r="IB30" s="210"/>
      <c r="IC30" s="210"/>
      <c r="ID30" s="210"/>
      <c r="IE30" s="210"/>
      <c r="IF30" s="210"/>
      <c r="IG30" s="210"/>
      <c r="IH30" s="210"/>
      <c r="II30" s="210"/>
      <c r="IJ30" s="210"/>
      <c r="IK30" s="210"/>
      <c r="IL30" s="210"/>
      <c r="IM30" s="210"/>
      <c r="IN30" s="210"/>
      <c r="IO30" s="210"/>
      <c r="IP30" s="210"/>
      <c r="IQ30" s="210"/>
      <c r="IR30" s="210"/>
      <c r="IS30" s="210"/>
      <c r="IT30" s="210"/>
      <c r="IU30" s="210"/>
      <c r="IV30" s="210"/>
    </row>
    <row r="31" customFormat="false" ht="14.4" hidden="false" customHeight="false" outlineLevel="0" collapsed="false">
      <c r="A31" s="195" t="n">
        <f aca="false">Data!$A31</f>
        <v>31</v>
      </c>
      <c r="B31" s="195" t="str">
        <f aca="false">Data!$B31</f>
        <v>B316A-EA07-OPT-GRA-02</v>
      </c>
      <c r="C31" s="195" t="str">
        <f aca="false">Data!$C31</f>
        <v>Grating VERITAS</v>
      </c>
      <c r="D31" s="195" t="str">
        <f aca="false">Data!$D31</f>
        <v>Y3</v>
      </c>
      <c r="E31" s="205" t="e">
        <f aca="true">INDEX(OFFSET(MOTION1!$A$2,0,0,SystemInfo!$B$1,1),MATCH(CONCATENATE(B31,D31),OFFSET(MOTION1!$J$2,0,0,SystemInfo!$B$1,1),0))</f>
        <v>#N/A</v>
      </c>
      <c r="F31" s="205" t="e">
        <f aca="true">INDEX(OFFSET(MOTION3!$A$2,0,0,SystemInfo!$B$1,1),MATCH(CONCATENATE(B31,D31),OFFSET(MOTION3!$J$2,0,0,SystemInfo!$B$1,1),0))</f>
        <v>#N/A</v>
      </c>
      <c r="G31" s="206" t="e">
        <f aca="false">INT(Data!$P31*Data!$L31)</f>
        <v>#N/A</v>
      </c>
      <c r="H31" s="207" t="n">
        <v>1</v>
      </c>
      <c r="I31" s="206" t="n">
        <f aca="false">Data!U31</f>
        <v>0</v>
      </c>
      <c r="J31" s="206" t="str">
        <f aca="false">IF($I31="ABSENC",Data!$V31,"")</f>
        <v/>
      </c>
      <c r="K31" s="207" t="n">
        <v>1</v>
      </c>
      <c r="L31" s="206" t="str">
        <f aca="false">IF($I31="ENCIN",Data!$V31,"")</f>
        <v/>
      </c>
      <c r="M31" s="207" t="n">
        <v>1</v>
      </c>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8"/>
      <c r="CA31" s="208"/>
      <c r="CB31" s="208"/>
      <c r="CC31" s="208"/>
      <c r="CD31" s="208"/>
      <c r="CE31" s="208"/>
      <c r="CF31" s="208"/>
      <c r="CG31" s="208"/>
      <c r="CH31" s="208"/>
      <c r="CI31" s="208"/>
      <c r="CJ31" s="208"/>
      <c r="CK31" s="208"/>
      <c r="CL31" s="208"/>
      <c r="CM31" s="208"/>
      <c r="CN31" s="208"/>
      <c r="CO31" s="208"/>
      <c r="CP31" s="208"/>
      <c r="CQ31" s="208"/>
      <c r="CR31" s="208"/>
      <c r="CS31" s="208"/>
      <c r="CT31" s="208"/>
      <c r="CU31" s="208"/>
      <c r="CV31" s="208"/>
      <c r="CW31" s="208"/>
      <c r="CX31" s="208"/>
      <c r="CY31" s="208"/>
      <c r="CZ31" s="208"/>
      <c r="DA31" s="208"/>
      <c r="DB31" s="208"/>
      <c r="DC31" s="208"/>
      <c r="DD31" s="208"/>
      <c r="DE31" s="208"/>
      <c r="DF31" s="208"/>
      <c r="DG31" s="208"/>
      <c r="DH31" s="208"/>
      <c r="DI31" s="208"/>
      <c r="DJ31" s="208"/>
      <c r="DK31" s="208"/>
      <c r="DL31" s="208"/>
      <c r="DM31" s="208"/>
      <c r="DN31" s="208"/>
      <c r="DO31" s="208"/>
      <c r="DP31" s="208"/>
      <c r="DQ31" s="208"/>
      <c r="DR31" s="208"/>
      <c r="DS31" s="208"/>
      <c r="DT31" s="208"/>
      <c r="DU31" s="208"/>
      <c r="DV31" s="208"/>
      <c r="DW31" s="208"/>
      <c r="DX31" s="208"/>
      <c r="DY31" s="208"/>
      <c r="DZ31" s="208"/>
      <c r="EA31" s="208"/>
      <c r="EB31" s="208"/>
      <c r="EC31" s="208"/>
      <c r="ED31" s="208"/>
      <c r="EE31" s="208"/>
      <c r="EF31" s="208"/>
      <c r="EG31" s="208"/>
      <c r="EH31" s="208"/>
      <c r="EI31" s="208"/>
      <c r="EJ31" s="208"/>
      <c r="EK31" s="208"/>
      <c r="EL31" s="208"/>
      <c r="EM31" s="208"/>
      <c r="EN31" s="208"/>
      <c r="EO31" s="208"/>
      <c r="EP31" s="208"/>
      <c r="EQ31" s="208"/>
      <c r="ER31" s="208"/>
      <c r="ES31" s="208"/>
      <c r="ET31" s="208"/>
      <c r="EU31" s="208"/>
      <c r="EV31" s="208"/>
      <c r="EW31" s="208"/>
      <c r="EX31" s="208"/>
      <c r="EY31" s="208"/>
      <c r="EZ31" s="208"/>
      <c r="FA31" s="208"/>
      <c r="FB31" s="208"/>
      <c r="FC31" s="208"/>
      <c r="FD31" s="208"/>
      <c r="FE31" s="208"/>
      <c r="FF31" s="208"/>
      <c r="FG31" s="208"/>
      <c r="FH31" s="208"/>
      <c r="FI31" s="208"/>
      <c r="FJ31" s="208"/>
      <c r="FK31" s="208"/>
      <c r="FL31" s="208"/>
      <c r="FM31" s="208"/>
      <c r="FN31" s="208"/>
      <c r="FO31" s="208"/>
      <c r="FP31" s="208"/>
      <c r="FQ31" s="208"/>
      <c r="FR31" s="208"/>
      <c r="FS31" s="208"/>
      <c r="FT31" s="208"/>
      <c r="FU31" s="208"/>
      <c r="FV31" s="208"/>
      <c r="FW31" s="208"/>
      <c r="FX31" s="208"/>
      <c r="FY31" s="208"/>
      <c r="FZ31" s="208"/>
      <c r="GA31" s="208"/>
      <c r="GB31" s="208"/>
      <c r="GC31" s="208"/>
      <c r="GD31" s="208"/>
      <c r="GE31" s="208"/>
      <c r="GF31" s="208"/>
      <c r="GG31" s="208"/>
      <c r="GH31" s="208"/>
      <c r="GI31" s="208"/>
      <c r="GJ31" s="208"/>
      <c r="GK31" s="208"/>
      <c r="GL31" s="208"/>
      <c r="GM31" s="208"/>
      <c r="GN31" s="208"/>
      <c r="GO31" s="208"/>
      <c r="GP31" s="208"/>
      <c r="GQ31" s="208"/>
      <c r="GR31" s="208"/>
      <c r="GS31" s="208"/>
      <c r="GT31" s="208"/>
      <c r="GU31" s="208"/>
      <c r="GV31" s="208"/>
      <c r="GW31" s="208"/>
      <c r="GX31" s="208"/>
      <c r="GY31" s="208"/>
      <c r="GZ31" s="208"/>
      <c r="HA31" s="208"/>
      <c r="HB31" s="208"/>
      <c r="HC31" s="208"/>
      <c r="HD31" s="208"/>
      <c r="HE31" s="208"/>
      <c r="HF31" s="208"/>
      <c r="HG31" s="208"/>
      <c r="HH31" s="208"/>
      <c r="HI31" s="208"/>
      <c r="HJ31" s="208"/>
      <c r="HK31" s="208"/>
      <c r="HL31" s="208"/>
      <c r="HM31" s="208"/>
      <c r="HN31" s="208"/>
      <c r="HO31" s="208"/>
      <c r="HP31" s="208"/>
      <c r="HQ31" s="208"/>
      <c r="HR31" s="208"/>
      <c r="HS31" s="208"/>
      <c r="HT31" s="208"/>
      <c r="HU31" s="208"/>
      <c r="HV31" s="208"/>
      <c r="HW31" s="208"/>
      <c r="HX31" s="208"/>
      <c r="HY31" s="208"/>
      <c r="HZ31" s="208"/>
      <c r="IA31" s="208"/>
      <c r="IB31" s="208"/>
      <c r="IC31" s="208"/>
      <c r="ID31" s="208"/>
      <c r="IE31" s="208"/>
      <c r="IF31" s="208"/>
      <c r="IG31" s="208"/>
      <c r="IH31" s="208"/>
      <c r="II31" s="208"/>
      <c r="IJ31" s="208"/>
      <c r="IK31" s="208"/>
      <c r="IL31" s="208"/>
      <c r="IM31" s="208"/>
      <c r="IN31" s="208"/>
      <c r="IO31" s="208"/>
      <c r="IP31" s="208"/>
      <c r="IQ31" s="208"/>
      <c r="IR31" s="208"/>
      <c r="IS31" s="208"/>
      <c r="IT31" s="208"/>
      <c r="IU31" s="208"/>
      <c r="IV31" s="208"/>
    </row>
    <row r="32" customFormat="false" ht="14.4" hidden="false" customHeight="false" outlineLevel="0" collapsed="false">
      <c r="A32" s="195" t="n">
        <f aca="false">Data!$A32</f>
        <v>32</v>
      </c>
      <c r="B32" s="195" t="str">
        <f aca="false">Data!$B32</f>
        <v>B316A-EA08-OPT-FLT-01</v>
      </c>
      <c r="C32" s="195" t="str">
        <f aca="false">Data!$C32</f>
        <v>Filter Unit VERITAS</v>
      </c>
      <c r="D32" s="195" t="str">
        <f aca="false">Data!$D32</f>
        <v>X</v>
      </c>
      <c r="E32" s="205" t="e">
        <f aca="true">INDEX(OFFSET(MOTION1!$A$2,0,0,SystemInfo!$B$1,1),MATCH(CONCATENATE(B32,D32),OFFSET(MOTION1!$J$2,0,0,SystemInfo!$B$1,1),0))</f>
        <v>#N/A</v>
      </c>
      <c r="F32" s="205" t="e">
        <f aca="true">INDEX(OFFSET(MOTION3!$A$2,0,0,SystemInfo!$B$1,1),MATCH(CONCATENATE(B32,D32),OFFSET(MOTION3!$J$2,0,0,SystemInfo!$B$1,1),0))</f>
        <v>#N/A</v>
      </c>
      <c r="G32" s="206" t="n">
        <f aca="false">INT(Data!$P32*Data!$L32)</f>
        <v>800</v>
      </c>
      <c r="H32" s="207" t="n">
        <v>1</v>
      </c>
      <c r="I32" s="206" t="str">
        <f aca="false">Data!U32</f>
        <v>ABSENC</v>
      </c>
      <c r="J32" s="206" t="n">
        <f aca="false">IF($I32="ABSENC",Data!$V32,"")</f>
        <v>1000000</v>
      </c>
      <c r="K32" s="207" t="n">
        <v>1</v>
      </c>
      <c r="L32" s="206" t="str">
        <f aca="false">IF($I32="ENCIN",Data!$V32,"")</f>
        <v/>
      </c>
      <c r="M32" s="207" t="n">
        <v>1</v>
      </c>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8"/>
      <c r="CA32" s="208"/>
      <c r="CB32" s="208"/>
      <c r="CC32" s="208"/>
      <c r="CD32" s="208"/>
      <c r="CE32" s="208"/>
      <c r="CF32" s="208"/>
      <c r="CG32" s="208"/>
      <c r="CH32" s="208"/>
      <c r="CI32" s="208"/>
      <c r="CJ32" s="208"/>
      <c r="CK32" s="208"/>
      <c r="CL32" s="208"/>
      <c r="CM32" s="208"/>
      <c r="CN32" s="208"/>
      <c r="CO32" s="208"/>
      <c r="CP32" s="208"/>
      <c r="CQ32" s="208"/>
      <c r="CR32" s="208"/>
      <c r="CS32" s="208"/>
      <c r="CT32" s="208"/>
      <c r="CU32" s="208"/>
      <c r="CV32" s="208"/>
      <c r="CW32" s="208"/>
      <c r="CX32" s="208"/>
      <c r="CY32" s="208"/>
      <c r="CZ32" s="208"/>
      <c r="DA32" s="208"/>
      <c r="DB32" s="208"/>
      <c r="DC32" s="208"/>
      <c r="DD32" s="208"/>
      <c r="DE32" s="208"/>
      <c r="DF32" s="208"/>
      <c r="DG32" s="208"/>
      <c r="DH32" s="208"/>
      <c r="DI32" s="208"/>
      <c r="DJ32" s="208"/>
      <c r="DK32" s="208"/>
      <c r="DL32" s="208"/>
      <c r="DM32" s="208"/>
      <c r="DN32" s="208"/>
      <c r="DO32" s="208"/>
      <c r="DP32" s="208"/>
      <c r="DQ32" s="208"/>
      <c r="DR32" s="208"/>
      <c r="DS32" s="208"/>
      <c r="DT32" s="208"/>
      <c r="DU32" s="208"/>
      <c r="DV32" s="208"/>
      <c r="DW32" s="208"/>
      <c r="DX32" s="208"/>
      <c r="DY32" s="208"/>
      <c r="DZ32" s="208"/>
      <c r="EA32" s="208"/>
      <c r="EB32" s="208"/>
      <c r="EC32" s="208"/>
      <c r="ED32" s="208"/>
      <c r="EE32" s="208"/>
      <c r="EF32" s="208"/>
      <c r="EG32" s="208"/>
      <c r="EH32" s="208"/>
      <c r="EI32" s="208"/>
      <c r="EJ32" s="208"/>
      <c r="EK32" s="208"/>
      <c r="EL32" s="208"/>
      <c r="EM32" s="208"/>
      <c r="EN32" s="208"/>
      <c r="EO32" s="208"/>
      <c r="EP32" s="208"/>
      <c r="EQ32" s="208"/>
      <c r="ER32" s="208"/>
      <c r="ES32" s="208"/>
      <c r="ET32" s="208"/>
      <c r="EU32" s="208"/>
      <c r="EV32" s="208"/>
      <c r="EW32" s="208"/>
      <c r="EX32" s="208"/>
      <c r="EY32" s="208"/>
      <c r="EZ32" s="208"/>
      <c r="FA32" s="208"/>
      <c r="FB32" s="208"/>
      <c r="FC32" s="208"/>
      <c r="FD32" s="208"/>
      <c r="FE32" s="208"/>
      <c r="FF32" s="208"/>
      <c r="FG32" s="208"/>
      <c r="FH32" s="208"/>
      <c r="FI32" s="208"/>
      <c r="FJ32" s="208"/>
      <c r="FK32" s="208"/>
      <c r="FL32" s="208"/>
      <c r="FM32" s="208"/>
      <c r="FN32" s="208"/>
      <c r="FO32" s="208"/>
      <c r="FP32" s="208"/>
      <c r="FQ32" s="208"/>
      <c r="FR32" s="208"/>
      <c r="FS32" s="208"/>
      <c r="FT32" s="208"/>
      <c r="FU32" s="208"/>
      <c r="FV32" s="208"/>
      <c r="FW32" s="208"/>
      <c r="FX32" s="208"/>
      <c r="FY32" s="208"/>
      <c r="FZ32" s="208"/>
      <c r="GA32" s="208"/>
      <c r="GB32" s="208"/>
      <c r="GC32" s="208"/>
      <c r="GD32" s="208"/>
      <c r="GE32" s="208"/>
      <c r="GF32" s="208"/>
      <c r="GG32" s="208"/>
      <c r="GH32" s="208"/>
      <c r="GI32" s="208"/>
      <c r="GJ32" s="208"/>
      <c r="GK32" s="208"/>
      <c r="GL32" s="208"/>
      <c r="GM32" s="208"/>
      <c r="GN32" s="208"/>
      <c r="GO32" s="208"/>
      <c r="GP32" s="208"/>
      <c r="GQ32" s="208"/>
      <c r="GR32" s="208"/>
      <c r="GS32" s="208"/>
      <c r="GT32" s="208"/>
      <c r="GU32" s="208"/>
      <c r="GV32" s="208"/>
      <c r="GW32" s="208"/>
      <c r="GX32" s="208"/>
      <c r="GY32" s="208"/>
      <c r="GZ32" s="208"/>
      <c r="HA32" s="208"/>
      <c r="HB32" s="208"/>
      <c r="HC32" s="208"/>
      <c r="HD32" s="208"/>
      <c r="HE32" s="208"/>
      <c r="HF32" s="208"/>
      <c r="HG32" s="208"/>
      <c r="HH32" s="208"/>
      <c r="HI32" s="208"/>
      <c r="HJ32" s="208"/>
      <c r="HK32" s="208"/>
      <c r="HL32" s="208"/>
      <c r="HM32" s="208"/>
      <c r="HN32" s="208"/>
      <c r="HO32" s="208"/>
      <c r="HP32" s="208"/>
      <c r="HQ32" s="208"/>
      <c r="HR32" s="208"/>
      <c r="HS32" s="208"/>
      <c r="HT32" s="208"/>
      <c r="HU32" s="208"/>
      <c r="HV32" s="208"/>
      <c r="HW32" s="208"/>
      <c r="HX32" s="208"/>
      <c r="HY32" s="208"/>
      <c r="HZ32" s="208"/>
      <c r="IA32" s="208"/>
      <c r="IB32" s="208"/>
      <c r="IC32" s="208"/>
      <c r="ID32" s="208"/>
      <c r="IE32" s="208"/>
      <c r="IF32" s="208"/>
      <c r="IG32" s="208"/>
      <c r="IH32" s="208"/>
      <c r="II32" s="208"/>
      <c r="IJ32" s="208"/>
      <c r="IK32" s="208"/>
      <c r="IL32" s="208"/>
      <c r="IM32" s="208"/>
      <c r="IN32" s="208"/>
      <c r="IO32" s="208"/>
      <c r="IP32" s="208"/>
      <c r="IQ32" s="208"/>
      <c r="IR32" s="208"/>
      <c r="IS32" s="208"/>
      <c r="IT32" s="208"/>
      <c r="IU32" s="208"/>
      <c r="IV32" s="208"/>
    </row>
    <row r="33" customFormat="false" ht="14.4" hidden="false" customHeight="false" outlineLevel="0" collapsed="false">
      <c r="A33" s="195" t="n">
        <f aca="false">Data!$A33</f>
        <v>33</v>
      </c>
      <c r="B33" s="195" t="str">
        <f aca="false">Data!$B33</f>
        <v>B316A-EA08-DIA-DETMC-01</v>
      </c>
      <c r="C33" s="195" t="str">
        <f aca="false">Data!$C33</f>
        <v>Detector VERITAS</v>
      </c>
      <c r="D33" s="195" t="str">
        <f aca="false">Data!$D33</f>
        <v>Y</v>
      </c>
      <c r="E33" s="205" t="e">
        <f aca="true">INDEX(OFFSET(MOTION1!$A$2,0,0,SystemInfo!$B$1,1),MATCH(CONCATENATE(B33,D33),OFFSET(MOTION1!$J$2,0,0,SystemInfo!$B$1,1),0))</f>
        <v>#N/A</v>
      </c>
      <c r="F33" s="205" t="e">
        <f aca="true">INDEX(OFFSET(MOTION3!$A$2,0,0,SystemInfo!$B$1,1),MATCH(CONCATENATE(B33,D33),OFFSET(MOTION3!$J$2,0,0,SystemInfo!$B$1,1),0))</f>
        <v>#N/A</v>
      </c>
      <c r="G33" s="206" t="n">
        <f aca="false">INT(Data!$P33*Data!$L33)</f>
        <v>800</v>
      </c>
      <c r="H33" s="207" t="n">
        <v>1</v>
      </c>
      <c r="I33" s="206" t="str">
        <f aca="false">Data!U33</f>
        <v>ABSENC</v>
      </c>
      <c r="J33" s="206" t="n">
        <f aca="false">IF($I33="ABSENC",Data!$V33,"")</f>
        <v>1000000</v>
      </c>
      <c r="K33" s="207" t="n">
        <v>1</v>
      </c>
      <c r="L33" s="206" t="str">
        <f aca="false">IF($I33="ENCIN",Data!$V33,"")</f>
        <v/>
      </c>
      <c r="M33" s="207" t="n">
        <v>1</v>
      </c>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8"/>
      <c r="CA33" s="208"/>
      <c r="CB33" s="208"/>
      <c r="CC33" s="208"/>
      <c r="CD33" s="208"/>
      <c r="CE33" s="208"/>
      <c r="CF33" s="208"/>
      <c r="CG33" s="208"/>
      <c r="CH33" s="208"/>
      <c r="CI33" s="208"/>
      <c r="CJ33" s="208"/>
      <c r="CK33" s="208"/>
      <c r="CL33" s="208"/>
      <c r="CM33" s="208"/>
      <c r="CN33" s="208"/>
      <c r="CO33" s="208"/>
      <c r="CP33" s="208"/>
      <c r="CQ33" s="208"/>
      <c r="CR33" s="208"/>
      <c r="CS33" s="208"/>
      <c r="CT33" s="208"/>
      <c r="CU33" s="208"/>
      <c r="CV33" s="208"/>
      <c r="CW33" s="208"/>
      <c r="CX33" s="208"/>
      <c r="CY33" s="208"/>
      <c r="CZ33" s="208"/>
      <c r="DA33" s="208"/>
      <c r="DB33" s="208"/>
      <c r="DC33" s="208"/>
      <c r="DD33" s="208"/>
      <c r="DE33" s="208"/>
      <c r="DF33" s="208"/>
      <c r="DG33" s="208"/>
      <c r="DH33" s="208"/>
      <c r="DI33" s="208"/>
      <c r="DJ33" s="208"/>
      <c r="DK33" s="208"/>
      <c r="DL33" s="208"/>
      <c r="DM33" s="208"/>
      <c r="DN33" s="208"/>
      <c r="DO33" s="208"/>
      <c r="DP33" s="208"/>
      <c r="DQ33" s="208"/>
      <c r="DR33" s="208"/>
      <c r="DS33" s="208"/>
      <c r="DT33" s="208"/>
      <c r="DU33" s="208"/>
      <c r="DV33" s="208"/>
      <c r="DW33" s="208"/>
      <c r="DX33" s="208"/>
      <c r="DY33" s="208"/>
      <c r="DZ33" s="208"/>
      <c r="EA33" s="208"/>
      <c r="EB33" s="208"/>
      <c r="EC33" s="208"/>
      <c r="ED33" s="208"/>
      <c r="EE33" s="208"/>
      <c r="EF33" s="208"/>
      <c r="EG33" s="208"/>
      <c r="EH33" s="208"/>
      <c r="EI33" s="208"/>
      <c r="EJ33" s="208"/>
      <c r="EK33" s="208"/>
      <c r="EL33" s="208"/>
      <c r="EM33" s="208"/>
      <c r="EN33" s="208"/>
      <c r="EO33" s="208"/>
      <c r="EP33" s="208"/>
      <c r="EQ33" s="208"/>
      <c r="ER33" s="208"/>
      <c r="ES33" s="208"/>
      <c r="ET33" s="208"/>
      <c r="EU33" s="208"/>
      <c r="EV33" s="208"/>
      <c r="EW33" s="208"/>
      <c r="EX33" s="208"/>
      <c r="EY33" s="208"/>
      <c r="EZ33" s="208"/>
      <c r="FA33" s="208"/>
      <c r="FB33" s="208"/>
      <c r="FC33" s="208"/>
      <c r="FD33" s="208"/>
      <c r="FE33" s="208"/>
      <c r="FF33" s="208"/>
      <c r="FG33" s="208"/>
      <c r="FH33" s="208"/>
      <c r="FI33" s="208"/>
      <c r="FJ33" s="208"/>
      <c r="FK33" s="208"/>
      <c r="FL33" s="208"/>
      <c r="FM33" s="208"/>
      <c r="FN33" s="208"/>
      <c r="FO33" s="208"/>
      <c r="FP33" s="208"/>
      <c r="FQ33" s="208"/>
      <c r="FR33" s="208"/>
      <c r="FS33" s="208"/>
      <c r="FT33" s="208"/>
      <c r="FU33" s="208"/>
      <c r="FV33" s="208"/>
      <c r="FW33" s="208"/>
      <c r="FX33" s="208"/>
      <c r="FY33" s="208"/>
      <c r="FZ33" s="208"/>
      <c r="GA33" s="208"/>
      <c r="GB33" s="208"/>
      <c r="GC33" s="208"/>
      <c r="GD33" s="208"/>
      <c r="GE33" s="208"/>
      <c r="GF33" s="208"/>
      <c r="GG33" s="208"/>
      <c r="GH33" s="208"/>
      <c r="GI33" s="208"/>
      <c r="GJ33" s="208"/>
      <c r="GK33" s="208"/>
      <c r="GL33" s="208"/>
      <c r="GM33" s="208"/>
      <c r="GN33" s="208"/>
      <c r="GO33" s="208"/>
      <c r="GP33" s="208"/>
      <c r="GQ33" s="208"/>
      <c r="GR33" s="208"/>
      <c r="GS33" s="208"/>
      <c r="GT33" s="208"/>
      <c r="GU33" s="208"/>
      <c r="GV33" s="208"/>
      <c r="GW33" s="208"/>
      <c r="GX33" s="208"/>
      <c r="GY33" s="208"/>
      <c r="GZ33" s="208"/>
      <c r="HA33" s="208"/>
      <c r="HB33" s="208"/>
      <c r="HC33" s="208"/>
      <c r="HD33" s="208"/>
      <c r="HE33" s="208"/>
      <c r="HF33" s="208"/>
      <c r="HG33" s="208"/>
      <c r="HH33" s="208"/>
      <c r="HI33" s="208"/>
      <c r="HJ33" s="208"/>
      <c r="HK33" s="208"/>
      <c r="HL33" s="208"/>
      <c r="HM33" s="208"/>
      <c r="HN33" s="208"/>
      <c r="HO33" s="208"/>
      <c r="HP33" s="208"/>
      <c r="HQ33" s="208"/>
      <c r="HR33" s="208"/>
      <c r="HS33" s="208"/>
      <c r="HT33" s="208"/>
      <c r="HU33" s="208"/>
      <c r="HV33" s="208"/>
      <c r="HW33" s="208"/>
      <c r="HX33" s="208"/>
      <c r="HY33" s="208"/>
      <c r="HZ33" s="208"/>
      <c r="IA33" s="208"/>
      <c r="IB33" s="208"/>
      <c r="IC33" s="208"/>
      <c r="ID33" s="208"/>
      <c r="IE33" s="208"/>
      <c r="IF33" s="208"/>
      <c r="IG33" s="208"/>
      <c r="IH33" s="208"/>
      <c r="II33" s="208"/>
      <c r="IJ33" s="208"/>
      <c r="IK33" s="208"/>
      <c r="IL33" s="208"/>
      <c r="IM33" s="208"/>
      <c r="IN33" s="208"/>
      <c r="IO33" s="208"/>
      <c r="IP33" s="208"/>
      <c r="IQ33" s="208"/>
      <c r="IR33" s="208"/>
      <c r="IS33" s="208"/>
      <c r="IT33" s="208"/>
      <c r="IU33" s="208"/>
      <c r="IV33" s="208"/>
    </row>
    <row r="34" customFormat="false" ht="14.4" hidden="false" customHeight="false" outlineLevel="0" collapsed="false">
      <c r="A34" s="195" t="n">
        <f aca="false">Data!$A34</f>
        <v>34</v>
      </c>
      <c r="B34" s="195" t="str">
        <f aca="false">Data!$B34</f>
        <v>B316A-EA08-DIA-DETMC-02</v>
      </c>
      <c r="C34" s="195" t="str">
        <f aca="false">Data!$C34</f>
        <v>Detector VERITAS</v>
      </c>
      <c r="D34" s="195" t="str">
        <f aca="false">Data!$D34</f>
        <v>Y</v>
      </c>
      <c r="E34" s="205" t="e">
        <f aca="true">INDEX(OFFSET(MOTION1!$A$2,0,0,SystemInfo!$B$1,1),MATCH(CONCATENATE(B34,D34),OFFSET(MOTION1!$J$2,0,0,SystemInfo!$B$1,1),0))</f>
        <v>#N/A</v>
      </c>
      <c r="F34" s="205" t="e">
        <f aca="true">INDEX(OFFSET(MOTION3!$A$2,0,0,SystemInfo!$B$1,1),MATCH(CONCATENATE(B34,D34),OFFSET(MOTION3!$J$2,0,0,SystemInfo!$B$1,1),0))</f>
        <v>#N/A</v>
      </c>
      <c r="G34" s="206" t="n">
        <f aca="false">INT(Data!$P34*Data!$L34)</f>
        <v>800</v>
      </c>
      <c r="H34" s="207" t="n">
        <v>1</v>
      </c>
      <c r="I34" s="206" t="str">
        <f aca="false">Data!U34</f>
        <v>ABSENC</v>
      </c>
      <c r="J34" s="206" t="n">
        <f aca="false">IF($I34="ABSENC",Data!$V34,"")</f>
        <v>1000000</v>
      </c>
      <c r="K34" s="207" t="n">
        <v>1</v>
      </c>
      <c r="L34" s="206" t="str">
        <f aca="false">IF($I34="ENCIN",Data!$V34,"")</f>
        <v/>
      </c>
      <c r="M34" s="207" t="n">
        <v>1</v>
      </c>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8"/>
      <c r="CA34" s="208"/>
      <c r="CB34" s="208"/>
      <c r="CC34" s="208"/>
      <c r="CD34" s="208"/>
      <c r="CE34" s="208"/>
      <c r="CF34" s="208"/>
      <c r="CG34" s="208"/>
      <c r="CH34" s="208"/>
      <c r="CI34" s="208"/>
      <c r="CJ34" s="208"/>
      <c r="CK34" s="208"/>
      <c r="CL34" s="208"/>
      <c r="CM34" s="208"/>
      <c r="CN34" s="208"/>
      <c r="CO34" s="208"/>
      <c r="CP34" s="208"/>
      <c r="CQ34" s="208"/>
      <c r="CR34" s="208"/>
      <c r="CS34" s="208"/>
      <c r="CT34" s="208"/>
      <c r="CU34" s="208"/>
      <c r="CV34" s="208"/>
      <c r="CW34" s="208"/>
      <c r="CX34" s="208"/>
      <c r="CY34" s="208"/>
      <c r="CZ34" s="208"/>
      <c r="DA34" s="208"/>
      <c r="DB34" s="208"/>
      <c r="DC34" s="208"/>
      <c r="DD34" s="208"/>
      <c r="DE34" s="208"/>
      <c r="DF34" s="208"/>
      <c r="DG34" s="208"/>
      <c r="DH34" s="208"/>
      <c r="DI34" s="208"/>
      <c r="DJ34" s="208"/>
      <c r="DK34" s="208"/>
      <c r="DL34" s="208"/>
      <c r="DM34" s="208"/>
      <c r="DN34" s="208"/>
      <c r="DO34" s="208"/>
      <c r="DP34" s="208"/>
      <c r="DQ34" s="208"/>
      <c r="DR34" s="208"/>
      <c r="DS34" s="208"/>
      <c r="DT34" s="208"/>
      <c r="DU34" s="208"/>
      <c r="DV34" s="208"/>
      <c r="DW34" s="208"/>
      <c r="DX34" s="208"/>
      <c r="DY34" s="208"/>
      <c r="DZ34" s="208"/>
      <c r="EA34" s="208"/>
      <c r="EB34" s="208"/>
      <c r="EC34" s="208"/>
      <c r="ED34" s="208"/>
      <c r="EE34" s="208"/>
      <c r="EF34" s="208"/>
      <c r="EG34" s="208"/>
      <c r="EH34" s="208"/>
      <c r="EI34" s="208"/>
      <c r="EJ34" s="208"/>
      <c r="EK34" s="208"/>
      <c r="EL34" s="208"/>
      <c r="EM34" s="208"/>
      <c r="EN34" s="208"/>
      <c r="EO34" s="208"/>
      <c r="EP34" s="208"/>
      <c r="EQ34" s="208"/>
      <c r="ER34" s="208"/>
      <c r="ES34" s="208"/>
      <c r="ET34" s="208"/>
      <c r="EU34" s="208"/>
      <c r="EV34" s="208"/>
      <c r="EW34" s="208"/>
      <c r="EX34" s="208"/>
      <c r="EY34" s="208"/>
      <c r="EZ34" s="208"/>
      <c r="FA34" s="208"/>
      <c r="FB34" s="208"/>
      <c r="FC34" s="208"/>
      <c r="FD34" s="208"/>
      <c r="FE34" s="208"/>
      <c r="FF34" s="208"/>
      <c r="FG34" s="208"/>
      <c r="FH34" s="208"/>
      <c r="FI34" s="208"/>
      <c r="FJ34" s="208"/>
      <c r="FK34" s="208"/>
      <c r="FL34" s="208"/>
      <c r="FM34" s="208"/>
      <c r="FN34" s="208"/>
      <c r="FO34" s="208"/>
      <c r="FP34" s="208"/>
      <c r="FQ34" s="208"/>
      <c r="FR34" s="208"/>
      <c r="FS34" s="208"/>
      <c r="FT34" s="208"/>
      <c r="FU34" s="208"/>
      <c r="FV34" s="208"/>
      <c r="FW34" s="208"/>
      <c r="FX34" s="208"/>
      <c r="FY34" s="208"/>
      <c r="FZ34" s="208"/>
      <c r="GA34" s="208"/>
      <c r="GB34" s="208"/>
      <c r="GC34" s="208"/>
      <c r="GD34" s="208"/>
      <c r="GE34" s="208"/>
      <c r="GF34" s="208"/>
      <c r="GG34" s="208"/>
      <c r="GH34" s="208"/>
      <c r="GI34" s="208"/>
      <c r="GJ34" s="208"/>
      <c r="GK34" s="208"/>
      <c r="GL34" s="208"/>
      <c r="GM34" s="208"/>
      <c r="GN34" s="208"/>
      <c r="GO34" s="208"/>
      <c r="GP34" s="208"/>
      <c r="GQ34" s="208"/>
      <c r="GR34" s="208"/>
      <c r="GS34" s="208"/>
      <c r="GT34" s="208"/>
      <c r="GU34" s="208"/>
      <c r="GV34" s="208"/>
      <c r="GW34" s="208"/>
      <c r="GX34" s="208"/>
      <c r="GY34" s="208"/>
      <c r="GZ34" s="208"/>
      <c r="HA34" s="208"/>
      <c r="HB34" s="208"/>
      <c r="HC34" s="208"/>
      <c r="HD34" s="208"/>
      <c r="HE34" s="208"/>
      <c r="HF34" s="208"/>
      <c r="HG34" s="208"/>
      <c r="HH34" s="208"/>
      <c r="HI34" s="208"/>
      <c r="HJ34" s="208"/>
      <c r="HK34" s="208"/>
      <c r="HL34" s="208"/>
      <c r="HM34" s="208"/>
      <c r="HN34" s="208"/>
      <c r="HO34" s="208"/>
      <c r="HP34" s="208"/>
      <c r="HQ34" s="208"/>
      <c r="HR34" s="208"/>
      <c r="HS34" s="208"/>
      <c r="HT34" s="208"/>
      <c r="HU34" s="208"/>
      <c r="HV34" s="208"/>
      <c r="HW34" s="208"/>
      <c r="HX34" s="208"/>
      <c r="HY34" s="208"/>
      <c r="HZ34" s="208"/>
      <c r="IA34" s="208"/>
      <c r="IB34" s="208"/>
      <c r="IC34" s="208"/>
      <c r="ID34" s="208"/>
      <c r="IE34" s="208"/>
      <c r="IF34" s="208"/>
      <c r="IG34" s="208"/>
      <c r="IH34" s="208"/>
      <c r="II34" s="208"/>
      <c r="IJ34" s="208"/>
      <c r="IK34" s="208"/>
      <c r="IL34" s="208"/>
      <c r="IM34" s="208"/>
      <c r="IN34" s="208"/>
      <c r="IO34" s="208"/>
      <c r="IP34" s="208"/>
      <c r="IQ34" s="208"/>
      <c r="IR34" s="208"/>
      <c r="IS34" s="208"/>
      <c r="IT34" s="208"/>
      <c r="IU34" s="208"/>
      <c r="IV34" s="208"/>
    </row>
    <row r="35" customFormat="false" ht="14.4" hidden="false" customHeight="false" outlineLevel="0" collapsed="false">
      <c r="A35" s="195" t="n">
        <f aca="false">Data!$A35</f>
        <v>35</v>
      </c>
      <c r="B35" s="195" t="str">
        <f aca="false">Data!$B35</f>
        <v>B316A-EA09-OPT-MM-01</v>
      </c>
      <c r="C35" s="195" t="str">
        <f aca="false">Data!$C35</f>
        <v>Movable Mask VERITAS</v>
      </c>
      <c r="D35" s="195" t="str">
        <f aca="false">Data!$D35</f>
        <v>Y</v>
      </c>
      <c r="E35" s="205" t="e">
        <f aca="true">INDEX(OFFSET(MOTION1!$A$2,0,0,SystemInfo!$B$1,1),MATCH(CONCATENATE(B35,D35),OFFSET(MOTION1!$J$2,0,0,SystemInfo!$B$1,1),0))</f>
        <v>#N/A</v>
      </c>
      <c r="F35" s="205" t="e">
        <f aca="true">INDEX(OFFSET(MOTION3!$A$2,0,0,SystemInfo!$B$1,1),MATCH(CONCATENATE(B35,D35),OFFSET(MOTION3!$J$2,0,0,SystemInfo!$B$1,1),0))</f>
        <v>#N/A</v>
      </c>
      <c r="G35" s="206" t="n">
        <f aca="false">INT(Data!$P35*Data!$L35)</f>
        <v>800</v>
      </c>
      <c r="H35" s="207" t="n">
        <v>1</v>
      </c>
      <c r="I35" s="206" t="str">
        <f aca="false">Data!U35</f>
        <v>ABSENC</v>
      </c>
      <c r="J35" s="206" t="n">
        <f aca="false">IF($I35="ABSENC",Data!$V35,"")</f>
        <v>1000000</v>
      </c>
      <c r="K35" s="207" t="n">
        <v>1</v>
      </c>
      <c r="L35" s="206" t="str">
        <f aca="false">IF($I35="ENCIN",Data!$V35,"")</f>
        <v/>
      </c>
      <c r="M35" s="207" t="n">
        <v>1</v>
      </c>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8"/>
      <c r="CA35" s="208"/>
      <c r="CB35" s="208"/>
      <c r="CC35" s="208"/>
      <c r="CD35" s="208"/>
      <c r="CE35" s="208"/>
      <c r="CF35" s="208"/>
      <c r="CG35" s="208"/>
      <c r="CH35" s="208"/>
      <c r="CI35" s="208"/>
      <c r="CJ35" s="208"/>
      <c r="CK35" s="208"/>
      <c r="CL35" s="208"/>
      <c r="CM35" s="208"/>
      <c r="CN35" s="208"/>
      <c r="CO35" s="208"/>
      <c r="CP35" s="208"/>
      <c r="CQ35" s="208"/>
      <c r="CR35" s="208"/>
      <c r="CS35" s="208"/>
      <c r="CT35" s="208"/>
      <c r="CU35" s="208"/>
      <c r="CV35" s="208"/>
      <c r="CW35" s="208"/>
      <c r="CX35" s="208"/>
      <c r="CY35" s="208"/>
      <c r="CZ35" s="208"/>
      <c r="DA35" s="208"/>
      <c r="DB35" s="208"/>
      <c r="DC35" s="208"/>
      <c r="DD35" s="208"/>
      <c r="DE35" s="208"/>
      <c r="DF35" s="208"/>
      <c r="DG35" s="208"/>
      <c r="DH35" s="208"/>
      <c r="DI35" s="208"/>
      <c r="DJ35" s="208"/>
      <c r="DK35" s="208"/>
      <c r="DL35" s="208"/>
      <c r="DM35" s="208"/>
      <c r="DN35" s="208"/>
      <c r="DO35" s="208"/>
      <c r="DP35" s="208"/>
      <c r="DQ35" s="208"/>
      <c r="DR35" s="208"/>
      <c r="DS35" s="208"/>
      <c r="DT35" s="208"/>
      <c r="DU35" s="208"/>
      <c r="DV35" s="208"/>
      <c r="DW35" s="208"/>
      <c r="DX35" s="208"/>
      <c r="DY35" s="208"/>
      <c r="DZ35" s="208"/>
      <c r="EA35" s="208"/>
      <c r="EB35" s="208"/>
      <c r="EC35" s="208"/>
      <c r="ED35" s="208"/>
      <c r="EE35" s="208"/>
      <c r="EF35" s="208"/>
      <c r="EG35" s="208"/>
      <c r="EH35" s="208"/>
      <c r="EI35" s="208"/>
      <c r="EJ35" s="208"/>
      <c r="EK35" s="208"/>
      <c r="EL35" s="208"/>
      <c r="EM35" s="208"/>
      <c r="EN35" s="208"/>
      <c r="EO35" s="208"/>
      <c r="EP35" s="208"/>
      <c r="EQ35" s="208"/>
      <c r="ER35" s="208"/>
      <c r="ES35" s="208"/>
      <c r="ET35" s="208"/>
      <c r="EU35" s="208"/>
      <c r="EV35" s="208"/>
      <c r="EW35" s="208"/>
      <c r="EX35" s="208"/>
      <c r="EY35" s="208"/>
      <c r="EZ35" s="208"/>
      <c r="FA35" s="208"/>
      <c r="FB35" s="208"/>
      <c r="FC35" s="208"/>
      <c r="FD35" s="208"/>
      <c r="FE35" s="208"/>
      <c r="FF35" s="208"/>
      <c r="FG35" s="208"/>
      <c r="FH35" s="208"/>
      <c r="FI35" s="208"/>
      <c r="FJ35" s="208"/>
      <c r="FK35" s="208"/>
      <c r="FL35" s="208"/>
      <c r="FM35" s="208"/>
      <c r="FN35" s="208"/>
      <c r="FO35" s="208"/>
      <c r="FP35" s="208"/>
      <c r="FQ35" s="208"/>
      <c r="FR35" s="208"/>
      <c r="FS35" s="208"/>
      <c r="FT35" s="208"/>
      <c r="FU35" s="208"/>
      <c r="FV35" s="208"/>
      <c r="FW35" s="208"/>
      <c r="FX35" s="208"/>
      <c r="FY35" s="208"/>
      <c r="FZ35" s="208"/>
      <c r="GA35" s="208"/>
      <c r="GB35" s="208"/>
      <c r="GC35" s="208"/>
      <c r="GD35" s="208"/>
      <c r="GE35" s="208"/>
      <c r="GF35" s="208"/>
      <c r="GG35" s="208"/>
      <c r="GH35" s="208"/>
      <c r="GI35" s="208"/>
      <c r="GJ35" s="208"/>
      <c r="GK35" s="208"/>
      <c r="GL35" s="208"/>
      <c r="GM35" s="208"/>
      <c r="GN35" s="208"/>
      <c r="GO35" s="208"/>
      <c r="GP35" s="208"/>
      <c r="GQ35" s="208"/>
      <c r="GR35" s="208"/>
      <c r="GS35" s="208"/>
      <c r="GT35" s="208"/>
      <c r="GU35" s="208"/>
      <c r="GV35" s="208"/>
      <c r="GW35" s="208"/>
      <c r="GX35" s="208"/>
      <c r="GY35" s="208"/>
      <c r="GZ35" s="208"/>
      <c r="HA35" s="208"/>
      <c r="HB35" s="208"/>
      <c r="HC35" s="208"/>
      <c r="HD35" s="208"/>
      <c r="HE35" s="208"/>
      <c r="HF35" s="208"/>
      <c r="HG35" s="208"/>
      <c r="HH35" s="208"/>
      <c r="HI35" s="208"/>
      <c r="HJ35" s="208"/>
      <c r="HK35" s="208"/>
      <c r="HL35" s="208"/>
      <c r="HM35" s="208"/>
      <c r="HN35" s="208"/>
      <c r="HO35" s="208"/>
      <c r="HP35" s="208"/>
      <c r="HQ35" s="208"/>
      <c r="HR35" s="208"/>
      <c r="HS35" s="208"/>
      <c r="HT35" s="208"/>
      <c r="HU35" s="208"/>
      <c r="HV35" s="208"/>
      <c r="HW35" s="208"/>
      <c r="HX35" s="208"/>
      <c r="HY35" s="208"/>
      <c r="HZ35" s="208"/>
      <c r="IA35" s="208"/>
      <c r="IB35" s="208"/>
      <c r="IC35" s="208"/>
      <c r="ID35" s="208"/>
      <c r="IE35" s="208"/>
      <c r="IF35" s="208"/>
      <c r="IG35" s="208"/>
      <c r="IH35" s="208"/>
      <c r="II35" s="208"/>
      <c r="IJ35" s="208"/>
      <c r="IK35" s="208"/>
      <c r="IL35" s="208"/>
      <c r="IM35" s="208"/>
      <c r="IN35" s="208"/>
      <c r="IO35" s="208"/>
      <c r="IP35" s="208"/>
      <c r="IQ35" s="208"/>
      <c r="IR35" s="208"/>
      <c r="IS35" s="208"/>
      <c r="IT35" s="208"/>
      <c r="IU35" s="208"/>
      <c r="IV35" s="208"/>
    </row>
    <row r="36" customFormat="false" ht="14.4" hidden="false" customHeight="false" outlineLevel="0" collapsed="false">
      <c r="A36" s="195" t="n">
        <f aca="false">Data!$A36</f>
        <v>36</v>
      </c>
      <c r="B36" s="195" t="str">
        <f aca="false">Data!$B36</f>
        <v>B316A-EA09-OPT-MM-02</v>
      </c>
      <c r="C36" s="195" t="str">
        <f aca="false">Data!$C36</f>
        <v>Movable Mask VERITAS</v>
      </c>
      <c r="D36" s="195" t="str">
        <f aca="false">Data!$D36</f>
        <v>Y</v>
      </c>
      <c r="E36" s="205" t="e">
        <f aca="true">INDEX(OFFSET(MOTION1!$A$2,0,0,SystemInfo!$B$1,1),MATCH(CONCATENATE(B36,D36),OFFSET(MOTION1!$J$2,0,0,SystemInfo!$B$1,1),0))</f>
        <v>#N/A</v>
      </c>
      <c r="F36" s="205" t="e">
        <f aca="true">INDEX(OFFSET(MOTION3!$A$2,0,0,SystemInfo!$B$1,1),MATCH(CONCATENATE(B36,D36),OFFSET(MOTION3!$J$2,0,0,SystemInfo!$B$1,1),0))</f>
        <v>#N/A</v>
      </c>
      <c r="G36" s="206" t="n">
        <f aca="false">INT(Data!$P36*Data!$L36)</f>
        <v>800</v>
      </c>
      <c r="H36" s="207" t="n">
        <v>1</v>
      </c>
      <c r="I36" s="206" t="str">
        <f aca="false">Data!U36</f>
        <v>ABSENC</v>
      </c>
      <c r="J36" s="206" t="n">
        <f aca="false">IF($I36="ABSENC",Data!$V36,"")</f>
        <v>1000000</v>
      </c>
      <c r="K36" s="207" t="n">
        <v>1</v>
      </c>
      <c r="L36" s="206" t="str">
        <f aca="false">IF($I36="ENCIN",Data!$V36,"")</f>
        <v/>
      </c>
      <c r="M36" s="207" t="n">
        <v>1</v>
      </c>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8"/>
      <c r="CA36" s="208"/>
      <c r="CB36" s="208"/>
      <c r="CC36" s="208"/>
      <c r="CD36" s="208"/>
      <c r="CE36" s="208"/>
      <c r="CF36" s="208"/>
      <c r="CG36" s="208"/>
      <c r="CH36" s="208"/>
      <c r="CI36" s="208"/>
      <c r="CJ36" s="208"/>
      <c r="CK36" s="208"/>
      <c r="CL36" s="208"/>
      <c r="CM36" s="208"/>
      <c r="CN36" s="208"/>
      <c r="CO36" s="208"/>
      <c r="CP36" s="208"/>
      <c r="CQ36" s="208"/>
      <c r="CR36" s="208"/>
      <c r="CS36" s="208"/>
      <c r="CT36" s="208"/>
      <c r="CU36" s="208"/>
      <c r="CV36" s="208"/>
      <c r="CW36" s="208"/>
      <c r="CX36" s="208"/>
      <c r="CY36" s="208"/>
      <c r="CZ36" s="208"/>
      <c r="DA36" s="208"/>
      <c r="DB36" s="208"/>
      <c r="DC36" s="208"/>
      <c r="DD36" s="208"/>
      <c r="DE36" s="208"/>
      <c r="DF36" s="208"/>
      <c r="DG36" s="208"/>
      <c r="DH36" s="208"/>
      <c r="DI36" s="208"/>
      <c r="DJ36" s="208"/>
      <c r="DK36" s="208"/>
      <c r="DL36" s="208"/>
      <c r="DM36" s="208"/>
      <c r="DN36" s="208"/>
      <c r="DO36" s="208"/>
      <c r="DP36" s="208"/>
      <c r="DQ36" s="208"/>
      <c r="DR36" s="208"/>
      <c r="DS36" s="208"/>
      <c r="DT36" s="208"/>
      <c r="DU36" s="208"/>
      <c r="DV36" s="208"/>
      <c r="DW36" s="208"/>
      <c r="DX36" s="208"/>
      <c r="DY36" s="208"/>
      <c r="DZ36" s="208"/>
      <c r="EA36" s="208"/>
      <c r="EB36" s="208"/>
      <c r="EC36" s="208"/>
      <c r="ED36" s="208"/>
      <c r="EE36" s="208"/>
      <c r="EF36" s="208"/>
      <c r="EG36" s="208"/>
      <c r="EH36" s="208"/>
      <c r="EI36" s="208"/>
      <c r="EJ36" s="208"/>
      <c r="EK36" s="208"/>
      <c r="EL36" s="208"/>
      <c r="EM36" s="208"/>
      <c r="EN36" s="208"/>
      <c r="EO36" s="208"/>
      <c r="EP36" s="208"/>
      <c r="EQ36" s="208"/>
      <c r="ER36" s="208"/>
      <c r="ES36" s="208"/>
      <c r="ET36" s="208"/>
      <c r="EU36" s="208"/>
      <c r="EV36" s="208"/>
      <c r="EW36" s="208"/>
      <c r="EX36" s="208"/>
      <c r="EY36" s="208"/>
      <c r="EZ36" s="208"/>
      <c r="FA36" s="208"/>
      <c r="FB36" s="208"/>
      <c r="FC36" s="208"/>
      <c r="FD36" s="208"/>
      <c r="FE36" s="208"/>
      <c r="FF36" s="208"/>
      <c r="FG36" s="208"/>
      <c r="FH36" s="208"/>
      <c r="FI36" s="208"/>
      <c r="FJ36" s="208"/>
      <c r="FK36" s="208"/>
      <c r="FL36" s="208"/>
      <c r="FM36" s="208"/>
      <c r="FN36" s="208"/>
      <c r="FO36" s="208"/>
      <c r="FP36" s="208"/>
      <c r="FQ36" s="208"/>
      <c r="FR36" s="208"/>
      <c r="FS36" s="208"/>
      <c r="FT36" s="208"/>
      <c r="FU36" s="208"/>
      <c r="FV36" s="208"/>
      <c r="FW36" s="208"/>
      <c r="FX36" s="208"/>
      <c r="FY36" s="208"/>
      <c r="FZ36" s="208"/>
      <c r="GA36" s="208"/>
      <c r="GB36" s="208"/>
      <c r="GC36" s="208"/>
      <c r="GD36" s="208"/>
      <c r="GE36" s="208"/>
      <c r="GF36" s="208"/>
      <c r="GG36" s="208"/>
      <c r="GH36" s="208"/>
      <c r="GI36" s="208"/>
      <c r="GJ36" s="208"/>
      <c r="GK36" s="208"/>
      <c r="GL36" s="208"/>
      <c r="GM36" s="208"/>
      <c r="GN36" s="208"/>
      <c r="GO36" s="208"/>
      <c r="GP36" s="208"/>
      <c r="GQ36" s="208"/>
      <c r="GR36" s="208"/>
      <c r="GS36" s="208"/>
      <c r="GT36" s="208"/>
      <c r="GU36" s="208"/>
      <c r="GV36" s="208"/>
      <c r="GW36" s="208"/>
      <c r="GX36" s="208"/>
      <c r="GY36" s="208"/>
      <c r="GZ36" s="208"/>
      <c r="HA36" s="208"/>
      <c r="HB36" s="208"/>
      <c r="HC36" s="208"/>
      <c r="HD36" s="208"/>
      <c r="HE36" s="208"/>
      <c r="HF36" s="208"/>
      <c r="HG36" s="208"/>
      <c r="HH36" s="208"/>
      <c r="HI36" s="208"/>
      <c r="HJ36" s="208"/>
      <c r="HK36" s="208"/>
      <c r="HL36" s="208"/>
      <c r="HM36" s="208"/>
      <c r="HN36" s="208"/>
      <c r="HO36" s="208"/>
      <c r="HP36" s="208"/>
      <c r="HQ36" s="208"/>
      <c r="HR36" s="208"/>
      <c r="HS36" s="208"/>
      <c r="HT36" s="208"/>
      <c r="HU36" s="208"/>
      <c r="HV36" s="208"/>
      <c r="HW36" s="208"/>
      <c r="HX36" s="208"/>
      <c r="HY36" s="208"/>
      <c r="HZ36" s="208"/>
      <c r="IA36" s="208"/>
      <c r="IB36" s="208"/>
      <c r="IC36" s="208"/>
      <c r="ID36" s="208"/>
      <c r="IE36" s="208"/>
      <c r="IF36" s="208"/>
      <c r="IG36" s="208"/>
      <c r="IH36" s="208"/>
      <c r="II36" s="208"/>
      <c r="IJ36" s="208"/>
      <c r="IK36" s="208"/>
      <c r="IL36" s="208"/>
      <c r="IM36" s="208"/>
      <c r="IN36" s="208"/>
      <c r="IO36" s="208"/>
      <c r="IP36" s="208"/>
      <c r="IQ36" s="208"/>
      <c r="IR36" s="208"/>
      <c r="IS36" s="208"/>
      <c r="IT36" s="208"/>
      <c r="IU36" s="208"/>
      <c r="IV36" s="208"/>
    </row>
    <row r="37" customFormat="false" ht="14.4" hidden="false" customHeight="false" outlineLevel="0" collapsed="false">
      <c r="A37" s="195" t="n">
        <f aca="false">Data!$A37</f>
        <v>37</v>
      </c>
      <c r="B37" s="195" t="str">
        <f aca="false">Data!$B37</f>
        <v>B316A-EA09-OPT-POL-01</v>
      </c>
      <c r="C37" s="195" t="str">
        <f aca="false">Data!$C37</f>
        <v>Multilayer Mirror VERITAS</v>
      </c>
      <c r="D37" s="195" t="str">
        <f aca="false">Data!$D37</f>
        <v>Y</v>
      </c>
      <c r="E37" s="205" t="e">
        <f aca="true">INDEX(OFFSET(MOTION1!$A$2,0,0,SystemInfo!$B$1,1),MATCH(CONCATENATE(B37,D37),OFFSET(MOTION1!$J$2,0,0,SystemInfo!$B$1,1),0))</f>
        <v>#N/A</v>
      </c>
      <c r="F37" s="205" t="e">
        <f aca="true">INDEX(OFFSET(MOTION3!$A$2,0,0,SystemInfo!$B$1,1),MATCH(CONCATENATE(B37,D37),OFFSET(MOTION3!$J$2,0,0,SystemInfo!$B$1,1),0))</f>
        <v>#N/A</v>
      </c>
      <c r="G37" s="206" t="n">
        <f aca="false">INT(Data!$P37*Data!$L37)</f>
        <v>800</v>
      </c>
      <c r="H37" s="207" t="n">
        <v>1</v>
      </c>
      <c r="I37" s="206" t="str">
        <f aca="false">Data!U37</f>
        <v>ABSENC</v>
      </c>
      <c r="J37" s="206" t="n">
        <f aca="false">IF($I37="ABSENC",Data!$V37,"")</f>
        <v>1000000</v>
      </c>
      <c r="K37" s="207" t="n">
        <v>1</v>
      </c>
      <c r="L37" s="206" t="str">
        <f aca="false">IF($I37="ENCIN",Data!$V37,"")</f>
        <v/>
      </c>
      <c r="M37" s="207" t="n">
        <v>1</v>
      </c>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8"/>
      <c r="CA37" s="208"/>
      <c r="CB37" s="208"/>
      <c r="CC37" s="208"/>
      <c r="CD37" s="208"/>
      <c r="CE37" s="208"/>
      <c r="CF37" s="208"/>
      <c r="CG37" s="208"/>
      <c r="CH37" s="208"/>
      <c r="CI37" s="208"/>
      <c r="CJ37" s="208"/>
      <c r="CK37" s="208"/>
      <c r="CL37" s="208"/>
      <c r="CM37" s="208"/>
      <c r="CN37" s="208"/>
      <c r="CO37" s="208"/>
      <c r="CP37" s="208"/>
      <c r="CQ37" s="208"/>
      <c r="CR37" s="208"/>
      <c r="CS37" s="208"/>
      <c r="CT37" s="208"/>
      <c r="CU37" s="208"/>
      <c r="CV37" s="208"/>
      <c r="CW37" s="208"/>
      <c r="CX37" s="208"/>
      <c r="CY37" s="208"/>
      <c r="CZ37" s="208"/>
      <c r="DA37" s="208"/>
      <c r="DB37" s="208"/>
      <c r="DC37" s="208"/>
      <c r="DD37" s="208"/>
      <c r="DE37" s="208"/>
      <c r="DF37" s="208"/>
      <c r="DG37" s="208"/>
      <c r="DH37" s="208"/>
      <c r="DI37" s="208"/>
      <c r="DJ37" s="208"/>
      <c r="DK37" s="208"/>
      <c r="DL37" s="208"/>
      <c r="DM37" s="208"/>
      <c r="DN37" s="208"/>
      <c r="DO37" s="208"/>
      <c r="DP37" s="208"/>
      <c r="DQ37" s="208"/>
      <c r="DR37" s="208"/>
      <c r="DS37" s="208"/>
      <c r="DT37" s="208"/>
      <c r="DU37" s="208"/>
      <c r="DV37" s="208"/>
      <c r="DW37" s="208"/>
      <c r="DX37" s="208"/>
      <c r="DY37" s="208"/>
      <c r="DZ37" s="208"/>
      <c r="EA37" s="208"/>
      <c r="EB37" s="208"/>
      <c r="EC37" s="208"/>
      <c r="ED37" s="208"/>
      <c r="EE37" s="208"/>
      <c r="EF37" s="208"/>
      <c r="EG37" s="208"/>
      <c r="EH37" s="208"/>
      <c r="EI37" s="208"/>
      <c r="EJ37" s="208"/>
      <c r="EK37" s="208"/>
      <c r="EL37" s="208"/>
      <c r="EM37" s="208"/>
      <c r="EN37" s="208"/>
      <c r="EO37" s="208"/>
      <c r="EP37" s="208"/>
      <c r="EQ37" s="208"/>
      <c r="ER37" s="208"/>
      <c r="ES37" s="208"/>
      <c r="ET37" s="208"/>
      <c r="EU37" s="208"/>
      <c r="EV37" s="208"/>
      <c r="EW37" s="208"/>
      <c r="EX37" s="208"/>
      <c r="EY37" s="208"/>
      <c r="EZ37" s="208"/>
      <c r="FA37" s="208"/>
      <c r="FB37" s="208"/>
      <c r="FC37" s="208"/>
      <c r="FD37" s="208"/>
      <c r="FE37" s="208"/>
      <c r="FF37" s="208"/>
      <c r="FG37" s="208"/>
      <c r="FH37" s="208"/>
      <c r="FI37" s="208"/>
      <c r="FJ37" s="208"/>
      <c r="FK37" s="208"/>
      <c r="FL37" s="208"/>
      <c r="FM37" s="208"/>
      <c r="FN37" s="208"/>
      <c r="FO37" s="208"/>
      <c r="FP37" s="208"/>
      <c r="FQ37" s="208"/>
      <c r="FR37" s="208"/>
      <c r="FS37" s="208"/>
      <c r="FT37" s="208"/>
      <c r="FU37" s="208"/>
      <c r="FV37" s="208"/>
      <c r="FW37" s="208"/>
      <c r="FX37" s="208"/>
      <c r="FY37" s="208"/>
      <c r="FZ37" s="208"/>
      <c r="GA37" s="208"/>
      <c r="GB37" s="208"/>
      <c r="GC37" s="208"/>
      <c r="GD37" s="208"/>
      <c r="GE37" s="208"/>
      <c r="GF37" s="208"/>
      <c r="GG37" s="208"/>
      <c r="GH37" s="208"/>
      <c r="GI37" s="208"/>
      <c r="GJ37" s="208"/>
      <c r="GK37" s="208"/>
      <c r="GL37" s="208"/>
      <c r="GM37" s="208"/>
      <c r="GN37" s="208"/>
      <c r="GO37" s="208"/>
      <c r="GP37" s="208"/>
      <c r="GQ37" s="208"/>
      <c r="GR37" s="208"/>
      <c r="GS37" s="208"/>
      <c r="GT37" s="208"/>
      <c r="GU37" s="208"/>
      <c r="GV37" s="208"/>
      <c r="GW37" s="208"/>
      <c r="GX37" s="208"/>
      <c r="GY37" s="208"/>
      <c r="GZ37" s="208"/>
      <c r="HA37" s="208"/>
      <c r="HB37" s="208"/>
      <c r="HC37" s="208"/>
      <c r="HD37" s="208"/>
      <c r="HE37" s="208"/>
      <c r="HF37" s="208"/>
      <c r="HG37" s="208"/>
      <c r="HH37" s="208"/>
      <c r="HI37" s="208"/>
      <c r="HJ37" s="208"/>
      <c r="HK37" s="208"/>
      <c r="HL37" s="208"/>
      <c r="HM37" s="208"/>
      <c r="HN37" s="208"/>
      <c r="HO37" s="208"/>
      <c r="HP37" s="208"/>
      <c r="HQ37" s="208"/>
      <c r="HR37" s="208"/>
      <c r="HS37" s="208"/>
      <c r="HT37" s="208"/>
      <c r="HU37" s="208"/>
      <c r="HV37" s="208"/>
      <c r="HW37" s="208"/>
      <c r="HX37" s="208"/>
      <c r="HY37" s="208"/>
      <c r="HZ37" s="208"/>
      <c r="IA37" s="208"/>
      <c r="IB37" s="208"/>
      <c r="IC37" s="208"/>
      <c r="ID37" s="208"/>
      <c r="IE37" s="208"/>
      <c r="IF37" s="208"/>
      <c r="IG37" s="208"/>
      <c r="IH37" s="208"/>
      <c r="II37" s="208"/>
      <c r="IJ37" s="208"/>
      <c r="IK37" s="208"/>
      <c r="IL37" s="208"/>
      <c r="IM37" s="208"/>
      <c r="IN37" s="208"/>
      <c r="IO37" s="208"/>
      <c r="IP37" s="208"/>
      <c r="IQ37" s="208"/>
      <c r="IR37" s="208"/>
      <c r="IS37" s="208"/>
      <c r="IT37" s="208"/>
      <c r="IU37" s="208"/>
      <c r="IV37" s="208"/>
    </row>
    <row r="38" customFormat="false" ht="14.4" hidden="false" customHeight="false" outlineLevel="0" collapsed="false">
      <c r="A38" s="195" t="n">
        <f aca="false">Data!$A38</f>
        <v>38</v>
      </c>
      <c r="B38" s="195" t="str">
        <f aca="false">Data!$B38</f>
        <v>B316A-EA09-OPT-POL-02</v>
      </c>
      <c r="C38" s="195" t="str">
        <f aca="false">Data!$C38</f>
        <v>Multilayer Mirror VERITAS</v>
      </c>
      <c r="D38" s="195" t="str">
        <f aca="false">Data!$D38</f>
        <v>PIT</v>
      </c>
      <c r="E38" s="205" t="e">
        <f aca="true">INDEX(OFFSET(MOTION1!$A$2,0,0,SystemInfo!$B$1,1),MATCH(CONCATENATE(B38,D38),OFFSET(MOTION1!$J$2,0,0,SystemInfo!$B$1,1),0))</f>
        <v>#N/A</v>
      </c>
      <c r="F38" s="205" t="e">
        <f aca="true">INDEX(OFFSET(MOTION3!$A$2,0,0,SystemInfo!$B$1,1),MATCH(CONCATENATE(B38,D38),OFFSET(MOTION3!$J$2,0,0,SystemInfo!$B$1,1),0))</f>
        <v>#N/A</v>
      </c>
      <c r="G38" s="206" t="n">
        <f aca="false">INT(Data!$P38*Data!$L38)</f>
        <v>800</v>
      </c>
      <c r="H38" s="207" t="n">
        <v>1</v>
      </c>
      <c r="I38" s="206" t="str">
        <f aca="false">Data!U38</f>
        <v>ABSENC</v>
      </c>
      <c r="J38" s="206" t="n">
        <f aca="false">IF($I38="ABSENC",Data!$V38,"")</f>
        <v>1000000</v>
      </c>
      <c r="K38" s="207" t="n">
        <v>1</v>
      </c>
      <c r="L38" s="206" t="str">
        <f aca="false">IF($I38="ENCIN",Data!$V38,"")</f>
        <v/>
      </c>
      <c r="M38" s="207" t="n">
        <v>1</v>
      </c>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8"/>
      <c r="CA38" s="208"/>
      <c r="CB38" s="208"/>
      <c r="CC38" s="208"/>
      <c r="CD38" s="208"/>
      <c r="CE38" s="208"/>
      <c r="CF38" s="208"/>
      <c r="CG38" s="208"/>
      <c r="CH38" s="208"/>
      <c r="CI38" s="208"/>
      <c r="CJ38" s="208"/>
      <c r="CK38" s="208"/>
      <c r="CL38" s="208"/>
      <c r="CM38" s="208"/>
      <c r="CN38" s="208"/>
      <c r="CO38" s="208"/>
      <c r="CP38" s="208"/>
      <c r="CQ38" s="208"/>
      <c r="CR38" s="208"/>
      <c r="CS38" s="208"/>
      <c r="CT38" s="208"/>
      <c r="CU38" s="208"/>
      <c r="CV38" s="208"/>
      <c r="CW38" s="208"/>
      <c r="CX38" s="208"/>
      <c r="CY38" s="208"/>
      <c r="CZ38" s="208"/>
      <c r="DA38" s="208"/>
      <c r="DB38" s="208"/>
      <c r="DC38" s="208"/>
      <c r="DD38" s="208"/>
      <c r="DE38" s="208"/>
      <c r="DF38" s="208"/>
      <c r="DG38" s="208"/>
      <c r="DH38" s="208"/>
      <c r="DI38" s="208"/>
      <c r="DJ38" s="208"/>
      <c r="DK38" s="208"/>
      <c r="DL38" s="208"/>
      <c r="DM38" s="208"/>
      <c r="DN38" s="208"/>
      <c r="DO38" s="208"/>
      <c r="DP38" s="208"/>
      <c r="DQ38" s="208"/>
      <c r="DR38" s="208"/>
      <c r="DS38" s="208"/>
      <c r="DT38" s="208"/>
      <c r="DU38" s="208"/>
      <c r="DV38" s="208"/>
      <c r="DW38" s="208"/>
      <c r="DX38" s="208"/>
      <c r="DY38" s="208"/>
      <c r="DZ38" s="208"/>
      <c r="EA38" s="208"/>
      <c r="EB38" s="208"/>
      <c r="EC38" s="208"/>
      <c r="ED38" s="208"/>
      <c r="EE38" s="208"/>
      <c r="EF38" s="208"/>
      <c r="EG38" s="208"/>
      <c r="EH38" s="208"/>
      <c r="EI38" s="208"/>
      <c r="EJ38" s="208"/>
      <c r="EK38" s="208"/>
      <c r="EL38" s="208"/>
      <c r="EM38" s="208"/>
      <c r="EN38" s="208"/>
      <c r="EO38" s="208"/>
      <c r="EP38" s="208"/>
      <c r="EQ38" s="208"/>
      <c r="ER38" s="208"/>
      <c r="ES38" s="208"/>
      <c r="ET38" s="208"/>
      <c r="EU38" s="208"/>
      <c r="EV38" s="208"/>
      <c r="EW38" s="208"/>
      <c r="EX38" s="208"/>
      <c r="EY38" s="208"/>
      <c r="EZ38" s="208"/>
      <c r="FA38" s="208"/>
      <c r="FB38" s="208"/>
      <c r="FC38" s="208"/>
      <c r="FD38" s="208"/>
      <c r="FE38" s="208"/>
      <c r="FF38" s="208"/>
      <c r="FG38" s="208"/>
      <c r="FH38" s="208"/>
      <c r="FI38" s="208"/>
      <c r="FJ38" s="208"/>
      <c r="FK38" s="208"/>
      <c r="FL38" s="208"/>
      <c r="FM38" s="208"/>
      <c r="FN38" s="208"/>
      <c r="FO38" s="208"/>
      <c r="FP38" s="208"/>
      <c r="FQ38" s="208"/>
      <c r="FR38" s="208"/>
      <c r="FS38" s="208"/>
      <c r="FT38" s="208"/>
      <c r="FU38" s="208"/>
      <c r="FV38" s="208"/>
      <c r="FW38" s="208"/>
      <c r="FX38" s="208"/>
      <c r="FY38" s="208"/>
      <c r="FZ38" s="208"/>
      <c r="GA38" s="208"/>
      <c r="GB38" s="208"/>
      <c r="GC38" s="208"/>
      <c r="GD38" s="208"/>
      <c r="GE38" s="208"/>
      <c r="GF38" s="208"/>
      <c r="GG38" s="208"/>
      <c r="GH38" s="208"/>
      <c r="GI38" s="208"/>
      <c r="GJ38" s="208"/>
      <c r="GK38" s="208"/>
      <c r="GL38" s="208"/>
      <c r="GM38" s="208"/>
      <c r="GN38" s="208"/>
      <c r="GO38" s="208"/>
      <c r="GP38" s="208"/>
      <c r="GQ38" s="208"/>
      <c r="GR38" s="208"/>
      <c r="GS38" s="208"/>
      <c r="GT38" s="208"/>
      <c r="GU38" s="208"/>
      <c r="GV38" s="208"/>
      <c r="GW38" s="208"/>
      <c r="GX38" s="208"/>
      <c r="GY38" s="208"/>
      <c r="GZ38" s="208"/>
      <c r="HA38" s="208"/>
      <c r="HB38" s="208"/>
      <c r="HC38" s="208"/>
      <c r="HD38" s="208"/>
      <c r="HE38" s="208"/>
      <c r="HF38" s="208"/>
      <c r="HG38" s="208"/>
      <c r="HH38" s="208"/>
      <c r="HI38" s="208"/>
      <c r="HJ38" s="208"/>
      <c r="HK38" s="208"/>
      <c r="HL38" s="208"/>
      <c r="HM38" s="208"/>
      <c r="HN38" s="208"/>
      <c r="HO38" s="208"/>
      <c r="HP38" s="208"/>
      <c r="HQ38" s="208"/>
      <c r="HR38" s="208"/>
      <c r="HS38" s="208"/>
      <c r="HT38" s="208"/>
      <c r="HU38" s="208"/>
      <c r="HV38" s="208"/>
      <c r="HW38" s="208"/>
      <c r="HX38" s="208"/>
      <c r="HY38" s="208"/>
      <c r="HZ38" s="208"/>
      <c r="IA38" s="208"/>
      <c r="IB38" s="208"/>
      <c r="IC38" s="208"/>
      <c r="ID38" s="208"/>
      <c r="IE38" s="208"/>
      <c r="IF38" s="208"/>
      <c r="IG38" s="208"/>
      <c r="IH38" s="208"/>
      <c r="II38" s="208"/>
      <c r="IJ38" s="208"/>
      <c r="IK38" s="208"/>
      <c r="IL38" s="208"/>
      <c r="IM38" s="208"/>
      <c r="IN38" s="208"/>
      <c r="IO38" s="208"/>
      <c r="IP38" s="208"/>
      <c r="IQ38" s="208"/>
      <c r="IR38" s="208"/>
      <c r="IS38" s="208"/>
      <c r="IT38" s="208"/>
      <c r="IU38" s="208"/>
      <c r="IV38" s="208"/>
    </row>
    <row r="39" s="211" customFormat="true" ht="14.4" hidden="false" customHeight="false" outlineLevel="0" collapsed="false">
      <c r="A39" s="209"/>
      <c r="B39" s="209"/>
      <c r="C39" s="209"/>
      <c r="D39" s="209"/>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c r="CL39" s="210"/>
      <c r="CM39" s="210"/>
      <c r="CN39" s="210"/>
      <c r="CO39" s="210"/>
      <c r="CP39" s="210"/>
      <c r="CQ39" s="210"/>
      <c r="CR39" s="210"/>
      <c r="CS39" s="210"/>
      <c r="CT39" s="210"/>
      <c r="CU39" s="210"/>
      <c r="CV39" s="210"/>
      <c r="CW39" s="210"/>
      <c r="CX39" s="210"/>
      <c r="CY39" s="210"/>
      <c r="CZ39" s="210"/>
      <c r="DA39" s="210"/>
      <c r="DB39" s="210"/>
      <c r="DC39" s="210"/>
      <c r="DD39" s="210"/>
      <c r="DE39" s="210"/>
      <c r="DF39" s="210"/>
      <c r="DG39" s="210"/>
      <c r="DH39" s="210"/>
      <c r="DI39" s="210"/>
      <c r="DJ39" s="210"/>
      <c r="DK39" s="210"/>
      <c r="DL39" s="210"/>
      <c r="DM39" s="210"/>
      <c r="DN39" s="210"/>
      <c r="DO39" s="210"/>
      <c r="DP39" s="210"/>
      <c r="DQ39" s="210"/>
      <c r="DR39" s="210"/>
      <c r="DS39" s="210"/>
      <c r="DT39" s="210"/>
      <c r="DU39" s="210"/>
      <c r="DV39" s="210"/>
      <c r="DW39" s="210"/>
      <c r="DX39" s="210"/>
      <c r="DY39" s="210"/>
      <c r="DZ39" s="210"/>
      <c r="EA39" s="210"/>
      <c r="EB39" s="210"/>
      <c r="EC39" s="210"/>
      <c r="ED39" s="210"/>
      <c r="EE39" s="210"/>
      <c r="EF39" s="210"/>
      <c r="EG39" s="210"/>
      <c r="EH39" s="210"/>
      <c r="EI39" s="210"/>
      <c r="EJ39" s="210"/>
      <c r="EK39" s="210"/>
      <c r="EL39" s="210"/>
      <c r="EM39" s="210"/>
      <c r="EN39" s="210"/>
      <c r="EO39" s="210"/>
      <c r="EP39" s="210"/>
      <c r="EQ39" s="210"/>
      <c r="ER39" s="210"/>
      <c r="ES39" s="210"/>
      <c r="ET39" s="210"/>
      <c r="EU39" s="210"/>
      <c r="EV39" s="210"/>
      <c r="EW39" s="210"/>
      <c r="EX39" s="210"/>
      <c r="EY39" s="210"/>
      <c r="EZ39" s="210"/>
      <c r="FA39" s="210"/>
      <c r="FB39" s="210"/>
      <c r="FC39" s="210"/>
      <c r="FD39" s="210"/>
      <c r="FE39" s="210"/>
      <c r="FF39" s="210"/>
      <c r="FG39" s="210"/>
      <c r="FH39" s="210"/>
      <c r="FI39" s="210"/>
      <c r="FJ39" s="210"/>
      <c r="FK39" s="210"/>
      <c r="FL39" s="210"/>
      <c r="FM39" s="210"/>
      <c r="FN39" s="210"/>
      <c r="FO39" s="210"/>
      <c r="FP39" s="210"/>
      <c r="FQ39" s="210"/>
      <c r="FR39" s="210"/>
      <c r="FS39" s="210"/>
      <c r="FT39" s="210"/>
      <c r="FU39" s="210"/>
      <c r="FV39" s="210"/>
      <c r="FW39" s="210"/>
      <c r="FX39" s="210"/>
      <c r="FY39" s="210"/>
      <c r="FZ39" s="210"/>
      <c r="GA39" s="210"/>
      <c r="GB39" s="210"/>
      <c r="GC39" s="210"/>
      <c r="GD39" s="210"/>
      <c r="GE39" s="210"/>
      <c r="GF39" s="210"/>
      <c r="GG39" s="210"/>
      <c r="GH39" s="210"/>
      <c r="GI39" s="210"/>
      <c r="GJ39" s="210"/>
      <c r="GK39" s="210"/>
      <c r="GL39" s="210"/>
      <c r="GM39" s="210"/>
      <c r="GN39" s="210"/>
      <c r="GO39" s="210"/>
      <c r="GP39" s="210"/>
      <c r="GQ39" s="210"/>
      <c r="GR39" s="210"/>
      <c r="GS39" s="210"/>
      <c r="GT39" s="210"/>
      <c r="GU39" s="210"/>
      <c r="GV39" s="210"/>
      <c r="GW39" s="210"/>
      <c r="GX39" s="210"/>
      <c r="GY39" s="210"/>
      <c r="GZ39" s="210"/>
      <c r="HA39" s="210"/>
      <c r="HB39" s="210"/>
      <c r="HC39" s="210"/>
      <c r="HD39" s="210"/>
      <c r="HE39" s="210"/>
      <c r="HF39" s="210"/>
      <c r="HG39" s="210"/>
      <c r="HH39" s="210"/>
      <c r="HI39" s="210"/>
      <c r="HJ39" s="210"/>
      <c r="HK39" s="210"/>
      <c r="HL39" s="210"/>
      <c r="HM39" s="210"/>
      <c r="HN39" s="210"/>
      <c r="HO39" s="210"/>
      <c r="HP39" s="210"/>
      <c r="HQ39" s="210"/>
      <c r="HR39" s="210"/>
      <c r="HS39" s="210"/>
      <c r="HT39" s="210"/>
      <c r="HU39" s="210"/>
      <c r="HV39" s="210"/>
      <c r="HW39" s="210"/>
      <c r="HX39" s="210"/>
      <c r="HY39" s="210"/>
      <c r="HZ39" s="210"/>
      <c r="IA39" s="210"/>
      <c r="IB39" s="210"/>
      <c r="IC39" s="210"/>
      <c r="ID39" s="210"/>
      <c r="IE39" s="210"/>
      <c r="IF39" s="210"/>
      <c r="IG39" s="210"/>
      <c r="IH39" s="210"/>
      <c r="II39" s="210"/>
      <c r="IJ39" s="210"/>
      <c r="IK39" s="210"/>
      <c r="IL39" s="210"/>
      <c r="IM39" s="210"/>
      <c r="IN39" s="210"/>
      <c r="IO39" s="210"/>
      <c r="IP39" s="210"/>
      <c r="IQ39" s="210"/>
      <c r="IR39" s="210"/>
      <c r="IS39" s="210"/>
      <c r="IT39" s="210"/>
      <c r="IU39" s="210"/>
      <c r="IV39" s="210"/>
    </row>
    <row r="40" s="211" customFormat="true" ht="14.4" hidden="false" customHeight="false" outlineLevel="0" collapsed="false">
      <c r="A40" s="209"/>
      <c r="B40" s="209"/>
      <c r="C40" s="209"/>
      <c r="D40" s="209"/>
      <c r="E40" s="210"/>
      <c r="F40" s="210"/>
      <c r="G40" s="210"/>
      <c r="H40" s="210"/>
      <c r="I40" s="210"/>
      <c r="J40" s="210"/>
      <c r="K40" s="210"/>
      <c r="L40" s="210"/>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c r="CL40" s="210"/>
      <c r="CM40" s="210"/>
      <c r="CN40" s="210"/>
      <c r="CO40" s="210"/>
      <c r="CP40" s="210"/>
      <c r="CQ40" s="210"/>
      <c r="CR40" s="210"/>
      <c r="CS40" s="210"/>
      <c r="CT40" s="210"/>
      <c r="CU40" s="210"/>
      <c r="CV40" s="210"/>
      <c r="CW40" s="210"/>
      <c r="CX40" s="210"/>
      <c r="CY40" s="210"/>
      <c r="CZ40" s="210"/>
      <c r="DA40" s="210"/>
      <c r="DB40" s="210"/>
      <c r="DC40" s="210"/>
      <c r="DD40" s="210"/>
      <c r="DE40" s="210"/>
      <c r="DF40" s="210"/>
      <c r="DG40" s="210"/>
      <c r="DH40" s="210"/>
      <c r="DI40" s="210"/>
      <c r="DJ40" s="210"/>
      <c r="DK40" s="210"/>
      <c r="DL40" s="210"/>
      <c r="DM40" s="210"/>
      <c r="DN40" s="210"/>
      <c r="DO40" s="210"/>
      <c r="DP40" s="210"/>
      <c r="DQ40" s="210"/>
      <c r="DR40" s="210"/>
      <c r="DS40" s="210"/>
      <c r="DT40" s="210"/>
      <c r="DU40" s="210"/>
      <c r="DV40" s="210"/>
      <c r="DW40" s="210"/>
      <c r="DX40" s="210"/>
      <c r="DY40" s="210"/>
      <c r="DZ40" s="210"/>
      <c r="EA40" s="210"/>
      <c r="EB40" s="210"/>
      <c r="EC40" s="210"/>
      <c r="ED40" s="210"/>
      <c r="EE40" s="210"/>
      <c r="EF40" s="210"/>
      <c r="EG40" s="210"/>
      <c r="EH40" s="210"/>
      <c r="EI40" s="210"/>
      <c r="EJ40" s="210"/>
      <c r="EK40" s="210"/>
      <c r="EL40" s="210"/>
      <c r="EM40" s="210"/>
      <c r="EN40" s="210"/>
      <c r="EO40" s="210"/>
      <c r="EP40" s="210"/>
      <c r="EQ40" s="210"/>
      <c r="ER40" s="210"/>
      <c r="ES40" s="210"/>
      <c r="ET40" s="210"/>
      <c r="EU40" s="210"/>
      <c r="EV40" s="210"/>
      <c r="EW40" s="210"/>
      <c r="EX40" s="210"/>
      <c r="EY40" s="210"/>
      <c r="EZ40" s="210"/>
      <c r="FA40" s="210"/>
      <c r="FB40" s="210"/>
      <c r="FC40" s="210"/>
      <c r="FD40" s="210"/>
      <c r="FE40" s="210"/>
      <c r="FF40" s="210"/>
      <c r="FG40" s="210"/>
      <c r="FH40" s="210"/>
      <c r="FI40" s="210"/>
      <c r="FJ40" s="210"/>
      <c r="FK40" s="210"/>
      <c r="FL40" s="210"/>
      <c r="FM40" s="210"/>
      <c r="FN40" s="210"/>
      <c r="FO40" s="210"/>
      <c r="FP40" s="210"/>
      <c r="FQ40" s="210"/>
      <c r="FR40" s="210"/>
      <c r="FS40" s="210"/>
      <c r="FT40" s="210"/>
      <c r="FU40" s="210"/>
      <c r="FV40" s="210"/>
      <c r="FW40" s="210"/>
      <c r="FX40" s="210"/>
      <c r="FY40" s="210"/>
      <c r="FZ40" s="210"/>
      <c r="GA40" s="210"/>
      <c r="GB40" s="210"/>
      <c r="GC40" s="210"/>
      <c r="GD40" s="210"/>
      <c r="GE40" s="210"/>
      <c r="GF40" s="210"/>
      <c r="GG40" s="210"/>
      <c r="GH40" s="210"/>
      <c r="GI40" s="210"/>
      <c r="GJ40" s="210"/>
      <c r="GK40" s="210"/>
      <c r="GL40" s="210"/>
      <c r="GM40" s="210"/>
      <c r="GN40" s="210"/>
      <c r="GO40" s="210"/>
      <c r="GP40" s="210"/>
      <c r="GQ40" s="210"/>
      <c r="GR40" s="210"/>
      <c r="GS40" s="210"/>
      <c r="GT40" s="210"/>
      <c r="GU40" s="210"/>
      <c r="GV40" s="210"/>
      <c r="GW40" s="210"/>
      <c r="GX40" s="210"/>
      <c r="GY40" s="210"/>
      <c r="GZ40" s="210"/>
      <c r="HA40" s="210"/>
      <c r="HB40" s="210"/>
      <c r="HC40" s="210"/>
      <c r="HD40" s="210"/>
      <c r="HE40" s="210"/>
      <c r="HF40" s="210"/>
      <c r="HG40" s="210"/>
      <c r="HH40" s="210"/>
      <c r="HI40" s="210"/>
      <c r="HJ40" s="210"/>
      <c r="HK40" s="210"/>
      <c r="HL40" s="210"/>
      <c r="HM40" s="210"/>
      <c r="HN40" s="210"/>
      <c r="HO40" s="210"/>
      <c r="HP40" s="210"/>
      <c r="HQ40" s="210"/>
      <c r="HR40" s="210"/>
      <c r="HS40" s="210"/>
      <c r="HT40" s="210"/>
      <c r="HU40" s="210"/>
      <c r="HV40" s="210"/>
      <c r="HW40" s="210"/>
      <c r="HX40" s="210"/>
      <c r="HY40" s="210"/>
      <c r="HZ40" s="210"/>
      <c r="IA40" s="210"/>
      <c r="IB40" s="210"/>
      <c r="IC40" s="210"/>
      <c r="ID40" s="210"/>
      <c r="IE40" s="210"/>
      <c r="IF40" s="210"/>
      <c r="IG40" s="210"/>
      <c r="IH40" s="210"/>
      <c r="II40" s="210"/>
      <c r="IJ40" s="210"/>
      <c r="IK40" s="210"/>
      <c r="IL40" s="210"/>
      <c r="IM40" s="210"/>
      <c r="IN40" s="210"/>
      <c r="IO40" s="210"/>
      <c r="IP40" s="210"/>
      <c r="IQ40" s="210"/>
      <c r="IR40" s="210"/>
      <c r="IS40" s="210"/>
      <c r="IT40" s="210"/>
      <c r="IU40" s="210"/>
      <c r="IV40" s="210"/>
    </row>
    <row r="41" customFormat="false" ht="14.4" hidden="false" customHeight="false" outlineLevel="0" collapsed="false">
      <c r="A41" s="195" t="n">
        <f aca="false">Data!$A41</f>
        <v>41</v>
      </c>
      <c r="B41" s="195" t="str">
        <f aca="false">Data!$B41</f>
        <v>B316A-EA09-OPT-POL-02</v>
      </c>
      <c r="C41" s="195" t="str">
        <f aca="false">Data!$C41</f>
        <v>Multilayer Mirror VERITAS</v>
      </c>
      <c r="D41" s="195" t="str">
        <f aca="false">Data!$D41</f>
        <v>X</v>
      </c>
      <c r="E41" s="205" t="e">
        <f aca="true">INDEX(OFFSET(MOTION1!$A$2,0,0,SystemInfo!$B$1,1),MATCH(CONCATENATE(B41,D41),OFFSET(MOTION1!$J$2,0,0,SystemInfo!$B$1,1),0))</f>
        <v>#N/A</v>
      </c>
      <c r="F41" s="205" t="e">
        <f aca="true">INDEX(OFFSET(MOTION3!$A$2,0,0,SystemInfo!$B$1,1),MATCH(CONCATENATE(B41,D41),OFFSET(MOTION3!$J$2,0,0,SystemInfo!$B$1,1),0))</f>
        <v>#N/A</v>
      </c>
      <c r="G41" s="206" t="n">
        <f aca="false">INT(Data!$P41*Data!$L41)</f>
        <v>800</v>
      </c>
      <c r="H41" s="207" t="n">
        <v>1</v>
      </c>
      <c r="I41" s="206" t="str">
        <f aca="false">Data!U41</f>
        <v>ABSENC</v>
      </c>
      <c r="J41" s="206" t="n">
        <f aca="false">IF($I41="ABSENC",Data!$V41,"")</f>
        <v>1000000</v>
      </c>
      <c r="K41" s="207" t="n">
        <v>1</v>
      </c>
      <c r="L41" s="206" t="str">
        <f aca="false">IF($I41="ENCIN",Data!$V41,"")</f>
        <v/>
      </c>
      <c r="M41" s="207" t="n">
        <v>1</v>
      </c>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8"/>
      <c r="CA41" s="208"/>
      <c r="CB41" s="208"/>
      <c r="CC41" s="208"/>
      <c r="CD41" s="208"/>
      <c r="CE41" s="208"/>
      <c r="CF41" s="208"/>
      <c r="CG41" s="208"/>
      <c r="CH41" s="208"/>
      <c r="CI41" s="208"/>
      <c r="CJ41" s="208"/>
      <c r="CK41" s="208"/>
      <c r="CL41" s="208"/>
      <c r="CM41" s="208"/>
      <c r="CN41" s="208"/>
      <c r="CO41" s="208"/>
      <c r="CP41" s="208"/>
      <c r="CQ41" s="208"/>
      <c r="CR41" s="208"/>
      <c r="CS41" s="208"/>
      <c r="CT41" s="208"/>
      <c r="CU41" s="208"/>
      <c r="CV41" s="208"/>
      <c r="CW41" s="208"/>
      <c r="CX41" s="208"/>
      <c r="CY41" s="208"/>
      <c r="CZ41" s="208"/>
      <c r="DA41" s="208"/>
      <c r="DB41" s="208"/>
      <c r="DC41" s="208"/>
      <c r="DD41" s="208"/>
      <c r="DE41" s="208"/>
      <c r="DF41" s="208"/>
      <c r="DG41" s="208"/>
      <c r="DH41" s="208"/>
      <c r="DI41" s="208"/>
      <c r="DJ41" s="208"/>
      <c r="DK41" s="208"/>
      <c r="DL41" s="208"/>
      <c r="DM41" s="208"/>
      <c r="DN41" s="208"/>
      <c r="DO41" s="208"/>
      <c r="DP41" s="208"/>
      <c r="DQ41" s="208"/>
      <c r="DR41" s="208"/>
      <c r="DS41" s="208"/>
      <c r="DT41" s="208"/>
      <c r="DU41" s="208"/>
      <c r="DV41" s="208"/>
      <c r="DW41" s="208"/>
      <c r="DX41" s="208"/>
      <c r="DY41" s="208"/>
      <c r="DZ41" s="208"/>
      <c r="EA41" s="208"/>
      <c r="EB41" s="208"/>
      <c r="EC41" s="208"/>
      <c r="ED41" s="208"/>
      <c r="EE41" s="208"/>
      <c r="EF41" s="208"/>
      <c r="EG41" s="208"/>
      <c r="EH41" s="208"/>
      <c r="EI41" s="208"/>
      <c r="EJ41" s="208"/>
      <c r="EK41" s="208"/>
      <c r="EL41" s="208"/>
      <c r="EM41" s="208"/>
      <c r="EN41" s="208"/>
      <c r="EO41" s="208"/>
      <c r="EP41" s="208"/>
      <c r="EQ41" s="208"/>
      <c r="ER41" s="208"/>
      <c r="ES41" s="208"/>
      <c r="ET41" s="208"/>
      <c r="EU41" s="208"/>
      <c r="EV41" s="208"/>
      <c r="EW41" s="208"/>
      <c r="EX41" s="208"/>
      <c r="EY41" s="208"/>
      <c r="EZ41" s="208"/>
      <c r="FA41" s="208"/>
      <c r="FB41" s="208"/>
      <c r="FC41" s="208"/>
      <c r="FD41" s="208"/>
      <c r="FE41" s="208"/>
      <c r="FF41" s="208"/>
      <c r="FG41" s="208"/>
      <c r="FH41" s="208"/>
      <c r="FI41" s="208"/>
      <c r="FJ41" s="208"/>
      <c r="FK41" s="208"/>
      <c r="FL41" s="208"/>
      <c r="FM41" s="208"/>
      <c r="FN41" s="208"/>
      <c r="FO41" s="208"/>
      <c r="FP41" s="208"/>
      <c r="FQ41" s="208"/>
      <c r="FR41" s="208"/>
      <c r="FS41" s="208"/>
      <c r="FT41" s="208"/>
      <c r="FU41" s="208"/>
      <c r="FV41" s="208"/>
      <c r="FW41" s="208"/>
      <c r="FX41" s="208"/>
      <c r="FY41" s="208"/>
      <c r="FZ41" s="208"/>
      <c r="GA41" s="208"/>
      <c r="GB41" s="208"/>
      <c r="GC41" s="208"/>
      <c r="GD41" s="208"/>
      <c r="GE41" s="208"/>
      <c r="GF41" s="208"/>
      <c r="GG41" s="208"/>
      <c r="GH41" s="208"/>
      <c r="GI41" s="208"/>
      <c r="GJ41" s="208"/>
      <c r="GK41" s="208"/>
      <c r="GL41" s="208"/>
      <c r="GM41" s="208"/>
      <c r="GN41" s="208"/>
      <c r="GO41" s="208"/>
      <c r="GP41" s="208"/>
      <c r="GQ41" s="208"/>
      <c r="GR41" s="208"/>
      <c r="GS41" s="208"/>
      <c r="GT41" s="208"/>
      <c r="GU41" s="208"/>
      <c r="GV41" s="208"/>
      <c r="GW41" s="208"/>
      <c r="GX41" s="208"/>
      <c r="GY41" s="208"/>
      <c r="GZ41" s="208"/>
      <c r="HA41" s="208"/>
      <c r="HB41" s="208"/>
      <c r="HC41" s="208"/>
      <c r="HD41" s="208"/>
      <c r="HE41" s="208"/>
      <c r="HF41" s="208"/>
      <c r="HG41" s="208"/>
      <c r="HH41" s="208"/>
      <c r="HI41" s="208"/>
      <c r="HJ41" s="208"/>
      <c r="HK41" s="208"/>
      <c r="HL41" s="208"/>
      <c r="HM41" s="208"/>
      <c r="HN41" s="208"/>
      <c r="HO41" s="208"/>
      <c r="HP41" s="208"/>
      <c r="HQ41" s="208"/>
      <c r="HR41" s="208"/>
      <c r="HS41" s="208"/>
      <c r="HT41" s="208"/>
      <c r="HU41" s="208"/>
      <c r="HV41" s="208"/>
      <c r="HW41" s="208"/>
      <c r="HX41" s="208"/>
      <c r="HY41" s="208"/>
      <c r="HZ41" s="208"/>
      <c r="IA41" s="208"/>
      <c r="IB41" s="208"/>
      <c r="IC41" s="208"/>
      <c r="ID41" s="208"/>
      <c r="IE41" s="208"/>
      <c r="IF41" s="208"/>
      <c r="IG41" s="208"/>
      <c r="IH41" s="208"/>
      <c r="II41" s="208"/>
      <c r="IJ41" s="208"/>
      <c r="IK41" s="208"/>
      <c r="IL41" s="208"/>
      <c r="IM41" s="208"/>
      <c r="IN41" s="208"/>
      <c r="IO41" s="208"/>
      <c r="IP41" s="208"/>
      <c r="IQ41" s="208"/>
      <c r="IR41" s="208"/>
      <c r="IS41" s="208"/>
      <c r="IT41" s="208"/>
      <c r="IU41" s="208"/>
      <c r="IV41" s="208"/>
    </row>
    <row r="42" customFormat="false" ht="14.4" hidden="false" customHeight="false" outlineLevel="0" collapsed="false">
      <c r="A42" s="195" t="n">
        <f aca="false">Data!$A42</f>
        <v>42</v>
      </c>
      <c r="B42" s="195" t="str">
        <f aca="false">Data!$B42</f>
        <v>B316A-EA09-DIA-TABLED-01</v>
      </c>
      <c r="C42" s="195" t="str">
        <f aca="false">Data!$C42</f>
        <v>Detector Table VERITAS</v>
      </c>
      <c r="D42" s="195" t="str">
        <f aca="false">Data!$D42</f>
        <v>Z</v>
      </c>
      <c r="E42" s="205" t="e">
        <f aca="true">INDEX(OFFSET(MOTION1!$A$2,0,0,SystemInfo!$B$1,1),MATCH(CONCATENATE(B42,D42),OFFSET(MOTION1!$J$2,0,0,SystemInfo!$B$1,1),0))</f>
        <v>#N/A</v>
      </c>
      <c r="F42" s="205" t="e">
        <f aca="true">INDEX(OFFSET(MOTION3!$A$2,0,0,SystemInfo!$B$1,1),MATCH(CONCATENATE(B42,D42),OFFSET(MOTION3!$J$2,0,0,SystemInfo!$B$1,1),0))</f>
        <v>#N/A</v>
      </c>
      <c r="G42" s="206" t="n">
        <f aca="false">INT(Data!$P42*Data!$L42)</f>
        <v>400</v>
      </c>
      <c r="H42" s="207" t="n">
        <v>1</v>
      </c>
      <c r="I42" s="206" t="n">
        <f aca="false">Data!U42</f>
        <v>0</v>
      </c>
      <c r="J42" s="206" t="str">
        <f aca="false">IF($I42="ABSENC",Data!$V42,"")</f>
        <v/>
      </c>
      <c r="K42" s="207" t="n">
        <v>1</v>
      </c>
      <c r="L42" s="206" t="str">
        <f aca="false">IF($I42="ENCIN",Data!$V42,"")</f>
        <v/>
      </c>
      <c r="M42" s="207" t="n">
        <v>1</v>
      </c>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8"/>
      <c r="CA42" s="208"/>
      <c r="CB42" s="208"/>
      <c r="CC42" s="208"/>
      <c r="CD42" s="208"/>
      <c r="CE42" s="208"/>
      <c r="CF42" s="208"/>
      <c r="CG42" s="208"/>
      <c r="CH42" s="208"/>
      <c r="CI42" s="208"/>
      <c r="CJ42" s="208"/>
      <c r="CK42" s="208"/>
      <c r="CL42" s="208"/>
      <c r="CM42" s="208"/>
      <c r="CN42" s="208"/>
      <c r="CO42" s="208"/>
      <c r="CP42" s="208"/>
      <c r="CQ42" s="208"/>
      <c r="CR42" s="208"/>
      <c r="CS42" s="208"/>
      <c r="CT42" s="208"/>
      <c r="CU42" s="208"/>
      <c r="CV42" s="208"/>
      <c r="CW42" s="208"/>
      <c r="CX42" s="208"/>
      <c r="CY42" s="208"/>
      <c r="CZ42" s="208"/>
      <c r="DA42" s="208"/>
      <c r="DB42" s="208"/>
      <c r="DC42" s="208"/>
      <c r="DD42" s="208"/>
      <c r="DE42" s="208"/>
      <c r="DF42" s="208"/>
      <c r="DG42" s="208"/>
      <c r="DH42" s="208"/>
      <c r="DI42" s="208"/>
      <c r="DJ42" s="208"/>
      <c r="DK42" s="208"/>
      <c r="DL42" s="208"/>
      <c r="DM42" s="208"/>
      <c r="DN42" s="208"/>
      <c r="DO42" s="208"/>
      <c r="DP42" s="208"/>
      <c r="DQ42" s="208"/>
      <c r="DR42" s="208"/>
      <c r="DS42" s="208"/>
      <c r="DT42" s="208"/>
      <c r="DU42" s="208"/>
      <c r="DV42" s="208"/>
      <c r="DW42" s="208"/>
      <c r="DX42" s="208"/>
      <c r="DY42" s="208"/>
      <c r="DZ42" s="208"/>
      <c r="EA42" s="208"/>
      <c r="EB42" s="208"/>
      <c r="EC42" s="208"/>
      <c r="ED42" s="208"/>
      <c r="EE42" s="208"/>
      <c r="EF42" s="208"/>
      <c r="EG42" s="208"/>
      <c r="EH42" s="208"/>
      <c r="EI42" s="208"/>
      <c r="EJ42" s="208"/>
      <c r="EK42" s="208"/>
      <c r="EL42" s="208"/>
      <c r="EM42" s="208"/>
      <c r="EN42" s="208"/>
      <c r="EO42" s="208"/>
      <c r="EP42" s="208"/>
      <c r="EQ42" s="208"/>
      <c r="ER42" s="208"/>
      <c r="ES42" s="208"/>
      <c r="ET42" s="208"/>
      <c r="EU42" s="208"/>
      <c r="EV42" s="208"/>
      <c r="EW42" s="208"/>
      <c r="EX42" s="208"/>
      <c r="EY42" s="208"/>
      <c r="EZ42" s="208"/>
      <c r="FA42" s="208"/>
      <c r="FB42" s="208"/>
      <c r="FC42" s="208"/>
      <c r="FD42" s="208"/>
      <c r="FE42" s="208"/>
      <c r="FF42" s="208"/>
      <c r="FG42" s="208"/>
      <c r="FH42" s="208"/>
      <c r="FI42" s="208"/>
      <c r="FJ42" s="208"/>
      <c r="FK42" s="208"/>
      <c r="FL42" s="208"/>
      <c r="FM42" s="208"/>
      <c r="FN42" s="208"/>
      <c r="FO42" s="208"/>
      <c r="FP42" s="208"/>
      <c r="FQ42" s="208"/>
      <c r="FR42" s="208"/>
      <c r="FS42" s="208"/>
      <c r="FT42" s="208"/>
      <c r="FU42" s="208"/>
      <c r="FV42" s="208"/>
      <c r="FW42" s="208"/>
      <c r="FX42" s="208"/>
      <c r="FY42" s="208"/>
      <c r="FZ42" s="208"/>
      <c r="GA42" s="208"/>
      <c r="GB42" s="208"/>
      <c r="GC42" s="208"/>
      <c r="GD42" s="208"/>
      <c r="GE42" s="208"/>
      <c r="GF42" s="208"/>
      <c r="GG42" s="208"/>
      <c r="GH42" s="208"/>
      <c r="GI42" s="208"/>
      <c r="GJ42" s="208"/>
      <c r="GK42" s="208"/>
      <c r="GL42" s="208"/>
      <c r="GM42" s="208"/>
      <c r="GN42" s="208"/>
      <c r="GO42" s="208"/>
      <c r="GP42" s="208"/>
      <c r="GQ42" s="208"/>
      <c r="GR42" s="208"/>
      <c r="GS42" s="208"/>
      <c r="GT42" s="208"/>
      <c r="GU42" s="208"/>
      <c r="GV42" s="208"/>
      <c r="GW42" s="208"/>
      <c r="GX42" s="208"/>
      <c r="GY42" s="208"/>
      <c r="GZ42" s="208"/>
      <c r="HA42" s="208"/>
      <c r="HB42" s="208"/>
      <c r="HC42" s="208"/>
      <c r="HD42" s="208"/>
      <c r="HE42" s="208"/>
      <c r="HF42" s="208"/>
      <c r="HG42" s="208"/>
      <c r="HH42" s="208"/>
      <c r="HI42" s="208"/>
      <c r="HJ42" s="208"/>
      <c r="HK42" s="208"/>
      <c r="HL42" s="208"/>
      <c r="HM42" s="208"/>
      <c r="HN42" s="208"/>
      <c r="HO42" s="208"/>
      <c r="HP42" s="208"/>
      <c r="HQ42" s="208"/>
      <c r="HR42" s="208"/>
      <c r="HS42" s="208"/>
      <c r="HT42" s="208"/>
      <c r="HU42" s="208"/>
      <c r="HV42" s="208"/>
      <c r="HW42" s="208"/>
      <c r="HX42" s="208"/>
      <c r="HY42" s="208"/>
      <c r="HZ42" s="208"/>
      <c r="IA42" s="208"/>
      <c r="IB42" s="208"/>
      <c r="IC42" s="208"/>
      <c r="ID42" s="208"/>
      <c r="IE42" s="208"/>
      <c r="IF42" s="208"/>
      <c r="IG42" s="208"/>
      <c r="IH42" s="208"/>
      <c r="II42" s="208"/>
      <c r="IJ42" s="208"/>
      <c r="IK42" s="208"/>
      <c r="IL42" s="208"/>
      <c r="IM42" s="208"/>
      <c r="IN42" s="208"/>
      <c r="IO42" s="208"/>
      <c r="IP42" s="208"/>
      <c r="IQ42" s="208"/>
      <c r="IR42" s="208"/>
      <c r="IS42" s="208"/>
      <c r="IT42" s="208"/>
      <c r="IU42" s="208"/>
      <c r="IV42" s="208"/>
    </row>
    <row r="43" customFormat="false" ht="14.4" hidden="false" customHeight="false" outlineLevel="0" collapsed="false">
      <c r="A43" s="195" t="n">
        <f aca="false">Data!$A43</f>
        <v>43</v>
      </c>
      <c r="B43" s="195" t="str">
        <f aca="false">Data!$B43</f>
        <v>B316A-EA10-DIA-DETMC-01</v>
      </c>
      <c r="C43" s="195" t="str">
        <f aca="false">Data!$C43</f>
        <v>Detector VERITAS</v>
      </c>
      <c r="D43" s="195" t="str">
        <f aca="false">Data!$D43</f>
        <v>PIT</v>
      </c>
      <c r="E43" s="205" t="e">
        <f aca="true">INDEX(OFFSET(MOTION1!$A$2,0,0,SystemInfo!$B$1,1),MATCH(CONCATENATE(B43,D43),OFFSET(MOTION1!$J$2,0,0,SystemInfo!$B$1,1),0))</f>
        <v>#N/A</v>
      </c>
      <c r="F43" s="205" t="e">
        <f aca="true">INDEX(OFFSET(MOTION3!$A$2,0,0,SystemInfo!$B$1,1),MATCH(CONCATENATE(B43,D43),OFFSET(MOTION3!$J$2,0,0,SystemInfo!$B$1,1),0))</f>
        <v>#N/A</v>
      </c>
      <c r="G43" s="206" t="n">
        <f aca="false">INT(Data!$P43*Data!$L43)</f>
        <v>800</v>
      </c>
      <c r="H43" s="207" t="n">
        <v>1</v>
      </c>
      <c r="I43" s="206" t="str">
        <f aca="false">Data!U43</f>
        <v>ABSENC</v>
      </c>
      <c r="J43" s="206" t="n">
        <f aca="false">IF($I43="ABSENC",Data!$V43,"")</f>
        <v>0</v>
      </c>
      <c r="K43" s="207" t="n">
        <v>1</v>
      </c>
      <c r="L43" s="206" t="str">
        <f aca="false">IF($I43="ENCIN",Data!$V43,"")</f>
        <v/>
      </c>
      <c r="M43" s="207" t="n">
        <v>1</v>
      </c>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8"/>
      <c r="CA43" s="208"/>
      <c r="CB43" s="208"/>
      <c r="CC43" s="208"/>
      <c r="CD43" s="208"/>
      <c r="CE43" s="208"/>
      <c r="CF43" s="208"/>
      <c r="CG43" s="208"/>
      <c r="CH43" s="208"/>
      <c r="CI43" s="208"/>
      <c r="CJ43" s="208"/>
      <c r="CK43" s="208"/>
      <c r="CL43" s="208"/>
      <c r="CM43" s="208"/>
      <c r="CN43" s="208"/>
      <c r="CO43" s="208"/>
      <c r="CP43" s="208"/>
      <c r="CQ43" s="208"/>
      <c r="CR43" s="208"/>
      <c r="CS43" s="208"/>
      <c r="CT43" s="208"/>
      <c r="CU43" s="208"/>
      <c r="CV43" s="208"/>
      <c r="CW43" s="208"/>
      <c r="CX43" s="208"/>
      <c r="CY43" s="208"/>
      <c r="CZ43" s="208"/>
      <c r="DA43" s="208"/>
      <c r="DB43" s="208"/>
      <c r="DC43" s="208"/>
      <c r="DD43" s="208"/>
      <c r="DE43" s="208"/>
      <c r="DF43" s="208"/>
      <c r="DG43" s="208"/>
      <c r="DH43" s="208"/>
      <c r="DI43" s="208"/>
      <c r="DJ43" s="208"/>
      <c r="DK43" s="208"/>
      <c r="DL43" s="208"/>
      <c r="DM43" s="208"/>
      <c r="DN43" s="208"/>
      <c r="DO43" s="208"/>
      <c r="DP43" s="208"/>
      <c r="DQ43" s="208"/>
      <c r="DR43" s="208"/>
      <c r="DS43" s="208"/>
      <c r="DT43" s="208"/>
      <c r="DU43" s="208"/>
      <c r="DV43" s="208"/>
      <c r="DW43" s="208"/>
      <c r="DX43" s="208"/>
      <c r="DY43" s="208"/>
      <c r="DZ43" s="208"/>
      <c r="EA43" s="208"/>
      <c r="EB43" s="208"/>
      <c r="EC43" s="208"/>
      <c r="ED43" s="208"/>
      <c r="EE43" s="208"/>
      <c r="EF43" s="208"/>
      <c r="EG43" s="208"/>
      <c r="EH43" s="208"/>
      <c r="EI43" s="208"/>
      <c r="EJ43" s="208"/>
      <c r="EK43" s="208"/>
      <c r="EL43" s="208"/>
      <c r="EM43" s="208"/>
      <c r="EN43" s="208"/>
      <c r="EO43" s="208"/>
      <c r="EP43" s="208"/>
      <c r="EQ43" s="208"/>
      <c r="ER43" s="208"/>
      <c r="ES43" s="208"/>
      <c r="ET43" s="208"/>
      <c r="EU43" s="208"/>
      <c r="EV43" s="208"/>
      <c r="EW43" s="208"/>
      <c r="EX43" s="208"/>
      <c r="EY43" s="208"/>
      <c r="EZ43" s="208"/>
      <c r="FA43" s="208"/>
      <c r="FB43" s="208"/>
      <c r="FC43" s="208"/>
      <c r="FD43" s="208"/>
      <c r="FE43" s="208"/>
      <c r="FF43" s="208"/>
      <c r="FG43" s="208"/>
      <c r="FH43" s="208"/>
      <c r="FI43" s="208"/>
      <c r="FJ43" s="208"/>
      <c r="FK43" s="208"/>
      <c r="FL43" s="208"/>
      <c r="FM43" s="208"/>
      <c r="FN43" s="208"/>
      <c r="FO43" s="208"/>
      <c r="FP43" s="208"/>
      <c r="FQ43" s="208"/>
      <c r="FR43" s="208"/>
      <c r="FS43" s="208"/>
      <c r="FT43" s="208"/>
      <c r="FU43" s="208"/>
      <c r="FV43" s="208"/>
      <c r="FW43" s="208"/>
      <c r="FX43" s="208"/>
      <c r="FY43" s="208"/>
      <c r="FZ43" s="208"/>
      <c r="GA43" s="208"/>
      <c r="GB43" s="208"/>
      <c r="GC43" s="208"/>
      <c r="GD43" s="208"/>
      <c r="GE43" s="208"/>
      <c r="GF43" s="208"/>
      <c r="GG43" s="208"/>
      <c r="GH43" s="208"/>
      <c r="GI43" s="208"/>
      <c r="GJ43" s="208"/>
      <c r="GK43" s="208"/>
      <c r="GL43" s="208"/>
      <c r="GM43" s="208"/>
      <c r="GN43" s="208"/>
      <c r="GO43" s="208"/>
      <c r="GP43" s="208"/>
      <c r="GQ43" s="208"/>
      <c r="GR43" s="208"/>
      <c r="GS43" s="208"/>
      <c r="GT43" s="208"/>
      <c r="GU43" s="208"/>
      <c r="GV43" s="208"/>
      <c r="GW43" s="208"/>
      <c r="GX43" s="208"/>
      <c r="GY43" s="208"/>
      <c r="GZ43" s="208"/>
      <c r="HA43" s="208"/>
      <c r="HB43" s="208"/>
      <c r="HC43" s="208"/>
      <c r="HD43" s="208"/>
      <c r="HE43" s="208"/>
      <c r="HF43" s="208"/>
      <c r="HG43" s="208"/>
      <c r="HH43" s="208"/>
      <c r="HI43" s="208"/>
      <c r="HJ43" s="208"/>
      <c r="HK43" s="208"/>
      <c r="HL43" s="208"/>
      <c r="HM43" s="208"/>
      <c r="HN43" s="208"/>
      <c r="HO43" s="208"/>
      <c r="HP43" s="208"/>
      <c r="HQ43" s="208"/>
      <c r="HR43" s="208"/>
      <c r="HS43" s="208"/>
      <c r="HT43" s="208"/>
      <c r="HU43" s="208"/>
      <c r="HV43" s="208"/>
      <c r="HW43" s="208"/>
      <c r="HX43" s="208"/>
      <c r="HY43" s="208"/>
      <c r="HZ43" s="208"/>
      <c r="IA43" s="208"/>
      <c r="IB43" s="208"/>
      <c r="IC43" s="208"/>
      <c r="ID43" s="208"/>
      <c r="IE43" s="208"/>
      <c r="IF43" s="208"/>
      <c r="IG43" s="208"/>
      <c r="IH43" s="208"/>
      <c r="II43" s="208"/>
      <c r="IJ43" s="208"/>
      <c r="IK43" s="208"/>
      <c r="IL43" s="208"/>
      <c r="IM43" s="208"/>
      <c r="IN43" s="208"/>
      <c r="IO43" s="208"/>
      <c r="IP43" s="208"/>
      <c r="IQ43" s="208"/>
      <c r="IR43" s="208"/>
      <c r="IS43" s="208"/>
      <c r="IT43" s="208"/>
      <c r="IU43" s="208"/>
      <c r="IV43" s="208"/>
    </row>
    <row r="44" customFormat="false" ht="14.4" hidden="false" customHeight="false" outlineLevel="0" collapsed="false">
      <c r="A44" s="195" t="n">
        <f aca="false">Data!$A44</f>
        <v>44</v>
      </c>
      <c r="B44" s="195" t="str">
        <f aca="false">Data!$B44</f>
        <v>B316A-EA10-DIA-DETMC-01</v>
      </c>
      <c r="C44" s="195" t="str">
        <f aca="false">Data!$C44</f>
        <v>Detector VERITAS</v>
      </c>
      <c r="D44" s="195" t="str">
        <f aca="false">Data!$D44</f>
        <v>Y</v>
      </c>
      <c r="E44" s="205" t="e">
        <f aca="true">INDEX(OFFSET(MOTION1!$A$2,0,0,SystemInfo!$B$1,1),MATCH(CONCATENATE(B44,D44),OFFSET(MOTION1!$J$2,0,0,SystemInfo!$B$1,1),0))</f>
        <v>#N/A</v>
      </c>
      <c r="F44" s="205" t="e">
        <f aca="true">INDEX(OFFSET(MOTION3!$A$2,0,0,SystemInfo!$B$1,1),MATCH(CONCATENATE(B44,D44),OFFSET(MOTION3!$J$2,0,0,SystemInfo!$B$1,1),0))</f>
        <v>#N/A</v>
      </c>
      <c r="G44" s="206" t="n">
        <f aca="false">INT(Data!$P44*Data!$L44)</f>
        <v>800</v>
      </c>
      <c r="H44" s="207" t="n">
        <v>1</v>
      </c>
      <c r="I44" s="206" t="str">
        <f aca="false">Data!U44</f>
        <v>ABSENC</v>
      </c>
      <c r="J44" s="206" t="n">
        <f aca="false">IF($I44="ABSENC",Data!$V44,"")</f>
        <v>1000000</v>
      </c>
      <c r="K44" s="207" t="n">
        <v>1</v>
      </c>
      <c r="L44" s="206" t="str">
        <f aca="false">IF($I44="ENCIN",Data!$V44,"")</f>
        <v/>
      </c>
      <c r="M44" s="207" t="n">
        <v>1</v>
      </c>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8"/>
      <c r="CA44" s="208"/>
      <c r="CB44" s="208"/>
      <c r="CC44" s="208"/>
      <c r="CD44" s="208"/>
      <c r="CE44" s="208"/>
      <c r="CF44" s="208"/>
      <c r="CG44" s="208"/>
      <c r="CH44" s="208"/>
      <c r="CI44" s="208"/>
      <c r="CJ44" s="208"/>
      <c r="CK44" s="208"/>
      <c r="CL44" s="208"/>
      <c r="CM44" s="208"/>
      <c r="CN44" s="208"/>
      <c r="CO44" s="208"/>
      <c r="CP44" s="208"/>
      <c r="CQ44" s="208"/>
      <c r="CR44" s="208"/>
      <c r="CS44" s="208"/>
      <c r="CT44" s="208"/>
      <c r="CU44" s="208"/>
      <c r="CV44" s="208"/>
      <c r="CW44" s="208"/>
      <c r="CX44" s="208"/>
      <c r="CY44" s="208"/>
      <c r="CZ44" s="208"/>
      <c r="DA44" s="208"/>
      <c r="DB44" s="208"/>
      <c r="DC44" s="208"/>
      <c r="DD44" s="208"/>
      <c r="DE44" s="208"/>
      <c r="DF44" s="208"/>
      <c r="DG44" s="208"/>
      <c r="DH44" s="208"/>
      <c r="DI44" s="208"/>
      <c r="DJ44" s="208"/>
      <c r="DK44" s="208"/>
      <c r="DL44" s="208"/>
      <c r="DM44" s="208"/>
      <c r="DN44" s="208"/>
      <c r="DO44" s="208"/>
      <c r="DP44" s="208"/>
      <c r="DQ44" s="208"/>
      <c r="DR44" s="208"/>
      <c r="DS44" s="208"/>
      <c r="DT44" s="208"/>
      <c r="DU44" s="208"/>
      <c r="DV44" s="208"/>
      <c r="DW44" s="208"/>
      <c r="DX44" s="208"/>
      <c r="DY44" s="208"/>
      <c r="DZ44" s="208"/>
      <c r="EA44" s="208"/>
      <c r="EB44" s="208"/>
      <c r="EC44" s="208"/>
      <c r="ED44" s="208"/>
      <c r="EE44" s="208"/>
      <c r="EF44" s="208"/>
      <c r="EG44" s="208"/>
      <c r="EH44" s="208"/>
      <c r="EI44" s="208"/>
      <c r="EJ44" s="208"/>
      <c r="EK44" s="208"/>
      <c r="EL44" s="208"/>
      <c r="EM44" s="208"/>
      <c r="EN44" s="208"/>
      <c r="EO44" s="208"/>
      <c r="EP44" s="208"/>
      <c r="EQ44" s="208"/>
      <c r="ER44" s="208"/>
      <c r="ES44" s="208"/>
      <c r="ET44" s="208"/>
      <c r="EU44" s="208"/>
      <c r="EV44" s="208"/>
      <c r="EW44" s="208"/>
      <c r="EX44" s="208"/>
      <c r="EY44" s="208"/>
      <c r="EZ44" s="208"/>
      <c r="FA44" s="208"/>
      <c r="FB44" s="208"/>
      <c r="FC44" s="208"/>
      <c r="FD44" s="208"/>
      <c r="FE44" s="208"/>
      <c r="FF44" s="208"/>
      <c r="FG44" s="208"/>
      <c r="FH44" s="208"/>
      <c r="FI44" s="208"/>
      <c r="FJ44" s="208"/>
      <c r="FK44" s="208"/>
      <c r="FL44" s="208"/>
      <c r="FM44" s="208"/>
      <c r="FN44" s="208"/>
      <c r="FO44" s="208"/>
      <c r="FP44" s="208"/>
      <c r="FQ44" s="208"/>
      <c r="FR44" s="208"/>
      <c r="FS44" s="208"/>
      <c r="FT44" s="208"/>
      <c r="FU44" s="208"/>
      <c r="FV44" s="208"/>
      <c r="FW44" s="208"/>
      <c r="FX44" s="208"/>
      <c r="FY44" s="208"/>
      <c r="FZ44" s="208"/>
      <c r="GA44" s="208"/>
      <c r="GB44" s="208"/>
      <c r="GC44" s="208"/>
      <c r="GD44" s="208"/>
      <c r="GE44" s="208"/>
      <c r="GF44" s="208"/>
      <c r="GG44" s="208"/>
      <c r="GH44" s="208"/>
      <c r="GI44" s="208"/>
      <c r="GJ44" s="208"/>
      <c r="GK44" s="208"/>
      <c r="GL44" s="208"/>
      <c r="GM44" s="208"/>
      <c r="GN44" s="208"/>
      <c r="GO44" s="208"/>
      <c r="GP44" s="208"/>
      <c r="GQ44" s="208"/>
      <c r="GR44" s="208"/>
      <c r="GS44" s="208"/>
      <c r="GT44" s="208"/>
      <c r="GU44" s="208"/>
      <c r="GV44" s="208"/>
      <c r="GW44" s="208"/>
      <c r="GX44" s="208"/>
      <c r="GY44" s="208"/>
      <c r="GZ44" s="208"/>
      <c r="HA44" s="208"/>
      <c r="HB44" s="208"/>
      <c r="HC44" s="208"/>
      <c r="HD44" s="208"/>
      <c r="HE44" s="208"/>
      <c r="HF44" s="208"/>
      <c r="HG44" s="208"/>
      <c r="HH44" s="208"/>
      <c r="HI44" s="208"/>
      <c r="HJ44" s="208"/>
      <c r="HK44" s="208"/>
      <c r="HL44" s="208"/>
      <c r="HM44" s="208"/>
      <c r="HN44" s="208"/>
      <c r="HO44" s="208"/>
      <c r="HP44" s="208"/>
      <c r="HQ44" s="208"/>
      <c r="HR44" s="208"/>
      <c r="HS44" s="208"/>
      <c r="HT44" s="208"/>
      <c r="HU44" s="208"/>
      <c r="HV44" s="208"/>
      <c r="HW44" s="208"/>
      <c r="HX44" s="208"/>
      <c r="HY44" s="208"/>
      <c r="HZ44" s="208"/>
      <c r="IA44" s="208"/>
      <c r="IB44" s="208"/>
      <c r="IC44" s="208"/>
      <c r="ID44" s="208"/>
      <c r="IE44" s="208"/>
      <c r="IF44" s="208"/>
      <c r="IG44" s="208"/>
      <c r="IH44" s="208"/>
      <c r="II44" s="208"/>
      <c r="IJ44" s="208"/>
      <c r="IK44" s="208"/>
      <c r="IL44" s="208"/>
      <c r="IM44" s="208"/>
      <c r="IN44" s="208"/>
      <c r="IO44" s="208"/>
      <c r="IP44" s="208"/>
      <c r="IQ44" s="208"/>
      <c r="IR44" s="208"/>
      <c r="IS44" s="208"/>
      <c r="IT44" s="208"/>
      <c r="IU44" s="208"/>
      <c r="IV44" s="208"/>
    </row>
    <row r="45" customFormat="false" ht="14.4" hidden="false" customHeight="false" outlineLevel="0" collapsed="false">
      <c r="A45" s="195" t="n">
        <f aca="false">Data!$A45</f>
        <v>45</v>
      </c>
      <c r="B45" s="195" t="str">
        <f aca="false">Data!$B45</f>
        <v>B316A-EA10-DIA-DETMC-02</v>
      </c>
      <c r="C45" s="195" t="str">
        <f aca="false">Data!$C45</f>
        <v>Detector VERITAS</v>
      </c>
      <c r="D45" s="195" t="str">
        <f aca="false">Data!$D45</f>
        <v>PIT1</v>
      </c>
      <c r="E45" s="205" t="e">
        <f aca="true">INDEX(OFFSET(MOTION1!$A$2,0,0,SystemInfo!$B$1,1),MATCH(CONCATENATE(B45,D45),OFFSET(MOTION1!$J$2,0,0,SystemInfo!$B$1,1),0))</f>
        <v>#N/A</v>
      </c>
      <c r="F45" s="205" t="e">
        <f aca="true">INDEX(OFFSET(MOTION3!$A$2,0,0,SystemInfo!$B$1,1),MATCH(CONCATENATE(B45,D45),OFFSET(MOTION3!$J$2,0,0,SystemInfo!$B$1,1),0))</f>
        <v>#N/A</v>
      </c>
      <c r="G45" s="206" t="n">
        <f aca="false">INT(Data!$P45*Data!$L45)</f>
        <v>800</v>
      </c>
      <c r="H45" s="207" t="n">
        <v>1</v>
      </c>
      <c r="I45" s="206" t="str">
        <f aca="false">Data!U45</f>
        <v>ABSENC</v>
      </c>
      <c r="J45" s="206" t="n">
        <f aca="false">IF($I45="ABSENC",Data!$V45,"")</f>
        <v>0</v>
      </c>
      <c r="K45" s="207" t="n">
        <v>1</v>
      </c>
      <c r="L45" s="206" t="str">
        <f aca="false">IF($I45="ENCIN",Data!$V45,"")</f>
        <v/>
      </c>
      <c r="M45" s="207" t="n">
        <v>1</v>
      </c>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8"/>
      <c r="CA45" s="208"/>
      <c r="CB45" s="208"/>
      <c r="CC45" s="208"/>
      <c r="CD45" s="208"/>
      <c r="CE45" s="208"/>
      <c r="CF45" s="208"/>
      <c r="CG45" s="208"/>
      <c r="CH45" s="208"/>
      <c r="CI45" s="208"/>
      <c r="CJ45" s="208"/>
      <c r="CK45" s="208"/>
      <c r="CL45" s="208"/>
      <c r="CM45" s="208"/>
      <c r="CN45" s="208"/>
      <c r="CO45" s="208"/>
      <c r="CP45" s="208"/>
      <c r="CQ45" s="208"/>
      <c r="CR45" s="208"/>
      <c r="CS45" s="208"/>
      <c r="CT45" s="208"/>
      <c r="CU45" s="208"/>
      <c r="CV45" s="208"/>
      <c r="CW45" s="208"/>
      <c r="CX45" s="208"/>
      <c r="CY45" s="208"/>
      <c r="CZ45" s="208"/>
      <c r="DA45" s="208"/>
      <c r="DB45" s="208"/>
      <c r="DC45" s="208"/>
      <c r="DD45" s="208"/>
      <c r="DE45" s="208"/>
      <c r="DF45" s="208"/>
      <c r="DG45" s="208"/>
      <c r="DH45" s="208"/>
      <c r="DI45" s="208"/>
      <c r="DJ45" s="208"/>
      <c r="DK45" s="208"/>
      <c r="DL45" s="208"/>
      <c r="DM45" s="208"/>
      <c r="DN45" s="208"/>
      <c r="DO45" s="208"/>
      <c r="DP45" s="208"/>
      <c r="DQ45" s="208"/>
      <c r="DR45" s="208"/>
      <c r="DS45" s="208"/>
      <c r="DT45" s="208"/>
      <c r="DU45" s="208"/>
      <c r="DV45" s="208"/>
      <c r="DW45" s="208"/>
      <c r="DX45" s="208"/>
      <c r="DY45" s="208"/>
      <c r="DZ45" s="208"/>
      <c r="EA45" s="208"/>
      <c r="EB45" s="208"/>
      <c r="EC45" s="208"/>
      <c r="ED45" s="208"/>
      <c r="EE45" s="208"/>
      <c r="EF45" s="208"/>
      <c r="EG45" s="208"/>
      <c r="EH45" s="208"/>
      <c r="EI45" s="208"/>
      <c r="EJ45" s="208"/>
      <c r="EK45" s="208"/>
      <c r="EL45" s="208"/>
      <c r="EM45" s="208"/>
      <c r="EN45" s="208"/>
      <c r="EO45" s="208"/>
      <c r="EP45" s="208"/>
      <c r="EQ45" s="208"/>
      <c r="ER45" s="208"/>
      <c r="ES45" s="208"/>
      <c r="ET45" s="208"/>
      <c r="EU45" s="208"/>
      <c r="EV45" s="208"/>
      <c r="EW45" s="208"/>
      <c r="EX45" s="208"/>
      <c r="EY45" s="208"/>
      <c r="EZ45" s="208"/>
      <c r="FA45" s="208"/>
      <c r="FB45" s="208"/>
      <c r="FC45" s="208"/>
      <c r="FD45" s="208"/>
      <c r="FE45" s="208"/>
      <c r="FF45" s="208"/>
      <c r="FG45" s="208"/>
      <c r="FH45" s="208"/>
      <c r="FI45" s="208"/>
      <c r="FJ45" s="208"/>
      <c r="FK45" s="208"/>
      <c r="FL45" s="208"/>
      <c r="FM45" s="208"/>
      <c r="FN45" s="208"/>
      <c r="FO45" s="208"/>
      <c r="FP45" s="208"/>
      <c r="FQ45" s="208"/>
      <c r="FR45" s="208"/>
      <c r="FS45" s="208"/>
      <c r="FT45" s="208"/>
      <c r="FU45" s="208"/>
      <c r="FV45" s="208"/>
      <c r="FW45" s="208"/>
      <c r="FX45" s="208"/>
      <c r="FY45" s="208"/>
      <c r="FZ45" s="208"/>
      <c r="GA45" s="208"/>
      <c r="GB45" s="208"/>
      <c r="GC45" s="208"/>
      <c r="GD45" s="208"/>
      <c r="GE45" s="208"/>
      <c r="GF45" s="208"/>
      <c r="GG45" s="208"/>
      <c r="GH45" s="208"/>
      <c r="GI45" s="208"/>
      <c r="GJ45" s="208"/>
      <c r="GK45" s="208"/>
      <c r="GL45" s="208"/>
      <c r="GM45" s="208"/>
      <c r="GN45" s="208"/>
      <c r="GO45" s="208"/>
      <c r="GP45" s="208"/>
      <c r="GQ45" s="208"/>
      <c r="GR45" s="208"/>
      <c r="GS45" s="208"/>
      <c r="GT45" s="208"/>
      <c r="GU45" s="208"/>
      <c r="GV45" s="208"/>
      <c r="GW45" s="208"/>
      <c r="GX45" s="208"/>
      <c r="GY45" s="208"/>
      <c r="GZ45" s="208"/>
      <c r="HA45" s="208"/>
      <c r="HB45" s="208"/>
      <c r="HC45" s="208"/>
      <c r="HD45" s="208"/>
      <c r="HE45" s="208"/>
      <c r="HF45" s="208"/>
      <c r="HG45" s="208"/>
      <c r="HH45" s="208"/>
      <c r="HI45" s="208"/>
      <c r="HJ45" s="208"/>
      <c r="HK45" s="208"/>
      <c r="HL45" s="208"/>
      <c r="HM45" s="208"/>
      <c r="HN45" s="208"/>
      <c r="HO45" s="208"/>
      <c r="HP45" s="208"/>
      <c r="HQ45" s="208"/>
      <c r="HR45" s="208"/>
      <c r="HS45" s="208"/>
      <c r="HT45" s="208"/>
      <c r="HU45" s="208"/>
      <c r="HV45" s="208"/>
      <c r="HW45" s="208"/>
      <c r="HX45" s="208"/>
      <c r="HY45" s="208"/>
      <c r="HZ45" s="208"/>
      <c r="IA45" s="208"/>
      <c r="IB45" s="208"/>
      <c r="IC45" s="208"/>
      <c r="ID45" s="208"/>
      <c r="IE45" s="208"/>
      <c r="IF45" s="208"/>
      <c r="IG45" s="208"/>
      <c r="IH45" s="208"/>
      <c r="II45" s="208"/>
      <c r="IJ45" s="208"/>
      <c r="IK45" s="208"/>
      <c r="IL45" s="208"/>
      <c r="IM45" s="208"/>
      <c r="IN45" s="208"/>
      <c r="IO45" s="208"/>
      <c r="IP45" s="208"/>
      <c r="IQ45" s="208"/>
      <c r="IR45" s="208"/>
      <c r="IS45" s="208"/>
      <c r="IT45" s="208"/>
      <c r="IU45" s="208"/>
      <c r="IV45" s="208"/>
    </row>
    <row r="46" customFormat="false" ht="14.4" hidden="false" customHeight="false" outlineLevel="0" collapsed="false">
      <c r="A46" s="195" t="n">
        <f aca="false">Data!$A46</f>
        <v>46</v>
      </c>
      <c r="B46" s="195" t="str">
        <f aca="false">Data!$B46</f>
        <v>B316A-EA10-DIA-DETMC-02</v>
      </c>
      <c r="C46" s="195" t="str">
        <f aca="false">Data!$C46</f>
        <v>Detector VERITAS</v>
      </c>
      <c r="D46" s="195" t="str">
        <f aca="false">Data!$D46</f>
        <v>PIT2</v>
      </c>
      <c r="E46" s="205" t="e">
        <f aca="true">INDEX(OFFSET(MOTION1!$A$2,0,0,SystemInfo!$B$1,1),MATCH(CONCATENATE(B46,D46),OFFSET(MOTION1!$J$2,0,0,SystemInfo!$B$1,1),0))</f>
        <v>#N/A</v>
      </c>
      <c r="F46" s="205" t="e">
        <f aca="true">INDEX(OFFSET(MOTION3!$A$2,0,0,SystemInfo!$B$1,1),MATCH(CONCATENATE(B46,D46),OFFSET(MOTION3!$J$2,0,0,SystemInfo!$B$1,1),0))</f>
        <v>#N/A</v>
      </c>
      <c r="G46" s="206" t="n">
        <f aca="false">INT(Data!$P46*Data!$L46)</f>
        <v>800</v>
      </c>
      <c r="H46" s="207" t="n">
        <v>1</v>
      </c>
      <c r="I46" s="206" t="str">
        <f aca="false">Data!U46</f>
        <v>ABSENC</v>
      </c>
      <c r="J46" s="206" t="n">
        <f aca="false">IF($I46="ABSENC",Data!$V46,"")</f>
        <v>0</v>
      </c>
      <c r="K46" s="207" t="n">
        <v>1</v>
      </c>
      <c r="L46" s="206" t="str">
        <f aca="false">IF($I46="ENCIN",Data!$V46,"")</f>
        <v/>
      </c>
      <c r="M46" s="207" t="n">
        <v>1</v>
      </c>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8"/>
      <c r="CA46" s="208"/>
      <c r="CB46" s="208"/>
      <c r="CC46" s="208"/>
      <c r="CD46" s="208"/>
      <c r="CE46" s="208"/>
      <c r="CF46" s="208"/>
      <c r="CG46" s="208"/>
      <c r="CH46" s="208"/>
      <c r="CI46" s="208"/>
      <c r="CJ46" s="208"/>
      <c r="CK46" s="208"/>
      <c r="CL46" s="208"/>
      <c r="CM46" s="208"/>
      <c r="CN46" s="208"/>
      <c r="CO46" s="208"/>
      <c r="CP46" s="208"/>
      <c r="CQ46" s="208"/>
      <c r="CR46" s="208"/>
      <c r="CS46" s="208"/>
      <c r="CT46" s="208"/>
      <c r="CU46" s="208"/>
      <c r="CV46" s="208"/>
      <c r="CW46" s="208"/>
      <c r="CX46" s="208"/>
      <c r="CY46" s="208"/>
      <c r="CZ46" s="208"/>
      <c r="DA46" s="208"/>
      <c r="DB46" s="208"/>
      <c r="DC46" s="208"/>
      <c r="DD46" s="208"/>
      <c r="DE46" s="208"/>
      <c r="DF46" s="208"/>
      <c r="DG46" s="208"/>
      <c r="DH46" s="208"/>
      <c r="DI46" s="208"/>
      <c r="DJ46" s="208"/>
      <c r="DK46" s="208"/>
      <c r="DL46" s="208"/>
      <c r="DM46" s="208"/>
      <c r="DN46" s="208"/>
      <c r="DO46" s="208"/>
      <c r="DP46" s="208"/>
      <c r="DQ46" s="208"/>
      <c r="DR46" s="208"/>
      <c r="DS46" s="208"/>
      <c r="DT46" s="208"/>
      <c r="DU46" s="208"/>
      <c r="DV46" s="208"/>
      <c r="DW46" s="208"/>
      <c r="DX46" s="208"/>
      <c r="DY46" s="208"/>
      <c r="DZ46" s="208"/>
      <c r="EA46" s="208"/>
      <c r="EB46" s="208"/>
      <c r="EC46" s="208"/>
      <c r="ED46" s="208"/>
      <c r="EE46" s="208"/>
      <c r="EF46" s="208"/>
      <c r="EG46" s="208"/>
      <c r="EH46" s="208"/>
      <c r="EI46" s="208"/>
      <c r="EJ46" s="208"/>
      <c r="EK46" s="208"/>
      <c r="EL46" s="208"/>
      <c r="EM46" s="208"/>
      <c r="EN46" s="208"/>
      <c r="EO46" s="208"/>
      <c r="EP46" s="208"/>
      <c r="EQ46" s="208"/>
      <c r="ER46" s="208"/>
      <c r="ES46" s="208"/>
      <c r="ET46" s="208"/>
      <c r="EU46" s="208"/>
      <c r="EV46" s="208"/>
      <c r="EW46" s="208"/>
      <c r="EX46" s="208"/>
      <c r="EY46" s="208"/>
      <c r="EZ46" s="208"/>
      <c r="FA46" s="208"/>
      <c r="FB46" s="208"/>
      <c r="FC46" s="208"/>
      <c r="FD46" s="208"/>
      <c r="FE46" s="208"/>
      <c r="FF46" s="208"/>
      <c r="FG46" s="208"/>
      <c r="FH46" s="208"/>
      <c r="FI46" s="208"/>
      <c r="FJ46" s="208"/>
      <c r="FK46" s="208"/>
      <c r="FL46" s="208"/>
      <c r="FM46" s="208"/>
      <c r="FN46" s="208"/>
      <c r="FO46" s="208"/>
      <c r="FP46" s="208"/>
      <c r="FQ46" s="208"/>
      <c r="FR46" s="208"/>
      <c r="FS46" s="208"/>
      <c r="FT46" s="208"/>
      <c r="FU46" s="208"/>
      <c r="FV46" s="208"/>
      <c r="FW46" s="208"/>
      <c r="FX46" s="208"/>
      <c r="FY46" s="208"/>
      <c r="FZ46" s="208"/>
      <c r="GA46" s="208"/>
      <c r="GB46" s="208"/>
      <c r="GC46" s="208"/>
      <c r="GD46" s="208"/>
      <c r="GE46" s="208"/>
      <c r="GF46" s="208"/>
      <c r="GG46" s="208"/>
      <c r="GH46" s="208"/>
      <c r="GI46" s="208"/>
      <c r="GJ46" s="208"/>
      <c r="GK46" s="208"/>
      <c r="GL46" s="208"/>
      <c r="GM46" s="208"/>
      <c r="GN46" s="208"/>
      <c r="GO46" s="208"/>
      <c r="GP46" s="208"/>
      <c r="GQ46" s="208"/>
      <c r="GR46" s="208"/>
      <c r="GS46" s="208"/>
      <c r="GT46" s="208"/>
      <c r="GU46" s="208"/>
      <c r="GV46" s="208"/>
      <c r="GW46" s="208"/>
      <c r="GX46" s="208"/>
      <c r="GY46" s="208"/>
      <c r="GZ46" s="208"/>
      <c r="HA46" s="208"/>
      <c r="HB46" s="208"/>
      <c r="HC46" s="208"/>
      <c r="HD46" s="208"/>
      <c r="HE46" s="208"/>
      <c r="HF46" s="208"/>
      <c r="HG46" s="208"/>
      <c r="HH46" s="208"/>
      <c r="HI46" s="208"/>
      <c r="HJ46" s="208"/>
      <c r="HK46" s="208"/>
      <c r="HL46" s="208"/>
      <c r="HM46" s="208"/>
      <c r="HN46" s="208"/>
      <c r="HO46" s="208"/>
      <c r="HP46" s="208"/>
      <c r="HQ46" s="208"/>
      <c r="HR46" s="208"/>
      <c r="HS46" s="208"/>
      <c r="HT46" s="208"/>
      <c r="HU46" s="208"/>
      <c r="HV46" s="208"/>
      <c r="HW46" s="208"/>
      <c r="HX46" s="208"/>
      <c r="HY46" s="208"/>
      <c r="HZ46" s="208"/>
      <c r="IA46" s="208"/>
      <c r="IB46" s="208"/>
      <c r="IC46" s="208"/>
      <c r="ID46" s="208"/>
      <c r="IE46" s="208"/>
      <c r="IF46" s="208"/>
      <c r="IG46" s="208"/>
      <c r="IH46" s="208"/>
      <c r="II46" s="208"/>
      <c r="IJ46" s="208"/>
      <c r="IK46" s="208"/>
      <c r="IL46" s="208"/>
      <c r="IM46" s="208"/>
      <c r="IN46" s="208"/>
      <c r="IO46" s="208"/>
      <c r="IP46" s="208"/>
      <c r="IQ46" s="208"/>
      <c r="IR46" s="208"/>
      <c r="IS46" s="208"/>
      <c r="IT46" s="208"/>
      <c r="IU46" s="208"/>
      <c r="IV46" s="208"/>
    </row>
    <row r="47" customFormat="false" ht="14.4" hidden="false" customHeight="false" outlineLevel="0" collapsed="false">
      <c r="A47" s="195" t="n">
        <f aca="false">Data!$A47</f>
        <v>47</v>
      </c>
      <c r="B47" s="195" t="str">
        <f aca="false">Data!$B47</f>
        <v>B316A-EA11-DIA-SPC-01</v>
      </c>
      <c r="C47" s="195" t="str">
        <f aca="false">Data!$C47</f>
        <v>Spectrometer VERITAS</v>
      </c>
      <c r="D47" s="195" t="str">
        <f aca="false">Data!$D47</f>
        <v>YAW</v>
      </c>
      <c r="E47" s="205" t="e">
        <f aca="true">INDEX(OFFSET(MOTION1!$A$2,0,0,SystemInfo!$B$1,1),MATCH(CONCATENATE(B47,D47),OFFSET(MOTION1!$J$2,0,0,SystemInfo!$B$1,1),0))</f>
        <v>#N/A</v>
      </c>
      <c r="F47" s="205" t="e">
        <f aca="true">INDEX(OFFSET(MOTION3!$A$2,0,0,SystemInfo!$B$1,1),MATCH(CONCATENATE(B47,D47),OFFSET(MOTION3!$J$2,0,0,SystemInfo!$B$1,1),0))</f>
        <v>#N/A</v>
      </c>
      <c r="G47" s="206" t="n">
        <f aca="false">INT(Data!$P47*Data!$L47)</f>
        <v>400</v>
      </c>
      <c r="H47" s="207" t="n">
        <v>1</v>
      </c>
      <c r="I47" s="206" t="n">
        <f aca="false">Data!U47</f>
        <v>0</v>
      </c>
      <c r="J47" s="206" t="str">
        <f aca="false">IF($I47="ABSENC",Data!$V47,"")</f>
        <v/>
      </c>
      <c r="K47" s="207" t="n">
        <v>1</v>
      </c>
      <c r="L47" s="206" t="str">
        <f aca="false">IF($I47="ENCIN",Data!$V47,"")</f>
        <v/>
      </c>
      <c r="M47" s="207" t="n">
        <v>1</v>
      </c>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c r="CL47" s="208"/>
      <c r="CM47" s="208"/>
      <c r="CN47" s="208"/>
      <c r="CO47" s="208"/>
      <c r="CP47" s="208"/>
      <c r="CQ47" s="208"/>
      <c r="CR47" s="208"/>
      <c r="CS47" s="208"/>
      <c r="CT47" s="208"/>
      <c r="CU47" s="208"/>
      <c r="CV47" s="208"/>
      <c r="CW47" s="208"/>
      <c r="CX47" s="208"/>
      <c r="CY47" s="208"/>
      <c r="CZ47" s="208"/>
      <c r="DA47" s="208"/>
      <c r="DB47" s="208"/>
      <c r="DC47" s="208"/>
      <c r="DD47" s="208"/>
      <c r="DE47" s="208"/>
      <c r="DF47" s="208"/>
      <c r="DG47" s="208"/>
      <c r="DH47" s="208"/>
      <c r="DI47" s="208"/>
      <c r="DJ47" s="208"/>
      <c r="DK47" s="208"/>
      <c r="DL47" s="208"/>
      <c r="DM47" s="208"/>
      <c r="DN47" s="208"/>
      <c r="DO47" s="208"/>
      <c r="DP47" s="208"/>
      <c r="DQ47" s="208"/>
      <c r="DR47" s="208"/>
      <c r="DS47" s="208"/>
      <c r="DT47" s="208"/>
      <c r="DU47" s="208"/>
      <c r="DV47" s="208"/>
      <c r="DW47" s="208"/>
      <c r="DX47" s="208"/>
      <c r="DY47" s="208"/>
      <c r="DZ47" s="208"/>
      <c r="EA47" s="208"/>
      <c r="EB47" s="208"/>
      <c r="EC47" s="208"/>
      <c r="ED47" s="208"/>
      <c r="EE47" s="208"/>
      <c r="EF47" s="208"/>
      <c r="EG47" s="208"/>
      <c r="EH47" s="208"/>
      <c r="EI47" s="208"/>
      <c r="EJ47" s="208"/>
      <c r="EK47" s="208"/>
      <c r="EL47" s="208"/>
      <c r="EM47" s="208"/>
      <c r="EN47" s="208"/>
      <c r="EO47" s="208"/>
      <c r="EP47" s="208"/>
      <c r="EQ47" s="208"/>
      <c r="ER47" s="208"/>
      <c r="ES47" s="208"/>
      <c r="ET47" s="208"/>
      <c r="EU47" s="208"/>
      <c r="EV47" s="208"/>
      <c r="EW47" s="208"/>
      <c r="EX47" s="208"/>
      <c r="EY47" s="208"/>
      <c r="EZ47" s="208"/>
      <c r="FA47" s="208"/>
      <c r="FB47" s="208"/>
      <c r="FC47" s="208"/>
      <c r="FD47" s="208"/>
      <c r="FE47" s="208"/>
      <c r="FF47" s="208"/>
      <c r="FG47" s="208"/>
      <c r="FH47" s="208"/>
      <c r="FI47" s="208"/>
      <c r="FJ47" s="208"/>
      <c r="FK47" s="208"/>
      <c r="FL47" s="208"/>
      <c r="FM47" s="208"/>
      <c r="FN47" s="208"/>
      <c r="FO47" s="208"/>
      <c r="FP47" s="208"/>
      <c r="FQ47" s="208"/>
      <c r="FR47" s="208"/>
      <c r="FS47" s="208"/>
      <c r="FT47" s="208"/>
      <c r="FU47" s="208"/>
      <c r="FV47" s="208"/>
      <c r="FW47" s="208"/>
      <c r="FX47" s="208"/>
      <c r="FY47" s="208"/>
      <c r="FZ47" s="208"/>
      <c r="GA47" s="208"/>
      <c r="GB47" s="208"/>
      <c r="GC47" s="208"/>
      <c r="GD47" s="208"/>
      <c r="GE47" s="208"/>
      <c r="GF47" s="208"/>
      <c r="GG47" s="208"/>
      <c r="GH47" s="208"/>
      <c r="GI47" s="208"/>
      <c r="GJ47" s="208"/>
      <c r="GK47" s="208"/>
      <c r="GL47" s="208"/>
      <c r="GM47" s="208"/>
      <c r="GN47" s="208"/>
      <c r="GO47" s="208"/>
      <c r="GP47" s="208"/>
      <c r="GQ47" s="208"/>
      <c r="GR47" s="208"/>
      <c r="GS47" s="208"/>
      <c r="GT47" s="208"/>
      <c r="GU47" s="208"/>
      <c r="GV47" s="208"/>
      <c r="GW47" s="208"/>
      <c r="GX47" s="208"/>
      <c r="GY47" s="208"/>
      <c r="GZ47" s="208"/>
      <c r="HA47" s="208"/>
      <c r="HB47" s="208"/>
      <c r="HC47" s="208"/>
      <c r="HD47" s="208"/>
      <c r="HE47" s="208"/>
      <c r="HF47" s="208"/>
      <c r="HG47" s="208"/>
      <c r="HH47" s="208"/>
      <c r="HI47" s="208"/>
      <c r="HJ47" s="208"/>
      <c r="HK47" s="208"/>
      <c r="HL47" s="208"/>
      <c r="HM47" s="208"/>
      <c r="HN47" s="208"/>
      <c r="HO47" s="208"/>
      <c r="HP47" s="208"/>
      <c r="HQ47" s="208"/>
      <c r="HR47" s="208"/>
      <c r="HS47" s="208"/>
      <c r="HT47" s="208"/>
      <c r="HU47" s="208"/>
      <c r="HV47" s="208"/>
      <c r="HW47" s="208"/>
      <c r="HX47" s="208"/>
      <c r="HY47" s="208"/>
      <c r="HZ47" s="208"/>
      <c r="IA47" s="208"/>
      <c r="IB47" s="208"/>
      <c r="IC47" s="208"/>
      <c r="ID47" s="208"/>
      <c r="IE47" s="208"/>
      <c r="IF47" s="208"/>
      <c r="IG47" s="208"/>
      <c r="IH47" s="208"/>
      <c r="II47" s="208"/>
      <c r="IJ47" s="208"/>
      <c r="IK47" s="208"/>
      <c r="IL47" s="208"/>
      <c r="IM47" s="208"/>
      <c r="IN47" s="208"/>
      <c r="IO47" s="208"/>
      <c r="IP47" s="208"/>
      <c r="IQ47" s="208"/>
      <c r="IR47" s="208"/>
      <c r="IS47" s="208"/>
      <c r="IT47" s="208"/>
      <c r="IU47" s="208"/>
      <c r="IV47" s="208"/>
    </row>
    <row r="48" customFormat="false" ht="14.4" hidden="false" customHeight="false" outlineLevel="0" collapsed="false">
      <c r="A48" s="195" t="n">
        <f aca="false">Data!$A48</f>
        <v>48</v>
      </c>
      <c r="B48" s="195" t="str">
        <f aca="false">Data!$B48</f>
        <v>B316A-EA04-DIA-MP-02</v>
      </c>
      <c r="C48" s="195" t="str">
        <f aca="false">Data!$C48</f>
        <v>Manipulator VERITAS</v>
      </c>
      <c r="D48" s="195" t="str">
        <f aca="false">Data!$D48</f>
        <v>X</v>
      </c>
      <c r="E48" s="205" t="e">
        <f aca="true">INDEX(OFFSET(MOTION1!$A$2,0,0,SystemInfo!$B$1,1),MATCH(CONCATENATE(B48,D48),OFFSET(MOTION1!$J$2,0,0,SystemInfo!$B$1,1),0))</f>
        <v>#N/A</v>
      </c>
      <c r="F48" s="205" t="e">
        <f aca="true">INDEX(OFFSET(MOTION3!$A$2,0,0,SystemInfo!$B$1,1),MATCH(CONCATENATE(B48,D48),OFFSET(MOTION3!$J$2,0,0,SystemInfo!$B$1,1),0))</f>
        <v>#N/A</v>
      </c>
      <c r="G48" s="206" t="n">
        <f aca="false">INT(Data!$P48*Data!$L48)</f>
        <v>800</v>
      </c>
      <c r="H48" s="207" t="n">
        <v>1</v>
      </c>
      <c r="I48" s="206" t="n">
        <f aca="false">Data!U48</f>
        <v>0</v>
      </c>
      <c r="J48" s="206" t="str">
        <f aca="false">IF($I48="ABSENC",Data!$V48,"")</f>
        <v/>
      </c>
      <c r="K48" s="207" t="n">
        <v>1</v>
      </c>
      <c r="L48" s="206" t="str">
        <f aca="false">IF($I48="ENCIN",Data!$V48,"")</f>
        <v/>
      </c>
      <c r="M48" s="207" t="n">
        <v>1</v>
      </c>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c r="BZ48" s="208"/>
      <c r="CA48" s="208"/>
      <c r="CB48" s="208"/>
      <c r="CC48" s="208"/>
      <c r="CD48" s="208"/>
      <c r="CE48" s="208"/>
      <c r="CF48" s="208"/>
      <c r="CG48" s="208"/>
      <c r="CH48" s="208"/>
      <c r="CI48" s="208"/>
      <c r="CJ48" s="208"/>
      <c r="CK48" s="208"/>
      <c r="CL48" s="208"/>
      <c r="CM48" s="208"/>
      <c r="CN48" s="208"/>
      <c r="CO48" s="208"/>
      <c r="CP48" s="208"/>
      <c r="CQ48" s="208"/>
      <c r="CR48" s="208"/>
      <c r="CS48" s="208"/>
      <c r="CT48" s="208"/>
      <c r="CU48" s="208"/>
      <c r="CV48" s="208"/>
      <c r="CW48" s="208"/>
      <c r="CX48" s="208"/>
      <c r="CY48" s="208"/>
      <c r="CZ48" s="208"/>
      <c r="DA48" s="208"/>
      <c r="DB48" s="208"/>
      <c r="DC48" s="208"/>
      <c r="DD48" s="208"/>
      <c r="DE48" s="208"/>
      <c r="DF48" s="208"/>
      <c r="DG48" s="208"/>
      <c r="DH48" s="208"/>
      <c r="DI48" s="208"/>
      <c r="DJ48" s="208"/>
      <c r="DK48" s="208"/>
      <c r="DL48" s="208"/>
      <c r="DM48" s="208"/>
      <c r="DN48" s="208"/>
      <c r="DO48" s="208"/>
      <c r="DP48" s="208"/>
      <c r="DQ48" s="208"/>
      <c r="DR48" s="208"/>
      <c r="DS48" s="208"/>
      <c r="DT48" s="208"/>
      <c r="DU48" s="208"/>
      <c r="DV48" s="208"/>
      <c r="DW48" s="208"/>
      <c r="DX48" s="208"/>
      <c r="DY48" s="208"/>
      <c r="DZ48" s="208"/>
      <c r="EA48" s="208"/>
      <c r="EB48" s="208"/>
      <c r="EC48" s="208"/>
      <c r="ED48" s="208"/>
      <c r="EE48" s="208"/>
      <c r="EF48" s="208"/>
      <c r="EG48" s="208"/>
      <c r="EH48" s="208"/>
      <c r="EI48" s="208"/>
      <c r="EJ48" s="208"/>
      <c r="EK48" s="208"/>
      <c r="EL48" s="208"/>
      <c r="EM48" s="208"/>
      <c r="EN48" s="208"/>
      <c r="EO48" s="208"/>
      <c r="EP48" s="208"/>
      <c r="EQ48" s="208"/>
      <c r="ER48" s="208"/>
      <c r="ES48" s="208"/>
      <c r="ET48" s="208"/>
      <c r="EU48" s="208"/>
      <c r="EV48" s="208"/>
      <c r="EW48" s="208"/>
      <c r="EX48" s="208"/>
      <c r="EY48" s="208"/>
      <c r="EZ48" s="208"/>
      <c r="FA48" s="208"/>
      <c r="FB48" s="208"/>
      <c r="FC48" s="208"/>
      <c r="FD48" s="208"/>
      <c r="FE48" s="208"/>
      <c r="FF48" s="208"/>
      <c r="FG48" s="208"/>
      <c r="FH48" s="208"/>
      <c r="FI48" s="208"/>
      <c r="FJ48" s="208"/>
      <c r="FK48" s="208"/>
      <c r="FL48" s="208"/>
      <c r="FM48" s="208"/>
      <c r="FN48" s="208"/>
      <c r="FO48" s="208"/>
      <c r="FP48" s="208"/>
      <c r="FQ48" s="208"/>
      <c r="FR48" s="208"/>
      <c r="FS48" s="208"/>
      <c r="FT48" s="208"/>
      <c r="FU48" s="208"/>
      <c r="FV48" s="208"/>
      <c r="FW48" s="208"/>
      <c r="FX48" s="208"/>
      <c r="FY48" s="208"/>
      <c r="FZ48" s="208"/>
      <c r="GA48" s="208"/>
      <c r="GB48" s="208"/>
      <c r="GC48" s="208"/>
      <c r="GD48" s="208"/>
      <c r="GE48" s="208"/>
      <c r="GF48" s="208"/>
      <c r="GG48" s="208"/>
      <c r="GH48" s="208"/>
      <c r="GI48" s="208"/>
      <c r="GJ48" s="208"/>
      <c r="GK48" s="208"/>
      <c r="GL48" s="208"/>
      <c r="GM48" s="208"/>
      <c r="GN48" s="208"/>
      <c r="GO48" s="208"/>
      <c r="GP48" s="208"/>
      <c r="GQ48" s="208"/>
      <c r="GR48" s="208"/>
      <c r="GS48" s="208"/>
      <c r="GT48" s="208"/>
      <c r="GU48" s="208"/>
      <c r="GV48" s="208"/>
      <c r="GW48" s="208"/>
      <c r="GX48" s="208"/>
      <c r="GY48" s="208"/>
      <c r="GZ48" s="208"/>
      <c r="HA48" s="208"/>
      <c r="HB48" s="208"/>
      <c r="HC48" s="208"/>
      <c r="HD48" s="208"/>
      <c r="HE48" s="208"/>
      <c r="HF48" s="208"/>
      <c r="HG48" s="208"/>
      <c r="HH48" s="208"/>
      <c r="HI48" s="208"/>
      <c r="HJ48" s="208"/>
      <c r="HK48" s="208"/>
      <c r="HL48" s="208"/>
      <c r="HM48" s="208"/>
      <c r="HN48" s="208"/>
      <c r="HO48" s="208"/>
      <c r="HP48" s="208"/>
      <c r="HQ48" s="208"/>
      <c r="HR48" s="208"/>
      <c r="HS48" s="208"/>
      <c r="HT48" s="208"/>
      <c r="HU48" s="208"/>
      <c r="HV48" s="208"/>
      <c r="HW48" s="208"/>
      <c r="HX48" s="208"/>
      <c r="HY48" s="208"/>
      <c r="HZ48" s="208"/>
      <c r="IA48" s="208"/>
      <c r="IB48" s="208"/>
      <c r="IC48" s="208"/>
      <c r="ID48" s="208"/>
      <c r="IE48" s="208"/>
      <c r="IF48" s="208"/>
      <c r="IG48" s="208"/>
      <c r="IH48" s="208"/>
      <c r="II48" s="208"/>
      <c r="IJ48" s="208"/>
      <c r="IK48" s="208"/>
      <c r="IL48" s="208"/>
      <c r="IM48" s="208"/>
      <c r="IN48" s="208"/>
      <c r="IO48" s="208"/>
      <c r="IP48" s="208"/>
      <c r="IQ48" s="208"/>
      <c r="IR48" s="208"/>
      <c r="IS48" s="208"/>
      <c r="IT48" s="208"/>
      <c r="IU48" s="208"/>
      <c r="IV48" s="208"/>
    </row>
    <row r="49" s="211" customFormat="true" ht="14.4" hidden="false" customHeight="false" outlineLevel="0" collapsed="false">
      <c r="A49" s="209"/>
      <c r="B49" s="209"/>
      <c r="C49" s="209"/>
      <c r="D49" s="209"/>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c r="CL49" s="210"/>
      <c r="CM49" s="210"/>
      <c r="CN49" s="210"/>
      <c r="CO49" s="210"/>
      <c r="CP49" s="210"/>
      <c r="CQ49" s="210"/>
      <c r="CR49" s="210"/>
      <c r="CS49" s="210"/>
      <c r="CT49" s="210"/>
      <c r="CU49" s="210"/>
      <c r="CV49" s="210"/>
      <c r="CW49" s="210"/>
      <c r="CX49" s="210"/>
      <c r="CY49" s="210"/>
      <c r="CZ49" s="210"/>
      <c r="DA49" s="210"/>
      <c r="DB49" s="210"/>
      <c r="DC49" s="210"/>
      <c r="DD49" s="210"/>
      <c r="DE49" s="210"/>
      <c r="DF49" s="210"/>
      <c r="DG49" s="210"/>
      <c r="DH49" s="210"/>
      <c r="DI49" s="210"/>
      <c r="DJ49" s="210"/>
      <c r="DK49" s="210"/>
      <c r="DL49" s="210"/>
      <c r="DM49" s="210"/>
      <c r="DN49" s="210"/>
      <c r="DO49" s="210"/>
      <c r="DP49" s="210"/>
      <c r="DQ49" s="210"/>
      <c r="DR49" s="210"/>
      <c r="DS49" s="210"/>
      <c r="DT49" s="210"/>
      <c r="DU49" s="210"/>
      <c r="DV49" s="210"/>
      <c r="DW49" s="210"/>
      <c r="DX49" s="210"/>
      <c r="DY49" s="210"/>
      <c r="DZ49" s="210"/>
      <c r="EA49" s="210"/>
      <c r="EB49" s="210"/>
      <c r="EC49" s="210"/>
      <c r="ED49" s="210"/>
      <c r="EE49" s="210"/>
      <c r="EF49" s="210"/>
      <c r="EG49" s="210"/>
      <c r="EH49" s="210"/>
      <c r="EI49" s="210"/>
      <c r="EJ49" s="210"/>
      <c r="EK49" s="210"/>
      <c r="EL49" s="210"/>
      <c r="EM49" s="210"/>
      <c r="EN49" s="210"/>
      <c r="EO49" s="210"/>
      <c r="EP49" s="210"/>
      <c r="EQ49" s="210"/>
      <c r="ER49" s="210"/>
      <c r="ES49" s="210"/>
      <c r="ET49" s="210"/>
      <c r="EU49" s="210"/>
      <c r="EV49" s="210"/>
      <c r="EW49" s="210"/>
      <c r="EX49" s="210"/>
      <c r="EY49" s="210"/>
      <c r="EZ49" s="210"/>
      <c r="FA49" s="210"/>
      <c r="FB49" s="210"/>
      <c r="FC49" s="210"/>
      <c r="FD49" s="210"/>
      <c r="FE49" s="210"/>
      <c r="FF49" s="210"/>
      <c r="FG49" s="210"/>
      <c r="FH49" s="210"/>
      <c r="FI49" s="210"/>
      <c r="FJ49" s="210"/>
      <c r="FK49" s="210"/>
      <c r="FL49" s="210"/>
      <c r="FM49" s="210"/>
      <c r="FN49" s="210"/>
      <c r="FO49" s="210"/>
      <c r="FP49" s="210"/>
      <c r="FQ49" s="210"/>
      <c r="FR49" s="210"/>
      <c r="FS49" s="210"/>
      <c r="FT49" s="210"/>
      <c r="FU49" s="210"/>
      <c r="FV49" s="210"/>
      <c r="FW49" s="210"/>
      <c r="FX49" s="210"/>
      <c r="FY49" s="210"/>
      <c r="FZ49" s="210"/>
      <c r="GA49" s="210"/>
      <c r="GB49" s="210"/>
      <c r="GC49" s="210"/>
      <c r="GD49" s="210"/>
      <c r="GE49" s="210"/>
      <c r="GF49" s="210"/>
      <c r="GG49" s="210"/>
      <c r="GH49" s="210"/>
      <c r="GI49" s="210"/>
      <c r="GJ49" s="210"/>
      <c r="GK49" s="210"/>
      <c r="GL49" s="210"/>
      <c r="GM49" s="210"/>
      <c r="GN49" s="210"/>
      <c r="GO49" s="210"/>
      <c r="GP49" s="210"/>
      <c r="GQ49" s="210"/>
      <c r="GR49" s="210"/>
      <c r="GS49" s="210"/>
      <c r="GT49" s="210"/>
      <c r="GU49" s="210"/>
      <c r="GV49" s="210"/>
      <c r="GW49" s="210"/>
      <c r="GX49" s="210"/>
      <c r="GY49" s="210"/>
      <c r="GZ49" s="210"/>
      <c r="HA49" s="210"/>
      <c r="HB49" s="210"/>
      <c r="HC49" s="210"/>
      <c r="HD49" s="210"/>
      <c r="HE49" s="210"/>
      <c r="HF49" s="210"/>
      <c r="HG49" s="210"/>
      <c r="HH49" s="210"/>
      <c r="HI49" s="210"/>
      <c r="HJ49" s="210"/>
      <c r="HK49" s="210"/>
      <c r="HL49" s="210"/>
      <c r="HM49" s="210"/>
      <c r="HN49" s="210"/>
      <c r="HO49" s="210"/>
      <c r="HP49" s="210"/>
      <c r="HQ49" s="210"/>
      <c r="HR49" s="210"/>
      <c r="HS49" s="210"/>
      <c r="HT49" s="210"/>
      <c r="HU49" s="210"/>
      <c r="HV49" s="210"/>
      <c r="HW49" s="210"/>
      <c r="HX49" s="210"/>
      <c r="HY49" s="210"/>
      <c r="HZ49" s="210"/>
      <c r="IA49" s="210"/>
      <c r="IB49" s="210"/>
      <c r="IC49" s="210"/>
      <c r="ID49" s="210"/>
      <c r="IE49" s="210"/>
      <c r="IF49" s="210"/>
      <c r="IG49" s="210"/>
      <c r="IH49" s="210"/>
      <c r="II49" s="210"/>
      <c r="IJ49" s="210"/>
      <c r="IK49" s="210"/>
      <c r="IL49" s="210"/>
      <c r="IM49" s="210"/>
      <c r="IN49" s="210"/>
      <c r="IO49" s="210"/>
      <c r="IP49" s="210"/>
      <c r="IQ49" s="210"/>
      <c r="IR49" s="210"/>
      <c r="IS49" s="210"/>
      <c r="IT49" s="210"/>
      <c r="IU49" s="210"/>
      <c r="IV49" s="210"/>
    </row>
    <row r="50" s="211" customFormat="true" ht="14.4" hidden="false" customHeight="false" outlineLevel="0" collapsed="false">
      <c r="A50" s="209"/>
      <c r="B50" s="209"/>
      <c r="C50" s="209"/>
      <c r="D50" s="209"/>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c r="CL50" s="210"/>
      <c r="CM50" s="210"/>
      <c r="CN50" s="210"/>
      <c r="CO50" s="210"/>
      <c r="CP50" s="210"/>
      <c r="CQ50" s="210"/>
      <c r="CR50" s="210"/>
      <c r="CS50" s="210"/>
      <c r="CT50" s="210"/>
      <c r="CU50" s="210"/>
      <c r="CV50" s="210"/>
      <c r="CW50" s="210"/>
      <c r="CX50" s="210"/>
      <c r="CY50" s="210"/>
      <c r="CZ50" s="210"/>
      <c r="DA50" s="210"/>
      <c r="DB50" s="210"/>
      <c r="DC50" s="210"/>
      <c r="DD50" s="210"/>
      <c r="DE50" s="210"/>
      <c r="DF50" s="210"/>
      <c r="DG50" s="210"/>
      <c r="DH50" s="210"/>
      <c r="DI50" s="210"/>
      <c r="DJ50" s="210"/>
      <c r="DK50" s="210"/>
      <c r="DL50" s="210"/>
      <c r="DM50" s="210"/>
      <c r="DN50" s="210"/>
      <c r="DO50" s="210"/>
      <c r="DP50" s="210"/>
      <c r="DQ50" s="210"/>
      <c r="DR50" s="210"/>
      <c r="DS50" s="210"/>
      <c r="DT50" s="210"/>
      <c r="DU50" s="210"/>
      <c r="DV50" s="210"/>
      <c r="DW50" s="210"/>
      <c r="DX50" s="210"/>
      <c r="DY50" s="210"/>
      <c r="DZ50" s="210"/>
      <c r="EA50" s="210"/>
      <c r="EB50" s="210"/>
      <c r="EC50" s="210"/>
      <c r="ED50" s="210"/>
      <c r="EE50" s="210"/>
      <c r="EF50" s="210"/>
      <c r="EG50" s="210"/>
      <c r="EH50" s="210"/>
      <c r="EI50" s="210"/>
      <c r="EJ50" s="210"/>
      <c r="EK50" s="210"/>
      <c r="EL50" s="210"/>
      <c r="EM50" s="210"/>
      <c r="EN50" s="210"/>
      <c r="EO50" s="210"/>
      <c r="EP50" s="210"/>
      <c r="EQ50" s="210"/>
      <c r="ER50" s="210"/>
      <c r="ES50" s="210"/>
      <c r="ET50" s="210"/>
      <c r="EU50" s="210"/>
      <c r="EV50" s="210"/>
      <c r="EW50" s="210"/>
      <c r="EX50" s="210"/>
      <c r="EY50" s="210"/>
      <c r="EZ50" s="210"/>
      <c r="FA50" s="210"/>
      <c r="FB50" s="210"/>
      <c r="FC50" s="210"/>
      <c r="FD50" s="210"/>
      <c r="FE50" s="210"/>
      <c r="FF50" s="210"/>
      <c r="FG50" s="210"/>
      <c r="FH50" s="210"/>
      <c r="FI50" s="210"/>
      <c r="FJ50" s="210"/>
      <c r="FK50" s="210"/>
      <c r="FL50" s="210"/>
      <c r="FM50" s="210"/>
      <c r="FN50" s="210"/>
      <c r="FO50" s="210"/>
      <c r="FP50" s="210"/>
      <c r="FQ50" s="210"/>
      <c r="FR50" s="210"/>
      <c r="FS50" s="210"/>
      <c r="FT50" s="210"/>
      <c r="FU50" s="210"/>
      <c r="FV50" s="210"/>
      <c r="FW50" s="210"/>
      <c r="FX50" s="210"/>
      <c r="FY50" s="210"/>
      <c r="FZ50" s="210"/>
      <c r="GA50" s="210"/>
      <c r="GB50" s="210"/>
      <c r="GC50" s="210"/>
      <c r="GD50" s="210"/>
      <c r="GE50" s="210"/>
      <c r="GF50" s="210"/>
      <c r="GG50" s="210"/>
      <c r="GH50" s="210"/>
      <c r="GI50" s="210"/>
      <c r="GJ50" s="210"/>
      <c r="GK50" s="210"/>
      <c r="GL50" s="210"/>
      <c r="GM50" s="210"/>
      <c r="GN50" s="210"/>
      <c r="GO50" s="210"/>
      <c r="GP50" s="210"/>
      <c r="GQ50" s="210"/>
      <c r="GR50" s="210"/>
      <c r="GS50" s="210"/>
      <c r="GT50" s="210"/>
      <c r="GU50" s="210"/>
      <c r="GV50" s="210"/>
      <c r="GW50" s="210"/>
      <c r="GX50" s="210"/>
      <c r="GY50" s="210"/>
      <c r="GZ50" s="210"/>
      <c r="HA50" s="210"/>
      <c r="HB50" s="210"/>
      <c r="HC50" s="210"/>
      <c r="HD50" s="210"/>
      <c r="HE50" s="210"/>
      <c r="HF50" s="210"/>
      <c r="HG50" s="210"/>
      <c r="HH50" s="210"/>
      <c r="HI50" s="210"/>
      <c r="HJ50" s="210"/>
      <c r="HK50" s="210"/>
      <c r="HL50" s="210"/>
      <c r="HM50" s="210"/>
      <c r="HN50" s="210"/>
      <c r="HO50" s="210"/>
      <c r="HP50" s="210"/>
      <c r="HQ50" s="210"/>
      <c r="HR50" s="210"/>
      <c r="HS50" s="210"/>
      <c r="HT50" s="210"/>
      <c r="HU50" s="210"/>
      <c r="HV50" s="210"/>
      <c r="HW50" s="210"/>
      <c r="HX50" s="210"/>
      <c r="HY50" s="210"/>
      <c r="HZ50" s="210"/>
      <c r="IA50" s="210"/>
      <c r="IB50" s="210"/>
      <c r="IC50" s="210"/>
      <c r="ID50" s="210"/>
      <c r="IE50" s="210"/>
      <c r="IF50" s="210"/>
      <c r="IG50" s="210"/>
      <c r="IH50" s="210"/>
      <c r="II50" s="210"/>
      <c r="IJ50" s="210"/>
      <c r="IK50" s="210"/>
      <c r="IL50" s="210"/>
      <c r="IM50" s="210"/>
      <c r="IN50" s="210"/>
      <c r="IO50" s="210"/>
      <c r="IP50" s="210"/>
      <c r="IQ50" s="210"/>
      <c r="IR50" s="210"/>
      <c r="IS50" s="210"/>
      <c r="IT50" s="210"/>
      <c r="IU50" s="210"/>
      <c r="IV50" s="210"/>
    </row>
    <row r="51" customFormat="false" ht="14.4" hidden="false" customHeight="false" outlineLevel="0" collapsed="false">
      <c r="A51" s="195" t="n">
        <f aca="false">Data!$A51</f>
        <v>51</v>
      </c>
      <c r="B51" s="195" t="str">
        <f aca="false">Data!$B51</f>
        <v>B316A-EA04-DIA-MP-02</v>
      </c>
      <c r="C51" s="195" t="str">
        <f aca="false">Data!$C51</f>
        <v>Manipulator VERITAS</v>
      </c>
      <c r="D51" s="195" t="str">
        <f aca="false">Data!$D51</f>
        <v>Z</v>
      </c>
      <c r="E51" s="205" t="e">
        <f aca="true">INDEX(OFFSET(MOTION1!$A$2,0,0,SystemInfo!$B$1,1),MATCH(CONCATENATE(B51,D51),OFFSET(MOTION1!$J$2,0,0,SystemInfo!$B$1,1),0))</f>
        <v>#N/A</v>
      </c>
      <c r="F51" s="205" t="e">
        <f aca="true">INDEX(OFFSET(MOTION3!$A$2,0,0,SystemInfo!$B$1,1),MATCH(CONCATENATE(B51,D51),OFFSET(MOTION3!$J$2,0,0,SystemInfo!$B$1,1),0))</f>
        <v>#N/A</v>
      </c>
      <c r="G51" s="206" t="n">
        <f aca="false">INT(Data!$P51*Data!$L51)</f>
        <v>800</v>
      </c>
      <c r="H51" s="207" t="n">
        <v>1</v>
      </c>
      <c r="I51" s="206" t="n">
        <f aca="false">Data!U51</f>
        <v>0</v>
      </c>
      <c r="J51" s="206" t="str">
        <f aca="false">IF($I51="ABSENC",Data!$V51,"")</f>
        <v/>
      </c>
      <c r="K51" s="207" t="n">
        <v>1</v>
      </c>
      <c r="L51" s="206" t="str">
        <f aca="false">IF($I51="ENCIN",Data!$V51,"")</f>
        <v/>
      </c>
      <c r="M51" s="207" t="n">
        <v>1</v>
      </c>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8"/>
      <c r="CA51" s="208"/>
      <c r="CB51" s="208"/>
      <c r="CC51" s="208"/>
      <c r="CD51" s="208"/>
      <c r="CE51" s="208"/>
      <c r="CF51" s="208"/>
      <c r="CG51" s="208"/>
      <c r="CH51" s="208"/>
      <c r="CI51" s="208"/>
      <c r="CJ51" s="208"/>
      <c r="CK51" s="208"/>
      <c r="CL51" s="208"/>
      <c r="CM51" s="208"/>
      <c r="CN51" s="208"/>
      <c r="CO51" s="208"/>
      <c r="CP51" s="208"/>
      <c r="CQ51" s="208"/>
      <c r="CR51" s="208"/>
      <c r="CS51" s="208"/>
      <c r="CT51" s="208"/>
      <c r="CU51" s="208"/>
      <c r="CV51" s="208"/>
      <c r="CW51" s="208"/>
      <c r="CX51" s="208"/>
      <c r="CY51" s="208"/>
      <c r="CZ51" s="208"/>
      <c r="DA51" s="208"/>
      <c r="DB51" s="208"/>
      <c r="DC51" s="208"/>
      <c r="DD51" s="208"/>
      <c r="DE51" s="208"/>
      <c r="DF51" s="208"/>
      <c r="DG51" s="208"/>
      <c r="DH51" s="208"/>
      <c r="DI51" s="208"/>
      <c r="DJ51" s="208"/>
      <c r="DK51" s="208"/>
      <c r="DL51" s="208"/>
      <c r="DM51" s="208"/>
      <c r="DN51" s="208"/>
      <c r="DO51" s="208"/>
      <c r="DP51" s="208"/>
      <c r="DQ51" s="208"/>
      <c r="DR51" s="208"/>
      <c r="DS51" s="208"/>
      <c r="DT51" s="208"/>
      <c r="DU51" s="208"/>
      <c r="DV51" s="208"/>
      <c r="DW51" s="208"/>
      <c r="DX51" s="208"/>
      <c r="DY51" s="208"/>
      <c r="DZ51" s="208"/>
      <c r="EA51" s="208"/>
      <c r="EB51" s="208"/>
      <c r="EC51" s="208"/>
      <c r="ED51" s="208"/>
      <c r="EE51" s="208"/>
      <c r="EF51" s="208"/>
      <c r="EG51" s="208"/>
      <c r="EH51" s="208"/>
      <c r="EI51" s="208"/>
      <c r="EJ51" s="208"/>
      <c r="EK51" s="208"/>
      <c r="EL51" s="208"/>
      <c r="EM51" s="208"/>
      <c r="EN51" s="208"/>
      <c r="EO51" s="208"/>
      <c r="EP51" s="208"/>
      <c r="EQ51" s="208"/>
      <c r="ER51" s="208"/>
      <c r="ES51" s="208"/>
      <c r="ET51" s="208"/>
      <c r="EU51" s="208"/>
      <c r="EV51" s="208"/>
      <c r="EW51" s="208"/>
      <c r="EX51" s="208"/>
      <c r="EY51" s="208"/>
      <c r="EZ51" s="208"/>
      <c r="FA51" s="208"/>
      <c r="FB51" s="208"/>
      <c r="FC51" s="208"/>
      <c r="FD51" s="208"/>
      <c r="FE51" s="208"/>
      <c r="FF51" s="208"/>
      <c r="FG51" s="208"/>
      <c r="FH51" s="208"/>
      <c r="FI51" s="208"/>
      <c r="FJ51" s="208"/>
      <c r="FK51" s="208"/>
      <c r="FL51" s="208"/>
      <c r="FM51" s="208"/>
      <c r="FN51" s="208"/>
      <c r="FO51" s="208"/>
      <c r="FP51" s="208"/>
      <c r="FQ51" s="208"/>
      <c r="FR51" s="208"/>
      <c r="FS51" s="208"/>
      <c r="FT51" s="208"/>
      <c r="FU51" s="208"/>
      <c r="FV51" s="208"/>
      <c r="FW51" s="208"/>
      <c r="FX51" s="208"/>
      <c r="FY51" s="208"/>
      <c r="FZ51" s="208"/>
      <c r="GA51" s="208"/>
      <c r="GB51" s="208"/>
      <c r="GC51" s="208"/>
      <c r="GD51" s="208"/>
      <c r="GE51" s="208"/>
      <c r="GF51" s="208"/>
      <c r="GG51" s="208"/>
      <c r="GH51" s="208"/>
      <c r="GI51" s="208"/>
      <c r="GJ51" s="208"/>
      <c r="GK51" s="208"/>
      <c r="GL51" s="208"/>
      <c r="GM51" s="208"/>
      <c r="GN51" s="208"/>
      <c r="GO51" s="208"/>
      <c r="GP51" s="208"/>
      <c r="GQ51" s="208"/>
      <c r="GR51" s="208"/>
      <c r="GS51" s="208"/>
      <c r="GT51" s="208"/>
      <c r="GU51" s="208"/>
      <c r="GV51" s="208"/>
      <c r="GW51" s="208"/>
      <c r="GX51" s="208"/>
      <c r="GY51" s="208"/>
      <c r="GZ51" s="208"/>
      <c r="HA51" s="208"/>
      <c r="HB51" s="208"/>
      <c r="HC51" s="208"/>
      <c r="HD51" s="208"/>
      <c r="HE51" s="208"/>
      <c r="HF51" s="208"/>
      <c r="HG51" s="208"/>
      <c r="HH51" s="208"/>
      <c r="HI51" s="208"/>
      <c r="HJ51" s="208"/>
      <c r="HK51" s="208"/>
      <c r="HL51" s="208"/>
      <c r="HM51" s="208"/>
      <c r="HN51" s="208"/>
      <c r="HO51" s="208"/>
      <c r="HP51" s="208"/>
      <c r="HQ51" s="208"/>
      <c r="HR51" s="208"/>
      <c r="HS51" s="208"/>
      <c r="HT51" s="208"/>
      <c r="HU51" s="208"/>
      <c r="HV51" s="208"/>
      <c r="HW51" s="208"/>
      <c r="HX51" s="208"/>
      <c r="HY51" s="208"/>
      <c r="HZ51" s="208"/>
      <c r="IA51" s="208"/>
      <c r="IB51" s="208"/>
      <c r="IC51" s="208"/>
      <c r="ID51" s="208"/>
      <c r="IE51" s="208"/>
      <c r="IF51" s="208"/>
      <c r="IG51" s="208"/>
      <c r="IH51" s="208"/>
      <c r="II51" s="208"/>
      <c r="IJ51" s="208"/>
      <c r="IK51" s="208"/>
      <c r="IL51" s="208"/>
      <c r="IM51" s="208"/>
      <c r="IN51" s="208"/>
      <c r="IO51" s="208"/>
      <c r="IP51" s="208"/>
      <c r="IQ51" s="208"/>
      <c r="IR51" s="208"/>
      <c r="IS51" s="208"/>
      <c r="IT51" s="208"/>
      <c r="IU51" s="208"/>
      <c r="IV51" s="208"/>
    </row>
    <row r="52" customFormat="false" ht="14.4" hidden="false" customHeight="false" outlineLevel="0" collapsed="false">
      <c r="A52" s="195" t="n">
        <f aca="false">Data!$A52</f>
        <v>52</v>
      </c>
      <c r="B52" s="195" t="str">
        <f aca="false">Data!$B52</f>
        <v>B316A-EA04-DIA-MP-02</v>
      </c>
      <c r="C52" s="195" t="str">
        <f aca="false">Data!$C52</f>
        <v>Manipulator VERITAS</v>
      </c>
      <c r="D52" s="195" t="str">
        <f aca="false">Data!$D52</f>
        <v>Y</v>
      </c>
      <c r="E52" s="205" t="e">
        <f aca="true">INDEX(OFFSET(MOTION1!$A$2,0,0,SystemInfo!$B$1,1),MATCH(CONCATENATE(B52,D52),OFFSET(MOTION1!$J$2,0,0,SystemInfo!$B$1,1),0))</f>
        <v>#N/A</v>
      </c>
      <c r="F52" s="205" t="e">
        <f aca="true">INDEX(OFFSET(MOTION3!$A$2,0,0,SystemInfo!$B$1,1),MATCH(CONCATENATE(B52,D52),OFFSET(MOTION3!$J$2,0,0,SystemInfo!$B$1,1),0))</f>
        <v>#N/A</v>
      </c>
      <c r="G52" s="206" t="n">
        <f aca="false">INT(Data!$P52*Data!$L52)</f>
        <v>800</v>
      </c>
      <c r="H52" s="207" t="n">
        <v>1</v>
      </c>
      <c r="I52" s="206" t="n">
        <f aca="false">Data!U52</f>
        <v>0</v>
      </c>
      <c r="J52" s="206" t="str">
        <f aca="false">IF($I52="ABSENC",Data!$V52,"")</f>
        <v/>
      </c>
      <c r="K52" s="207" t="n">
        <v>1</v>
      </c>
      <c r="L52" s="206" t="str">
        <f aca="false">IF($I52="ENCIN",Data!$V52,"")</f>
        <v/>
      </c>
      <c r="M52" s="207" t="n">
        <v>1</v>
      </c>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c r="BZ52" s="208"/>
      <c r="CA52" s="208"/>
      <c r="CB52" s="208"/>
      <c r="CC52" s="208"/>
      <c r="CD52" s="208"/>
      <c r="CE52" s="208"/>
      <c r="CF52" s="208"/>
      <c r="CG52" s="208"/>
      <c r="CH52" s="208"/>
      <c r="CI52" s="208"/>
      <c r="CJ52" s="208"/>
      <c r="CK52" s="208"/>
      <c r="CL52" s="208"/>
      <c r="CM52" s="208"/>
      <c r="CN52" s="208"/>
      <c r="CO52" s="208"/>
      <c r="CP52" s="208"/>
      <c r="CQ52" s="208"/>
      <c r="CR52" s="208"/>
      <c r="CS52" s="208"/>
      <c r="CT52" s="208"/>
      <c r="CU52" s="208"/>
      <c r="CV52" s="208"/>
      <c r="CW52" s="208"/>
      <c r="CX52" s="208"/>
      <c r="CY52" s="208"/>
      <c r="CZ52" s="208"/>
      <c r="DA52" s="208"/>
      <c r="DB52" s="208"/>
      <c r="DC52" s="208"/>
      <c r="DD52" s="208"/>
      <c r="DE52" s="208"/>
      <c r="DF52" s="208"/>
      <c r="DG52" s="208"/>
      <c r="DH52" s="208"/>
      <c r="DI52" s="208"/>
      <c r="DJ52" s="208"/>
      <c r="DK52" s="208"/>
      <c r="DL52" s="208"/>
      <c r="DM52" s="208"/>
      <c r="DN52" s="208"/>
      <c r="DO52" s="208"/>
      <c r="DP52" s="208"/>
      <c r="DQ52" s="208"/>
      <c r="DR52" s="208"/>
      <c r="DS52" s="208"/>
      <c r="DT52" s="208"/>
      <c r="DU52" s="208"/>
      <c r="DV52" s="208"/>
      <c r="DW52" s="208"/>
      <c r="DX52" s="208"/>
      <c r="DY52" s="208"/>
      <c r="DZ52" s="208"/>
      <c r="EA52" s="208"/>
      <c r="EB52" s="208"/>
      <c r="EC52" s="208"/>
      <c r="ED52" s="208"/>
      <c r="EE52" s="208"/>
      <c r="EF52" s="208"/>
      <c r="EG52" s="208"/>
      <c r="EH52" s="208"/>
      <c r="EI52" s="208"/>
      <c r="EJ52" s="208"/>
      <c r="EK52" s="208"/>
      <c r="EL52" s="208"/>
      <c r="EM52" s="208"/>
      <c r="EN52" s="208"/>
      <c r="EO52" s="208"/>
      <c r="EP52" s="208"/>
      <c r="EQ52" s="208"/>
      <c r="ER52" s="208"/>
      <c r="ES52" s="208"/>
      <c r="ET52" s="208"/>
      <c r="EU52" s="208"/>
      <c r="EV52" s="208"/>
      <c r="EW52" s="208"/>
      <c r="EX52" s="208"/>
      <c r="EY52" s="208"/>
      <c r="EZ52" s="208"/>
      <c r="FA52" s="208"/>
      <c r="FB52" s="208"/>
      <c r="FC52" s="208"/>
      <c r="FD52" s="208"/>
      <c r="FE52" s="208"/>
      <c r="FF52" s="208"/>
      <c r="FG52" s="208"/>
      <c r="FH52" s="208"/>
      <c r="FI52" s="208"/>
      <c r="FJ52" s="208"/>
      <c r="FK52" s="208"/>
      <c r="FL52" s="208"/>
      <c r="FM52" s="208"/>
      <c r="FN52" s="208"/>
      <c r="FO52" s="208"/>
      <c r="FP52" s="208"/>
      <c r="FQ52" s="208"/>
      <c r="FR52" s="208"/>
      <c r="FS52" s="208"/>
      <c r="FT52" s="208"/>
      <c r="FU52" s="208"/>
      <c r="FV52" s="208"/>
      <c r="FW52" s="208"/>
      <c r="FX52" s="208"/>
      <c r="FY52" s="208"/>
      <c r="FZ52" s="208"/>
      <c r="GA52" s="208"/>
      <c r="GB52" s="208"/>
      <c r="GC52" s="208"/>
      <c r="GD52" s="208"/>
      <c r="GE52" s="208"/>
      <c r="GF52" s="208"/>
      <c r="GG52" s="208"/>
      <c r="GH52" s="208"/>
      <c r="GI52" s="208"/>
      <c r="GJ52" s="208"/>
      <c r="GK52" s="208"/>
      <c r="GL52" s="208"/>
      <c r="GM52" s="208"/>
      <c r="GN52" s="208"/>
      <c r="GO52" s="208"/>
      <c r="GP52" s="208"/>
      <c r="GQ52" s="208"/>
      <c r="GR52" s="208"/>
      <c r="GS52" s="208"/>
      <c r="GT52" s="208"/>
      <c r="GU52" s="208"/>
      <c r="GV52" s="208"/>
      <c r="GW52" s="208"/>
      <c r="GX52" s="208"/>
      <c r="GY52" s="208"/>
      <c r="GZ52" s="208"/>
      <c r="HA52" s="208"/>
      <c r="HB52" s="208"/>
      <c r="HC52" s="208"/>
      <c r="HD52" s="208"/>
      <c r="HE52" s="208"/>
      <c r="HF52" s="208"/>
      <c r="HG52" s="208"/>
      <c r="HH52" s="208"/>
      <c r="HI52" s="208"/>
      <c r="HJ52" s="208"/>
      <c r="HK52" s="208"/>
      <c r="HL52" s="208"/>
      <c r="HM52" s="208"/>
      <c r="HN52" s="208"/>
      <c r="HO52" s="208"/>
      <c r="HP52" s="208"/>
      <c r="HQ52" s="208"/>
      <c r="HR52" s="208"/>
      <c r="HS52" s="208"/>
      <c r="HT52" s="208"/>
      <c r="HU52" s="208"/>
      <c r="HV52" s="208"/>
      <c r="HW52" s="208"/>
      <c r="HX52" s="208"/>
      <c r="HY52" s="208"/>
      <c r="HZ52" s="208"/>
      <c r="IA52" s="208"/>
      <c r="IB52" s="208"/>
      <c r="IC52" s="208"/>
      <c r="ID52" s="208"/>
      <c r="IE52" s="208"/>
      <c r="IF52" s="208"/>
      <c r="IG52" s="208"/>
      <c r="IH52" s="208"/>
      <c r="II52" s="208"/>
      <c r="IJ52" s="208"/>
      <c r="IK52" s="208"/>
      <c r="IL52" s="208"/>
      <c r="IM52" s="208"/>
      <c r="IN52" s="208"/>
      <c r="IO52" s="208"/>
      <c r="IP52" s="208"/>
      <c r="IQ52" s="208"/>
      <c r="IR52" s="208"/>
      <c r="IS52" s="208"/>
      <c r="IT52" s="208"/>
      <c r="IU52" s="208"/>
      <c r="IV52" s="208"/>
    </row>
    <row r="53" customFormat="false" ht="14.4" hidden="false" customHeight="false" outlineLevel="0" collapsed="false">
      <c r="A53" s="195" t="n">
        <f aca="false">Data!$A53</f>
        <v>53</v>
      </c>
      <c r="B53" s="195" t="str">
        <f aca="false">Data!$B53</f>
        <v>B316A-EB03-OPT-BAFF-01</v>
      </c>
      <c r="C53" s="195" t="str">
        <f aca="false">Data!$C53</f>
        <v>M4 Baffles VERITAS</v>
      </c>
      <c r="D53" s="195" t="str">
        <f aca="false">Data!$D53</f>
        <v>VT</v>
      </c>
      <c r="E53" s="205" t="str">
        <f aca="true">INDEX(OFFSET(MOTION1!$A$2,0,0,SystemInfo!$B$1,1),MATCH(CONCATENATE(B53,D53),OFFSET(MOTION1!$J$2,0,0,SystemInfo!$B$1,1),0))</f>
        <v>W050829</v>
      </c>
      <c r="F53" s="205" t="str">
        <f aca="true">INDEX(OFFSET(MOTION3!$A$2,0,0,SystemInfo!$B$1,1),MATCH(CONCATENATE(B53,D53),OFFSET(MOTION3!$J$2,0,0,SystemInfo!$B$1,1),0))</f>
        <v>W050830</v>
      </c>
      <c r="G53" s="206" t="n">
        <f aca="false">INT(Data!$P53*Data!$L53)</f>
        <v>400</v>
      </c>
      <c r="H53" s="207" t="n">
        <v>1</v>
      </c>
      <c r="I53" s="206" t="str">
        <f aca="false">Data!U53</f>
        <v>ABSENC</v>
      </c>
      <c r="J53" s="206" t="n">
        <f aca="false">IF($I53="ABSENC",Data!$V53,"")</f>
        <v>1000000</v>
      </c>
      <c r="K53" s="207" t="n">
        <v>1</v>
      </c>
      <c r="L53" s="206" t="str">
        <f aca="false">IF($I53="ENCIN",Data!$V53,"")</f>
        <v/>
      </c>
      <c r="M53" s="207" t="n">
        <v>1</v>
      </c>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c r="BZ53" s="208"/>
      <c r="CA53" s="208"/>
      <c r="CB53" s="208"/>
      <c r="CC53" s="208"/>
      <c r="CD53" s="208"/>
      <c r="CE53" s="208"/>
      <c r="CF53" s="208"/>
      <c r="CG53" s="208"/>
      <c r="CH53" s="208"/>
      <c r="CI53" s="208"/>
      <c r="CJ53" s="208"/>
      <c r="CK53" s="208"/>
      <c r="CL53" s="208"/>
      <c r="CM53" s="208"/>
      <c r="CN53" s="208"/>
      <c r="CO53" s="208"/>
      <c r="CP53" s="208"/>
      <c r="CQ53" s="208"/>
      <c r="CR53" s="208"/>
      <c r="CS53" s="208"/>
      <c r="CT53" s="208"/>
      <c r="CU53" s="208"/>
      <c r="CV53" s="208"/>
      <c r="CW53" s="208"/>
      <c r="CX53" s="208"/>
      <c r="CY53" s="208"/>
      <c r="CZ53" s="208"/>
      <c r="DA53" s="208"/>
      <c r="DB53" s="208"/>
      <c r="DC53" s="208"/>
      <c r="DD53" s="208"/>
      <c r="DE53" s="208"/>
      <c r="DF53" s="208"/>
      <c r="DG53" s="208"/>
      <c r="DH53" s="208"/>
      <c r="DI53" s="208"/>
      <c r="DJ53" s="208"/>
      <c r="DK53" s="208"/>
      <c r="DL53" s="208"/>
      <c r="DM53" s="208"/>
      <c r="DN53" s="208"/>
      <c r="DO53" s="208"/>
      <c r="DP53" s="208"/>
      <c r="DQ53" s="208"/>
      <c r="DR53" s="208"/>
      <c r="DS53" s="208"/>
      <c r="DT53" s="208"/>
      <c r="DU53" s="208"/>
      <c r="DV53" s="208"/>
      <c r="DW53" s="208"/>
      <c r="DX53" s="208"/>
      <c r="DY53" s="208"/>
      <c r="DZ53" s="208"/>
      <c r="EA53" s="208"/>
      <c r="EB53" s="208"/>
      <c r="EC53" s="208"/>
      <c r="ED53" s="208"/>
      <c r="EE53" s="208"/>
      <c r="EF53" s="208"/>
      <c r="EG53" s="208"/>
      <c r="EH53" s="208"/>
      <c r="EI53" s="208"/>
      <c r="EJ53" s="208"/>
      <c r="EK53" s="208"/>
      <c r="EL53" s="208"/>
      <c r="EM53" s="208"/>
      <c r="EN53" s="208"/>
      <c r="EO53" s="208"/>
      <c r="EP53" s="208"/>
      <c r="EQ53" s="208"/>
      <c r="ER53" s="208"/>
      <c r="ES53" s="208"/>
      <c r="ET53" s="208"/>
      <c r="EU53" s="208"/>
      <c r="EV53" s="208"/>
      <c r="EW53" s="208"/>
      <c r="EX53" s="208"/>
      <c r="EY53" s="208"/>
      <c r="EZ53" s="208"/>
      <c r="FA53" s="208"/>
      <c r="FB53" s="208"/>
      <c r="FC53" s="208"/>
      <c r="FD53" s="208"/>
      <c r="FE53" s="208"/>
      <c r="FF53" s="208"/>
      <c r="FG53" s="208"/>
      <c r="FH53" s="208"/>
      <c r="FI53" s="208"/>
      <c r="FJ53" s="208"/>
      <c r="FK53" s="208"/>
      <c r="FL53" s="208"/>
      <c r="FM53" s="208"/>
      <c r="FN53" s="208"/>
      <c r="FO53" s="208"/>
      <c r="FP53" s="208"/>
      <c r="FQ53" s="208"/>
      <c r="FR53" s="208"/>
      <c r="FS53" s="208"/>
      <c r="FT53" s="208"/>
      <c r="FU53" s="208"/>
      <c r="FV53" s="208"/>
      <c r="FW53" s="208"/>
      <c r="FX53" s="208"/>
      <c r="FY53" s="208"/>
      <c r="FZ53" s="208"/>
      <c r="GA53" s="208"/>
      <c r="GB53" s="208"/>
      <c r="GC53" s="208"/>
      <c r="GD53" s="208"/>
      <c r="GE53" s="208"/>
      <c r="GF53" s="208"/>
      <c r="GG53" s="208"/>
      <c r="GH53" s="208"/>
      <c r="GI53" s="208"/>
      <c r="GJ53" s="208"/>
      <c r="GK53" s="208"/>
      <c r="GL53" s="208"/>
      <c r="GM53" s="208"/>
      <c r="GN53" s="208"/>
      <c r="GO53" s="208"/>
      <c r="GP53" s="208"/>
      <c r="GQ53" s="208"/>
      <c r="GR53" s="208"/>
      <c r="GS53" s="208"/>
      <c r="GT53" s="208"/>
      <c r="GU53" s="208"/>
      <c r="GV53" s="208"/>
      <c r="GW53" s="208"/>
      <c r="GX53" s="208"/>
      <c r="GY53" s="208"/>
      <c r="GZ53" s="208"/>
      <c r="HA53" s="208"/>
      <c r="HB53" s="208"/>
      <c r="HC53" s="208"/>
      <c r="HD53" s="208"/>
      <c r="HE53" s="208"/>
      <c r="HF53" s="208"/>
      <c r="HG53" s="208"/>
      <c r="HH53" s="208"/>
      <c r="HI53" s="208"/>
      <c r="HJ53" s="208"/>
      <c r="HK53" s="208"/>
      <c r="HL53" s="208"/>
      <c r="HM53" s="208"/>
      <c r="HN53" s="208"/>
      <c r="HO53" s="208"/>
      <c r="HP53" s="208"/>
      <c r="HQ53" s="208"/>
      <c r="HR53" s="208"/>
      <c r="HS53" s="208"/>
      <c r="HT53" s="208"/>
      <c r="HU53" s="208"/>
      <c r="HV53" s="208"/>
      <c r="HW53" s="208"/>
      <c r="HX53" s="208"/>
      <c r="HY53" s="208"/>
      <c r="HZ53" s="208"/>
      <c r="IA53" s="208"/>
      <c r="IB53" s="208"/>
      <c r="IC53" s="208"/>
      <c r="ID53" s="208"/>
      <c r="IE53" s="208"/>
      <c r="IF53" s="208"/>
      <c r="IG53" s="208"/>
      <c r="IH53" s="208"/>
      <c r="II53" s="208"/>
      <c r="IJ53" s="208"/>
      <c r="IK53" s="208"/>
      <c r="IL53" s="208"/>
      <c r="IM53" s="208"/>
      <c r="IN53" s="208"/>
      <c r="IO53" s="208"/>
      <c r="IP53" s="208"/>
      <c r="IQ53" s="208"/>
      <c r="IR53" s="208"/>
      <c r="IS53" s="208"/>
      <c r="IT53" s="208"/>
      <c r="IU53" s="208"/>
      <c r="IV53" s="208"/>
    </row>
    <row r="54" customFormat="false" ht="14.4" hidden="false" customHeight="false" outlineLevel="0" collapsed="false">
      <c r="A54" s="195" t="n">
        <f aca="false">Data!$A54</f>
        <v>1</v>
      </c>
      <c r="B54" s="195" t="str">
        <f aca="false">Data!$B54</f>
        <v>B316A-EB03-OPT-BAFF-01</v>
      </c>
      <c r="C54" s="195" t="str">
        <f aca="false">Data!$C54</f>
        <v>M4 Baffles VERITAS</v>
      </c>
      <c r="D54" s="195" t="str">
        <f aca="false">Data!$D54</f>
        <v>VB</v>
      </c>
      <c r="E54" s="205" t="str">
        <f aca="true">INDEX(OFFSET(MOTION1!$A$2,0,0,SystemInfo!$B$1,1),MATCH(CONCATENATE(B54,D54),OFFSET(MOTION1!$J$2,0,0,SystemInfo!$B$1,1),0))</f>
        <v>W050831</v>
      </c>
      <c r="F54" s="205" t="str">
        <f aca="true">INDEX(OFFSET(MOTION3!$A$2,0,0,SystemInfo!$B$1,1),MATCH(CONCATENATE(B54,D54),OFFSET(MOTION3!$J$2,0,0,SystemInfo!$B$1,1),0))</f>
        <v>W050832</v>
      </c>
      <c r="G54" s="206" t="n">
        <f aca="false">INT(Data!$P54*Data!$L54)</f>
        <v>400</v>
      </c>
      <c r="H54" s="207" t="n">
        <v>1</v>
      </c>
      <c r="I54" s="206" t="str">
        <f aca="false">Data!U54</f>
        <v>ABSENC</v>
      </c>
      <c r="J54" s="206" t="n">
        <f aca="false">IF($I54="ABSENC",Data!$V54,"")</f>
        <v>1000000</v>
      </c>
      <c r="K54" s="207" t="n">
        <v>1</v>
      </c>
      <c r="L54" s="206" t="str">
        <f aca="false">IF($I54="ENCIN",Data!$V54,"")</f>
        <v/>
      </c>
      <c r="M54" s="207" t="n">
        <v>1</v>
      </c>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c r="BZ54" s="208"/>
      <c r="CA54" s="208"/>
      <c r="CB54" s="208"/>
      <c r="CC54" s="208"/>
      <c r="CD54" s="208"/>
      <c r="CE54" s="208"/>
      <c r="CF54" s="208"/>
      <c r="CG54" s="208"/>
      <c r="CH54" s="208"/>
      <c r="CI54" s="208"/>
      <c r="CJ54" s="208"/>
      <c r="CK54" s="208"/>
      <c r="CL54" s="208"/>
      <c r="CM54" s="208"/>
      <c r="CN54" s="208"/>
      <c r="CO54" s="208"/>
      <c r="CP54" s="208"/>
      <c r="CQ54" s="208"/>
      <c r="CR54" s="208"/>
      <c r="CS54" s="208"/>
      <c r="CT54" s="208"/>
      <c r="CU54" s="208"/>
      <c r="CV54" s="208"/>
      <c r="CW54" s="208"/>
      <c r="CX54" s="208"/>
      <c r="CY54" s="208"/>
      <c r="CZ54" s="208"/>
      <c r="DA54" s="208"/>
      <c r="DB54" s="208"/>
      <c r="DC54" s="208"/>
      <c r="DD54" s="208"/>
      <c r="DE54" s="208"/>
      <c r="DF54" s="208"/>
      <c r="DG54" s="208"/>
      <c r="DH54" s="208"/>
      <c r="DI54" s="208"/>
      <c r="DJ54" s="208"/>
      <c r="DK54" s="208"/>
      <c r="DL54" s="208"/>
      <c r="DM54" s="208"/>
      <c r="DN54" s="208"/>
      <c r="DO54" s="208"/>
      <c r="DP54" s="208"/>
      <c r="DQ54" s="208"/>
      <c r="DR54" s="208"/>
      <c r="DS54" s="208"/>
      <c r="DT54" s="208"/>
      <c r="DU54" s="208"/>
      <c r="DV54" s="208"/>
      <c r="DW54" s="208"/>
      <c r="DX54" s="208"/>
      <c r="DY54" s="208"/>
      <c r="DZ54" s="208"/>
      <c r="EA54" s="208"/>
      <c r="EB54" s="208"/>
      <c r="EC54" s="208"/>
      <c r="ED54" s="208"/>
      <c r="EE54" s="208"/>
      <c r="EF54" s="208"/>
      <c r="EG54" s="208"/>
      <c r="EH54" s="208"/>
      <c r="EI54" s="208"/>
      <c r="EJ54" s="208"/>
      <c r="EK54" s="208"/>
      <c r="EL54" s="208"/>
      <c r="EM54" s="208"/>
      <c r="EN54" s="208"/>
      <c r="EO54" s="208"/>
      <c r="EP54" s="208"/>
      <c r="EQ54" s="208"/>
      <c r="ER54" s="208"/>
      <c r="ES54" s="208"/>
      <c r="ET54" s="208"/>
      <c r="EU54" s="208"/>
      <c r="EV54" s="208"/>
      <c r="EW54" s="208"/>
      <c r="EX54" s="208"/>
      <c r="EY54" s="208"/>
      <c r="EZ54" s="208"/>
      <c r="FA54" s="208"/>
      <c r="FB54" s="208"/>
      <c r="FC54" s="208"/>
      <c r="FD54" s="208"/>
      <c r="FE54" s="208"/>
      <c r="FF54" s="208"/>
      <c r="FG54" s="208"/>
      <c r="FH54" s="208"/>
      <c r="FI54" s="208"/>
      <c r="FJ54" s="208"/>
      <c r="FK54" s="208"/>
      <c r="FL54" s="208"/>
      <c r="FM54" s="208"/>
      <c r="FN54" s="208"/>
      <c r="FO54" s="208"/>
      <c r="FP54" s="208"/>
      <c r="FQ54" s="208"/>
      <c r="FR54" s="208"/>
      <c r="FS54" s="208"/>
      <c r="FT54" s="208"/>
      <c r="FU54" s="208"/>
      <c r="FV54" s="208"/>
      <c r="FW54" s="208"/>
      <c r="FX54" s="208"/>
      <c r="FY54" s="208"/>
      <c r="FZ54" s="208"/>
      <c r="GA54" s="208"/>
      <c r="GB54" s="208"/>
      <c r="GC54" s="208"/>
      <c r="GD54" s="208"/>
      <c r="GE54" s="208"/>
      <c r="GF54" s="208"/>
      <c r="GG54" s="208"/>
      <c r="GH54" s="208"/>
      <c r="GI54" s="208"/>
      <c r="GJ54" s="208"/>
      <c r="GK54" s="208"/>
      <c r="GL54" s="208"/>
      <c r="GM54" s="208"/>
      <c r="GN54" s="208"/>
      <c r="GO54" s="208"/>
      <c r="GP54" s="208"/>
      <c r="GQ54" s="208"/>
      <c r="GR54" s="208"/>
      <c r="GS54" s="208"/>
      <c r="GT54" s="208"/>
      <c r="GU54" s="208"/>
      <c r="GV54" s="208"/>
      <c r="GW54" s="208"/>
      <c r="GX54" s="208"/>
      <c r="GY54" s="208"/>
      <c r="GZ54" s="208"/>
      <c r="HA54" s="208"/>
      <c r="HB54" s="208"/>
      <c r="HC54" s="208"/>
      <c r="HD54" s="208"/>
      <c r="HE54" s="208"/>
      <c r="HF54" s="208"/>
      <c r="HG54" s="208"/>
      <c r="HH54" s="208"/>
      <c r="HI54" s="208"/>
      <c r="HJ54" s="208"/>
      <c r="HK54" s="208"/>
      <c r="HL54" s="208"/>
      <c r="HM54" s="208"/>
      <c r="HN54" s="208"/>
      <c r="HO54" s="208"/>
      <c r="HP54" s="208"/>
      <c r="HQ54" s="208"/>
      <c r="HR54" s="208"/>
      <c r="HS54" s="208"/>
      <c r="HT54" s="208"/>
      <c r="HU54" s="208"/>
      <c r="HV54" s="208"/>
      <c r="HW54" s="208"/>
      <c r="HX54" s="208"/>
      <c r="HY54" s="208"/>
      <c r="HZ54" s="208"/>
      <c r="IA54" s="208"/>
      <c r="IB54" s="208"/>
      <c r="IC54" s="208"/>
      <c r="ID54" s="208"/>
      <c r="IE54" s="208"/>
      <c r="IF54" s="208"/>
      <c r="IG54" s="208"/>
      <c r="IH54" s="208"/>
      <c r="II54" s="208"/>
      <c r="IJ54" s="208"/>
      <c r="IK54" s="208"/>
      <c r="IL54" s="208"/>
      <c r="IM54" s="208"/>
      <c r="IN54" s="208"/>
      <c r="IO54" s="208"/>
      <c r="IP54" s="208"/>
      <c r="IQ54" s="208"/>
      <c r="IR54" s="208"/>
      <c r="IS54" s="208"/>
      <c r="IT54" s="208"/>
      <c r="IU54" s="208"/>
      <c r="IV54" s="208"/>
    </row>
    <row r="55" customFormat="false" ht="14.4" hidden="false" customHeight="false" outlineLevel="0" collapsed="false">
      <c r="A55" s="195" t="n">
        <f aca="false">Data!$A55</f>
        <v>55</v>
      </c>
      <c r="B55" s="195" t="str">
        <f aca="false">Data!$B55</f>
        <v>B316A-EB03-OPT-BAFF-01</v>
      </c>
      <c r="C55" s="195" t="str">
        <f aca="false">Data!$C55</f>
        <v>M4 Baffles VERITAS</v>
      </c>
      <c r="D55" s="195" t="str">
        <f aca="false">Data!$D55</f>
        <v>HL</v>
      </c>
      <c r="E55" s="205" t="str">
        <f aca="true">INDEX(OFFSET(MOTION1!$A$2,0,0,SystemInfo!$B$1,1),MATCH(CONCATENATE(B55,D55),OFFSET(MOTION1!$J$2,0,0,SystemInfo!$B$1,1),0))</f>
        <v>W050833</v>
      </c>
      <c r="F55" s="205" t="str">
        <f aca="true">INDEX(OFFSET(MOTION3!$A$2,0,0,SystemInfo!$B$1,1),MATCH(CONCATENATE(B55,D55),OFFSET(MOTION3!$J$2,0,0,SystemInfo!$B$1,1),0))</f>
        <v>W050834</v>
      </c>
      <c r="G55" s="206" t="n">
        <f aca="false">INT(Data!$P55*Data!$L55)</f>
        <v>400</v>
      </c>
      <c r="H55" s="207" t="n">
        <v>1</v>
      </c>
      <c r="I55" s="206" t="str">
        <f aca="false">Data!U55</f>
        <v>ABSENC</v>
      </c>
      <c r="J55" s="206" t="n">
        <f aca="false">IF($I55="ABSENC",Data!$V55,"")</f>
        <v>1000000</v>
      </c>
      <c r="K55" s="207" t="n">
        <v>1</v>
      </c>
      <c r="L55" s="206" t="str">
        <f aca="false">IF($I55="ENCIN",Data!$V55,"")</f>
        <v/>
      </c>
      <c r="M55" s="207" t="n">
        <v>1</v>
      </c>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c r="BZ55" s="208"/>
      <c r="CA55" s="208"/>
      <c r="CB55" s="208"/>
      <c r="CC55" s="208"/>
      <c r="CD55" s="208"/>
      <c r="CE55" s="208"/>
      <c r="CF55" s="208"/>
      <c r="CG55" s="208"/>
      <c r="CH55" s="208"/>
      <c r="CI55" s="208"/>
      <c r="CJ55" s="208"/>
      <c r="CK55" s="208"/>
      <c r="CL55" s="208"/>
      <c r="CM55" s="208"/>
      <c r="CN55" s="208"/>
      <c r="CO55" s="208"/>
      <c r="CP55" s="208"/>
      <c r="CQ55" s="208"/>
      <c r="CR55" s="208"/>
      <c r="CS55" s="208"/>
      <c r="CT55" s="208"/>
      <c r="CU55" s="208"/>
      <c r="CV55" s="208"/>
      <c r="CW55" s="208"/>
      <c r="CX55" s="208"/>
      <c r="CY55" s="208"/>
      <c r="CZ55" s="208"/>
      <c r="DA55" s="208"/>
      <c r="DB55" s="208"/>
      <c r="DC55" s="208"/>
      <c r="DD55" s="208"/>
      <c r="DE55" s="208"/>
      <c r="DF55" s="208"/>
      <c r="DG55" s="208"/>
      <c r="DH55" s="208"/>
      <c r="DI55" s="208"/>
      <c r="DJ55" s="208"/>
      <c r="DK55" s="208"/>
      <c r="DL55" s="208"/>
      <c r="DM55" s="208"/>
      <c r="DN55" s="208"/>
      <c r="DO55" s="208"/>
      <c r="DP55" s="208"/>
      <c r="DQ55" s="208"/>
      <c r="DR55" s="208"/>
      <c r="DS55" s="208"/>
      <c r="DT55" s="208"/>
      <c r="DU55" s="208"/>
      <c r="DV55" s="208"/>
      <c r="DW55" s="208"/>
      <c r="DX55" s="208"/>
      <c r="DY55" s="208"/>
      <c r="DZ55" s="208"/>
      <c r="EA55" s="208"/>
      <c r="EB55" s="208"/>
      <c r="EC55" s="208"/>
      <c r="ED55" s="208"/>
      <c r="EE55" s="208"/>
      <c r="EF55" s="208"/>
      <c r="EG55" s="208"/>
      <c r="EH55" s="208"/>
      <c r="EI55" s="208"/>
      <c r="EJ55" s="208"/>
      <c r="EK55" s="208"/>
      <c r="EL55" s="208"/>
      <c r="EM55" s="208"/>
      <c r="EN55" s="208"/>
      <c r="EO55" s="208"/>
      <c r="EP55" s="208"/>
      <c r="EQ55" s="208"/>
      <c r="ER55" s="208"/>
      <c r="ES55" s="208"/>
      <c r="ET55" s="208"/>
      <c r="EU55" s="208"/>
      <c r="EV55" s="208"/>
      <c r="EW55" s="208"/>
      <c r="EX55" s="208"/>
      <c r="EY55" s="208"/>
      <c r="EZ55" s="208"/>
      <c r="FA55" s="208"/>
      <c r="FB55" s="208"/>
      <c r="FC55" s="208"/>
      <c r="FD55" s="208"/>
      <c r="FE55" s="208"/>
      <c r="FF55" s="208"/>
      <c r="FG55" s="208"/>
      <c r="FH55" s="208"/>
      <c r="FI55" s="208"/>
      <c r="FJ55" s="208"/>
      <c r="FK55" s="208"/>
      <c r="FL55" s="208"/>
      <c r="FM55" s="208"/>
      <c r="FN55" s="208"/>
      <c r="FO55" s="208"/>
      <c r="FP55" s="208"/>
      <c r="FQ55" s="208"/>
      <c r="FR55" s="208"/>
      <c r="FS55" s="208"/>
      <c r="FT55" s="208"/>
      <c r="FU55" s="208"/>
      <c r="FV55" s="208"/>
      <c r="FW55" s="208"/>
      <c r="FX55" s="208"/>
      <c r="FY55" s="208"/>
      <c r="FZ55" s="208"/>
      <c r="GA55" s="208"/>
      <c r="GB55" s="208"/>
      <c r="GC55" s="208"/>
      <c r="GD55" s="208"/>
      <c r="GE55" s="208"/>
      <c r="GF55" s="208"/>
      <c r="GG55" s="208"/>
      <c r="GH55" s="208"/>
      <c r="GI55" s="208"/>
      <c r="GJ55" s="208"/>
      <c r="GK55" s="208"/>
      <c r="GL55" s="208"/>
      <c r="GM55" s="208"/>
      <c r="GN55" s="208"/>
      <c r="GO55" s="208"/>
      <c r="GP55" s="208"/>
      <c r="GQ55" s="208"/>
      <c r="GR55" s="208"/>
      <c r="GS55" s="208"/>
      <c r="GT55" s="208"/>
      <c r="GU55" s="208"/>
      <c r="GV55" s="208"/>
      <c r="GW55" s="208"/>
      <c r="GX55" s="208"/>
      <c r="GY55" s="208"/>
      <c r="GZ55" s="208"/>
      <c r="HA55" s="208"/>
      <c r="HB55" s="208"/>
      <c r="HC55" s="208"/>
      <c r="HD55" s="208"/>
      <c r="HE55" s="208"/>
      <c r="HF55" s="208"/>
      <c r="HG55" s="208"/>
      <c r="HH55" s="208"/>
      <c r="HI55" s="208"/>
      <c r="HJ55" s="208"/>
      <c r="HK55" s="208"/>
      <c r="HL55" s="208"/>
      <c r="HM55" s="208"/>
      <c r="HN55" s="208"/>
      <c r="HO55" s="208"/>
      <c r="HP55" s="208"/>
      <c r="HQ55" s="208"/>
      <c r="HR55" s="208"/>
      <c r="HS55" s="208"/>
      <c r="HT55" s="208"/>
      <c r="HU55" s="208"/>
      <c r="HV55" s="208"/>
      <c r="HW55" s="208"/>
      <c r="HX55" s="208"/>
      <c r="HY55" s="208"/>
      <c r="HZ55" s="208"/>
      <c r="IA55" s="208"/>
      <c r="IB55" s="208"/>
      <c r="IC55" s="208"/>
      <c r="ID55" s="208"/>
      <c r="IE55" s="208"/>
      <c r="IF55" s="208"/>
      <c r="IG55" s="208"/>
      <c r="IH55" s="208"/>
      <c r="II55" s="208"/>
      <c r="IJ55" s="208"/>
      <c r="IK55" s="208"/>
      <c r="IL55" s="208"/>
      <c r="IM55" s="208"/>
      <c r="IN55" s="208"/>
      <c r="IO55" s="208"/>
      <c r="IP55" s="208"/>
      <c r="IQ55" s="208"/>
      <c r="IR55" s="208"/>
      <c r="IS55" s="208"/>
      <c r="IT55" s="208"/>
      <c r="IU55" s="208"/>
      <c r="IV55" s="208"/>
    </row>
    <row r="56" customFormat="false" ht="14.4" hidden="false" customHeight="false" outlineLevel="0" collapsed="false">
      <c r="A56" s="195" t="n">
        <f aca="false">Data!$A56</f>
        <v>56</v>
      </c>
      <c r="B56" s="195" t="str">
        <f aca="false">Data!$B56</f>
        <v>B316A-EB03-OPT-BAFF-01</v>
      </c>
      <c r="C56" s="195" t="str">
        <f aca="false">Data!$C56</f>
        <v>M4 Baffles VERITAS</v>
      </c>
      <c r="D56" s="195" t="str">
        <f aca="false">Data!$D56</f>
        <v>HR</v>
      </c>
      <c r="E56" s="205" t="str">
        <f aca="true">INDEX(OFFSET(MOTION1!$A$2,0,0,SystemInfo!$B$1,1),MATCH(CONCATENATE(B56,D56),OFFSET(MOTION1!$J$2,0,0,SystemInfo!$B$1,1),0))</f>
        <v>W050835</v>
      </c>
      <c r="F56" s="205" t="str">
        <f aca="true">INDEX(OFFSET(MOTION3!$A$2,0,0,SystemInfo!$B$1,1),MATCH(CONCATENATE(B56,D56),OFFSET(MOTION3!$J$2,0,0,SystemInfo!$B$1,1),0))</f>
        <v>W050836</v>
      </c>
      <c r="G56" s="206" t="n">
        <f aca="false">INT(Data!$P56*Data!$L56)</f>
        <v>400</v>
      </c>
      <c r="H56" s="207" t="n">
        <v>1</v>
      </c>
      <c r="I56" s="206" t="str">
        <f aca="false">Data!U56</f>
        <v>ABSENC</v>
      </c>
      <c r="J56" s="206" t="n">
        <f aca="false">IF($I56="ABSENC",Data!$V56,"")</f>
        <v>1000000</v>
      </c>
      <c r="K56" s="207" t="n">
        <v>1</v>
      </c>
      <c r="L56" s="206" t="str">
        <f aca="false">IF($I56="ENCIN",Data!$V56,"")</f>
        <v/>
      </c>
      <c r="M56" s="207" t="n">
        <v>1</v>
      </c>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c r="BZ56" s="208"/>
      <c r="CA56" s="208"/>
      <c r="CB56" s="208"/>
      <c r="CC56" s="208"/>
      <c r="CD56" s="208"/>
      <c r="CE56" s="208"/>
      <c r="CF56" s="208"/>
      <c r="CG56" s="208"/>
      <c r="CH56" s="208"/>
      <c r="CI56" s="208"/>
      <c r="CJ56" s="208"/>
      <c r="CK56" s="208"/>
      <c r="CL56" s="208"/>
      <c r="CM56" s="208"/>
      <c r="CN56" s="208"/>
      <c r="CO56" s="208"/>
      <c r="CP56" s="208"/>
      <c r="CQ56" s="208"/>
      <c r="CR56" s="208"/>
      <c r="CS56" s="208"/>
      <c r="CT56" s="208"/>
      <c r="CU56" s="208"/>
      <c r="CV56" s="208"/>
      <c r="CW56" s="208"/>
      <c r="CX56" s="208"/>
      <c r="CY56" s="208"/>
      <c r="CZ56" s="208"/>
      <c r="DA56" s="208"/>
      <c r="DB56" s="208"/>
      <c r="DC56" s="208"/>
      <c r="DD56" s="208"/>
      <c r="DE56" s="208"/>
      <c r="DF56" s="208"/>
      <c r="DG56" s="208"/>
      <c r="DH56" s="208"/>
      <c r="DI56" s="208"/>
      <c r="DJ56" s="208"/>
      <c r="DK56" s="208"/>
      <c r="DL56" s="208"/>
      <c r="DM56" s="208"/>
      <c r="DN56" s="208"/>
      <c r="DO56" s="208"/>
      <c r="DP56" s="208"/>
      <c r="DQ56" s="208"/>
      <c r="DR56" s="208"/>
      <c r="DS56" s="208"/>
      <c r="DT56" s="208"/>
      <c r="DU56" s="208"/>
      <c r="DV56" s="208"/>
      <c r="DW56" s="208"/>
      <c r="DX56" s="208"/>
      <c r="DY56" s="208"/>
      <c r="DZ56" s="208"/>
      <c r="EA56" s="208"/>
      <c r="EB56" s="208"/>
      <c r="EC56" s="208"/>
      <c r="ED56" s="208"/>
      <c r="EE56" s="208"/>
      <c r="EF56" s="208"/>
      <c r="EG56" s="208"/>
      <c r="EH56" s="208"/>
      <c r="EI56" s="208"/>
      <c r="EJ56" s="208"/>
      <c r="EK56" s="208"/>
      <c r="EL56" s="208"/>
      <c r="EM56" s="208"/>
      <c r="EN56" s="208"/>
      <c r="EO56" s="208"/>
      <c r="EP56" s="208"/>
      <c r="EQ56" s="208"/>
      <c r="ER56" s="208"/>
      <c r="ES56" s="208"/>
      <c r="ET56" s="208"/>
      <c r="EU56" s="208"/>
      <c r="EV56" s="208"/>
      <c r="EW56" s="208"/>
      <c r="EX56" s="208"/>
      <c r="EY56" s="208"/>
      <c r="EZ56" s="208"/>
      <c r="FA56" s="208"/>
      <c r="FB56" s="208"/>
      <c r="FC56" s="208"/>
      <c r="FD56" s="208"/>
      <c r="FE56" s="208"/>
      <c r="FF56" s="208"/>
      <c r="FG56" s="208"/>
      <c r="FH56" s="208"/>
      <c r="FI56" s="208"/>
      <c r="FJ56" s="208"/>
      <c r="FK56" s="208"/>
      <c r="FL56" s="208"/>
      <c r="FM56" s="208"/>
      <c r="FN56" s="208"/>
      <c r="FO56" s="208"/>
      <c r="FP56" s="208"/>
      <c r="FQ56" s="208"/>
      <c r="FR56" s="208"/>
      <c r="FS56" s="208"/>
      <c r="FT56" s="208"/>
      <c r="FU56" s="208"/>
      <c r="FV56" s="208"/>
      <c r="FW56" s="208"/>
      <c r="FX56" s="208"/>
      <c r="FY56" s="208"/>
      <c r="FZ56" s="208"/>
      <c r="GA56" s="208"/>
      <c r="GB56" s="208"/>
      <c r="GC56" s="208"/>
      <c r="GD56" s="208"/>
      <c r="GE56" s="208"/>
      <c r="GF56" s="208"/>
      <c r="GG56" s="208"/>
      <c r="GH56" s="208"/>
      <c r="GI56" s="208"/>
      <c r="GJ56" s="208"/>
      <c r="GK56" s="208"/>
      <c r="GL56" s="208"/>
      <c r="GM56" s="208"/>
      <c r="GN56" s="208"/>
      <c r="GO56" s="208"/>
      <c r="GP56" s="208"/>
      <c r="GQ56" s="208"/>
      <c r="GR56" s="208"/>
      <c r="GS56" s="208"/>
      <c r="GT56" s="208"/>
      <c r="GU56" s="208"/>
      <c r="GV56" s="208"/>
      <c r="GW56" s="208"/>
      <c r="GX56" s="208"/>
      <c r="GY56" s="208"/>
      <c r="GZ56" s="208"/>
      <c r="HA56" s="208"/>
      <c r="HB56" s="208"/>
      <c r="HC56" s="208"/>
      <c r="HD56" s="208"/>
      <c r="HE56" s="208"/>
      <c r="HF56" s="208"/>
      <c r="HG56" s="208"/>
      <c r="HH56" s="208"/>
      <c r="HI56" s="208"/>
      <c r="HJ56" s="208"/>
      <c r="HK56" s="208"/>
      <c r="HL56" s="208"/>
      <c r="HM56" s="208"/>
      <c r="HN56" s="208"/>
      <c r="HO56" s="208"/>
      <c r="HP56" s="208"/>
      <c r="HQ56" s="208"/>
      <c r="HR56" s="208"/>
      <c r="HS56" s="208"/>
      <c r="HT56" s="208"/>
      <c r="HU56" s="208"/>
      <c r="HV56" s="208"/>
      <c r="HW56" s="208"/>
      <c r="HX56" s="208"/>
      <c r="HY56" s="208"/>
      <c r="HZ56" s="208"/>
      <c r="IA56" s="208"/>
      <c r="IB56" s="208"/>
      <c r="IC56" s="208"/>
      <c r="ID56" s="208"/>
      <c r="IE56" s="208"/>
      <c r="IF56" s="208"/>
      <c r="IG56" s="208"/>
      <c r="IH56" s="208"/>
      <c r="II56" s="208"/>
      <c r="IJ56" s="208"/>
      <c r="IK56" s="208"/>
      <c r="IL56" s="208"/>
      <c r="IM56" s="208"/>
      <c r="IN56" s="208"/>
      <c r="IO56" s="208"/>
      <c r="IP56" s="208"/>
      <c r="IQ56" s="208"/>
      <c r="IR56" s="208"/>
      <c r="IS56" s="208"/>
      <c r="IT56" s="208"/>
      <c r="IU56" s="208"/>
      <c r="IV56" s="208"/>
    </row>
    <row r="57" customFormat="false" ht="14.4" hidden="false" customHeight="false" outlineLevel="0" collapsed="false">
      <c r="A57" s="195" t="n">
        <f aca="false">Data!$A57</f>
        <v>57</v>
      </c>
      <c r="B57" s="195" t="str">
        <f aca="false">Data!$B57</f>
        <v>B316A-EB03-DIA-BPM-01</v>
      </c>
      <c r="C57" s="195" t="str">
        <f aca="false">Data!$C57</f>
        <v>M4 BPM VERITAS</v>
      </c>
      <c r="D57" s="195" t="str">
        <f aca="false">Data!$D57</f>
        <v>V</v>
      </c>
      <c r="E57" s="205" t="str">
        <f aca="true">INDEX(OFFSET(MOTION1!$A$2,0,0,SystemInfo!$B$1,1),MATCH(CONCATENATE(B57,D57),OFFSET(MOTION1!$J$2,0,0,SystemInfo!$B$1,1),0))</f>
        <v>W050837</v>
      </c>
      <c r="F57" s="205" t="str">
        <f aca="true">INDEX(OFFSET(MOTION3!$A$2,0,0,SystemInfo!$B$1,1),MATCH(CONCATENATE(B57,D57),OFFSET(MOTION3!$J$2,0,0,SystemInfo!$B$1,1),0))</f>
        <v>W050838</v>
      </c>
      <c r="G57" s="206" t="n">
        <f aca="false">INT(Data!$P57*Data!$L57)</f>
        <v>800</v>
      </c>
      <c r="H57" s="207" t="n">
        <v>1</v>
      </c>
      <c r="I57" s="206" t="str">
        <f aca="false">Data!U57</f>
        <v>ABSENC</v>
      </c>
      <c r="J57" s="206" t="n">
        <f aca="false">IF($I57="ABSENC",Data!$V57,"")</f>
        <v>1000000</v>
      </c>
      <c r="K57" s="207" t="n">
        <v>1</v>
      </c>
      <c r="L57" s="206" t="str">
        <f aca="false">IF($I57="ENCIN",Data!$V57,"")</f>
        <v/>
      </c>
      <c r="M57" s="207" t="n">
        <v>1</v>
      </c>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c r="BZ57" s="208"/>
      <c r="CA57" s="208"/>
      <c r="CB57" s="208"/>
      <c r="CC57" s="208"/>
      <c r="CD57" s="208"/>
      <c r="CE57" s="208"/>
      <c r="CF57" s="208"/>
      <c r="CG57" s="208"/>
      <c r="CH57" s="208"/>
      <c r="CI57" s="208"/>
      <c r="CJ57" s="208"/>
      <c r="CK57" s="208"/>
      <c r="CL57" s="208"/>
      <c r="CM57" s="208"/>
      <c r="CN57" s="208"/>
      <c r="CO57" s="208"/>
      <c r="CP57" s="208"/>
      <c r="CQ57" s="208"/>
      <c r="CR57" s="208"/>
      <c r="CS57" s="208"/>
      <c r="CT57" s="208"/>
      <c r="CU57" s="208"/>
      <c r="CV57" s="208"/>
      <c r="CW57" s="208"/>
      <c r="CX57" s="208"/>
      <c r="CY57" s="208"/>
      <c r="CZ57" s="208"/>
      <c r="DA57" s="208"/>
      <c r="DB57" s="208"/>
      <c r="DC57" s="208"/>
      <c r="DD57" s="208"/>
      <c r="DE57" s="208"/>
      <c r="DF57" s="208"/>
      <c r="DG57" s="208"/>
      <c r="DH57" s="208"/>
      <c r="DI57" s="208"/>
      <c r="DJ57" s="208"/>
      <c r="DK57" s="208"/>
      <c r="DL57" s="208"/>
      <c r="DM57" s="208"/>
      <c r="DN57" s="208"/>
      <c r="DO57" s="208"/>
      <c r="DP57" s="208"/>
      <c r="DQ57" s="208"/>
      <c r="DR57" s="208"/>
      <c r="DS57" s="208"/>
      <c r="DT57" s="208"/>
      <c r="DU57" s="208"/>
      <c r="DV57" s="208"/>
      <c r="DW57" s="208"/>
      <c r="DX57" s="208"/>
      <c r="DY57" s="208"/>
      <c r="DZ57" s="208"/>
      <c r="EA57" s="208"/>
      <c r="EB57" s="208"/>
      <c r="EC57" s="208"/>
      <c r="ED57" s="208"/>
      <c r="EE57" s="208"/>
      <c r="EF57" s="208"/>
      <c r="EG57" s="208"/>
      <c r="EH57" s="208"/>
      <c r="EI57" s="208"/>
      <c r="EJ57" s="208"/>
      <c r="EK57" s="208"/>
      <c r="EL57" s="208"/>
      <c r="EM57" s="208"/>
      <c r="EN57" s="208"/>
      <c r="EO57" s="208"/>
      <c r="EP57" s="208"/>
      <c r="EQ57" s="208"/>
      <c r="ER57" s="208"/>
      <c r="ES57" s="208"/>
      <c r="ET57" s="208"/>
      <c r="EU57" s="208"/>
      <c r="EV57" s="208"/>
      <c r="EW57" s="208"/>
      <c r="EX57" s="208"/>
      <c r="EY57" s="208"/>
      <c r="EZ57" s="208"/>
      <c r="FA57" s="208"/>
      <c r="FB57" s="208"/>
      <c r="FC57" s="208"/>
      <c r="FD57" s="208"/>
      <c r="FE57" s="208"/>
      <c r="FF57" s="208"/>
      <c r="FG57" s="208"/>
      <c r="FH57" s="208"/>
      <c r="FI57" s="208"/>
      <c r="FJ57" s="208"/>
      <c r="FK57" s="208"/>
      <c r="FL57" s="208"/>
      <c r="FM57" s="208"/>
      <c r="FN57" s="208"/>
      <c r="FO57" s="208"/>
      <c r="FP57" s="208"/>
      <c r="FQ57" s="208"/>
      <c r="FR57" s="208"/>
      <c r="FS57" s="208"/>
      <c r="FT57" s="208"/>
      <c r="FU57" s="208"/>
      <c r="FV57" s="208"/>
      <c r="FW57" s="208"/>
      <c r="FX57" s="208"/>
      <c r="FY57" s="208"/>
      <c r="FZ57" s="208"/>
      <c r="GA57" s="208"/>
      <c r="GB57" s="208"/>
      <c r="GC57" s="208"/>
      <c r="GD57" s="208"/>
      <c r="GE57" s="208"/>
      <c r="GF57" s="208"/>
      <c r="GG57" s="208"/>
      <c r="GH57" s="208"/>
      <c r="GI57" s="208"/>
      <c r="GJ57" s="208"/>
      <c r="GK57" s="208"/>
      <c r="GL57" s="208"/>
      <c r="GM57" s="208"/>
      <c r="GN57" s="208"/>
      <c r="GO57" s="208"/>
      <c r="GP57" s="208"/>
      <c r="GQ57" s="208"/>
      <c r="GR57" s="208"/>
      <c r="GS57" s="208"/>
      <c r="GT57" s="208"/>
      <c r="GU57" s="208"/>
      <c r="GV57" s="208"/>
      <c r="GW57" s="208"/>
      <c r="GX57" s="208"/>
      <c r="GY57" s="208"/>
      <c r="GZ57" s="208"/>
      <c r="HA57" s="208"/>
      <c r="HB57" s="208"/>
      <c r="HC57" s="208"/>
      <c r="HD57" s="208"/>
      <c r="HE57" s="208"/>
      <c r="HF57" s="208"/>
      <c r="HG57" s="208"/>
      <c r="HH57" s="208"/>
      <c r="HI57" s="208"/>
      <c r="HJ57" s="208"/>
      <c r="HK57" s="208"/>
      <c r="HL57" s="208"/>
      <c r="HM57" s="208"/>
      <c r="HN57" s="208"/>
      <c r="HO57" s="208"/>
      <c r="HP57" s="208"/>
      <c r="HQ57" s="208"/>
      <c r="HR57" s="208"/>
      <c r="HS57" s="208"/>
      <c r="HT57" s="208"/>
      <c r="HU57" s="208"/>
      <c r="HV57" s="208"/>
      <c r="HW57" s="208"/>
      <c r="HX57" s="208"/>
      <c r="HY57" s="208"/>
      <c r="HZ57" s="208"/>
      <c r="IA57" s="208"/>
      <c r="IB57" s="208"/>
      <c r="IC57" s="208"/>
      <c r="ID57" s="208"/>
      <c r="IE57" s="208"/>
      <c r="IF57" s="208"/>
      <c r="IG57" s="208"/>
      <c r="IH57" s="208"/>
      <c r="II57" s="208"/>
      <c r="IJ57" s="208"/>
      <c r="IK57" s="208"/>
      <c r="IL57" s="208"/>
      <c r="IM57" s="208"/>
      <c r="IN57" s="208"/>
      <c r="IO57" s="208"/>
      <c r="IP57" s="208"/>
      <c r="IQ57" s="208"/>
      <c r="IR57" s="208"/>
      <c r="IS57" s="208"/>
      <c r="IT57" s="208"/>
      <c r="IU57" s="208"/>
      <c r="IV57" s="208"/>
    </row>
    <row r="58" customFormat="false" ht="14.4" hidden="false" customHeight="false" outlineLevel="0" collapsed="false">
      <c r="A58" s="195" t="n">
        <f aca="false">Data!$A58</f>
        <v>58</v>
      </c>
      <c r="B58" s="195" t="str">
        <f aca="false">Data!$B58</f>
        <v>B316A-EB03-OPT-MIR-04</v>
      </c>
      <c r="C58" s="195" t="str">
        <f aca="false">Data!$C58</f>
        <v>Focusing Mirror M4 VERITAS</v>
      </c>
      <c r="D58" s="195" t="str">
        <f aca="false">Data!$D58</f>
        <v>V1</v>
      </c>
      <c r="E58" s="205" t="str">
        <f aca="true">INDEX(OFFSET(MOTION1!$A$2,0,0,SystemInfo!$B$1,1),MATCH(CONCATENATE(B58,D58),OFFSET(MOTION1!$J$2,0,0,SystemInfo!$B$1,1),0))</f>
        <v>W050839</v>
      </c>
      <c r="F58" s="205" t="str">
        <f aca="true">INDEX(OFFSET(MOTION3!$A$2,0,0,SystemInfo!$B$1,1),MATCH(CONCATENATE(B58,D58),OFFSET(MOTION3!$J$2,0,0,SystemInfo!$B$1,1),0))</f>
        <v>W050840</v>
      </c>
      <c r="G58" s="206" t="n">
        <f aca="false">INT(Data!$P58*Data!$L58)</f>
        <v>800</v>
      </c>
      <c r="H58" s="207" t="n">
        <v>1</v>
      </c>
      <c r="I58" s="206" t="str">
        <f aca="false">Data!U58</f>
        <v>ABSENC</v>
      </c>
      <c r="J58" s="206" t="n">
        <f aca="false">IF($I58="ABSENC",Data!$V58,"")</f>
        <v>10000</v>
      </c>
      <c r="K58" s="207" t="n">
        <v>1</v>
      </c>
      <c r="L58" s="206" t="str">
        <f aca="false">IF($I58="ENCIN",Data!$V58,"")</f>
        <v/>
      </c>
      <c r="M58" s="207" t="n">
        <v>1</v>
      </c>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8"/>
      <c r="CA58" s="208"/>
      <c r="CB58" s="208"/>
      <c r="CC58" s="208"/>
      <c r="CD58" s="208"/>
      <c r="CE58" s="208"/>
      <c r="CF58" s="208"/>
      <c r="CG58" s="208"/>
      <c r="CH58" s="208"/>
      <c r="CI58" s="208"/>
      <c r="CJ58" s="208"/>
      <c r="CK58" s="208"/>
      <c r="CL58" s="208"/>
      <c r="CM58" s="208"/>
      <c r="CN58" s="208"/>
      <c r="CO58" s="208"/>
      <c r="CP58" s="208"/>
      <c r="CQ58" s="208"/>
      <c r="CR58" s="208"/>
      <c r="CS58" s="208"/>
      <c r="CT58" s="208"/>
      <c r="CU58" s="208"/>
      <c r="CV58" s="208"/>
      <c r="CW58" s="208"/>
      <c r="CX58" s="208"/>
      <c r="CY58" s="208"/>
      <c r="CZ58" s="208"/>
      <c r="DA58" s="208"/>
      <c r="DB58" s="208"/>
      <c r="DC58" s="208"/>
      <c r="DD58" s="208"/>
      <c r="DE58" s="208"/>
      <c r="DF58" s="208"/>
      <c r="DG58" s="208"/>
      <c r="DH58" s="208"/>
      <c r="DI58" s="208"/>
      <c r="DJ58" s="208"/>
      <c r="DK58" s="208"/>
      <c r="DL58" s="208"/>
      <c r="DM58" s="208"/>
      <c r="DN58" s="208"/>
      <c r="DO58" s="208"/>
      <c r="DP58" s="208"/>
      <c r="DQ58" s="208"/>
      <c r="DR58" s="208"/>
      <c r="DS58" s="208"/>
      <c r="DT58" s="208"/>
      <c r="DU58" s="208"/>
      <c r="DV58" s="208"/>
      <c r="DW58" s="208"/>
      <c r="DX58" s="208"/>
      <c r="DY58" s="208"/>
      <c r="DZ58" s="208"/>
      <c r="EA58" s="208"/>
      <c r="EB58" s="208"/>
      <c r="EC58" s="208"/>
      <c r="ED58" s="208"/>
      <c r="EE58" s="208"/>
      <c r="EF58" s="208"/>
      <c r="EG58" s="208"/>
      <c r="EH58" s="208"/>
      <c r="EI58" s="208"/>
      <c r="EJ58" s="208"/>
      <c r="EK58" s="208"/>
      <c r="EL58" s="208"/>
      <c r="EM58" s="208"/>
      <c r="EN58" s="208"/>
      <c r="EO58" s="208"/>
      <c r="EP58" s="208"/>
      <c r="EQ58" s="208"/>
      <c r="ER58" s="208"/>
      <c r="ES58" s="208"/>
      <c r="ET58" s="208"/>
      <c r="EU58" s="208"/>
      <c r="EV58" s="208"/>
      <c r="EW58" s="208"/>
      <c r="EX58" s="208"/>
      <c r="EY58" s="208"/>
      <c r="EZ58" s="208"/>
      <c r="FA58" s="208"/>
      <c r="FB58" s="208"/>
      <c r="FC58" s="208"/>
      <c r="FD58" s="208"/>
      <c r="FE58" s="208"/>
      <c r="FF58" s="208"/>
      <c r="FG58" s="208"/>
      <c r="FH58" s="208"/>
      <c r="FI58" s="208"/>
      <c r="FJ58" s="208"/>
      <c r="FK58" s="208"/>
      <c r="FL58" s="208"/>
      <c r="FM58" s="208"/>
      <c r="FN58" s="208"/>
      <c r="FO58" s="208"/>
      <c r="FP58" s="208"/>
      <c r="FQ58" s="208"/>
      <c r="FR58" s="208"/>
      <c r="FS58" s="208"/>
      <c r="FT58" s="208"/>
      <c r="FU58" s="208"/>
      <c r="FV58" s="208"/>
      <c r="FW58" s="208"/>
      <c r="FX58" s="208"/>
      <c r="FY58" s="208"/>
      <c r="FZ58" s="208"/>
      <c r="GA58" s="208"/>
      <c r="GB58" s="208"/>
      <c r="GC58" s="208"/>
      <c r="GD58" s="208"/>
      <c r="GE58" s="208"/>
      <c r="GF58" s="208"/>
      <c r="GG58" s="208"/>
      <c r="GH58" s="208"/>
      <c r="GI58" s="208"/>
      <c r="GJ58" s="208"/>
      <c r="GK58" s="208"/>
      <c r="GL58" s="208"/>
      <c r="GM58" s="208"/>
      <c r="GN58" s="208"/>
      <c r="GO58" s="208"/>
      <c r="GP58" s="208"/>
      <c r="GQ58" s="208"/>
      <c r="GR58" s="208"/>
      <c r="GS58" s="208"/>
      <c r="GT58" s="208"/>
      <c r="GU58" s="208"/>
      <c r="GV58" s="208"/>
      <c r="GW58" s="208"/>
      <c r="GX58" s="208"/>
      <c r="GY58" s="208"/>
      <c r="GZ58" s="208"/>
      <c r="HA58" s="208"/>
      <c r="HB58" s="208"/>
      <c r="HC58" s="208"/>
      <c r="HD58" s="208"/>
      <c r="HE58" s="208"/>
      <c r="HF58" s="208"/>
      <c r="HG58" s="208"/>
      <c r="HH58" s="208"/>
      <c r="HI58" s="208"/>
      <c r="HJ58" s="208"/>
      <c r="HK58" s="208"/>
      <c r="HL58" s="208"/>
      <c r="HM58" s="208"/>
      <c r="HN58" s="208"/>
      <c r="HO58" s="208"/>
      <c r="HP58" s="208"/>
      <c r="HQ58" s="208"/>
      <c r="HR58" s="208"/>
      <c r="HS58" s="208"/>
      <c r="HT58" s="208"/>
      <c r="HU58" s="208"/>
      <c r="HV58" s="208"/>
      <c r="HW58" s="208"/>
      <c r="HX58" s="208"/>
      <c r="HY58" s="208"/>
      <c r="HZ58" s="208"/>
      <c r="IA58" s="208"/>
      <c r="IB58" s="208"/>
      <c r="IC58" s="208"/>
      <c r="ID58" s="208"/>
      <c r="IE58" s="208"/>
      <c r="IF58" s="208"/>
      <c r="IG58" s="208"/>
      <c r="IH58" s="208"/>
      <c r="II58" s="208"/>
      <c r="IJ58" s="208"/>
      <c r="IK58" s="208"/>
      <c r="IL58" s="208"/>
      <c r="IM58" s="208"/>
      <c r="IN58" s="208"/>
      <c r="IO58" s="208"/>
      <c r="IP58" s="208"/>
      <c r="IQ58" s="208"/>
      <c r="IR58" s="208"/>
      <c r="IS58" s="208"/>
      <c r="IT58" s="208"/>
      <c r="IU58" s="208"/>
      <c r="IV58" s="208"/>
    </row>
    <row r="59" s="211" customFormat="true" ht="14.4" hidden="false" customHeight="false" outlineLevel="0" collapsed="false">
      <c r="A59" s="209"/>
      <c r="B59" s="209"/>
      <c r="C59" s="209"/>
      <c r="D59" s="209"/>
      <c r="E59" s="210"/>
      <c r="F59" s="210"/>
      <c r="G59" s="210"/>
      <c r="H59" s="210"/>
      <c r="I59" s="210"/>
      <c r="J59" s="210"/>
      <c r="K59" s="210"/>
      <c r="L59" s="210"/>
      <c r="M59" s="210"/>
      <c r="N59" s="210"/>
      <c r="O59" s="210"/>
      <c r="P59" s="210"/>
      <c r="Q59" s="210"/>
      <c r="R59" s="210"/>
      <c r="S59" s="210"/>
      <c r="T59" s="210"/>
      <c r="U59" s="210"/>
      <c r="V59" s="210"/>
      <c r="W59" s="210"/>
      <c r="X59" s="210"/>
      <c r="Y59" s="210"/>
      <c r="Z59" s="210"/>
      <c r="AA59" s="210"/>
      <c r="AB59" s="210"/>
      <c r="AC59" s="210"/>
      <c r="AD59" s="210"/>
      <c r="AE59" s="210"/>
      <c r="AF59" s="210"/>
      <c r="AG59" s="210"/>
      <c r="AH59" s="210"/>
      <c r="AI59" s="210"/>
      <c r="AJ59" s="210"/>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c r="CB59" s="210"/>
      <c r="CC59" s="210"/>
      <c r="CD59" s="210"/>
      <c r="CE59" s="210"/>
      <c r="CF59" s="210"/>
      <c r="CG59" s="210"/>
      <c r="CH59" s="210"/>
      <c r="CI59" s="210"/>
      <c r="CJ59" s="210"/>
      <c r="CK59" s="210"/>
      <c r="CL59" s="210"/>
      <c r="CM59" s="210"/>
      <c r="CN59" s="210"/>
      <c r="CO59" s="210"/>
      <c r="CP59" s="210"/>
      <c r="CQ59" s="210"/>
      <c r="CR59" s="210"/>
      <c r="CS59" s="210"/>
      <c r="CT59" s="210"/>
      <c r="CU59" s="210"/>
      <c r="CV59" s="210"/>
      <c r="CW59" s="210"/>
      <c r="CX59" s="210"/>
      <c r="CY59" s="210"/>
      <c r="CZ59" s="210"/>
      <c r="DA59" s="210"/>
      <c r="DB59" s="210"/>
      <c r="DC59" s="210"/>
      <c r="DD59" s="210"/>
      <c r="DE59" s="210"/>
      <c r="DF59" s="210"/>
      <c r="DG59" s="210"/>
      <c r="DH59" s="210"/>
      <c r="DI59" s="210"/>
      <c r="DJ59" s="210"/>
      <c r="DK59" s="210"/>
      <c r="DL59" s="210"/>
      <c r="DM59" s="210"/>
      <c r="DN59" s="210"/>
      <c r="DO59" s="210"/>
      <c r="DP59" s="210"/>
      <c r="DQ59" s="210"/>
      <c r="DR59" s="210"/>
      <c r="DS59" s="210"/>
      <c r="DT59" s="210"/>
      <c r="DU59" s="210"/>
      <c r="DV59" s="210"/>
      <c r="DW59" s="210"/>
      <c r="DX59" s="210"/>
      <c r="DY59" s="210"/>
      <c r="DZ59" s="210"/>
      <c r="EA59" s="210"/>
      <c r="EB59" s="210"/>
      <c r="EC59" s="210"/>
      <c r="ED59" s="210"/>
      <c r="EE59" s="210"/>
      <c r="EF59" s="210"/>
      <c r="EG59" s="210"/>
      <c r="EH59" s="210"/>
      <c r="EI59" s="210"/>
      <c r="EJ59" s="210"/>
      <c r="EK59" s="210"/>
      <c r="EL59" s="210"/>
      <c r="EM59" s="210"/>
      <c r="EN59" s="210"/>
      <c r="EO59" s="210"/>
      <c r="EP59" s="210"/>
      <c r="EQ59" s="210"/>
      <c r="ER59" s="210"/>
      <c r="ES59" s="210"/>
      <c r="ET59" s="210"/>
      <c r="EU59" s="210"/>
      <c r="EV59" s="210"/>
      <c r="EW59" s="210"/>
      <c r="EX59" s="210"/>
      <c r="EY59" s="210"/>
      <c r="EZ59" s="210"/>
      <c r="FA59" s="210"/>
      <c r="FB59" s="210"/>
      <c r="FC59" s="210"/>
      <c r="FD59" s="210"/>
      <c r="FE59" s="210"/>
      <c r="FF59" s="210"/>
      <c r="FG59" s="210"/>
      <c r="FH59" s="210"/>
      <c r="FI59" s="210"/>
      <c r="FJ59" s="210"/>
      <c r="FK59" s="210"/>
      <c r="FL59" s="210"/>
      <c r="FM59" s="210"/>
      <c r="FN59" s="210"/>
      <c r="FO59" s="210"/>
      <c r="FP59" s="210"/>
      <c r="FQ59" s="210"/>
      <c r="FR59" s="210"/>
      <c r="FS59" s="210"/>
      <c r="FT59" s="210"/>
      <c r="FU59" s="210"/>
      <c r="FV59" s="210"/>
      <c r="FW59" s="210"/>
      <c r="FX59" s="210"/>
      <c r="FY59" s="210"/>
      <c r="FZ59" s="210"/>
      <c r="GA59" s="210"/>
      <c r="GB59" s="210"/>
      <c r="GC59" s="210"/>
      <c r="GD59" s="210"/>
      <c r="GE59" s="210"/>
      <c r="GF59" s="210"/>
      <c r="GG59" s="210"/>
      <c r="GH59" s="210"/>
      <c r="GI59" s="210"/>
      <c r="GJ59" s="210"/>
      <c r="GK59" s="210"/>
      <c r="GL59" s="210"/>
      <c r="GM59" s="210"/>
      <c r="GN59" s="210"/>
      <c r="GO59" s="210"/>
      <c r="GP59" s="210"/>
      <c r="GQ59" s="210"/>
      <c r="GR59" s="210"/>
      <c r="GS59" s="210"/>
      <c r="GT59" s="210"/>
      <c r="GU59" s="210"/>
      <c r="GV59" s="210"/>
      <c r="GW59" s="210"/>
      <c r="GX59" s="210"/>
      <c r="GY59" s="210"/>
      <c r="GZ59" s="210"/>
      <c r="HA59" s="210"/>
      <c r="HB59" s="210"/>
      <c r="HC59" s="210"/>
      <c r="HD59" s="210"/>
      <c r="HE59" s="210"/>
      <c r="HF59" s="210"/>
      <c r="HG59" s="210"/>
      <c r="HH59" s="210"/>
      <c r="HI59" s="210"/>
      <c r="HJ59" s="210"/>
      <c r="HK59" s="210"/>
      <c r="HL59" s="210"/>
      <c r="HM59" s="210"/>
      <c r="HN59" s="210"/>
      <c r="HO59" s="210"/>
      <c r="HP59" s="210"/>
      <c r="HQ59" s="210"/>
      <c r="HR59" s="210"/>
      <c r="HS59" s="210"/>
      <c r="HT59" s="210"/>
      <c r="HU59" s="210"/>
      <c r="HV59" s="210"/>
      <c r="HW59" s="210"/>
      <c r="HX59" s="210"/>
      <c r="HY59" s="210"/>
      <c r="HZ59" s="210"/>
      <c r="IA59" s="210"/>
      <c r="IB59" s="210"/>
      <c r="IC59" s="210"/>
      <c r="ID59" s="210"/>
      <c r="IE59" s="210"/>
      <c r="IF59" s="210"/>
      <c r="IG59" s="210"/>
      <c r="IH59" s="210"/>
      <c r="II59" s="210"/>
      <c r="IJ59" s="210"/>
      <c r="IK59" s="210"/>
      <c r="IL59" s="210"/>
      <c r="IM59" s="210"/>
      <c r="IN59" s="210"/>
      <c r="IO59" s="210"/>
      <c r="IP59" s="210"/>
      <c r="IQ59" s="210"/>
      <c r="IR59" s="210"/>
      <c r="IS59" s="210"/>
      <c r="IT59" s="210"/>
      <c r="IU59" s="210"/>
      <c r="IV59" s="210"/>
    </row>
    <row r="60" s="211" customFormat="true" ht="14.4" hidden="false" customHeight="false" outlineLevel="0" collapsed="false">
      <c r="A60" s="209"/>
      <c r="B60" s="209"/>
      <c r="C60" s="209"/>
      <c r="D60" s="209"/>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0"/>
      <c r="AL60" s="210"/>
      <c r="AM60" s="210"/>
      <c r="AN60" s="210"/>
      <c r="AO60" s="210"/>
      <c r="AP60" s="210"/>
      <c r="AQ60" s="210"/>
      <c r="AR60" s="210"/>
      <c r="AS60" s="210"/>
      <c r="AT60" s="210"/>
      <c r="AU60" s="210"/>
      <c r="AV60" s="210"/>
      <c r="AW60" s="210"/>
      <c r="AX60" s="210"/>
      <c r="AY60" s="210"/>
      <c r="AZ60" s="210"/>
      <c r="BA60" s="210"/>
      <c r="BB60" s="210"/>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c r="CB60" s="210"/>
      <c r="CC60" s="210"/>
      <c r="CD60" s="210"/>
      <c r="CE60" s="210"/>
      <c r="CF60" s="210"/>
      <c r="CG60" s="210"/>
      <c r="CH60" s="210"/>
      <c r="CI60" s="210"/>
      <c r="CJ60" s="210"/>
      <c r="CK60" s="210"/>
      <c r="CL60" s="210"/>
      <c r="CM60" s="210"/>
      <c r="CN60" s="210"/>
      <c r="CO60" s="210"/>
      <c r="CP60" s="210"/>
      <c r="CQ60" s="210"/>
      <c r="CR60" s="210"/>
      <c r="CS60" s="210"/>
      <c r="CT60" s="210"/>
      <c r="CU60" s="210"/>
      <c r="CV60" s="210"/>
      <c r="CW60" s="210"/>
      <c r="CX60" s="210"/>
      <c r="CY60" s="210"/>
      <c r="CZ60" s="210"/>
      <c r="DA60" s="210"/>
      <c r="DB60" s="210"/>
      <c r="DC60" s="210"/>
      <c r="DD60" s="210"/>
      <c r="DE60" s="210"/>
      <c r="DF60" s="210"/>
      <c r="DG60" s="210"/>
      <c r="DH60" s="210"/>
      <c r="DI60" s="210"/>
      <c r="DJ60" s="210"/>
      <c r="DK60" s="210"/>
      <c r="DL60" s="210"/>
      <c r="DM60" s="210"/>
      <c r="DN60" s="210"/>
      <c r="DO60" s="210"/>
      <c r="DP60" s="210"/>
      <c r="DQ60" s="210"/>
      <c r="DR60" s="210"/>
      <c r="DS60" s="210"/>
      <c r="DT60" s="210"/>
      <c r="DU60" s="210"/>
      <c r="DV60" s="210"/>
      <c r="DW60" s="210"/>
      <c r="DX60" s="210"/>
      <c r="DY60" s="210"/>
      <c r="DZ60" s="210"/>
      <c r="EA60" s="210"/>
      <c r="EB60" s="210"/>
      <c r="EC60" s="210"/>
      <c r="ED60" s="210"/>
      <c r="EE60" s="210"/>
      <c r="EF60" s="210"/>
      <c r="EG60" s="210"/>
      <c r="EH60" s="210"/>
      <c r="EI60" s="210"/>
      <c r="EJ60" s="210"/>
      <c r="EK60" s="210"/>
      <c r="EL60" s="210"/>
      <c r="EM60" s="210"/>
      <c r="EN60" s="210"/>
      <c r="EO60" s="210"/>
      <c r="EP60" s="210"/>
      <c r="EQ60" s="210"/>
      <c r="ER60" s="210"/>
      <c r="ES60" s="210"/>
      <c r="ET60" s="210"/>
      <c r="EU60" s="210"/>
      <c r="EV60" s="210"/>
      <c r="EW60" s="210"/>
      <c r="EX60" s="210"/>
      <c r="EY60" s="210"/>
      <c r="EZ60" s="210"/>
      <c r="FA60" s="210"/>
      <c r="FB60" s="210"/>
      <c r="FC60" s="210"/>
      <c r="FD60" s="210"/>
      <c r="FE60" s="210"/>
      <c r="FF60" s="210"/>
      <c r="FG60" s="210"/>
      <c r="FH60" s="210"/>
      <c r="FI60" s="210"/>
      <c r="FJ60" s="210"/>
      <c r="FK60" s="210"/>
      <c r="FL60" s="210"/>
      <c r="FM60" s="210"/>
      <c r="FN60" s="210"/>
      <c r="FO60" s="210"/>
      <c r="FP60" s="210"/>
      <c r="FQ60" s="210"/>
      <c r="FR60" s="210"/>
      <c r="FS60" s="210"/>
      <c r="FT60" s="210"/>
      <c r="FU60" s="210"/>
      <c r="FV60" s="210"/>
      <c r="FW60" s="210"/>
      <c r="FX60" s="210"/>
      <c r="FY60" s="210"/>
      <c r="FZ60" s="210"/>
      <c r="GA60" s="210"/>
      <c r="GB60" s="210"/>
      <c r="GC60" s="210"/>
      <c r="GD60" s="210"/>
      <c r="GE60" s="210"/>
      <c r="GF60" s="210"/>
      <c r="GG60" s="210"/>
      <c r="GH60" s="210"/>
      <c r="GI60" s="210"/>
      <c r="GJ60" s="210"/>
      <c r="GK60" s="210"/>
      <c r="GL60" s="210"/>
      <c r="GM60" s="210"/>
      <c r="GN60" s="210"/>
      <c r="GO60" s="210"/>
      <c r="GP60" s="210"/>
      <c r="GQ60" s="210"/>
      <c r="GR60" s="210"/>
      <c r="GS60" s="210"/>
      <c r="GT60" s="210"/>
      <c r="GU60" s="210"/>
      <c r="GV60" s="210"/>
      <c r="GW60" s="210"/>
      <c r="GX60" s="210"/>
      <c r="GY60" s="210"/>
      <c r="GZ60" s="210"/>
      <c r="HA60" s="210"/>
      <c r="HB60" s="210"/>
      <c r="HC60" s="210"/>
      <c r="HD60" s="210"/>
      <c r="HE60" s="210"/>
      <c r="HF60" s="210"/>
      <c r="HG60" s="210"/>
      <c r="HH60" s="210"/>
      <c r="HI60" s="210"/>
      <c r="HJ60" s="210"/>
      <c r="HK60" s="210"/>
      <c r="HL60" s="210"/>
      <c r="HM60" s="210"/>
      <c r="HN60" s="210"/>
      <c r="HO60" s="210"/>
      <c r="HP60" s="210"/>
      <c r="HQ60" s="210"/>
      <c r="HR60" s="210"/>
      <c r="HS60" s="210"/>
      <c r="HT60" s="210"/>
      <c r="HU60" s="210"/>
      <c r="HV60" s="210"/>
      <c r="HW60" s="210"/>
      <c r="HX60" s="210"/>
      <c r="HY60" s="210"/>
      <c r="HZ60" s="210"/>
      <c r="IA60" s="210"/>
      <c r="IB60" s="210"/>
      <c r="IC60" s="210"/>
      <c r="ID60" s="210"/>
      <c r="IE60" s="210"/>
      <c r="IF60" s="210"/>
      <c r="IG60" s="210"/>
      <c r="IH60" s="210"/>
      <c r="II60" s="210"/>
      <c r="IJ60" s="210"/>
      <c r="IK60" s="210"/>
      <c r="IL60" s="210"/>
      <c r="IM60" s="210"/>
      <c r="IN60" s="210"/>
      <c r="IO60" s="210"/>
      <c r="IP60" s="210"/>
      <c r="IQ60" s="210"/>
      <c r="IR60" s="210"/>
      <c r="IS60" s="210"/>
      <c r="IT60" s="210"/>
      <c r="IU60" s="210"/>
      <c r="IV60" s="210"/>
    </row>
    <row r="61" customFormat="false" ht="14.4" hidden="false" customHeight="false" outlineLevel="0" collapsed="false">
      <c r="A61" s="195" t="n">
        <f aca="false">Data!$A61</f>
        <v>61</v>
      </c>
      <c r="B61" s="195" t="str">
        <f aca="false">Data!$B61</f>
        <v>B316A-EB03-OPT-MIR-04</v>
      </c>
      <c r="C61" s="195" t="str">
        <f aca="false">Data!$C61</f>
        <v>Focusing Mirror M4 VERITAS</v>
      </c>
      <c r="D61" s="195" t="str">
        <f aca="false">Data!$D61</f>
        <v>V2</v>
      </c>
      <c r="E61" s="205" t="str">
        <f aca="true">INDEX(OFFSET(MOTION1!$A$2,0,0,SystemInfo!$B$1,1),MATCH(CONCATENATE(B61,D61),OFFSET(MOTION1!$J$2,0,0,SystemInfo!$B$1,1),0))</f>
        <v>W050841</v>
      </c>
      <c r="F61" s="205" t="str">
        <f aca="true">INDEX(OFFSET(MOTION3!$A$2,0,0,SystemInfo!$B$1,1),MATCH(CONCATENATE(B61,D61),OFFSET(MOTION3!$J$2,0,0,SystemInfo!$B$1,1),0))</f>
        <v>W050842</v>
      </c>
      <c r="G61" s="206" t="n">
        <f aca="false">INT(Data!$P61*Data!$L61)</f>
        <v>800</v>
      </c>
      <c r="H61" s="207" t="n">
        <v>1</v>
      </c>
      <c r="I61" s="206" t="str">
        <f aca="false">Data!U61</f>
        <v>ABSENC</v>
      </c>
      <c r="J61" s="206" t="n">
        <f aca="false">IF($I61="ABSENC",Data!$V61,"")</f>
        <v>10000</v>
      </c>
      <c r="K61" s="207" t="n">
        <v>1</v>
      </c>
      <c r="L61" s="206" t="str">
        <f aca="false">IF($I61="ENCIN",Data!$V61,"")</f>
        <v/>
      </c>
      <c r="M61" s="207" t="n">
        <v>1</v>
      </c>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c r="BZ61" s="208"/>
      <c r="CA61" s="208"/>
      <c r="CB61" s="208"/>
      <c r="CC61" s="208"/>
      <c r="CD61" s="208"/>
      <c r="CE61" s="208"/>
      <c r="CF61" s="208"/>
      <c r="CG61" s="208"/>
      <c r="CH61" s="208"/>
      <c r="CI61" s="208"/>
      <c r="CJ61" s="208"/>
      <c r="CK61" s="208"/>
      <c r="CL61" s="208"/>
      <c r="CM61" s="208"/>
      <c r="CN61" s="208"/>
      <c r="CO61" s="208"/>
      <c r="CP61" s="208"/>
      <c r="CQ61" s="208"/>
      <c r="CR61" s="208"/>
      <c r="CS61" s="208"/>
      <c r="CT61" s="208"/>
      <c r="CU61" s="208"/>
      <c r="CV61" s="208"/>
      <c r="CW61" s="208"/>
      <c r="CX61" s="208"/>
      <c r="CY61" s="208"/>
      <c r="CZ61" s="208"/>
      <c r="DA61" s="208"/>
      <c r="DB61" s="208"/>
      <c r="DC61" s="208"/>
      <c r="DD61" s="208"/>
      <c r="DE61" s="208"/>
      <c r="DF61" s="208"/>
      <c r="DG61" s="208"/>
      <c r="DH61" s="208"/>
      <c r="DI61" s="208"/>
      <c r="DJ61" s="208"/>
      <c r="DK61" s="208"/>
      <c r="DL61" s="208"/>
      <c r="DM61" s="208"/>
      <c r="DN61" s="208"/>
      <c r="DO61" s="208"/>
      <c r="DP61" s="208"/>
      <c r="DQ61" s="208"/>
      <c r="DR61" s="208"/>
      <c r="DS61" s="208"/>
      <c r="DT61" s="208"/>
      <c r="DU61" s="208"/>
      <c r="DV61" s="208"/>
      <c r="DW61" s="208"/>
      <c r="DX61" s="208"/>
      <c r="DY61" s="208"/>
      <c r="DZ61" s="208"/>
      <c r="EA61" s="208"/>
      <c r="EB61" s="208"/>
      <c r="EC61" s="208"/>
      <c r="ED61" s="208"/>
      <c r="EE61" s="208"/>
      <c r="EF61" s="208"/>
      <c r="EG61" s="208"/>
      <c r="EH61" s="208"/>
      <c r="EI61" s="208"/>
      <c r="EJ61" s="208"/>
      <c r="EK61" s="208"/>
      <c r="EL61" s="208"/>
      <c r="EM61" s="208"/>
      <c r="EN61" s="208"/>
      <c r="EO61" s="208"/>
      <c r="EP61" s="208"/>
      <c r="EQ61" s="208"/>
      <c r="ER61" s="208"/>
      <c r="ES61" s="208"/>
      <c r="ET61" s="208"/>
      <c r="EU61" s="208"/>
      <c r="EV61" s="208"/>
      <c r="EW61" s="208"/>
      <c r="EX61" s="208"/>
      <c r="EY61" s="208"/>
      <c r="EZ61" s="208"/>
      <c r="FA61" s="208"/>
      <c r="FB61" s="208"/>
      <c r="FC61" s="208"/>
      <c r="FD61" s="208"/>
      <c r="FE61" s="208"/>
      <c r="FF61" s="208"/>
      <c r="FG61" s="208"/>
      <c r="FH61" s="208"/>
      <c r="FI61" s="208"/>
      <c r="FJ61" s="208"/>
      <c r="FK61" s="208"/>
      <c r="FL61" s="208"/>
      <c r="FM61" s="208"/>
      <c r="FN61" s="208"/>
      <c r="FO61" s="208"/>
      <c r="FP61" s="208"/>
      <c r="FQ61" s="208"/>
      <c r="FR61" s="208"/>
      <c r="FS61" s="208"/>
      <c r="FT61" s="208"/>
      <c r="FU61" s="208"/>
      <c r="FV61" s="208"/>
      <c r="FW61" s="208"/>
      <c r="FX61" s="208"/>
      <c r="FY61" s="208"/>
      <c r="FZ61" s="208"/>
      <c r="GA61" s="208"/>
      <c r="GB61" s="208"/>
      <c r="GC61" s="208"/>
      <c r="GD61" s="208"/>
      <c r="GE61" s="208"/>
      <c r="GF61" s="208"/>
      <c r="GG61" s="208"/>
      <c r="GH61" s="208"/>
      <c r="GI61" s="208"/>
      <c r="GJ61" s="208"/>
      <c r="GK61" s="208"/>
      <c r="GL61" s="208"/>
      <c r="GM61" s="208"/>
      <c r="GN61" s="208"/>
      <c r="GO61" s="208"/>
      <c r="GP61" s="208"/>
      <c r="GQ61" s="208"/>
      <c r="GR61" s="208"/>
      <c r="GS61" s="208"/>
      <c r="GT61" s="208"/>
      <c r="GU61" s="208"/>
      <c r="GV61" s="208"/>
      <c r="GW61" s="208"/>
      <c r="GX61" s="208"/>
      <c r="GY61" s="208"/>
      <c r="GZ61" s="208"/>
      <c r="HA61" s="208"/>
      <c r="HB61" s="208"/>
      <c r="HC61" s="208"/>
      <c r="HD61" s="208"/>
      <c r="HE61" s="208"/>
      <c r="HF61" s="208"/>
      <c r="HG61" s="208"/>
      <c r="HH61" s="208"/>
      <c r="HI61" s="208"/>
      <c r="HJ61" s="208"/>
      <c r="HK61" s="208"/>
      <c r="HL61" s="208"/>
      <c r="HM61" s="208"/>
      <c r="HN61" s="208"/>
      <c r="HO61" s="208"/>
      <c r="HP61" s="208"/>
      <c r="HQ61" s="208"/>
      <c r="HR61" s="208"/>
      <c r="HS61" s="208"/>
      <c r="HT61" s="208"/>
      <c r="HU61" s="208"/>
      <c r="HV61" s="208"/>
      <c r="HW61" s="208"/>
      <c r="HX61" s="208"/>
      <c r="HY61" s="208"/>
      <c r="HZ61" s="208"/>
      <c r="IA61" s="208"/>
      <c r="IB61" s="208"/>
      <c r="IC61" s="208"/>
      <c r="ID61" s="208"/>
      <c r="IE61" s="208"/>
      <c r="IF61" s="208"/>
      <c r="IG61" s="208"/>
      <c r="IH61" s="208"/>
      <c r="II61" s="208"/>
      <c r="IJ61" s="208"/>
      <c r="IK61" s="208"/>
      <c r="IL61" s="208"/>
      <c r="IM61" s="208"/>
      <c r="IN61" s="208"/>
      <c r="IO61" s="208"/>
      <c r="IP61" s="208"/>
      <c r="IQ61" s="208"/>
      <c r="IR61" s="208"/>
      <c r="IS61" s="208"/>
      <c r="IT61" s="208"/>
      <c r="IU61" s="208"/>
      <c r="IV61" s="208"/>
    </row>
    <row r="62" customFormat="false" ht="14.4" hidden="false" customHeight="false" outlineLevel="0" collapsed="false">
      <c r="A62" s="195" t="n">
        <f aca="false">Data!$A62</f>
        <v>62</v>
      </c>
      <c r="B62" s="195" t="str">
        <f aca="false">Data!$B62</f>
        <v>B316A-EB03-OPT-MIR-04</v>
      </c>
      <c r="C62" s="195" t="str">
        <f aca="false">Data!$C62</f>
        <v>Focusing Mirror M4 VERITAS</v>
      </c>
      <c r="D62" s="195" t="str">
        <f aca="false">Data!$D62</f>
        <v>V3</v>
      </c>
      <c r="E62" s="205" t="str">
        <f aca="true">INDEX(OFFSET(MOTION1!$A$2,0,0,SystemInfo!$B$1,1),MATCH(CONCATENATE(B62,D62),OFFSET(MOTION1!$J$2,0,0,SystemInfo!$B$1,1),0))</f>
        <v>W050843</v>
      </c>
      <c r="F62" s="205" t="str">
        <f aca="true">INDEX(OFFSET(MOTION3!$A$2,0,0,SystemInfo!$B$1,1),MATCH(CONCATENATE(B62,D62),OFFSET(MOTION3!$J$2,0,0,SystemInfo!$B$1,1),0))</f>
        <v>W050844</v>
      </c>
      <c r="G62" s="206" t="n">
        <f aca="false">INT(Data!$P62*Data!$L62)</f>
        <v>800</v>
      </c>
      <c r="H62" s="207" t="n">
        <v>1</v>
      </c>
      <c r="I62" s="206" t="str">
        <f aca="false">Data!U62</f>
        <v>ABSENC</v>
      </c>
      <c r="J62" s="206" t="n">
        <f aca="false">IF($I62="ABSENC",Data!$V62,"")</f>
        <v>10000</v>
      </c>
      <c r="K62" s="207" t="n">
        <v>1</v>
      </c>
      <c r="L62" s="206" t="str">
        <f aca="false">IF($I62="ENCIN",Data!$V62,"")</f>
        <v/>
      </c>
      <c r="M62" s="207" t="n">
        <v>1</v>
      </c>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c r="BZ62" s="208"/>
      <c r="CA62" s="208"/>
      <c r="CB62" s="208"/>
      <c r="CC62" s="208"/>
      <c r="CD62" s="208"/>
      <c r="CE62" s="208"/>
      <c r="CF62" s="208"/>
      <c r="CG62" s="208"/>
      <c r="CH62" s="208"/>
      <c r="CI62" s="208"/>
      <c r="CJ62" s="208"/>
      <c r="CK62" s="208"/>
      <c r="CL62" s="208"/>
      <c r="CM62" s="208"/>
      <c r="CN62" s="208"/>
      <c r="CO62" s="208"/>
      <c r="CP62" s="208"/>
      <c r="CQ62" s="208"/>
      <c r="CR62" s="208"/>
      <c r="CS62" s="208"/>
      <c r="CT62" s="208"/>
      <c r="CU62" s="208"/>
      <c r="CV62" s="208"/>
      <c r="CW62" s="208"/>
      <c r="CX62" s="208"/>
      <c r="CY62" s="208"/>
      <c r="CZ62" s="208"/>
      <c r="DA62" s="208"/>
      <c r="DB62" s="208"/>
      <c r="DC62" s="208"/>
      <c r="DD62" s="208"/>
      <c r="DE62" s="208"/>
      <c r="DF62" s="208"/>
      <c r="DG62" s="208"/>
      <c r="DH62" s="208"/>
      <c r="DI62" s="208"/>
      <c r="DJ62" s="208"/>
      <c r="DK62" s="208"/>
      <c r="DL62" s="208"/>
      <c r="DM62" s="208"/>
      <c r="DN62" s="208"/>
      <c r="DO62" s="208"/>
      <c r="DP62" s="208"/>
      <c r="DQ62" s="208"/>
      <c r="DR62" s="208"/>
      <c r="DS62" s="208"/>
      <c r="DT62" s="208"/>
      <c r="DU62" s="208"/>
      <c r="DV62" s="208"/>
      <c r="DW62" s="208"/>
      <c r="DX62" s="208"/>
      <c r="DY62" s="208"/>
      <c r="DZ62" s="208"/>
      <c r="EA62" s="208"/>
      <c r="EB62" s="208"/>
      <c r="EC62" s="208"/>
      <c r="ED62" s="208"/>
      <c r="EE62" s="208"/>
      <c r="EF62" s="208"/>
      <c r="EG62" s="208"/>
      <c r="EH62" s="208"/>
      <c r="EI62" s="208"/>
      <c r="EJ62" s="208"/>
      <c r="EK62" s="208"/>
      <c r="EL62" s="208"/>
      <c r="EM62" s="208"/>
      <c r="EN62" s="208"/>
      <c r="EO62" s="208"/>
      <c r="EP62" s="208"/>
      <c r="EQ62" s="208"/>
      <c r="ER62" s="208"/>
      <c r="ES62" s="208"/>
      <c r="ET62" s="208"/>
      <c r="EU62" s="208"/>
      <c r="EV62" s="208"/>
      <c r="EW62" s="208"/>
      <c r="EX62" s="208"/>
      <c r="EY62" s="208"/>
      <c r="EZ62" s="208"/>
      <c r="FA62" s="208"/>
      <c r="FB62" s="208"/>
      <c r="FC62" s="208"/>
      <c r="FD62" s="208"/>
      <c r="FE62" s="208"/>
      <c r="FF62" s="208"/>
      <c r="FG62" s="208"/>
      <c r="FH62" s="208"/>
      <c r="FI62" s="208"/>
      <c r="FJ62" s="208"/>
      <c r="FK62" s="208"/>
      <c r="FL62" s="208"/>
      <c r="FM62" s="208"/>
      <c r="FN62" s="208"/>
      <c r="FO62" s="208"/>
      <c r="FP62" s="208"/>
      <c r="FQ62" s="208"/>
      <c r="FR62" s="208"/>
      <c r="FS62" s="208"/>
      <c r="FT62" s="208"/>
      <c r="FU62" s="208"/>
      <c r="FV62" s="208"/>
      <c r="FW62" s="208"/>
      <c r="FX62" s="208"/>
      <c r="FY62" s="208"/>
      <c r="FZ62" s="208"/>
      <c r="GA62" s="208"/>
      <c r="GB62" s="208"/>
      <c r="GC62" s="208"/>
      <c r="GD62" s="208"/>
      <c r="GE62" s="208"/>
      <c r="GF62" s="208"/>
      <c r="GG62" s="208"/>
      <c r="GH62" s="208"/>
      <c r="GI62" s="208"/>
      <c r="GJ62" s="208"/>
      <c r="GK62" s="208"/>
      <c r="GL62" s="208"/>
      <c r="GM62" s="208"/>
      <c r="GN62" s="208"/>
      <c r="GO62" s="208"/>
      <c r="GP62" s="208"/>
      <c r="GQ62" s="208"/>
      <c r="GR62" s="208"/>
      <c r="GS62" s="208"/>
      <c r="GT62" s="208"/>
      <c r="GU62" s="208"/>
      <c r="GV62" s="208"/>
      <c r="GW62" s="208"/>
      <c r="GX62" s="208"/>
      <c r="GY62" s="208"/>
      <c r="GZ62" s="208"/>
      <c r="HA62" s="208"/>
      <c r="HB62" s="208"/>
      <c r="HC62" s="208"/>
      <c r="HD62" s="208"/>
      <c r="HE62" s="208"/>
      <c r="HF62" s="208"/>
      <c r="HG62" s="208"/>
      <c r="HH62" s="208"/>
      <c r="HI62" s="208"/>
      <c r="HJ62" s="208"/>
      <c r="HK62" s="208"/>
      <c r="HL62" s="208"/>
      <c r="HM62" s="208"/>
      <c r="HN62" s="208"/>
      <c r="HO62" s="208"/>
      <c r="HP62" s="208"/>
      <c r="HQ62" s="208"/>
      <c r="HR62" s="208"/>
      <c r="HS62" s="208"/>
      <c r="HT62" s="208"/>
      <c r="HU62" s="208"/>
      <c r="HV62" s="208"/>
      <c r="HW62" s="208"/>
      <c r="HX62" s="208"/>
      <c r="HY62" s="208"/>
      <c r="HZ62" s="208"/>
      <c r="IA62" s="208"/>
      <c r="IB62" s="208"/>
      <c r="IC62" s="208"/>
      <c r="ID62" s="208"/>
      <c r="IE62" s="208"/>
      <c r="IF62" s="208"/>
      <c r="IG62" s="208"/>
      <c r="IH62" s="208"/>
      <c r="II62" s="208"/>
      <c r="IJ62" s="208"/>
      <c r="IK62" s="208"/>
      <c r="IL62" s="208"/>
      <c r="IM62" s="208"/>
      <c r="IN62" s="208"/>
      <c r="IO62" s="208"/>
      <c r="IP62" s="208"/>
      <c r="IQ62" s="208"/>
      <c r="IR62" s="208"/>
      <c r="IS62" s="208"/>
      <c r="IT62" s="208"/>
      <c r="IU62" s="208"/>
      <c r="IV62" s="208"/>
    </row>
    <row r="63" customFormat="false" ht="14.4" hidden="false" customHeight="false" outlineLevel="0" collapsed="false">
      <c r="A63" s="195" t="n">
        <f aca="false">Data!$A63</f>
        <v>63</v>
      </c>
      <c r="B63" s="195" t="str">
        <f aca="false">Data!$B63</f>
        <v>B316A-EB03-OPT-MIR-04</v>
      </c>
      <c r="C63" s="195" t="str">
        <f aca="false">Data!$C63</f>
        <v>Focusing Mirror M4 VERITAS</v>
      </c>
      <c r="D63" s="195" t="str">
        <f aca="false">Data!$D63</f>
        <v>H4</v>
      </c>
      <c r="E63" s="205" t="str">
        <f aca="true">INDEX(OFFSET(MOTION1!$A$2,0,0,SystemInfo!$B$1,1),MATCH(CONCATENATE(B63,D63),OFFSET(MOTION1!$J$2,0,0,SystemInfo!$B$1,1),0))</f>
        <v>W050845</v>
      </c>
      <c r="F63" s="205" t="str">
        <f aca="true">INDEX(OFFSET(MOTION3!$A$2,0,0,SystemInfo!$B$1,1),MATCH(CONCATENATE(B63,D63),OFFSET(MOTION3!$J$2,0,0,SystemInfo!$B$1,1),0))</f>
        <v>W050846</v>
      </c>
      <c r="G63" s="206" t="n">
        <f aca="false">INT(Data!$P63*Data!$L63)</f>
        <v>800</v>
      </c>
      <c r="H63" s="207" t="n">
        <v>1</v>
      </c>
      <c r="I63" s="206" t="str">
        <f aca="false">Data!U63</f>
        <v>ABSENC</v>
      </c>
      <c r="J63" s="206" t="n">
        <f aca="false">IF($I63="ABSENC",Data!$V63,"")</f>
        <v>10000</v>
      </c>
      <c r="K63" s="207" t="n">
        <v>1</v>
      </c>
      <c r="L63" s="206" t="str">
        <f aca="false">IF($I63="ENCIN",Data!$V63,"")</f>
        <v/>
      </c>
      <c r="M63" s="207" t="n">
        <v>1</v>
      </c>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c r="BZ63" s="208"/>
      <c r="CA63" s="208"/>
      <c r="CB63" s="208"/>
      <c r="CC63" s="208"/>
      <c r="CD63" s="208"/>
      <c r="CE63" s="208"/>
      <c r="CF63" s="208"/>
      <c r="CG63" s="208"/>
      <c r="CH63" s="208"/>
      <c r="CI63" s="208"/>
      <c r="CJ63" s="208"/>
      <c r="CK63" s="208"/>
      <c r="CL63" s="208"/>
      <c r="CM63" s="208"/>
      <c r="CN63" s="208"/>
      <c r="CO63" s="208"/>
      <c r="CP63" s="208"/>
      <c r="CQ63" s="208"/>
      <c r="CR63" s="208"/>
      <c r="CS63" s="208"/>
      <c r="CT63" s="208"/>
      <c r="CU63" s="208"/>
      <c r="CV63" s="208"/>
      <c r="CW63" s="208"/>
      <c r="CX63" s="208"/>
      <c r="CY63" s="208"/>
      <c r="CZ63" s="208"/>
      <c r="DA63" s="208"/>
      <c r="DB63" s="208"/>
      <c r="DC63" s="208"/>
      <c r="DD63" s="208"/>
      <c r="DE63" s="208"/>
      <c r="DF63" s="208"/>
      <c r="DG63" s="208"/>
      <c r="DH63" s="208"/>
      <c r="DI63" s="208"/>
      <c r="DJ63" s="208"/>
      <c r="DK63" s="208"/>
      <c r="DL63" s="208"/>
      <c r="DM63" s="208"/>
      <c r="DN63" s="208"/>
      <c r="DO63" s="208"/>
      <c r="DP63" s="208"/>
      <c r="DQ63" s="208"/>
      <c r="DR63" s="208"/>
      <c r="DS63" s="208"/>
      <c r="DT63" s="208"/>
      <c r="DU63" s="208"/>
      <c r="DV63" s="208"/>
      <c r="DW63" s="208"/>
      <c r="DX63" s="208"/>
      <c r="DY63" s="208"/>
      <c r="DZ63" s="208"/>
      <c r="EA63" s="208"/>
      <c r="EB63" s="208"/>
      <c r="EC63" s="208"/>
      <c r="ED63" s="208"/>
      <c r="EE63" s="208"/>
      <c r="EF63" s="208"/>
      <c r="EG63" s="208"/>
      <c r="EH63" s="208"/>
      <c r="EI63" s="208"/>
      <c r="EJ63" s="208"/>
      <c r="EK63" s="208"/>
      <c r="EL63" s="208"/>
      <c r="EM63" s="208"/>
      <c r="EN63" s="208"/>
      <c r="EO63" s="208"/>
      <c r="EP63" s="208"/>
      <c r="EQ63" s="208"/>
      <c r="ER63" s="208"/>
      <c r="ES63" s="208"/>
      <c r="ET63" s="208"/>
      <c r="EU63" s="208"/>
      <c r="EV63" s="208"/>
      <c r="EW63" s="208"/>
      <c r="EX63" s="208"/>
      <c r="EY63" s="208"/>
      <c r="EZ63" s="208"/>
      <c r="FA63" s="208"/>
      <c r="FB63" s="208"/>
      <c r="FC63" s="208"/>
      <c r="FD63" s="208"/>
      <c r="FE63" s="208"/>
      <c r="FF63" s="208"/>
      <c r="FG63" s="208"/>
      <c r="FH63" s="208"/>
      <c r="FI63" s="208"/>
      <c r="FJ63" s="208"/>
      <c r="FK63" s="208"/>
      <c r="FL63" s="208"/>
      <c r="FM63" s="208"/>
      <c r="FN63" s="208"/>
      <c r="FO63" s="208"/>
      <c r="FP63" s="208"/>
      <c r="FQ63" s="208"/>
      <c r="FR63" s="208"/>
      <c r="FS63" s="208"/>
      <c r="FT63" s="208"/>
      <c r="FU63" s="208"/>
      <c r="FV63" s="208"/>
      <c r="FW63" s="208"/>
      <c r="FX63" s="208"/>
      <c r="FY63" s="208"/>
      <c r="FZ63" s="208"/>
      <c r="GA63" s="208"/>
      <c r="GB63" s="208"/>
      <c r="GC63" s="208"/>
      <c r="GD63" s="208"/>
      <c r="GE63" s="208"/>
      <c r="GF63" s="208"/>
      <c r="GG63" s="208"/>
      <c r="GH63" s="208"/>
      <c r="GI63" s="208"/>
      <c r="GJ63" s="208"/>
      <c r="GK63" s="208"/>
      <c r="GL63" s="208"/>
      <c r="GM63" s="208"/>
      <c r="GN63" s="208"/>
      <c r="GO63" s="208"/>
      <c r="GP63" s="208"/>
      <c r="GQ63" s="208"/>
      <c r="GR63" s="208"/>
      <c r="GS63" s="208"/>
      <c r="GT63" s="208"/>
      <c r="GU63" s="208"/>
      <c r="GV63" s="208"/>
      <c r="GW63" s="208"/>
      <c r="GX63" s="208"/>
      <c r="GY63" s="208"/>
      <c r="GZ63" s="208"/>
      <c r="HA63" s="208"/>
      <c r="HB63" s="208"/>
      <c r="HC63" s="208"/>
      <c r="HD63" s="208"/>
      <c r="HE63" s="208"/>
      <c r="HF63" s="208"/>
      <c r="HG63" s="208"/>
      <c r="HH63" s="208"/>
      <c r="HI63" s="208"/>
      <c r="HJ63" s="208"/>
      <c r="HK63" s="208"/>
      <c r="HL63" s="208"/>
      <c r="HM63" s="208"/>
      <c r="HN63" s="208"/>
      <c r="HO63" s="208"/>
      <c r="HP63" s="208"/>
      <c r="HQ63" s="208"/>
      <c r="HR63" s="208"/>
      <c r="HS63" s="208"/>
      <c r="HT63" s="208"/>
      <c r="HU63" s="208"/>
      <c r="HV63" s="208"/>
      <c r="HW63" s="208"/>
      <c r="HX63" s="208"/>
      <c r="HY63" s="208"/>
      <c r="HZ63" s="208"/>
      <c r="IA63" s="208"/>
      <c r="IB63" s="208"/>
      <c r="IC63" s="208"/>
      <c r="ID63" s="208"/>
      <c r="IE63" s="208"/>
      <c r="IF63" s="208"/>
      <c r="IG63" s="208"/>
      <c r="IH63" s="208"/>
      <c r="II63" s="208"/>
      <c r="IJ63" s="208"/>
      <c r="IK63" s="208"/>
      <c r="IL63" s="208"/>
      <c r="IM63" s="208"/>
      <c r="IN63" s="208"/>
      <c r="IO63" s="208"/>
      <c r="IP63" s="208"/>
      <c r="IQ63" s="208"/>
      <c r="IR63" s="208"/>
      <c r="IS63" s="208"/>
      <c r="IT63" s="208"/>
      <c r="IU63" s="208"/>
      <c r="IV63" s="208"/>
    </row>
    <row r="64" customFormat="false" ht="14.4" hidden="false" customHeight="false" outlineLevel="0" collapsed="false">
      <c r="A64" s="195" t="n">
        <f aca="false">Data!$A64</f>
        <v>64</v>
      </c>
      <c r="B64" s="195" t="str">
        <f aca="false">Data!$B64</f>
        <v>B316A-EB03-OPT-MIR-04</v>
      </c>
      <c r="C64" s="195" t="str">
        <f aca="false">Data!$C64</f>
        <v>Focusing Mirror M4 VERITAS</v>
      </c>
      <c r="D64" s="195" t="str">
        <f aca="false">Data!$D64</f>
        <v>H5</v>
      </c>
      <c r="E64" s="205" t="str">
        <f aca="true">INDEX(OFFSET(MOTION1!$A$2,0,0,SystemInfo!$B$1,1),MATCH(CONCATENATE(B64,D64),OFFSET(MOTION1!$J$2,0,0,SystemInfo!$B$1,1),0))</f>
        <v>W050847</v>
      </c>
      <c r="F64" s="205" t="str">
        <f aca="true">INDEX(OFFSET(MOTION3!$A$2,0,0,SystemInfo!$B$1,1),MATCH(CONCATENATE(B64,D64),OFFSET(MOTION3!$J$2,0,0,SystemInfo!$B$1,1),0))</f>
        <v>W050848</v>
      </c>
      <c r="G64" s="206" t="n">
        <f aca="false">INT(Data!$P64*Data!$L64)</f>
        <v>800</v>
      </c>
      <c r="H64" s="207" t="n">
        <v>1</v>
      </c>
      <c r="I64" s="206" t="str">
        <f aca="false">Data!U64</f>
        <v>ABSENC</v>
      </c>
      <c r="J64" s="206" t="n">
        <f aca="false">IF($I64="ABSENC",Data!$V64,"")</f>
        <v>10000</v>
      </c>
      <c r="K64" s="207" t="n">
        <v>1</v>
      </c>
      <c r="L64" s="206" t="str">
        <f aca="false">IF($I64="ENCIN",Data!$V64,"")</f>
        <v/>
      </c>
      <c r="M64" s="207" t="n">
        <v>1</v>
      </c>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c r="BZ64" s="208"/>
      <c r="CA64" s="208"/>
      <c r="CB64" s="208"/>
      <c r="CC64" s="208"/>
      <c r="CD64" s="208"/>
      <c r="CE64" s="208"/>
      <c r="CF64" s="208"/>
      <c r="CG64" s="208"/>
      <c r="CH64" s="208"/>
      <c r="CI64" s="208"/>
      <c r="CJ64" s="208"/>
      <c r="CK64" s="208"/>
      <c r="CL64" s="208"/>
      <c r="CM64" s="208"/>
      <c r="CN64" s="208"/>
      <c r="CO64" s="208"/>
      <c r="CP64" s="208"/>
      <c r="CQ64" s="208"/>
      <c r="CR64" s="208"/>
      <c r="CS64" s="208"/>
      <c r="CT64" s="208"/>
      <c r="CU64" s="208"/>
      <c r="CV64" s="208"/>
      <c r="CW64" s="208"/>
      <c r="CX64" s="208"/>
      <c r="CY64" s="208"/>
      <c r="CZ64" s="208"/>
      <c r="DA64" s="208"/>
      <c r="DB64" s="208"/>
      <c r="DC64" s="208"/>
      <c r="DD64" s="208"/>
      <c r="DE64" s="208"/>
      <c r="DF64" s="208"/>
      <c r="DG64" s="208"/>
      <c r="DH64" s="208"/>
      <c r="DI64" s="208"/>
      <c r="DJ64" s="208"/>
      <c r="DK64" s="208"/>
      <c r="DL64" s="208"/>
      <c r="DM64" s="208"/>
      <c r="DN64" s="208"/>
      <c r="DO64" s="208"/>
      <c r="DP64" s="208"/>
      <c r="DQ64" s="208"/>
      <c r="DR64" s="208"/>
      <c r="DS64" s="208"/>
      <c r="DT64" s="208"/>
      <c r="DU64" s="208"/>
      <c r="DV64" s="208"/>
      <c r="DW64" s="208"/>
      <c r="DX64" s="208"/>
      <c r="DY64" s="208"/>
      <c r="DZ64" s="208"/>
      <c r="EA64" s="208"/>
      <c r="EB64" s="208"/>
      <c r="EC64" s="208"/>
      <c r="ED64" s="208"/>
      <c r="EE64" s="208"/>
      <c r="EF64" s="208"/>
      <c r="EG64" s="208"/>
      <c r="EH64" s="208"/>
      <c r="EI64" s="208"/>
      <c r="EJ64" s="208"/>
      <c r="EK64" s="208"/>
      <c r="EL64" s="208"/>
      <c r="EM64" s="208"/>
      <c r="EN64" s="208"/>
      <c r="EO64" s="208"/>
      <c r="EP64" s="208"/>
      <c r="EQ64" s="208"/>
      <c r="ER64" s="208"/>
      <c r="ES64" s="208"/>
      <c r="ET64" s="208"/>
      <c r="EU64" s="208"/>
      <c r="EV64" s="208"/>
      <c r="EW64" s="208"/>
      <c r="EX64" s="208"/>
      <c r="EY64" s="208"/>
      <c r="EZ64" s="208"/>
      <c r="FA64" s="208"/>
      <c r="FB64" s="208"/>
      <c r="FC64" s="208"/>
      <c r="FD64" s="208"/>
      <c r="FE64" s="208"/>
      <c r="FF64" s="208"/>
      <c r="FG64" s="208"/>
      <c r="FH64" s="208"/>
      <c r="FI64" s="208"/>
      <c r="FJ64" s="208"/>
      <c r="FK64" s="208"/>
      <c r="FL64" s="208"/>
      <c r="FM64" s="208"/>
      <c r="FN64" s="208"/>
      <c r="FO64" s="208"/>
      <c r="FP64" s="208"/>
      <c r="FQ64" s="208"/>
      <c r="FR64" s="208"/>
      <c r="FS64" s="208"/>
      <c r="FT64" s="208"/>
      <c r="FU64" s="208"/>
      <c r="FV64" s="208"/>
      <c r="FW64" s="208"/>
      <c r="FX64" s="208"/>
      <c r="FY64" s="208"/>
      <c r="FZ64" s="208"/>
      <c r="GA64" s="208"/>
      <c r="GB64" s="208"/>
      <c r="GC64" s="208"/>
      <c r="GD64" s="208"/>
      <c r="GE64" s="208"/>
      <c r="GF64" s="208"/>
      <c r="GG64" s="208"/>
      <c r="GH64" s="208"/>
      <c r="GI64" s="208"/>
      <c r="GJ64" s="208"/>
      <c r="GK64" s="208"/>
      <c r="GL64" s="208"/>
      <c r="GM64" s="208"/>
      <c r="GN64" s="208"/>
      <c r="GO64" s="208"/>
      <c r="GP64" s="208"/>
      <c r="GQ64" s="208"/>
      <c r="GR64" s="208"/>
      <c r="GS64" s="208"/>
      <c r="GT64" s="208"/>
      <c r="GU64" s="208"/>
      <c r="GV64" s="208"/>
      <c r="GW64" s="208"/>
      <c r="GX64" s="208"/>
      <c r="GY64" s="208"/>
      <c r="GZ64" s="208"/>
      <c r="HA64" s="208"/>
      <c r="HB64" s="208"/>
      <c r="HC64" s="208"/>
      <c r="HD64" s="208"/>
      <c r="HE64" s="208"/>
      <c r="HF64" s="208"/>
      <c r="HG64" s="208"/>
      <c r="HH64" s="208"/>
      <c r="HI64" s="208"/>
      <c r="HJ64" s="208"/>
      <c r="HK64" s="208"/>
      <c r="HL64" s="208"/>
      <c r="HM64" s="208"/>
      <c r="HN64" s="208"/>
      <c r="HO64" s="208"/>
      <c r="HP64" s="208"/>
      <c r="HQ64" s="208"/>
      <c r="HR64" s="208"/>
      <c r="HS64" s="208"/>
      <c r="HT64" s="208"/>
      <c r="HU64" s="208"/>
      <c r="HV64" s="208"/>
      <c r="HW64" s="208"/>
      <c r="HX64" s="208"/>
      <c r="HY64" s="208"/>
      <c r="HZ64" s="208"/>
      <c r="IA64" s="208"/>
      <c r="IB64" s="208"/>
      <c r="IC64" s="208"/>
      <c r="ID64" s="208"/>
      <c r="IE64" s="208"/>
      <c r="IF64" s="208"/>
      <c r="IG64" s="208"/>
      <c r="IH64" s="208"/>
      <c r="II64" s="208"/>
      <c r="IJ64" s="208"/>
      <c r="IK64" s="208"/>
      <c r="IL64" s="208"/>
      <c r="IM64" s="208"/>
      <c r="IN64" s="208"/>
      <c r="IO64" s="208"/>
      <c r="IP64" s="208"/>
      <c r="IQ64" s="208"/>
      <c r="IR64" s="208"/>
      <c r="IS64" s="208"/>
      <c r="IT64" s="208"/>
      <c r="IU64" s="208"/>
      <c r="IV64" s="208"/>
    </row>
    <row r="65" customFormat="false" ht="14.4" hidden="false" customHeight="false" outlineLevel="0" collapsed="false">
      <c r="A65" s="195" t="n">
        <f aca="false">Data!$A65</f>
        <v>65</v>
      </c>
      <c r="B65" s="195" t="n">
        <f aca="false">Data!$B65</f>
        <v>0</v>
      </c>
      <c r="C65" s="195" t="n">
        <f aca="false">Data!$C65</f>
        <v>0</v>
      </c>
      <c r="D65" s="195" t="n">
        <f aca="false">Data!$D65</f>
        <v>0</v>
      </c>
      <c r="E65" s="205" t="e">
        <f aca="true">INDEX(OFFSET(MOTION1!$A$2,0,0,SystemInfo!$B$1,1),MATCH(CONCATENATE(B65,D65),OFFSET(MOTION1!$J$2,0,0,SystemInfo!$B$1,1),0))</f>
        <v>#N/A</v>
      </c>
      <c r="F65" s="205" t="e">
        <f aca="true">INDEX(OFFSET(MOTION3!$A$2,0,0,SystemInfo!$B$1,1),MATCH(CONCATENATE(B65,D65),OFFSET(MOTION3!$J$2,0,0,SystemInfo!$B$1,1),0))</f>
        <v>#N/A</v>
      </c>
      <c r="G65" s="206" t="e">
        <f aca="false">INT(Data!$P65*Data!$L65)</f>
        <v>#N/A</v>
      </c>
      <c r="H65" s="207" t="n">
        <v>1</v>
      </c>
      <c r="I65" s="206" t="n">
        <f aca="false">Data!U65</f>
        <v>0</v>
      </c>
      <c r="J65" s="206" t="str">
        <f aca="false">IF($I65="ABSENC",Data!$V65,"")</f>
        <v/>
      </c>
      <c r="K65" s="207" t="n">
        <v>1</v>
      </c>
      <c r="L65" s="206" t="str">
        <f aca="false">IF($I65="ENCIN",Data!$V65,"")</f>
        <v/>
      </c>
      <c r="M65" s="207" t="n">
        <v>1</v>
      </c>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c r="BZ65" s="208"/>
      <c r="CA65" s="208"/>
      <c r="CB65" s="208"/>
      <c r="CC65" s="208"/>
      <c r="CD65" s="208"/>
      <c r="CE65" s="208"/>
      <c r="CF65" s="208"/>
      <c r="CG65" s="208"/>
      <c r="CH65" s="208"/>
      <c r="CI65" s="208"/>
      <c r="CJ65" s="208"/>
      <c r="CK65" s="208"/>
      <c r="CL65" s="208"/>
      <c r="CM65" s="208"/>
      <c r="CN65" s="208"/>
      <c r="CO65" s="208"/>
      <c r="CP65" s="208"/>
      <c r="CQ65" s="208"/>
      <c r="CR65" s="208"/>
      <c r="CS65" s="208"/>
      <c r="CT65" s="208"/>
      <c r="CU65" s="208"/>
      <c r="CV65" s="208"/>
      <c r="CW65" s="208"/>
      <c r="CX65" s="208"/>
      <c r="CY65" s="208"/>
      <c r="CZ65" s="208"/>
      <c r="DA65" s="208"/>
      <c r="DB65" s="208"/>
      <c r="DC65" s="208"/>
      <c r="DD65" s="208"/>
      <c r="DE65" s="208"/>
      <c r="DF65" s="208"/>
      <c r="DG65" s="208"/>
      <c r="DH65" s="208"/>
      <c r="DI65" s="208"/>
      <c r="DJ65" s="208"/>
      <c r="DK65" s="208"/>
      <c r="DL65" s="208"/>
      <c r="DM65" s="208"/>
      <c r="DN65" s="208"/>
      <c r="DO65" s="208"/>
      <c r="DP65" s="208"/>
      <c r="DQ65" s="208"/>
      <c r="DR65" s="208"/>
      <c r="DS65" s="208"/>
      <c r="DT65" s="208"/>
      <c r="DU65" s="208"/>
      <c r="DV65" s="208"/>
      <c r="DW65" s="208"/>
      <c r="DX65" s="208"/>
      <c r="DY65" s="208"/>
      <c r="DZ65" s="208"/>
      <c r="EA65" s="208"/>
      <c r="EB65" s="208"/>
      <c r="EC65" s="208"/>
      <c r="ED65" s="208"/>
      <c r="EE65" s="208"/>
      <c r="EF65" s="208"/>
      <c r="EG65" s="208"/>
      <c r="EH65" s="208"/>
      <c r="EI65" s="208"/>
      <c r="EJ65" s="208"/>
      <c r="EK65" s="208"/>
      <c r="EL65" s="208"/>
      <c r="EM65" s="208"/>
      <c r="EN65" s="208"/>
      <c r="EO65" s="208"/>
      <c r="EP65" s="208"/>
      <c r="EQ65" s="208"/>
      <c r="ER65" s="208"/>
      <c r="ES65" s="208"/>
      <c r="ET65" s="208"/>
      <c r="EU65" s="208"/>
      <c r="EV65" s="208"/>
      <c r="EW65" s="208"/>
      <c r="EX65" s="208"/>
      <c r="EY65" s="208"/>
      <c r="EZ65" s="208"/>
      <c r="FA65" s="208"/>
      <c r="FB65" s="208"/>
      <c r="FC65" s="208"/>
      <c r="FD65" s="208"/>
      <c r="FE65" s="208"/>
      <c r="FF65" s="208"/>
      <c r="FG65" s="208"/>
      <c r="FH65" s="208"/>
      <c r="FI65" s="208"/>
      <c r="FJ65" s="208"/>
      <c r="FK65" s="208"/>
      <c r="FL65" s="208"/>
      <c r="FM65" s="208"/>
      <c r="FN65" s="208"/>
      <c r="FO65" s="208"/>
      <c r="FP65" s="208"/>
      <c r="FQ65" s="208"/>
      <c r="FR65" s="208"/>
      <c r="FS65" s="208"/>
      <c r="FT65" s="208"/>
      <c r="FU65" s="208"/>
      <c r="FV65" s="208"/>
      <c r="FW65" s="208"/>
      <c r="FX65" s="208"/>
      <c r="FY65" s="208"/>
      <c r="FZ65" s="208"/>
      <c r="GA65" s="208"/>
      <c r="GB65" s="208"/>
      <c r="GC65" s="208"/>
      <c r="GD65" s="208"/>
      <c r="GE65" s="208"/>
      <c r="GF65" s="208"/>
      <c r="GG65" s="208"/>
      <c r="GH65" s="208"/>
      <c r="GI65" s="208"/>
      <c r="GJ65" s="208"/>
      <c r="GK65" s="208"/>
      <c r="GL65" s="208"/>
      <c r="GM65" s="208"/>
      <c r="GN65" s="208"/>
      <c r="GO65" s="208"/>
      <c r="GP65" s="208"/>
      <c r="GQ65" s="208"/>
      <c r="GR65" s="208"/>
      <c r="GS65" s="208"/>
      <c r="GT65" s="208"/>
      <c r="GU65" s="208"/>
      <c r="GV65" s="208"/>
      <c r="GW65" s="208"/>
      <c r="GX65" s="208"/>
      <c r="GY65" s="208"/>
      <c r="GZ65" s="208"/>
      <c r="HA65" s="208"/>
      <c r="HB65" s="208"/>
      <c r="HC65" s="208"/>
      <c r="HD65" s="208"/>
      <c r="HE65" s="208"/>
      <c r="HF65" s="208"/>
      <c r="HG65" s="208"/>
      <c r="HH65" s="208"/>
      <c r="HI65" s="208"/>
      <c r="HJ65" s="208"/>
      <c r="HK65" s="208"/>
      <c r="HL65" s="208"/>
      <c r="HM65" s="208"/>
      <c r="HN65" s="208"/>
      <c r="HO65" s="208"/>
      <c r="HP65" s="208"/>
      <c r="HQ65" s="208"/>
      <c r="HR65" s="208"/>
      <c r="HS65" s="208"/>
      <c r="HT65" s="208"/>
      <c r="HU65" s="208"/>
      <c r="HV65" s="208"/>
      <c r="HW65" s="208"/>
      <c r="HX65" s="208"/>
      <c r="HY65" s="208"/>
      <c r="HZ65" s="208"/>
      <c r="IA65" s="208"/>
      <c r="IB65" s="208"/>
      <c r="IC65" s="208"/>
      <c r="ID65" s="208"/>
      <c r="IE65" s="208"/>
      <c r="IF65" s="208"/>
      <c r="IG65" s="208"/>
      <c r="IH65" s="208"/>
      <c r="II65" s="208"/>
      <c r="IJ65" s="208"/>
      <c r="IK65" s="208"/>
      <c r="IL65" s="208"/>
      <c r="IM65" s="208"/>
      <c r="IN65" s="208"/>
      <c r="IO65" s="208"/>
      <c r="IP65" s="208"/>
      <c r="IQ65" s="208"/>
      <c r="IR65" s="208"/>
      <c r="IS65" s="208"/>
      <c r="IT65" s="208"/>
      <c r="IU65" s="208"/>
      <c r="IV65" s="208"/>
    </row>
    <row r="66" customFormat="false" ht="14.4" hidden="false" customHeight="false" outlineLevel="0" collapsed="false">
      <c r="A66" s="195" t="n">
        <f aca="false">Data!$A66</f>
        <v>66</v>
      </c>
      <c r="B66" s="195" t="n">
        <f aca="false">Data!$B66</f>
        <v>0</v>
      </c>
      <c r="C66" s="195" t="n">
        <f aca="false">Data!$C66</f>
        <v>0</v>
      </c>
      <c r="D66" s="195" t="n">
        <f aca="false">Data!$D66</f>
        <v>0</v>
      </c>
      <c r="E66" s="205" t="e">
        <f aca="true">INDEX(OFFSET(MOTION1!$A$2,0,0,SystemInfo!$B$1,1),MATCH(CONCATENATE(B66,D66),OFFSET(MOTION1!$J$2,0,0,SystemInfo!$B$1,1),0))</f>
        <v>#N/A</v>
      </c>
      <c r="F66" s="205" t="e">
        <f aca="true">INDEX(OFFSET(MOTION3!$A$2,0,0,SystemInfo!$B$1,1),MATCH(CONCATENATE(B66,D66),OFFSET(MOTION3!$J$2,0,0,SystemInfo!$B$1,1),0))</f>
        <v>#N/A</v>
      </c>
      <c r="G66" s="206" t="e">
        <f aca="false">INT(Data!$P66*Data!$L66)</f>
        <v>#N/A</v>
      </c>
      <c r="H66" s="207" t="n">
        <v>1</v>
      </c>
      <c r="I66" s="206" t="n">
        <f aca="false">Data!U66</f>
        <v>0</v>
      </c>
      <c r="J66" s="206" t="str">
        <f aca="false">IF($I66="ABSENC",Data!$V66,"")</f>
        <v/>
      </c>
      <c r="K66" s="207" t="n">
        <v>1</v>
      </c>
      <c r="L66" s="206" t="str">
        <f aca="false">IF($I66="ENCIN",Data!$V66,"")</f>
        <v/>
      </c>
      <c r="M66" s="207" t="n">
        <v>1</v>
      </c>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c r="BZ66" s="208"/>
      <c r="CA66" s="208"/>
      <c r="CB66" s="208"/>
      <c r="CC66" s="208"/>
      <c r="CD66" s="208"/>
      <c r="CE66" s="208"/>
      <c r="CF66" s="208"/>
      <c r="CG66" s="208"/>
      <c r="CH66" s="208"/>
      <c r="CI66" s="208"/>
      <c r="CJ66" s="208"/>
      <c r="CK66" s="208"/>
      <c r="CL66" s="208"/>
      <c r="CM66" s="208"/>
      <c r="CN66" s="208"/>
      <c r="CO66" s="208"/>
      <c r="CP66" s="208"/>
      <c r="CQ66" s="208"/>
      <c r="CR66" s="208"/>
      <c r="CS66" s="208"/>
      <c r="CT66" s="208"/>
      <c r="CU66" s="208"/>
      <c r="CV66" s="208"/>
      <c r="CW66" s="208"/>
      <c r="CX66" s="208"/>
      <c r="CY66" s="208"/>
      <c r="CZ66" s="208"/>
      <c r="DA66" s="208"/>
      <c r="DB66" s="208"/>
      <c r="DC66" s="208"/>
      <c r="DD66" s="208"/>
      <c r="DE66" s="208"/>
      <c r="DF66" s="208"/>
      <c r="DG66" s="208"/>
      <c r="DH66" s="208"/>
      <c r="DI66" s="208"/>
      <c r="DJ66" s="208"/>
      <c r="DK66" s="208"/>
      <c r="DL66" s="208"/>
      <c r="DM66" s="208"/>
      <c r="DN66" s="208"/>
      <c r="DO66" s="208"/>
      <c r="DP66" s="208"/>
      <c r="DQ66" s="208"/>
      <c r="DR66" s="208"/>
      <c r="DS66" s="208"/>
      <c r="DT66" s="208"/>
      <c r="DU66" s="208"/>
      <c r="DV66" s="208"/>
      <c r="DW66" s="208"/>
      <c r="DX66" s="208"/>
      <c r="DY66" s="208"/>
      <c r="DZ66" s="208"/>
      <c r="EA66" s="208"/>
      <c r="EB66" s="208"/>
      <c r="EC66" s="208"/>
      <c r="ED66" s="208"/>
      <c r="EE66" s="208"/>
      <c r="EF66" s="208"/>
      <c r="EG66" s="208"/>
      <c r="EH66" s="208"/>
      <c r="EI66" s="208"/>
      <c r="EJ66" s="208"/>
      <c r="EK66" s="208"/>
      <c r="EL66" s="208"/>
      <c r="EM66" s="208"/>
      <c r="EN66" s="208"/>
      <c r="EO66" s="208"/>
      <c r="EP66" s="208"/>
      <c r="EQ66" s="208"/>
      <c r="ER66" s="208"/>
      <c r="ES66" s="208"/>
      <c r="ET66" s="208"/>
      <c r="EU66" s="208"/>
      <c r="EV66" s="208"/>
      <c r="EW66" s="208"/>
      <c r="EX66" s="208"/>
      <c r="EY66" s="208"/>
      <c r="EZ66" s="208"/>
      <c r="FA66" s="208"/>
      <c r="FB66" s="208"/>
      <c r="FC66" s="208"/>
      <c r="FD66" s="208"/>
      <c r="FE66" s="208"/>
      <c r="FF66" s="208"/>
      <c r="FG66" s="208"/>
      <c r="FH66" s="208"/>
      <c r="FI66" s="208"/>
      <c r="FJ66" s="208"/>
      <c r="FK66" s="208"/>
      <c r="FL66" s="208"/>
      <c r="FM66" s="208"/>
      <c r="FN66" s="208"/>
      <c r="FO66" s="208"/>
      <c r="FP66" s="208"/>
      <c r="FQ66" s="208"/>
      <c r="FR66" s="208"/>
      <c r="FS66" s="208"/>
      <c r="FT66" s="208"/>
      <c r="FU66" s="208"/>
      <c r="FV66" s="208"/>
      <c r="FW66" s="208"/>
      <c r="FX66" s="208"/>
      <c r="FY66" s="208"/>
      <c r="FZ66" s="208"/>
      <c r="GA66" s="208"/>
      <c r="GB66" s="208"/>
      <c r="GC66" s="208"/>
      <c r="GD66" s="208"/>
      <c r="GE66" s="208"/>
      <c r="GF66" s="208"/>
      <c r="GG66" s="208"/>
      <c r="GH66" s="208"/>
      <c r="GI66" s="208"/>
      <c r="GJ66" s="208"/>
      <c r="GK66" s="208"/>
      <c r="GL66" s="208"/>
      <c r="GM66" s="208"/>
      <c r="GN66" s="208"/>
      <c r="GO66" s="208"/>
      <c r="GP66" s="208"/>
      <c r="GQ66" s="208"/>
      <c r="GR66" s="208"/>
      <c r="GS66" s="208"/>
      <c r="GT66" s="208"/>
      <c r="GU66" s="208"/>
      <c r="GV66" s="208"/>
      <c r="GW66" s="208"/>
      <c r="GX66" s="208"/>
      <c r="GY66" s="208"/>
      <c r="GZ66" s="208"/>
      <c r="HA66" s="208"/>
      <c r="HB66" s="208"/>
      <c r="HC66" s="208"/>
      <c r="HD66" s="208"/>
      <c r="HE66" s="208"/>
      <c r="HF66" s="208"/>
      <c r="HG66" s="208"/>
      <c r="HH66" s="208"/>
      <c r="HI66" s="208"/>
      <c r="HJ66" s="208"/>
      <c r="HK66" s="208"/>
      <c r="HL66" s="208"/>
      <c r="HM66" s="208"/>
      <c r="HN66" s="208"/>
      <c r="HO66" s="208"/>
      <c r="HP66" s="208"/>
      <c r="HQ66" s="208"/>
      <c r="HR66" s="208"/>
      <c r="HS66" s="208"/>
      <c r="HT66" s="208"/>
      <c r="HU66" s="208"/>
      <c r="HV66" s="208"/>
      <c r="HW66" s="208"/>
      <c r="HX66" s="208"/>
      <c r="HY66" s="208"/>
      <c r="HZ66" s="208"/>
      <c r="IA66" s="208"/>
      <c r="IB66" s="208"/>
      <c r="IC66" s="208"/>
      <c r="ID66" s="208"/>
      <c r="IE66" s="208"/>
      <c r="IF66" s="208"/>
      <c r="IG66" s="208"/>
      <c r="IH66" s="208"/>
      <c r="II66" s="208"/>
      <c r="IJ66" s="208"/>
      <c r="IK66" s="208"/>
      <c r="IL66" s="208"/>
      <c r="IM66" s="208"/>
      <c r="IN66" s="208"/>
      <c r="IO66" s="208"/>
      <c r="IP66" s="208"/>
      <c r="IQ66" s="208"/>
      <c r="IR66" s="208"/>
      <c r="IS66" s="208"/>
      <c r="IT66" s="208"/>
      <c r="IU66" s="208"/>
      <c r="IV66" s="208"/>
    </row>
    <row r="67" customFormat="false" ht="14.4" hidden="false" customHeight="false" outlineLevel="0" collapsed="false">
      <c r="A67" s="195" t="n">
        <f aca="false">Data!$A67</f>
        <v>67</v>
      </c>
      <c r="B67" s="195" t="n">
        <f aca="false">Data!$B67</f>
        <v>0</v>
      </c>
      <c r="C67" s="195" t="n">
        <f aca="false">Data!$C67</f>
        <v>0</v>
      </c>
      <c r="D67" s="195" t="n">
        <f aca="false">Data!$D67</f>
        <v>0</v>
      </c>
      <c r="E67" s="205" t="e">
        <f aca="true">INDEX(OFFSET(MOTION1!$A$2,0,0,SystemInfo!$B$1,1),MATCH(CONCATENATE(B67,D67),OFFSET(MOTION1!$J$2,0,0,SystemInfo!$B$1,1),0))</f>
        <v>#N/A</v>
      </c>
      <c r="F67" s="205" t="e">
        <f aca="true">INDEX(OFFSET(MOTION3!$A$2,0,0,SystemInfo!$B$1,1),MATCH(CONCATENATE(B67,D67),OFFSET(MOTION3!$J$2,0,0,SystemInfo!$B$1,1),0))</f>
        <v>#N/A</v>
      </c>
      <c r="G67" s="206" t="e">
        <f aca="false">INT(Data!$P67*Data!$L67)</f>
        <v>#N/A</v>
      </c>
      <c r="H67" s="207" t="n">
        <v>1</v>
      </c>
      <c r="I67" s="206" t="n">
        <f aca="false">Data!U67</f>
        <v>0</v>
      </c>
      <c r="J67" s="206" t="str">
        <f aca="false">IF($I67="ABSENC",Data!$V67,"")</f>
        <v/>
      </c>
      <c r="K67" s="207" t="n">
        <v>1</v>
      </c>
      <c r="L67" s="206" t="str">
        <f aca="false">IF($I67="ENCIN",Data!$V67,"")</f>
        <v/>
      </c>
      <c r="M67" s="207" t="n">
        <v>1</v>
      </c>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c r="BZ67" s="208"/>
      <c r="CA67" s="208"/>
      <c r="CB67" s="208"/>
      <c r="CC67" s="208"/>
      <c r="CD67" s="208"/>
      <c r="CE67" s="208"/>
      <c r="CF67" s="208"/>
      <c r="CG67" s="208"/>
      <c r="CH67" s="208"/>
      <c r="CI67" s="208"/>
      <c r="CJ67" s="208"/>
      <c r="CK67" s="208"/>
      <c r="CL67" s="208"/>
      <c r="CM67" s="208"/>
      <c r="CN67" s="208"/>
      <c r="CO67" s="208"/>
      <c r="CP67" s="208"/>
      <c r="CQ67" s="208"/>
      <c r="CR67" s="208"/>
      <c r="CS67" s="208"/>
      <c r="CT67" s="208"/>
      <c r="CU67" s="208"/>
      <c r="CV67" s="208"/>
      <c r="CW67" s="208"/>
      <c r="CX67" s="208"/>
      <c r="CY67" s="208"/>
      <c r="CZ67" s="208"/>
      <c r="DA67" s="208"/>
      <c r="DB67" s="208"/>
      <c r="DC67" s="208"/>
      <c r="DD67" s="208"/>
      <c r="DE67" s="208"/>
      <c r="DF67" s="208"/>
      <c r="DG67" s="208"/>
      <c r="DH67" s="208"/>
      <c r="DI67" s="208"/>
      <c r="DJ67" s="208"/>
      <c r="DK67" s="208"/>
      <c r="DL67" s="208"/>
      <c r="DM67" s="208"/>
      <c r="DN67" s="208"/>
      <c r="DO67" s="208"/>
      <c r="DP67" s="208"/>
      <c r="DQ67" s="208"/>
      <c r="DR67" s="208"/>
      <c r="DS67" s="208"/>
      <c r="DT67" s="208"/>
      <c r="DU67" s="208"/>
      <c r="DV67" s="208"/>
      <c r="DW67" s="208"/>
      <c r="DX67" s="208"/>
      <c r="DY67" s="208"/>
      <c r="DZ67" s="208"/>
      <c r="EA67" s="208"/>
      <c r="EB67" s="208"/>
      <c r="EC67" s="208"/>
      <c r="ED67" s="208"/>
      <c r="EE67" s="208"/>
      <c r="EF67" s="208"/>
      <c r="EG67" s="208"/>
      <c r="EH67" s="208"/>
      <c r="EI67" s="208"/>
      <c r="EJ67" s="208"/>
      <c r="EK67" s="208"/>
      <c r="EL67" s="208"/>
      <c r="EM67" s="208"/>
      <c r="EN67" s="208"/>
      <c r="EO67" s="208"/>
      <c r="EP67" s="208"/>
      <c r="EQ67" s="208"/>
      <c r="ER67" s="208"/>
      <c r="ES67" s="208"/>
      <c r="ET67" s="208"/>
      <c r="EU67" s="208"/>
      <c r="EV67" s="208"/>
      <c r="EW67" s="208"/>
      <c r="EX67" s="208"/>
      <c r="EY67" s="208"/>
      <c r="EZ67" s="208"/>
      <c r="FA67" s="208"/>
      <c r="FB67" s="208"/>
      <c r="FC67" s="208"/>
      <c r="FD67" s="208"/>
      <c r="FE67" s="208"/>
      <c r="FF67" s="208"/>
      <c r="FG67" s="208"/>
      <c r="FH67" s="208"/>
      <c r="FI67" s="208"/>
      <c r="FJ67" s="208"/>
      <c r="FK67" s="208"/>
      <c r="FL67" s="208"/>
      <c r="FM67" s="208"/>
      <c r="FN67" s="208"/>
      <c r="FO67" s="208"/>
      <c r="FP67" s="208"/>
      <c r="FQ67" s="208"/>
      <c r="FR67" s="208"/>
      <c r="FS67" s="208"/>
      <c r="FT67" s="208"/>
      <c r="FU67" s="208"/>
      <c r="FV67" s="208"/>
      <c r="FW67" s="208"/>
      <c r="FX67" s="208"/>
      <c r="FY67" s="208"/>
      <c r="FZ67" s="208"/>
      <c r="GA67" s="208"/>
      <c r="GB67" s="208"/>
      <c r="GC67" s="208"/>
      <c r="GD67" s="208"/>
      <c r="GE67" s="208"/>
      <c r="GF67" s="208"/>
      <c r="GG67" s="208"/>
      <c r="GH67" s="208"/>
      <c r="GI67" s="208"/>
      <c r="GJ67" s="208"/>
      <c r="GK67" s="208"/>
      <c r="GL67" s="208"/>
      <c r="GM67" s="208"/>
      <c r="GN67" s="208"/>
      <c r="GO67" s="208"/>
      <c r="GP67" s="208"/>
      <c r="GQ67" s="208"/>
      <c r="GR67" s="208"/>
      <c r="GS67" s="208"/>
      <c r="GT67" s="208"/>
      <c r="GU67" s="208"/>
      <c r="GV67" s="208"/>
      <c r="GW67" s="208"/>
      <c r="GX67" s="208"/>
      <c r="GY67" s="208"/>
      <c r="GZ67" s="208"/>
      <c r="HA67" s="208"/>
      <c r="HB67" s="208"/>
      <c r="HC67" s="208"/>
      <c r="HD67" s="208"/>
      <c r="HE67" s="208"/>
      <c r="HF67" s="208"/>
      <c r="HG67" s="208"/>
      <c r="HH67" s="208"/>
      <c r="HI67" s="208"/>
      <c r="HJ67" s="208"/>
      <c r="HK67" s="208"/>
      <c r="HL67" s="208"/>
      <c r="HM67" s="208"/>
      <c r="HN67" s="208"/>
      <c r="HO67" s="208"/>
      <c r="HP67" s="208"/>
      <c r="HQ67" s="208"/>
      <c r="HR67" s="208"/>
      <c r="HS67" s="208"/>
      <c r="HT67" s="208"/>
      <c r="HU67" s="208"/>
      <c r="HV67" s="208"/>
      <c r="HW67" s="208"/>
      <c r="HX67" s="208"/>
      <c r="HY67" s="208"/>
      <c r="HZ67" s="208"/>
      <c r="IA67" s="208"/>
      <c r="IB67" s="208"/>
      <c r="IC67" s="208"/>
      <c r="ID67" s="208"/>
      <c r="IE67" s="208"/>
      <c r="IF67" s="208"/>
      <c r="IG67" s="208"/>
      <c r="IH67" s="208"/>
      <c r="II67" s="208"/>
      <c r="IJ67" s="208"/>
      <c r="IK67" s="208"/>
      <c r="IL67" s="208"/>
      <c r="IM67" s="208"/>
      <c r="IN67" s="208"/>
      <c r="IO67" s="208"/>
      <c r="IP67" s="208"/>
      <c r="IQ67" s="208"/>
      <c r="IR67" s="208"/>
      <c r="IS67" s="208"/>
      <c r="IT67" s="208"/>
      <c r="IU67" s="208"/>
      <c r="IV67" s="208"/>
    </row>
    <row r="68" customFormat="false" ht="14.4" hidden="false" customHeight="false" outlineLevel="0" collapsed="false">
      <c r="A68" s="195" t="n">
        <f aca="false">Data!$A68</f>
        <v>68</v>
      </c>
      <c r="B68" s="195" t="n">
        <f aca="false">Data!$B68</f>
        <v>0</v>
      </c>
      <c r="C68" s="195" t="n">
        <f aca="false">Data!$C68</f>
        <v>0</v>
      </c>
      <c r="D68" s="195" t="n">
        <f aca="false">Data!$D68</f>
        <v>0</v>
      </c>
      <c r="E68" s="205" t="e">
        <f aca="true">INDEX(OFFSET(MOTION1!$A$2,0,0,SystemInfo!$B$1,1),MATCH(CONCATENATE(B68,D68),OFFSET(MOTION1!$J$2,0,0,SystemInfo!$B$1,1),0))</f>
        <v>#N/A</v>
      </c>
      <c r="F68" s="205" t="e">
        <f aca="true">INDEX(OFFSET(MOTION3!$A$2,0,0,SystemInfo!$B$1,1),MATCH(CONCATENATE(B68,D68),OFFSET(MOTION3!$J$2,0,0,SystemInfo!$B$1,1),0))</f>
        <v>#N/A</v>
      </c>
      <c r="G68" s="206" t="e">
        <f aca="false">INT(Data!$P68*Data!$L68)</f>
        <v>#N/A</v>
      </c>
      <c r="H68" s="207" t="n">
        <v>1</v>
      </c>
      <c r="I68" s="206" t="n">
        <f aca="false">Data!U68</f>
        <v>0</v>
      </c>
      <c r="J68" s="206" t="str">
        <f aca="false">IF($I68="ABSENC",Data!$V68,"")</f>
        <v/>
      </c>
      <c r="K68" s="207" t="n">
        <v>1</v>
      </c>
      <c r="L68" s="206" t="str">
        <f aca="false">IF($I68="ENCIN",Data!$V68,"")</f>
        <v/>
      </c>
      <c r="M68" s="207" t="n">
        <v>1</v>
      </c>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c r="BZ68" s="208"/>
      <c r="CA68" s="208"/>
      <c r="CB68" s="208"/>
      <c r="CC68" s="208"/>
      <c r="CD68" s="208"/>
      <c r="CE68" s="208"/>
      <c r="CF68" s="208"/>
      <c r="CG68" s="208"/>
      <c r="CH68" s="208"/>
      <c r="CI68" s="208"/>
      <c r="CJ68" s="208"/>
      <c r="CK68" s="208"/>
      <c r="CL68" s="208"/>
      <c r="CM68" s="208"/>
      <c r="CN68" s="208"/>
      <c r="CO68" s="208"/>
      <c r="CP68" s="208"/>
      <c r="CQ68" s="208"/>
      <c r="CR68" s="208"/>
      <c r="CS68" s="208"/>
      <c r="CT68" s="208"/>
      <c r="CU68" s="208"/>
      <c r="CV68" s="208"/>
      <c r="CW68" s="208"/>
      <c r="CX68" s="208"/>
      <c r="CY68" s="208"/>
      <c r="CZ68" s="208"/>
      <c r="DA68" s="208"/>
      <c r="DB68" s="208"/>
      <c r="DC68" s="208"/>
      <c r="DD68" s="208"/>
      <c r="DE68" s="208"/>
      <c r="DF68" s="208"/>
      <c r="DG68" s="208"/>
      <c r="DH68" s="208"/>
      <c r="DI68" s="208"/>
      <c r="DJ68" s="208"/>
      <c r="DK68" s="208"/>
      <c r="DL68" s="208"/>
      <c r="DM68" s="208"/>
      <c r="DN68" s="208"/>
      <c r="DO68" s="208"/>
      <c r="DP68" s="208"/>
      <c r="DQ68" s="208"/>
      <c r="DR68" s="208"/>
      <c r="DS68" s="208"/>
      <c r="DT68" s="208"/>
      <c r="DU68" s="208"/>
      <c r="DV68" s="208"/>
      <c r="DW68" s="208"/>
      <c r="DX68" s="208"/>
      <c r="DY68" s="208"/>
      <c r="DZ68" s="208"/>
      <c r="EA68" s="208"/>
      <c r="EB68" s="208"/>
      <c r="EC68" s="208"/>
      <c r="ED68" s="208"/>
      <c r="EE68" s="208"/>
      <c r="EF68" s="208"/>
      <c r="EG68" s="208"/>
      <c r="EH68" s="208"/>
      <c r="EI68" s="208"/>
      <c r="EJ68" s="208"/>
      <c r="EK68" s="208"/>
      <c r="EL68" s="208"/>
      <c r="EM68" s="208"/>
      <c r="EN68" s="208"/>
      <c r="EO68" s="208"/>
      <c r="EP68" s="208"/>
      <c r="EQ68" s="208"/>
      <c r="ER68" s="208"/>
      <c r="ES68" s="208"/>
      <c r="ET68" s="208"/>
      <c r="EU68" s="208"/>
      <c r="EV68" s="208"/>
      <c r="EW68" s="208"/>
      <c r="EX68" s="208"/>
      <c r="EY68" s="208"/>
      <c r="EZ68" s="208"/>
      <c r="FA68" s="208"/>
      <c r="FB68" s="208"/>
      <c r="FC68" s="208"/>
      <c r="FD68" s="208"/>
      <c r="FE68" s="208"/>
      <c r="FF68" s="208"/>
      <c r="FG68" s="208"/>
      <c r="FH68" s="208"/>
      <c r="FI68" s="208"/>
      <c r="FJ68" s="208"/>
      <c r="FK68" s="208"/>
      <c r="FL68" s="208"/>
      <c r="FM68" s="208"/>
      <c r="FN68" s="208"/>
      <c r="FO68" s="208"/>
      <c r="FP68" s="208"/>
      <c r="FQ68" s="208"/>
      <c r="FR68" s="208"/>
      <c r="FS68" s="208"/>
      <c r="FT68" s="208"/>
      <c r="FU68" s="208"/>
      <c r="FV68" s="208"/>
      <c r="FW68" s="208"/>
      <c r="FX68" s="208"/>
      <c r="FY68" s="208"/>
      <c r="FZ68" s="208"/>
      <c r="GA68" s="208"/>
      <c r="GB68" s="208"/>
      <c r="GC68" s="208"/>
      <c r="GD68" s="208"/>
      <c r="GE68" s="208"/>
      <c r="GF68" s="208"/>
      <c r="GG68" s="208"/>
      <c r="GH68" s="208"/>
      <c r="GI68" s="208"/>
      <c r="GJ68" s="208"/>
      <c r="GK68" s="208"/>
      <c r="GL68" s="208"/>
      <c r="GM68" s="208"/>
      <c r="GN68" s="208"/>
      <c r="GO68" s="208"/>
      <c r="GP68" s="208"/>
      <c r="GQ68" s="208"/>
      <c r="GR68" s="208"/>
      <c r="GS68" s="208"/>
      <c r="GT68" s="208"/>
      <c r="GU68" s="208"/>
      <c r="GV68" s="208"/>
      <c r="GW68" s="208"/>
      <c r="GX68" s="208"/>
      <c r="GY68" s="208"/>
      <c r="GZ68" s="208"/>
      <c r="HA68" s="208"/>
      <c r="HB68" s="208"/>
      <c r="HC68" s="208"/>
      <c r="HD68" s="208"/>
      <c r="HE68" s="208"/>
      <c r="HF68" s="208"/>
      <c r="HG68" s="208"/>
      <c r="HH68" s="208"/>
      <c r="HI68" s="208"/>
      <c r="HJ68" s="208"/>
      <c r="HK68" s="208"/>
      <c r="HL68" s="208"/>
      <c r="HM68" s="208"/>
      <c r="HN68" s="208"/>
      <c r="HO68" s="208"/>
      <c r="HP68" s="208"/>
      <c r="HQ68" s="208"/>
      <c r="HR68" s="208"/>
      <c r="HS68" s="208"/>
      <c r="HT68" s="208"/>
      <c r="HU68" s="208"/>
      <c r="HV68" s="208"/>
      <c r="HW68" s="208"/>
      <c r="HX68" s="208"/>
      <c r="HY68" s="208"/>
      <c r="HZ68" s="208"/>
      <c r="IA68" s="208"/>
      <c r="IB68" s="208"/>
      <c r="IC68" s="208"/>
      <c r="ID68" s="208"/>
      <c r="IE68" s="208"/>
      <c r="IF68" s="208"/>
      <c r="IG68" s="208"/>
      <c r="IH68" s="208"/>
      <c r="II68" s="208"/>
      <c r="IJ68" s="208"/>
      <c r="IK68" s="208"/>
      <c r="IL68" s="208"/>
      <c r="IM68" s="208"/>
      <c r="IN68" s="208"/>
      <c r="IO68" s="208"/>
      <c r="IP68" s="208"/>
      <c r="IQ68" s="208"/>
      <c r="IR68" s="208"/>
      <c r="IS68" s="208"/>
      <c r="IT68" s="208"/>
      <c r="IU68" s="208"/>
      <c r="IV68" s="208"/>
    </row>
    <row r="69" s="211" customFormat="true" ht="14.4" hidden="false" customHeight="false" outlineLevel="0" collapsed="false">
      <c r="A69" s="209"/>
      <c r="B69" s="209"/>
      <c r="C69" s="209"/>
      <c r="D69" s="209"/>
      <c r="E69" s="210"/>
      <c r="F69" s="210"/>
      <c r="G69" s="210"/>
      <c r="H69" s="210"/>
      <c r="I69" s="210"/>
      <c r="J69" s="210"/>
      <c r="K69" s="210"/>
      <c r="L69" s="210"/>
      <c r="M69" s="210"/>
      <c r="N69" s="210"/>
      <c r="O69" s="210"/>
      <c r="P69" s="210"/>
      <c r="Q69" s="210"/>
      <c r="R69" s="210"/>
      <c r="S69" s="210"/>
      <c r="T69" s="210"/>
      <c r="U69" s="210"/>
      <c r="V69" s="210"/>
      <c r="W69" s="210"/>
      <c r="X69" s="210"/>
      <c r="Y69" s="210"/>
      <c r="Z69" s="210"/>
      <c r="AA69" s="210"/>
      <c r="AB69" s="210"/>
      <c r="AC69" s="210"/>
      <c r="AD69" s="210"/>
      <c r="AE69" s="210"/>
      <c r="AF69" s="210"/>
      <c r="AG69" s="210"/>
      <c r="AH69" s="210"/>
      <c r="AI69" s="210"/>
      <c r="AJ69" s="210"/>
      <c r="AK69" s="210"/>
      <c r="AL69" s="210"/>
      <c r="AM69" s="210"/>
      <c r="AN69" s="210"/>
      <c r="AO69" s="210"/>
      <c r="AP69" s="210"/>
      <c r="AQ69" s="210"/>
      <c r="AR69" s="210"/>
      <c r="AS69" s="210"/>
      <c r="AT69" s="210"/>
      <c r="AU69" s="210"/>
      <c r="AV69" s="210"/>
      <c r="AW69" s="210"/>
      <c r="AX69" s="210"/>
      <c r="AY69" s="210"/>
      <c r="AZ69" s="210"/>
      <c r="BA69" s="210"/>
      <c r="BB69" s="210"/>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c r="CB69" s="210"/>
      <c r="CC69" s="210"/>
      <c r="CD69" s="210"/>
      <c r="CE69" s="210"/>
      <c r="CF69" s="210"/>
      <c r="CG69" s="210"/>
      <c r="CH69" s="210"/>
      <c r="CI69" s="210"/>
      <c r="CJ69" s="210"/>
      <c r="CK69" s="210"/>
      <c r="CL69" s="210"/>
      <c r="CM69" s="210"/>
      <c r="CN69" s="210"/>
      <c r="CO69" s="210"/>
      <c r="CP69" s="210"/>
      <c r="CQ69" s="210"/>
      <c r="CR69" s="210"/>
      <c r="CS69" s="210"/>
      <c r="CT69" s="210"/>
      <c r="CU69" s="210"/>
      <c r="CV69" s="210"/>
      <c r="CW69" s="210"/>
      <c r="CX69" s="210"/>
      <c r="CY69" s="210"/>
      <c r="CZ69" s="210"/>
      <c r="DA69" s="210"/>
      <c r="DB69" s="210"/>
      <c r="DC69" s="210"/>
      <c r="DD69" s="210"/>
      <c r="DE69" s="210"/>
      <c r="DF69" s="210"/>
      <c r="DG69" s="210"/>
      <c r="DH69" s="210"/>
      <c r="DI69" s="210"/>
      <c r="DJ69" s="210"/>
      <c r="DK69" s="210"/>
      <c r="DL69" s="210"/>
      <c r="DM69" s="210"/>
      <c r="DN69" s="210"/>
      <c r="DO69" s="210"/>
      <c r="DP69" s="210"/>
      <c r="DQ69" s="210"/>
      <c r="DR69" s="210"/>
      <c r="DS69" s="210"/>
      <c r="DT69" s="210"/>
      <c r="DU69" s="210"/>
      <c r="DV69" s="210"/>
      <c r="DW69" s="210"/>
      <c r="DX69" s="210"/>
      <c r="DY69" s="210"/>
      <c r="DZ69" s="210"/>
      <c r="EA69" s="210"/>
      <c r="EB69" s="210"/>
      <c r="EC69" s="210"/>
      <c r="ED69" s="210"/>
      <c r="EE69" s="210"/>
      <c r="EF69" s="210"/>
      <c r="EG69" s="210"/>
      <c r="EH69" s="210"/>
      <c r="EI69" s="210"/>
      <c r="EJ69" s="210"/>
      <c r="EK69" s="210"/>
      <c r="EL69" s="210"/>
      <c r="EM69" s="210"/>
      <c r="EN69" s="210"/>
      <c r="EO69" s="210"/>
      <c r="EP69" s="210"/>
      <c r="EQ69" s="210"/>
      <c r="ER69" s="210"/>
      <c r="ES69" s="210"/>
      <c r="ET69" s="210"/>
      <c r="EU69" s="210"/>
      <c r="EV69" s="210"/>
      <c r="EW69" s="210"/>
      <c r="EX69" s="210"/>
      <c r="EY69" s="210"/>
      <c r="EZ69" s="210"/>
      <c r="FA69" s="210"/>
      <c r="FB69" s="210"/>
      <c r="FC69" s="210"/>
      <c r="FD69" s="210"/>
      <c r="FE69" s="210"/>
      <c r="FF69" s="210"/>
      <c r="FG69" s="210"/>
      <c r="FH69" s="210"/>
      <c r="FI69" s="210"/>
      <c r="FJ69" s="210"/>
      <c r="FK69" s="210"/>
      <c r="FL69" s="210"/>
      <c r="FM69" s="210"/>
      <c r="FN69" s="210"/>
      <c r="FO69" s="210"/>
      <c r="FP69" s="210"/>
      <c r="FQ69" s="210"/>
      <c r="FR69" s="210"/>
      <c r="FS69" s="210"/>
      <c r="FT69" s="210"/>
      <c r="FU69" s="210"/>
      <c r="FV69" s="210"/>
      <c r="FW69" s="210"/>
      <c r="FX69" s="210"/>
      <c r="FY69" s="210"/>
      <c r="FZ69" s="210"/>
      <c r="GA69" s="210"/>
      <c r="GB69" s="210"/>
      <c r="GC69" s="210"/>
      <c r="GD69" s="210"/>
      <c r="GE69" s="210"/>
      <c r="GF69" s="210"/>
      <c r="GG69" s="210"/>
      <c r="GH69" s="210"/>
      <c r="GI69" s="210"/>
      <c r="GJ69" s="210"/>
      <c r="GK69" s="210"/>
      <c r="GL69" s="210"/>
      <c r="GM69" s="210"/>
      <c r="GN69" s="210"/>
      <c r="GO69" s="210"/>
      <c r="GP69" s="210"/>
      <c r="GQ69" s="210"/>
      <c r="GR69" s="210"/>
      <c r="GS69" s="210"/>
      <c r="GT69" s="210"/>
      <c r="GU69" s="210"/>
      <c r="GV69" s="210"/>
      <c r="GW69" s="210"/>
      <c r="GX69" s="210"/>
      <c r="GY69" s="210"/>
      <c r="GZ69" s="210"/>
      <c r="HA69" s="210"/>
      <c r="HB69" s="210"/>
      <c r="HC69" s="210"/>
      <c r="HD69" s="210"/>
      <c r="HE69" s="210"/>
      <c r="HF69" s="210"/>
      <c r="HG69" s="210"/>
      <c r="HH69" s="210"/>
      <c r="HI69" s="210"/>
      <c r="HJ69" s="210"/>
      <c r="HK69" s="210"/>
      <c r="HL69" s="210"/>
      <c r="HM69" s="210"/>
      <c r="HN69" s="210"/>
      <c r="HO69" s="210"/>
      <c r="HP69" s="210"/>
      <c r="HQ69" s="210"/>
      <c r="HR69" s="210"/>
      <c r="HS69" s="210"/>
      <c r="HT69" s="210"/>
      <c r="HU69" s="210"/>
      <c r="HV69" s="210"/>
      <c r="HW69" s="210"/>
      <c r="HX69" s="210"/>
      <c r="HY69" s="210"/>
      <c r="HZ69" s="210"/>
      <c r="IA69" s="210"/>
      <c r="IB69" s="210"/>
      <c r="IC69" s="210"/>
      <c r="ID69" s="210"/>
      <c r="IE69" s="210"/>
      <c r="IF69" s="210"/>
      <c r="IG69" s="210"/>
      <c r="IH69" s="210"/>
      <c r="II69" s="210"/>
      <c r="IJ69" s="210"/>
      <c r="IK69" s="210"/>
      <c r="IL69" s="210"/>
      <c r="IM69" s="210"/>
      <c r="IN69" s="210"/>
      <c r="IO69" s="210"/>
      <c r="IP69" s="210"/>
      <c r="IQ69" s="210"/>
      <c r="IR69" s="210"/>
      <c r="IS69" s="210"/>
      <c r="IT69" s="210"/>
      <c r="IU69" s="210"/>
      <c r="IV69" s="210"/>
    </row>
    <row r="70" s="211" customFormat="true" ht="14.4" hidden="false" customHeight="false" outlineLevel="0" collapsed="false">
      <c r="A70" s="209"/>
      <c r="B70" s="209"/>
      <c r="C70" s="209"/>
      <c r="D70" s="209"/>
      <c r="E70" s="210"/>
      <c r="F70" s="210"/>
      <c r="G70" s="210"/>
      <c r="H70" s="210"/>
      <c r="I70" s="210"/>
      <c r="J70" s="210"/>
      <c r="K70" s="210"/>
      <c r="L70" s="210"/>
      <c r="M70" s="210"/>
      <c r="N70" s="210"/>
      <c r="O70" s="210"/>
      <c r="P70" s="210"/>
      <c r="Q70" s="210"/>
      <c r="R70" s="210"/>
      <c r="S70" s="210"/>
      <c r="T70" s="210"/>
      <c r="U70" s="210"/>
      <c r="V70" s="210"/>
      <c r="W70" s="210"/>
      <c r="X70" s="210"/>
      <c r="Y70" s="210"/>
      <c r="Z70" s="210"/>
      <c r="AA70" s="210"/>
      <c r="AB70" s="210"/>
      <c r="AC70" s="210"/>
      <c r="AD70" s="210"/>
      <c r="AE70" s="210"/>
      <c r="AF70" s="210"/>
      <c r="AG70" s="210"/>
      <c r="AH70" s="210"/>
      <c r="AI70" s="210"/>
      <c r="AJ70" s="210"/>
      <c r="AK70" s="210"/>
      <c r="AL70" s="210"/>
      <c r="AM70" s="210"/>
      <c r="AN70" s="210"/>
      <c r="AO70" s="210"/>
      <c r="AP70" s="210"/>
      <c r="AQ70" s="210"/>
      <c r="AR70" s="210"/>
      <c r="AS70" s="210"/>
      <c r="AT70" s="210"/>
      <c r="AU70" s="210"/>
      <c r="AV70" s="210"/>
      <c r="AW70" s="210"/>
      <c r="AX70" s="210"/>
      <c r="AY70" s="210"/>
      <c r="AZ70" s="210"/>
      <c r="BA70" s="210"/>
      <c r="BB70" s="210"/>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c r="CB70" s="210"/>
      <c r="CC70" s="210"/>
      <c r="CD70" s="210"/>
      <c r="CE70" s="210"/>
      <c r="CF70" s="210"/>
      <c r="CG70" s="210"/>
      <c r="CH70" s="210"/>
      <c r="CI70" s="210"/>
      <c r="CJ70" s="210"/>
      <c r="CK70" s="210"/>
      <c r="CL70" s="210"/>
      <c r="CM70" s="210"/>
      <c r="CN70" s="210"/>
      <c r="CO70" s="210"/>
      <c r="CP70" s="210"/>
      <c r="CQ70" s="210"/>
      <c r="CR70" s="210"/>
      <c r="CS70" s="210"/>
      <c r="CT70" s="210"/>
      <c r="CU70" s="210"/>
      <c r="CV70" s="210"/>
      <c r="CW70" s="210"/>
      <c r="CX70" s="210"/>
      <c r="CY70" s="210"/>
      <c r="CZ70" s="210"/>
      <c r="DA70" s="210"/>
      <c r="DB70" s="210"/>
      <c r="DC70" s="210"/>
      <c r="DD70" s="210"/>
      <c r="DE70" s="210"/>
      <c r="DF70" s="210"/>
      <c r="DG70" s="210"/>
      <c r="DH70" s="210"/>
      <c r="DI70" s="210"/>
      <c r="DJ70" s="210"/>
      <c r="DK70" s="210"/>
      <c r="DL70" s="210"/>
      <c r="DM70" s="210"/>
      <c r="DN70" s="210"/>
      <c r="DO70" s="210"/>
      <c r="DP70" s="210"/>
      <c r="DQ70" s="210"/>
      <c r="DR70" s="210"/>
      <c r="DS70" s="210"/>
      <c r="DT70" s="210"/>
      <c r="DU70" s="210"/>
      <c r="DV70" s="210"/>
      <c r="DW70" s="210"/>
      <c r="DX70" s="210"/>
      <c r="DY70" s="210"/>
      <c r="DZ70" s="210"/>
      <c r="EA70" s="210"/>
      <c r="EB70" s="210"/>
      <c r="EC70" s="210"/>
      <c r="ED70" s="210"/>
      <c r="EE70" s="210"/>
      <c r="EF70" s="210"/>
      <c r="EG70" s="210"/>
      <c r="EH70" s="210"/>
      <c r="EI70" s="210"/>
      <c r="EJ70" s="210"/>
      <c r="EK70" s="210"/>
      <c r="EL70" s="210"/>
      <c r="EM70" s="210"/>
      <c r="EN70" s="210"/>
      <c r="EO70" s="210"/>
      <c r="EP70" s="210"/>
      <c r="EQ70" s="210"/>
      <c r="ER70" s="210"/>
      <c r="ES70" s="210"/>
      <c r="ET70" s="210"/>
      <c r="EU70" s="210"/>
      <c r="EV70" s="210"/>
      <c r="EW70" s="210"/>
      <c r="EX70" s="210"/>
      <c r="EY70" s="210"/>
      <c r="EZ70" s="210"/>
      <c r="FA70" s="210"/>
      <c r="FB70" s="210"/>
      <c r="FC70" s="210"/>
      <c r="FD70" s="210"/>
      <c r="FE70" s="210"/>
      <c r="FF70" s="210"/>
      <c r="FG70" s="210"/>
      <c r="FH70" s="210"/>
      <c r="FI70" s="210"/>
      <c r="FJ70" s="210"/>
      <c r="FK70" s="210"/>
      <c r="FL70" s="210"/>
      <c r="FM70" s="210"/>
      <c r="FN70" s="210"/>
      <c r="FO70" s="210"/>
      <c r="FP70" s="210"/>
      <c r="FQ70" s="210"/>
      <c r="FR70" s="210"/>
      <c r="FS70" s="210"/>
      <c r="FT70" s="210"/>
      <c r="FU70" s="210"/>
      <c r="FV70" s="210"/>
      <c r="FW70" s="210"/>
      <c r="FX70" s="210"/>
      <c r="FY70" s="210"/>
      <c r="FZ70" s="210"/>
      <c r="GA70" s="210"/>
      <c r="GB70" s="210"/>
      <c r="GC70" s="210"/>
      <c r="GD70" s="210"/>
      <c r="GE70" s="210"/>
      <c r="GF70" s="210"/>
      <c r="GG70" s="210"/>
      <c r="GH70" s="210"/>
      <c r="GI70" s="210"/>
      <c r="GJ70" s="210"/>
      <c r="GK70" s="210"/>
      <c r="GL70" s="210"/>
      <c r="GM70" s="210"/>
      <c r="GN70" s="210"/>
      <c r="GO70" s="210"/>
      <c r="GP70" s="210"/>
      <c r="GQ70" s="210"/>
      <c r="GR70" s="210"/>
      <c r="GS70" s="210"/>
      <c r="GT70" s="210"/>
      <c r="GU70" s="210"/>
      <c r="GV70" s="210"/>
      <c r="GW70" s="210"/>
      <c r="GX70" s="210"/>
      <c r="GY70" s="210"/>
      <c r="GZ70" s="210"/>
      <c r="HA70" s="210"/>
      <c r="HB70" s="210"/>
      <c r="HC70" s="210"/>
      <c r="HD70" s="210"/>
      <c r="HE70" s="210"/>
      <c r="HF70" s="210"/>
      <c r="HG70" s="210"/>
      <c r="HH70" s="210"/>
      <c r="HI70" s="210"/>
      <c r="HJ70" s="210"/>
      <c r="HK70" s="210"/>
      <c r="HL70" s="210"/>
      <c r="HM70" s="210"/>
      <c r="HN70" s="210"/>
      <c r="HO70" s="210"/>
      <c r="HP70" s="210"/>
      <c r="HQ70" s="210"/>
      <c r="HR70" s="210"/>
      <c r="HS70" s="210"/>
      <c r="HT70" s="210"/>
      <c r="HU70" s="210"/>
      <c r="HV70" s="210"/>
      <c r="HW70" s="210"/>
      <c r="HX70" s="210"/>
      <c r="HY70" s="210"/>
      <c r="HZ70" s="210"/>
      <c r="IA70" s="210"/>
      <c r="IB70" s="210"/>
      <c r="IC70" s="210"/>
      <c r="ID70" s="210"/>
      <c r="IE70" s="210"/>
      <c r="IF70" s="210"/>
      <c r="IG70" s="210"/>
      <c r="IH70" s="210"/>
      <c r="II70" s="210"/>
      <c r="IJ70" s="210"/>
      <c r="IK70" s="210"/>
      <c r="IL70" s="210"/>
      <c r="IM70" s="210"/>
      <c r="IN70" s="210"/>
      <c r="IO70" s="210"/>
      <c r="IP70" s="210"/>
      <c r="IQ70" s="210"/>
      <c r="IR70" s="210"/>
      <c r="IS70" s="210"/>
      <c r="IT70" s="210"/>
      <c r="IU70" s="210"/>
      <c r="IV70" s="2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1" sqref="O61:O64 G13"/>
    </sheetView>
  </sheetViews>
  <sheetFormatPr defaultRowHeight="10.2" outlineLevelRow="0" outlineLevelCol="0"/>
  <cols>
    <col collapsed="false" customWidth="true" hidden="false" outlineLevel="0" max="1" min="1" style="212" width="5.44"/>
    <col collapsed="false" customWidth="true" hidden="false" outlineLevel="0" max="2" min="2" style="212" width="20.66"/>
    <col collapsed="false" customWidth="true" hidden="false" outlineLevel="0" max="3" min="3" style="212" width="30.55"/>
    <col collapsed="false" customWidth="true" hidden="false" outlineLevel="0" max="4" min="4" style="212" width="6.01"/>
    <col collapsed="false" customWidth="true" hidden="false" outlineLevel="0" max="6" min="5" style="212" width="9.11"/>
    <col collapsed="false" customWidth="true" hidden="false" outlineLevel="0" max="7" min="7" style="213" width="9.56"/>
    <col collapsed="false" customWidth="true" hidden="false" outlineLevel="0" max="10" min="8" style="214" width="9.56"/>
    <col collapsed="false" customWidth="true" hidden="false" outlineLevel="0" max="15" min="11" style="214" width="9.11"/>
    <col collapsed="false" customWidth="true" hidden="false" outlineLevel="0" max="16" min="16" style="213" width="38.33"/>
    <col collapsed="false" customWidth="true" hidden="false" outlineLevel="0" max="1025" min="17" style="213" width="9.11"/>
  </cols>
  <sheetData>
    <row r="1" customFormat="false" ht="30.6" hidden="false" customHeight="false" outlineLevel="0" collapsed="false">
      <c r="A1" s="215" t="s">
        <v>200</v>
      </c>
      <c r="B1" s="215" t="s">
        <v>201</v>
      </c>
      <c r="C1" s="215" t="s">
        <v>202</v>
      </c>
      <c r="D1" s="215" t="s">
        <v>203</v>
      </c>
      <c r="E1" s="216" t="s">
        <v>400</v>
      </c>
      <c r="F1" s="216" t="s">
        <v>401</v>
      </c>
      <c r="G1" s="217" t="s">
        <v>402</v>
      </c>
      <c r="H1" s="218" t="s">
        <v>403</v>
      </c>
      <c r="I1" s="218" t="s">
        <v>404</v>
      </c>
      <c r="J1" s="218" t="s">
        <v>405</v>
      </c>
      <c r="K1" s="218" t="s">
        <v>406</v>
      </c>
      <c r="L1" s="218" t="s">
        <v>407</v>
      </c>
      <c r="M1" s="218" t="s">
        <v>408</v>
      </c>
      <c r="N1" s="218" t="s">
        <v>409</v>
      </c>
      <c r="O1" s="218" t="s">
        <v>410</v>
      </c>
    </row>
    <row r="2" customFormat="false" ht="10.2" hidden="false" customHeight="false" outlineLevel="0" collapsed="false">
      <c r="A2" s="212" t="n">
        <f aca="false">Data!$A2</f>
        <v>1</v>
      </c>
      <c r="B2" s="212" t="str">
        <f aca="false">Data!$B2</f>
        <v>B316A-EA03-OPT-BAFF-01</v>
      </c>
      <c r="C2" s="212" t="str">
        <f aca="false">Data!$C2</f>
        <v>M4 Baffles VERITAS</v>
      </c>
      <c r="D2" s="212" t="str">
        <f aca="false">Data!$D2</f>
        <v>VT</v>
      </c>
      <c r="E2" s="212" t="str">
        <f aca="false">Data!$J2</f>
        <v>mm</v>
      </c>
      <c r="F2" s="212" t="str">
        <f aca="false">Data!U2</f>
        <v>ABSENC</v>
      </c>
      <c r="G2" s="213" t="n">
        <v>1137151156</v>
      </c>
      <c r="H2" s="219" t="n">
        <v>1141382500</v>
      </c>
      <c r="I2" s="219" t="n">
        <v>1137397500</v>
      </c>
      <c r="J2" s="219" t="n">
        <v>1156335550</v>
      </c>
      <c r="K2" s="219" t="n">
        <v>0</v>
      </c>
      <c r="L2" s="219" t="n">
        <v>-3.99</v>
      </c>
      <c r="M2" s="219" t="n">
        <v>14.95</v>
      </c>
      <c r="N2" s="219" t="s">
        <v>253</v>
      </c>
      <c r="O2" s="219" t="s">
        <v>253</v>
      </c>
      <c r="P2" s="213" t="s">
        <v>411</v>
      </c>
    </row>
    <row r="3" customFormat="false" ht="10.2" hidden="false" customHeight="false" outlineLevel="0" collapsed="false">
      <c r="A3" s="212" t="n">
        <f aca="false">Data!$A3</f>
        <v>2</v>
      </c>
      <c r="B3" s="212" t="str">
        <f aca="false">Data!$B3</f>
        <v>B316A-EA03-OPT-BAFF-01</v>
      </c>
      <c r="C3" s="212" t="str">
        <f aca="false">Data!$C3</f>
        <v>M4 Baffles VERITAS</v>
      </c>
      <c r="D3" s="212" t="str">
        <f aca="false">Data!$D3</f>
        <v>VB</v>
      </c>
      <c r="E3" s="212" t="str">
        <f aca="false">Data!$J3</f>
        <v>mm</v>
      </c>
      <c r="F3" s="212" t="str">
        <f aca="false">Data!U3</f>
        <v>ABSENC</v>
      </c>
      <c r="G3" s="213" t="n">
        <v>270025089</v>
      </c>
      <c r="H3" s="219" t="n">
        <v>285271100</v>
      </c>
      <c r="I3" s="219" t="n">
        <v>270296000</v>
      </c>
      <c r="J3" s="219" t="n">
        <v>289271100</v>
      </c>
      <c r="K3" s="219" t="n">
        <v>0</v>
      </c>
      <c r="L3" s="219" t="n">
        <v>-14.98</v>
      </c>
      <c r="M3" s="219" t="n">
        <v>4</v>
      </c>
      <c r="N3" s="219" t="s">
        <v>253</v>
      </c>
      <c r="O3" s="219" t="s">
        <v>253</v>
      </c>
      <c r="P3" s="213" t="s">
        <v>412</v>
      </c>
    </row>
    <row r="4" customFormat="false" ht="10.2" hidden="false" customHeight="false" outlineLevel="0" collapsed="false">
      <c r="A4" s="212" t="n">
        <f aca="false">Data!$A4</f>
        <v>3</v>
      </c>
      <c r="B4" s="212" t="str">
        <f aca="false">Data!$B4</f>
        <v>B316A-EA03-OPT-BAFF-01</v>
      </c>
      <c r="C4" s="212" t="str">
        <f aca="false">Data!$C4</f>
        <v>M4 Baffles VERITAS</v>
      </c>
      <c r="D4" s="212" t="str">
        <f aca="false">Data!$D4</f>
        <v>HL</v>
      </c>
      <c r="E4" s="212" t="str">
        <f aca="false">Data!$J4</f>
        <v>mm</v>
      </c>
      <c r="F4" s="212" t="str">
        <f aca="false">Data!U4</f>
        <v>ABSENC</v>
      </c>
      <c r="G4" s="213" t="n">
        <v>1499183098</v>
      </c>
      <c r="H4" s="219" t="n">
        <v>1493769300</v>
      </c>
      <c r="I4" s="219" t="n">
        <v>1488770800</v>
      </c>
      <c r="J4" s="219" t="n">
        <v>1503773200</v>
      </c>
      <c r="K4" s="219" t="n">
        <v>0</v>
      </c>
      <c r="L4" s="219" t="n">
        <v>-5</v>
      </c>
      <c r="M4" s="219" t="n">
        <v>10</v>
      </c>
      <c r="N4" s="219" t="s">
        <v>253</v>
      </c>
      <c r="O4" s="219" t="s">
        <v>253</v>
      </c>
      <c r="P4" s="213" t="s">
        <v>413</v>
      </c>
    </row>
    <row r="5" customFormat="false" ht="10.2" hidden="false" customHeight="false" outlineLevel="0" collapsed="false">
      <c r="A5" s="212" t="n">
        <f aca="false">Data!$A5</f>
        <v>4</v>
      </c>
      <c r="B5" s="212" t="str">
        <f aca="false">Data!$B5</f>
        <v>B316A-EA03-OPT-BAFF-01</v>
      </c>
      <c r="C5" s="212" t="str">
        <f aca="false">Data!$C5</f>
        <v>M4 Baffles VERITAS</v>
      </c>
      <c r="D5" s="212" t="str">
        <f aca="false">Data!$D5</f>
        <v>HR</v>
      </c>
      <c r="E5" s="212" t="str">
        <f aca="false">Data!$J5</f>
        <v>mm</v>
      </c>
      <c r="F5" s="212" t="str">
        <f aca="false">Data!U5</f>
        <v>ABSENC</v>
      </c>
      <c r="G5" s="213" t="n">
        <v>1736309985</v>
      </c>
      <c r="H5" s="219" t="n">
        <v>1731444100</v>
      </c>
      <c r="I5" s="219" t="n">
        <v>1726440100</v>
      </c>
      <c r="J5" s="219" t="n">
        <v>1741418400</v>
      </c>
      <c r="K5" s="219" t="n">
        <v>0</v>
      </c>
      <c r="L5" s="219" t="n">
        <v>-5</v>
      </c>
      <c r="M5" s="219" t="n">
        <v>9.97</v>
      </c>
      <c r="N5" s="219" t="s">
        <v>253</v>
      </c>
      <c r="O5" s="219" t="s">
        <v>253</v>
      </c>
      <c r="P5" s="213" t="s">
        <v>414</v>
      </c>
    </row>
    <row r="6" customFormat="false" ht="10.2" hidden="false" customHeight="false" outlineLevel="0" collapsed="false">
      <c r="A6" s="212" t="n">
        <f aca="false">Data!$A6</f>
        <v>5</v>
      </c>
      <c r="B6" s="212" t="str">
        <f aca="false">Data!$B6</f>
        <v>B316A-EA03-DIA-BPM-01</v>
      </c>
      <c r="C6" s="212" t="str">
        <f aca="false">Data!$C6</f>
        <v>M4 BPM VERITAS</v>
      </c>
      <c r="D6" s="212" t="str">
        <f aca="false">Data!$D6</f>
        <v>V</v>
      </c>
      <c r="E6" s="212" t="str">
        <f aca="false">Data!$J6</f>
        <v>mm</v>
      </c>
      <c r="F6" s="212" t="str">
        <f aca="false">Data!U6</f>
        <v>ABSENC</v>
      </c>
      <c r="G6" s="213" t="n">
        <v>30452456</v>
      </c>
      <c r="H6" s="219" t="s">
        <v>253</v>
      </c>
      <c r="I6" s="219" t="s">
        <v>253</v>
      </c>
      <c r="J6" s="219" t="s">
        <v>253</v>
      </c>
      <c r="K6" s="219" t="s">
        <v>253</v>
      </c>
      <c r="L6" s="219" t="s">
        <v>253</v>
      </c>
      <c r="M6" s="219" t="s">
        <v>253</v>
      </c>
      <c r="N6" s="219" t="s">
        <v>253</v>
      </c>
      <c r="O6" s="219" t="s">
        <v>253</v>
      </c>
    </row>
    <row r="7" customFormat="false" ht="10.2" hidden="false" customHeight="false" outlineLevel="0" collapsed="false">
      <c r="A7" s="212" t="n">
        <f aca="false">Data!$A7</f>
        <v>6</v>
      </c>
      <c r="B7" s="212" t="str">
        <f aca="false">Data!$B7</f>
        <v>B316A-EA03-OPT-MIR-04</v>
      </c>
      <c r="C7" s="212" t="str">
        <f aca="false">Data!$C7</f>
        <v>Focusing Mirror M4 VERITAS</v>
      </c>
      <c r="D7" s="212" t="str">
        <f aca="false">Data!$D7</f>
        <v>V1</v>
      </c>
      <c r="E7" s="212" t="str">
        <f aca="false">Data!$J7</f>
        <v>um</v>
      </c>
      <c r="F7" s="212" t="str">
        <f aca="false">Data!U7</f>
        <v>ABSENC</v>
      </c>
      <c r="G7" s="213" t="n">
        <v>84229884</v>
      </c>
      <c r="H7" s="219" t="n">
        <v>84229529</v>
      </c>
      <c r="I7" s="219" t="n">
        <v>79262957</v>
      </c>
      <c r="J7" s="219" t="n">
        <v>89556843</v>
      </c>
      <c r="K7" s="219" t="n">
        <v>84.229529</v>
      </c>
      <c r="L7" s="219" t="n">
        <v>79.262957</v>
      </c>
      <c r="M7" s="219" t="n">
        <v>89.556843</v>
      </c>
      <c r="N7" s="219" t="s">
        <v>253</v>
      </c>
      <c r="O7" s="219" t="s">
        <v>253</v>
      </c>
      <c r="P7" s="213" t="s">
        <v>415</v>
      </c>
    </row>
    <row r="8" customFormat="false" ht="10.2" hidden="false" customHeight="false" outlineLevel="0" collapsed="false">
      <c r="A8" s="212" t="n">
        <f aca="false">Data!$A8</f>
        <v>7</v>
      </c>
      <c r="B8" s="212" t="str">
        <f aca="false">Data!$B8</f>
        <v>B316A-EA03-OPT-MIR-04</v>
      </c>
      <c r="C8" s="212" t="str">
        <f aca="false">Data!$C8</f>
        <v>Focusing Mirror M4 VERITAS</v>
      </c>
      <c r="D8" s="212" t="str">
        <f aca="false">Data!$D8</f>
        <v>V2</v>
      </c>
      <c r="E8" s="212" t="str">
        <f aca="false">Data!$J8</f>
        <v>um</v>
      </c>
      <c r="F8" s="212" t="str">
        <f aca="false">Data!U8</f>
        <v>ABSENC</v>
      </c>
      <c r="G8" s="213" t="n">
        <v>84264739</v>
      </c>
      <c r="H8" s="219" t="n">
        <v>84265053</v>
      </c>
      <c r="I8" s="219" t="n">
        <v>78917342</v>
      </c>
      <c r="J8" s="219" t="n">
        <v>89182222</v>
      </c>
      <c r="K8" s="219" t="n">
        <v>84.265053</v>
      </c>
      <c r="L8" s="219" t="n">
        <v>78.917342</v>
      </c>
      <c r="M8" s="219" t="n">
        <v>89.182222</v>
      </c>
      <c r="N8" s="219" t="s">
        <v>253</v>
      </c>
      <c r="O8" s="219" t="s">
        <v>253</v>
      </c>
      <c r="P8" s="213" t="s">
        <v>416</v>
      </c>
    </row>
    <row r="9" customFormat="false" ht="10.2" hidden="false" customHeight="false" outlineLevel="0" collapsed="false">
      <c r="A9" s="212" t="n">
        <f aca="false">Data!$A9</f>
        <v>8</v>
      </c>
      <c r="B9" s="212" t="str">
        <f aca="false">Data!$B9</f>
        <v>B316A-EA03-OPT-MIR-04</v>
      </c>
      <c r="C9" s="212" t="str">
        <f aca="false">Data!$C9</f>
        <v>Focusing Mirror M4 VERITAS</v>
      </c>
      <c r="D9" s="212" t="str">
        <f aca="false">Data!$D9</f>
        <v>V3</v>
      </c>
      <c r="E9" s="212" t="str">
        <f aca="false">Data!$J9</f>
        <v>um</v>
      </c>
      <c r="F9" s="212" t="str">
        <f aca="false">Data!U9</f>
        <v>ABSENC</v>
      </c>
      <c r="G9" s="213" t="n">
        <v>84182075</v>
      </c>
      <c r="H9" s="219" t="n">
        <v>84179513</v>
      </c>
      <c r="I9" s="219" t="n">
        <v>78778910</v>
      </c>
      <c r="J9" s="219" t="n">
        <v>89084464</v>
      </c>
      <c r="K9" s="219" t="n">
        <v>84.179513</v>
      </c>
      <c r="L9" s="219" t="n">
        <v>78.77891</v>
      </c>
      <c r="M9" s="219" t="n">
        <v>89.084464</v>
      </c>
      <c r="N9" s="219" t="s">
        <v>253</v>
      </c>
      <c r="O9" s="219" t="s">
        <v>253</v>
      </c>
      <c r="P9" s="213" t="s">
        <v>417</v>
      </c>
    </row>
    <row r="10" s="220" customFormat="true" ht="10.2" hidden="false" customHeight="false" outlineLevel="0" collapsed="false">
      <c r="A10" s="220" t="n">
        <f aca="false">Data!$A10</f>
        <v>0</v>
      </c>
      <c r="B10" s="220" t="n">
        <f aca="false">Data!$B10</f>
        <v>0</v>
      </c>
      <c r="C10" s="220" t="n">
        <f aca="false">Data!$C10</f>
        <v>0</v>
      </c>
      <c r="D10" s="220" t="n">
        <f aca="false">Data!$D10</f>
        <v>0</v>
      </c>
      <c r="E10" s="220" t="n">
        <f aca="false">Data!$J10</f>
        <v>0</v>
      </c>
    </row>
    <row r="11" customFormat="false" ht="10.2" hidden="false" customHeight="false" outlineLevel="0" collapsed="false">
      <c r="A11" s="212" t="n">
        <f aca="false">Data!$A11</f>
        <v>11</v>
      </c>
      <c r="B11" s="212" t="str">
        <f aca="false">Data!$B11</f>
        <v>B316A-EA03-OPT-MIR-04</v>
      </c>
      <c r="C11" s="212" t="str">
        <f aca="false">Data!$C11</f>
        <v>Focusing Mirror M4 VERITAS</v>
      </c>
      <c r="D11" s="212" t="str">
        <f aca="false">Data!$D11</f>
        <v>H4</v>
      </c>
      <c r="E11" s="212" t="str">
        <f aca="false">Data!$J11</f>
        <v>um</v>
      </c>
      <c r="F11" s="212" t="str">
        <f aca="false">Data!U11</f>
        <v>ABSENC</v>
      </c>
      <c r="G11" s="213" t="n">
        <v>84515611</v>
      </c>
      <c r="H11" s="214" t="n">
        <v>84516617</v>
      </c>
      <c r="I11" s="214" t="n">
        <v>79454625</v>
      </c>
      <c r="J11" s="214" t="n">
        <v>89489938</v>
      </c>
      <c r="K11" s="214" t="n">
        <v>84.516617</v>
      </c>
      <c r="L11" s="214" t="n">
        <v>79.454625</v>
      </c>
      <c r="M11" s="214" t="n">
        <v>89.489938</v>
      </c>
      <c r="N11" s="219" t="s">
        <v>253</v>
      </c>
      <c r="O11" s="219" t="s">
        <v>253</v>
      </c>
      <c r="P11" s="213" t="s">
        <v>418</v>
      </c>
    </row>
    <row r="12" customFormat="false" ht="10.2" hidden="false" customHeight="false" outlineLevel="0" collapsed="false">
      <c r="A12" s="212" t="n">
        <f aca="false">Data!$A12</f>
        <v>12</v>
      </c>
      <c r="B12" s="212" t="str">
        <f aca="false">Data!$B12</f>
        <v>B316A-EA03-OPT-MIR-04</v>
      </c>
      <c r="C12" s="212" t="str">
        <f aca="false">Data!$C12</f>
        <v>Focusing Mirror M4 VERITAS</v>
      </c>
      <c r="D12" s="212" t="str">
        <f aca="false">Data!$D12</f>
        <v>H5</v>
      </c>
      <c r="E12" s="212" t="str">
        <f aca="false">Data!$J12</f>
        <v>um</v>
      </c>
      <c r="F12" s="212" t="str">
        <f aca="false">Data!U12</f>
        <v>ABSENC</v>
      </c>
      <c r="G12" s="213" t="n">
        <v>84135906</v>
      </c>
      <c r="H12" s="214" t="n">
        <v>84135330</v>
      </c>
      <c r="I12" s="214" t="n">
        <v>79187845</v>
      </c>
      <c r="J12" s="214" t="n">
        <v>89575714</v>
      </c>
      <c r="K12" s="214" t="n">
        <v>84.13533</v>
      </c>
      <c r="L12" s="214" t="n">
        <v>79.187845</v>
      </c>
      <c r="M12" s="214" t="n">
        <v>89.575714</v>
      </c>
      <c r="N12" s="219" t="s">
        <v>253</v>
      </c>
      <c r="O12" s="219" t="s">
        <v>253</v>
      </c>
      <c r="P12" s="213" t="s">
        <v>419</v>
      </c>
    </row>
    <row r="13" customFormat="false" ht="10.2" hidden="false" customHeight="false" outlineLevel="0" collapsed="false">
      <c r="A13" s="212" t="n">
        <f aca="false">Data!$A13</f>
        <v>13</v>
      </c>
      <c r="B13" s="212" t="str">
        <f aca="false">Data!$B13</f>
        <v>B316A-EA04-DIA-MP-01</v>
      </c>
      <c r="C13" s="212" t="str">
        <f aca="false">Data!$C13</f>
        <v>Manipulator VERITAS</v>
      </c>
      <c r="D13" s="212" t="str">
        <f aca="false">Data!$D13</f>
        <v>X</v>
      </c>
      <c r="E13" s="212" t="str">
        <f aca="false">Data!$J13</f>
        <v>mm</v>
      </c>
      <c r="F13" s="212" t="str">
        <f aca="false">Data!U13</f>
        <v>ABSENC</v>
      </c>
    </row>
    <row r="14" customFormat="false" ht="10.2" hidden="false" customHeight="false" outlineLevel="0" collapsed="false">
      <c r="A14" s="212" t="n">
        <f aca="false">Data!$A14</f>
        <v>14</v>
      </c>
      <c r="B14" s="212" t="str">
        <f aca="false">Data!$B14</f>
        <v>B316A-EA04-DIA-MP-01</v>
      </c>
      <c r="C14" s="212" t="str">
        <f aca="false">Data!$C14</f>
        <v>Manipulator VERITAS</v>
      </c>
      <c r="D14" s="212" t="str">
        <f aca="false">Data!$D14</f>
        <v>Z</v>
      </c>
      <c r="E14" s="212" t="str">
        <f aca="false">Data!$J14</f>
        <v>mm</v>
      </c>
      <c r="F14" s="212" t="str">
        <f aca="false">Data!U14</f>
        <v>ABSENC</v>
      </c>
    </row>
    <row r="15" customFormat="false" ht="10.2" hidden="false" customHeight="false" outlineLevel="0" collapsed="false">
      <c r="A15" s="212" t="n">
        <f aca="false">Data!$A15</f>
        <v>15</v>
      </c>
      <c r="B15" s="212" t="str">
        <f aca="false">Data!$B15</f>
        <v>B316A-EA04-DIA-MP-01</v>
      </c>
      <c r="C15" s="212" t="str">
        <f aca="false">Data!$C15</f>
        <v>Manipulator VERITAS</v>
      </c>
      <c r="D15" s="212" t="str">
        <f aca="false">Data!$D15</f>
        <v>Y</v>
      </c>
      <c r="E15" s="212" t="str">
        <f aca="false">Data!$J15</f>
        <v>mm</v>
      </c>
      <c r="F15" s="212" t="str">
        <f aca="false">Data!U15</f>
        <v>ABSENC</v>
      </c>
    </row>
    <row r="16" customFormat="false" ht="10.2" hidden="false" customHeight="false" outlineLevel="0" collapsed="false">
      <c r="A16" s="212" t="n">
        <f aca="false">Data!$A16</f>
        <v>16</v>
      </c>
      <c r="B16" s="212" t="str">
        <f aca="false">Data!$B16</f>
        <v>B316A-EA04-DIA-MP-01</v>
      </c>
      <c r="C16" s="212" t="str">
        <f aca="false">Data!$C16</f>
        <v>Manipulator VERITAS</v>
      </c>
      <c r="D16" s="212" t="str">
        <f aca="false">Data!$D16</f>
        <v>YAW</v>
      </c>
      <c r="E16" s="212" t="str">
        <f aca="false">Data!$J16</f>
        <v>deg</v>
      </c>
      <c r="F16" s="212" t="str">
        <f aca="false">Data!U16</f>
        <v>ABSENC</v>
      </c>
    </row>
    <row r="17" customFormat="false" ht="10.2" hidden="false" customHeight="false" outlineLevel="0" collapsed="false">
      <c r="A17" s="212" t="n">
        <f aca="false">Data!$A17</f>
        <v>17</v>
      </c>
      <c r="B17" s="212" t="str">
        <f aca="false">Data!$B17</f>
        <v>B316A-EA05-DIA-SPC-01</v>
      </c>
      <c r="C17" s="212" t="str">
        <f aca="false">Data!$C17</f>
        <v>Q-Chamber VERITAS</v>
      </c>
      <c r="D17" s="212" t="str">
        <f aca="false">Data!$D17</f>
        <v>YAW</v>
      </c>
      <c r="E17" s="212" t="str">
        <f aca="false">Data!$J17</f>
        <v>deg</v>
      </c>
      <c r="F17" s="212" t="str">
        <f aca="false">Data!U17</f>
        <v>ABSENC</v>
      </c>
    </row>
    <row r="18" customFormat="false" ht="10.2" hidden="false" customHeight="false" outlineLevel="0" collapsed="false">
      <c r="A18" s="212" t="n">
        <f aca="false">Data!$A18</f>
        <v>18</v>
      </c>
      <c r="B18" s="212" t="str">
        <f aca="false">Data!$B18</f>
        <v>B316A-EA07-OPT-BAFF-01</v>
      </c>
      <c r="C18" s="212" t="str">
        <f aca="false">Data!$C18</f>
        <v>Grating Baffles VERITAS</v>
      </c>
      <c r="D18" s="212" t="str">
        <f aca="false">Data!$D18</f>
        <v>VT</v>
      </c>
      <c r="E18" s="212" t="str">
        <f aca="false">Data!$J18</f>
        <v>mm</v>
      </c>
      <c r="F18" s="212" t="str">
        <f aca="false">Data!U18</f>
        <v>ABSENC</v>
      </c>
    </row>
    <row r="19" s="220" customFormat="true" ht="10.2" hidden="false" customHeight="false" outlineLevel="0" collapsed="false">
      <c r="A19" s="220" t="n">
        <f aca="false">Data!$A19</f>
        <v>0</v>
      </c>
    </row>
    <row r="20" s="220" customFormat="true" ht="10.2" hidden="false" customHeight="false" outlineLevel="0" collapsed="false">
      <c r="A20" s="220" t="n">
        <f aca="false">Data!$A20</f>
        <v>0</v>
      </c>
    </row>
    <row r="21" customFormat="false" ht="10.2" hidden="false" customHeight="false" outlineLevel="0" collapsed="false">
      <c r="A21" s="212" t="n">
        <f aca="false">Data!$A21</f>
        <v>21</v>
      </c>
      <c r="B21" s="212" t="str">
        <f aca="false">Data!$B21</f>
        <v>B316A-EA07-OPT-BAFF-01</v>
      </c>
      <c r="C21" s="212" t="str">
        <f aca="false">Data!$C21</f>
        <v>Grating Baffles VERITAS</v>
      </c>
      <c r="D21" s="212" t="str">
        <f aca="false">Data!$D21</f>
        <v>VB</v>
      </c>
      <c r="E21" s="212" t="str">
        <f aca="false">Data!$J21</f>
        <v>mm</v>
      </c>
      <c r="F21" s="212" t="str">
        <f aca="false">Data!U21</f>
        <v>ABSENC</v>
      </c>
      <c r="N21" s="219"/>
      <c r="O21" s="219"/>
    </row>
    <row r="22" customFormat="false" ht="10.2" hidden="false" customHeight="false" outlineLevel="0" collapsed="false">
      <c r="A22" s="212" t="n">
        <f aca="false">Data!$A22</f>
        <v>22</v>
      </c>
      <c r="B22" s="212" t="str">
        <f aca="false">Data!$B22</f>
        <v>B316A-EA07-OPT-BAFF-01</v>
      </c>
      <c r="C22" s="212" t="str">
        <f aca="false">Data!$C22</f>
        <v>Grating Baffles VERITAS</v>
      </c>
      <c r="D22" s="212" t="str">
        <f aca="false">Data!$D22</f>
        <v>HR</v>
      </c>
      <c r="E22" s="212" t="str">
        <f aca="false">Data!$J22</f>
        <v>mm</v>
      </c>
      <c r="F22" s="212" t="str">
        <f aca="false">Data!U22</f>
        <v>ABSENC</v>
      </c>
      <c r="N22" s="219"/>
      <c r="O22" s="219"/>
    </row>
    <row r="23" customFormat="false" ht="10.2" hidden="false" customHeight="false" outlineLevel="0" collapsed="false">
      <c r="A23" s="212" t="n">
        <f aca="false">Data!$A23</f>
        <v>23</v>
      </c>
      <c r="B23" s="212" t="str">
        <f aca="false">Data!$B23</f>
        <v>B316A-EA07-OPT-BAFF-01</v>
      </c>
      <c r="C23" s="212" t="str">
        <f aca="false">Data!$C23</f>
        <v>Grating Baffles VERITAS</v>
      </c>
      <c r="D23" s="212" t="str">
        <f aca="false">Data!$D23</f>
        <v>HL</v>
      </c>
      <c r="E23" s="212" t="str">
        <f aca="false">Data!$J23</f>
        <v>mm</v>
      </c>
      <c r="F23" s="212" t="str">
        <f aca="false">Data!U23</f>
        <v>ABSENC</v>
      </c>
    </row>
    <row r="24" customFormat="false" ht="10.2" hidden="false" customHeight="false" outlineLevel="0" collapsed="false">
      <c r="A24" s="212" t="n">
        <f aca="false">Data!$A24</f>
        <v>24</v>
      </c>
      <c r="B24" s="212" t="str">
        <f aca="false">Data!$B24</f>
        <v>B316A-EA07-OPT-GRA-01</v>
      </c>
      <c r="C24" s="212" t="str">
        <f aca="false">Data!$C24</f>
        <v>Grating VERITAS</v>
      </c>
      <c r="D24" s="212" t="str">
        <f aca="false">Data!$D24</f>
        <v>Y1</v>
      </c>
      <c r="E24" s="212" t="str">
        <f aca="false">Data!$J24</f>
        <v>mm</v>
      </c>
      <c r="F24" s="212" t="n">
        <f aca="false">Data!U24</f>
        <v>0</v>
      </c>
    </row>
    <row r="25" customFormat="false" ht="10.2" hidden="false" customHeight="false" outlineLevel="0" collapsed="false">
      <c r="A25" s="212" t="n">
        <f aca="false">Data!$A25</f>
        <v>25</v>
      </c>
      <c r="B25" s="212" t="str">
        <f aca="false">Data!$B25</f>
        <v>B316A-EA07-OPT-GRA-01</v>
      </c>
      <c r="C25" s="212" t="str">
        <f aca="false">Data!$C25</f>
        <v>Grating VERITAS</v>
      </c>
      <c r="D25" s="212" t="str">
        <f aca="false">Data!$D25</f>
        <v>Y2</v>
      </c>
      <c r="E25" s="212" t="str">
        <f aca="false">Data!$J25</f>
        <v>mm</v>
      </c>
      <c r="F25" s="212" t="n">
        <f aca="false">Data!U25</f>
        <v>0</v>
      </c>
    </row>
    <row r="26" customFormat="false" ht="10.2" hidden="false" customHeight="false" outlineLevel="0" collapsed="false">
      <c r="A26" s="212" t="n">
        <f aca="false">Data!$A26</f>
        <v>26</v>
      </c>
      <c r="B26" s="212" t="str">
        <f aca="false">Data!$B26</f>
        <v>B316A-EA07-OPT-GRA-01</v>
      </c>
      <c r="C26" s="212" t="str">
        <f aca="false">Data!$C26</f>
        <v>Grating VERITAS</v>
      </c>
      <c r="D26" s="212" t="str">
        <f aca="false">Data!$D26</f>
        <v>Y3</v>
      </c>
      <c r="E26" s="212" t="str">
        <f aca="false">Data!$J26</f>
        <v>mm</v>
      </c>
      <c r="F26" s="212" t="n">
        <f aca="false">Data!U26</f>
        <v>0</v>
      </c>
    </row>
    <row r="27" customFormat="false" ht="10.2" hidden="false" customHeight="false" outlineLevel="0" collapsed="false">
      <c r="A27" s="212" t="n">
        <f aca="false">Data!$A27</f>
        <v>27</v>
      </c>
      <c r="B27" s="212" t="str">
        <f aca="false">Data!$B27</f>
        <v>B316A-EA07-OPT-GRA-02</v>
      </c>
      <c r="C27" s="212" t="str">
        <f aca="false">Data!$C27</f>
        <v>Grating VERITAS</v>
      </c>
      <c r="D27" s="212" t="str">
        <f aca="false">Data!$D27</f>
        <v>Y1</v>
      </c>
      <c r="E27" s="212" t="str">
        <f aca="false">Data!$J27</f>
        <v>mm</v>
      </c>
      <c r="F27" s="212" t="n">
        <f aca="false">Data!U27</f>
        <v>0</v>
      </c>
    </row>
    <row r="28" customFormat="false" ht="10.2" hidden="false" customHeight="false" outlineLevel="0" collapsed="false">
      <c r="A28" s="212" t="n">
        <f aca="false">Data!$A28</f>
        <v>28</v>
      </c>
      <c r="B28" s="212" t="str">
        <f aca="false">Data!$B28</f>
        <v>B316A-EA07-OPT-GRA-02</v>
      </c>
      <c r="C28" s="212" t="str">
        <f aca="false">Data!$C28</f>
        <v>Grating VERITAS</v>
      </c>
      <c r="D28" s="212" t="str">
        <f aca="false">Data!$D28</f>
        <v>Y2</v>
      </c>
      <c r="E28" s="212" t="str">
        <f aca="false">Data!$J28</f>
        <v>mm</v>
      </c>
      <c r="F28" s="212" t="n">
        <f aca="false">Data!U28</f>
        <v>0</v>
      </c>
    </row>
    <row r="29" s="220" customFormat="true" ht="10.2" hidden="false" customHeight="false" outlineLevel="0" collapsed="false">
      <c r="A29" s="220" t="n">
        <f aca="false">Data!$A29</f>
        <v>0</v>
      </c>
    </row>
    <row r="30" s="220" customFormat="true" ht="10.2" hidden="false" customHeight="false" outlineLevel="0" collapsed="false">
      <c r="A30" s="220" t="n">
        <f aca="false">Data!$A30</f>
        <v>0</v>
      </c>
    </row>
    <row r="31" customFormat="false" ht="10.2" hidden="false" customHeight="false" outlineLevel="0" collapsed="false">
      <c r="A31" s="212" t="n">
        <f aca="false">Data!$A31</f>
        <v>31</v>
      </c>
      <c r="B31" s="212" t="str">
        <f aca="false">Data!$B31</f>
        <v>B316A-EA07-OPT-GRA-02</v>
      </c>
      <c r="C31" s="212" t="str">
        <f aca="false">Data!$C31</f>
        <v>Grating VERITAS</v>
      </c>
      <c r="D31" s="212" t="str">
        <f aca="false">Data!$D31</f>
        <v>Y3</v>
      </c>
      <c r="E31" s="212" t="str">
        <f aca="false">Data!$J31</f>
        <v>mm</v>
      </c>
      <c r="F31" s="212" t="n">
        <f aca="false">Data!U31</f>
        <v>0</v>
      </c>
      <c r="N31" s="219"/>
      <c r="O31" s="219"/>
    </row>
    <row r="32" customFormat="false" ht="10.2" hidden="false" customHeight="false" outlineLevel="0" collapsed="false">
      <c r="A32" s="212" t="n">
        <f aca="false">Data!$A32</f>
        <v>32</v>
      </c>
      <c r="B32" s="212" t="str">
        <f aca="false">Data!$B32</f>
        <v>B316A-EA08-OPT-FLT-01</v>
      </c>
      <c r="C32" s="212" t="str">
        <f aca="false">Data!$C32</f>
        <v>Filter Unit VERITAS</v>
      </c>
      <c r="D32" s="212" t="str">
        <f aca="false">Data!$D32</f>
        <v>X</v>
      </c>
      <c r="E32" s="212" t="str">
        <f aca="false">Data!$J32</f>
        <v>mm</v>
      </c>
      <c r="F32" s="212" t="str">
        <f aca="false">Data!U32</f>
        <v>ABSENC</v>
      </c>
      <c r="N32" s="219"/>
      <c r="O32" s="219"/>
    </row>
    <row r="33" customFormat="false" ht="10.2" hidden="false" customHeight="false" outlineLevel="0" collapsed="false">
      <c r="A33" s="212" t="n">
        <f aca="false">Data!$A33</f>
        <v>33</v>
      </c>
      <c r="B33" s="212" t="str">
        <f aca="false">Data!$B33</f>
        <v>B316A-EA08-DIA-DETMC-01</v>
      </c>
      <c r="C33" s="212" t="str">
        <f aca="false">Data!$C33</f>
        <v>Detector VERITAS</v>
      </c>
      <c r="D33" s="212" t="str">
        <f aca="false">Data!$D33</f>
        <v>Y</v>
      </c>
      <c r="E33" s="212" t="str">
        <f aca="false">Data!$J33</f>
        <v>mm</v>
      </c>
      <c r="F33" s="212" t="str">
        <f aca="false">Data!U33</f>
        <v>ABSENC</v>
      </c>
    </row>
    <row r="34" customFormat="false" ht="10.2" hidden="false" customHeight="false" outlineLevel="0" collapsed="false">
      <c r="A34" s="212" t="n">
        <f aca="false">Data!$A34</f>
        <v>34</v>
      </c>
      <c r="B34" s="212" t="str">
        <f aca="false">Data!$B34</f>
        <v>B316A-EA08-DIA-DETMC-02</v>
      </c>
      <c r="C34" s="212" t="str">
        <f aca="false">Data!$C34</f>
        <v>Detector VERITAS</v>
      </c>
      <c r="D34" s="212" t="str">
        <f aca="false">Data!$D34</f>
        <v>Y</v>
      </c>
      <c r="E34" s="212" t="str">
        <f aca="false">Data!$J34</f>
        <v>mm</v>
      </c>
      <c r="F34" s="212" t="str">
        <f aca="false">Data!U34</f>
        <v>ABSENC</v>
      </c>
    </row>
    <row r="35" customFormat="false" ht="10.2" hidden="false" customHeight="false" outlineLevel="0" collapsed="false">
      <c r="A35" s="212" t="n">
        <f aca="false">Data!$A35</f>
        <v>35</v>
      </c>
      <c r="B35" s="212" t="str">
        <f aca="false">Data!$B35</f>
        <v>B316A-EA09-OPT-MM-01</v>
      </c>
      <c r="C35" s="212" t="str">
        <f aca="false">Data!$C35</f>
        <v>Movable Mask VERITAS</v>
      </c>
      <c r="D35" s="212" t="str">
        <f aca="false">Data!$D35</f>
        <v>Y</v>
      </c>
      <c r="E35" s="212" t="str">
        <f aca="false">Data!$J35</f>
        <v>mm</v>
      </c>
      <c r="F35" s="212" t="str">
        <f aca="false">Data!U35</f>
        <v>ABSENC</v>
      </c>
    </row>
    <row r="36" customFormat="false" ht="10.2" hidden="false" customHeight="false" outlineLevel="0" collapsed="false">
      <c r="A36" s="212" t="n">
        <f aca="false">Data!$A36</f>
        <v>36</v>
      </c>
      <c r="B36" s="212" t="str">
        <f aca="false">Data!$B36</f>
        <v>B316A-EA09-OPT-MM-02</v>
      </c>
      <c r="C36" s="212" t="str">
        <f aca="false">Data!$C36</f>
        <v>Movable Mask VERITAS</v>
      </c>
      <c r="D36" s="212" t="str">
        <f aca="false">Data!$D36</f>
        <v>Y</v>
      </c>
      <c r="E36" s="212" t="str">
        <f aca="false">Data!$J36</f>
        <v>mm</v>
      </c>
      <c r="F36" s="212" t="str">
        <f aca="false">Data!U36</f>
        <v>ABSENC</v>
      </c>
    </row>
    <row r="37" customFormat="false" ht="10.2" hidden="false" customHeight="false" outlineLevel="0" collapsed="false">
      <c r="A37" s="212" t="n">
        <f aca="false">Data!$A37</f>
        <v>37</v>
      </c>
      <c r="B37" s="212" t="str">
        <f aca="false">Data!$B37</f>
        <v>B316A-EA09-OPT-POL-01</v>
      </c>
      <c r="C37" s="212" t="str">
        <f aca="false">Data!$C37</f>
        <v>Multilayer Mirror VERITAS</v>
      </c>
      <c r="D37" s="212" t="str">
        <f aca="false">Data!$D37</f>
        <v>Y</v>
      </c>
      <c r="E37" s="212" t="str">
        <f aca="false">Data!$J37</f>
        <v>mm</v>
      </c>
      <c r="F37" s="212" t="str">
        <f aca="false">Data!U37</f>
        <v>ABSENC</v>
      </c>
    </row>
    <row r="38" customFormat="false" ht="10.2" hidden="false" customHeight="false" outlineLevel="0" collapsed="false">
      <c r="A38" s="212" t="n">
        <f aca="false">Data!$A38</f>
        <v>38</v>
      </c>
      <c r="B38" s="212" t="str">
        <f aca="false">Data!$B38</f>
        <v>B316A-EA09-OPT-POL-02</v>
      </c>
      <c r="C38" s="212" t="str">
        <f aca="false">Data!$C38</f>
        <v>Multilayer Mirror VERITAS</v>
      </c>
      <c r="D38" s="212" t="str">
        <f aca="false">Data!$D38</f>
        <v>PIT</v>
      </c>
      <c r="E38" s="212" t="str">
        <f aca="false">Data!$J38</f>
        <v>deg</v>
      </c>
      <c r="F38" s="212" t="str">
        <f aca="false">Data!U38</f>
        <v>ABSENC</v>
      </c>
    </row>
    <row r="39" s="220" customFormat="true" ht="10.2" hidden="false" customHeight="false" outlineLevel="0" collapsed="false"/>
    <row r="40" s="220" customFormat="true" ht="10.2" hidden="false" customHeight="false" outlineLevel="0" collapsed="false"/>
    <row r="41" customFormat="false" ht="10.2" hidden="false" customHeight="false" outlineLevel="0" collapsed="false">
      <c r="A41" s="212" t="n">
        <f aca="false">Data!$A41</f>
        <v>41</v>
      </c>
      <c r="B41" s="212" t="str">
        <f aca="false">Data!$B41</f>
        <v>B316A-EA09-OPT-POL-02</v>
      </c>
      <c r="C41" s="212" t="str">
        <f aca="false">Data!$C41</f>
        <v>Multilayer Mirror VERITAS</v>
      </c>
      <c r="D41" s="212" t="str">
        <f aca="false">Data!$D41</f>
        <v>X</v>
      </c>
      <c r="E41" s="212" t="str">
        <f aca="false">Data!$J41</f>
        <v>mm</v>
      </c>
      <c r="F41" s="212" t="str">
        <f aca="false">Data!U41</f>
        <v>ABSENC</v>
      </c>
      <c r="N41" s="219"/>
      <c r="O41" s="219"/>
    </row>
    <row r="42" customFormat="false" ht="10.2" hidden="false" customHeight="false" outlineLevel="0" collapsed="false">
      <c r="A42" s="212" t="n">
        <f aca="false">Data!$A42</f>
        <v>42</v>
      </c>
      <c r="B42" s="212" t="str">
        <f aca="false">Data!$B42</f>
        <v>B316A-EA09-DIA-TABLED-01</v>
      </c>
      <c r="C42" s="212" t="str">
        <f aca="false">Data!$C42</f>
        <v>Detector Table VERITAS</v>
      </c>
      <c r="D42" s="212" t="str">
        <f aca="false">Data!$D42</f>
        <v>Z</v>
      </c>
      <c r="E42" s="212" t="str">
        <f aca="false">Data!$J42</f>
        <v>mm</v>
      </c>
      <c r="F42" s="212" t="n">
        <f aca="false">Data!U42</f>
        <v>0</v>
      </c>
      <c r="N42" s="219"/>
      <c r="O42" s="219"/>
    </row>
    <row r="43" customFormat="false" ht="10.2" hidden="false" customHeight="false" outlineLevel="0" collapsed="false">
      <c r="A43" s="212" t="n">
        <f aca="false">Data!$A43</f>
        <v>43</v>
      </c>
      <c r="B43" s="212" t="str">
        <f aca="false">Data!$B43</f>
        <v>B316A-EA10-DIA-DETMC-01</v>
      </c>
      <c r="C43" s="212" t="str">
        <f aca="false">Data!$C43</f>
        <v>Detector VERITAS</v>
      </c>
      <c r="D43" s="212" t="str">
        <f aca="false">Data!$D43</f>
        <v>PIT</v>
      </c>
      <c r="E43" s="212" t="str">
        <f aca="false">Data!$J43</f>
        <v>deg</v>
      </c>
      <c r="F43" s="212" t="str">
        <f aca="false">Data!U43</f>
        <v>ABSENC</v>
      </c>
    </row>
    <row r="44" customFormat="false" ht="10.2" hidden="false" customHeight="false" outlineLevel="0" collapsed="false">
      <c r="A44" s="212" t="n">
        <f aca="false">Data!$A44</f>
        <v>44</v>
      </c>
      <c r="B44" s="212" t="str">
        <f aca="false">Data!$B44</f>
        <v>B316A-EA10-DIA-DETMC-01</v>
      </c>
      <c r="C44" s="212" t="str">
        <f aca="false">Data!$C44</f>
        <v>Detector VERITAS</v>
      </c>
      <c r="D44" s="212" t="str">
        <f aca="false">Data!$D44</f>
        <v>Y</v>
      </c>
      <c r="E44" s="212" t="str">
        <f aca="false">Data!$J44</f>
        <v>mm</v>
      </c>
      <c r="F44" s="212" t="str">
        <f aca="false">Data!U44</f>
        <v>ABSENC</v>
      </c>
    </row>
    <row r="45" customFormat="false" ht="10.2" hidden="false" customHeight="false" outlineLevel="0" collapsed="false">
      <c r="A45" s="212" t="n">
        <f aca="false">Data!$A45</f>
        <v>45</v>
      </c>
      <c r="B45" s="212" t="str">
        <f aca="false">Data!$B45</f>
        <v>B316A-EA10-DIA-DETMC-02</v>
      </c>
      <c r="C45" s="212" t="str">
        <f aca="false">Data!$C45</f>
        <v>Detector VERITAS</v>
      </c>
      <c r="D45" s="212" t="str">
        <f aca="false">Data!$D45</f>
        <v>PIT1</v>
      </c>
      <c r="E45" s="212" t="str">
        <f aca="false">Data!$J45</f>
        <v>deg</v>
      </c>
      <c r="F45" s="212" t="str">
        <f aca="false">Data!U45</f>
        <v>ABSENC</v>
      </c>
    </row>
    <row r="46" customFormat="false" ht="10.2" hidden="false" customHeight="false" outlineLevel="0" collapsed="false">
      <c r="A46" s="212" t="n">
        <f aca="false">Data!$A46</f>
        <v>46</v>
      </c>
      <c r="B46" s="212" t="str">
        <f aca="false">Data!$B46</f>
        <v>B316A-EA10-DIA-DETMC-02</v>
      </c>
      <c r="C46" s="212" t="str">
        <f aca="false">Data!$C46</f>
        <v>Detector VERITAS</v>
      </c>
      <c r="D46" s="212" t="str">
        <f aca="false">Data!$D46</f>
        <v>PIT2</v>
      </c>
      <c r="E46" s="212" t="str">
        <f aca="false">Data!$J46</f>
        <v>deg</v>
      </c>
      <c r="F46" s="212" t="str">
        <f aca="false">Data!U46</f>
        <v>ABSENC</v>
      </c>
    </row>
    <row r="47" customFormat="false" ht="10.2" hidden="false" customHeight="false" outlineLevel="0" collapsed="false">
      <c r="A47" s="212" t="n">
        <f aca="false">Data!$A47</f>
        <v>47</v>
      </c>
      <c r="B47" s="212" t="str">
        <f aca="false">Data!$B47</f>
        <v>B316A-EA11-DIA-SPC-01</v>
      </c>
      <c r="C47" s="212" t="str">
        <f aca="false">Data!$C47</f>
        <v>Spectrometer VERITAS</v>
      </c>
      <c r="D47" s="212" t="str">
        <f aca="false">Data!$D47</f>
        <v>YAW</v>
      </c>
      <c r="E47" s="212" t="str">
        <f aca="false">Data!$J47</f>
        <v>deg</v>
      </c>
      <c r="F47" s="212" t="n">
        <f aca="false">Data!U47</f>
        <v>0</v>
      </c>
    </row>
    <row r="48" customFormat="false" ht="10.2" hidden="false" customHeight="false" outlineLevel="0" collapsed="false">
      <c r="A48" s="212" t="n">
        <f aca="false">Data!$A48</f>
        <v>48</v>
      </c>
      <c r="B48" s="212" t="str">
        <f aca="false">Data!$B48</f>
        <v>B316A-EA04-DIA-MP-02</v>
      </c>
      <c r="C48" s="212" t="str">
        <f aca="false">Data!$C48</f>
        <v>Manipulator VERITAS</v>
      </c>
      <c r="D48" s="212" t="str">
        <f aca="false">Data!$D48</f>
        <v>X</v>
      </c>
      <c r="E48" s="212" t="str">
        <f aca="false">Data!$J48</f>
        <v>mm</v>
      </c>
      <c r="F48" s="212" t="n">
        <f aca="false">Data!U48</f>
        <v>0</v>
      </c>
    </row>
    <row r="49" s="220" customFormat="true" ht="10.2" hidden="false" customHeight="false" outlineLevel="0" collapsed="false"/>
    <row r="50" s="220" customFormat="true" ht="10.2" hidden="false" customHeight="false" outlineLevel="0" collapsed="false"/>
    <row r="51" customFormat="false" ht="10.2" hidden="false" customHeight="false" outlineLevel="0" collapsed="false">
      <c r="A51" s="212" t="n">
        <f aca="false">Data!$A51</f>
        <v>51</v>
      </c>
      <c r="B51" s="212" t="str">
        <f aca="false">Data!$B51</f>
        <v>B316A-EA04-DIA-MP-02</v>
      </c>
      <c r="C51" s="212" t="str">
        <f aca="false">Data!$C51</f>
        <v>Manipulator VERITAS</v>
      </c>
      <c r="D51" s="212" t="str">
        <f aca="false">Data!$D51</f>
        <v>Z</v>
      </c>
      <c r="E51" s="212" t="str">
        <f aca="false">Data!$J51</f>
        <v>mm</v>
      </c>
      <c r="F51" s="212" t="n">
        <f aca="false">Data!U51</f>
        <v>0</v>
      </c>
      <c r="N51" s="219"/>
      <c r="O51" s="219"/>
    </row>
    <row r="52" customFormat="false" ht="10.2" hidden="false" customHeight="false" outlineLevel="0" collapsed="false">
      <c r="A52" s="212" t="n">
        <f aca="false">Data!$A52</f>
        <v>52</v>
      </c>
      <c r="B52" s="212" t="str">
        <f aca="false">Data!$B52</f>
        <v>B316A-EA04-DIA-MP-02</v>
      </c>
      <c r="C52" s="212" t="str">
        <f aca="false">Data!$C52</f>
        <v>Manipulator VERITAS</v>
      </c>
      <c r="D52" s="212" t="str">
        <f aca="false">Data!$D52</f>
        <v>Y</v>
      </c>
      <c r="E52" s="212" t="str">
        <f aca="false">Data!$J52</f>
        <v>mm</v>
      </c>
      <c r="F52" s="212" t="n">
        <f aca="false">Data!U52</f>
        <v>0</v>
      </c>
      <c r="N52" s="219"/>
      <c r="O52" s="219"/>
    </row>
    <row r="53" customFormat="false" ht="10.2" hidden="false" customHeight="false" outlineLevel="0" collapsed="false">
      <c r="A53" s="212" t="n">
        <f aca="false">Data!$A53</f>
        <v>53</v>
      </c>
      <c r="B53" s="212" t="str">
        <f aca="false">Data!$B53</f>
        <v>B316A-EB03-OPT-BAFF-01</v>
      </c>
      <c r="C53" s="212" t="str">
        <f aca="false">Data!$C53</f>
        <v>M4 Baffles VERITAS</v>
      </c>
      <c r="D53" s="212" t="str">
        <f aca="false">Data!$D53</f>
        <v>VT</v>
      </c>
      <c r="E53" s="212" t="str">
        <f aca="false">Data!$J53</f>
        <v>mm</v>
      </c>
      <c r="F53" s="212" t="str">
        <f aca="false">Data!U53</f>
        <v>ABSENC</v>
      </c>
    </row>
    <row r="54" customFormat="false" ht="10.2" hidden="false" customHeight="false" outlineLevel="0" collapsed="false">
      <c r="A54" s="212" t="n">
        <f aca="false">Data!$A54</f>
        <v>1</v>
      </c>
      <c r="B54" s="212" t="str">
        <f aca="false">Data!$B54</f>
        <v>B316A-EB03-OPT-BAFF-01</v>
      </c>
      <c r="C54" s="212" t="str">
        <f aca="false">Data!$C54</f>
        <v>M4 Baffles VERITAS</v>
      </c>
      <c r="D54" s="212" t="str">
        <f aca="false">Data!$D54</f>
        <v>VB</v>
      </c>
      <c r="E54" s="212" t="str">
        <f aca="false">Data!$J54</f>
        <v>mm</v>
      </c>
      <c r="F54" s="212" t="str">
        <f aca="false">Data!U54</f>
        <v>ABSENC</v>
      </c>
    </row>
    <row r="55" customFormat="false" ht="10.2" hidden="false" customHeight="false" outlineLevel="0" collapsed="false">
      <c r="A55" s="212" t="n">
        <f aca="false">Data!$A55</f>
        <v>55</v>
      </c>
      <c r="B55" s="212" t="str">
        <f aca="false">Data!$B55</f>
        <v>B316A-EB03-OPT-BAFF-01</v>
      </c>
      <c r="C55" s="212" t="str">
        <f aca="false">Data!$C55</f>
        <v>M4 Baffles VERITAS</v>
      </c>
      <c r="D55" s="212" t="str">
        <f aca="false">Data!$D55</f>
        <v>HL</v>
      </c>
      <c r="E55" s="212" t="str">
        <f aca="false">Data!$J55</f>
        <v>mm</v>
      </c>
      <c r="F55" s="212" t="str">
        <f aca="false">Data!U55</f>
        <v>ABSENC</v>
      </c>
    </row>
    <row r="56" customFormat="false" ht="10.2" hidden="false" customHeight="false" outlineLevel="0" collapsed="false">
      <c r="A56" s="212" t="n">
        <f aca="false">Data!$A56</f>
        <v>56</v>
      </c>
      <c r="B56" s="212" t="str">
        <f aca="false">Data!$B56</f>
        <v>B316A-EB03-OPT-BAFF-01</v>
      </c>
      <c r="C56" s="212" t="str">
        <f aca="false">Data!$C56</f>
        <v>M4 Baffles VERITAS</v>
      </c>
      <c r="D56" s="212" t="str">
        <f aca="false">Data!$D56</f>
        <v>HR</v>
      </c>
      <c r="E56" s="212" t="str">
        <f aca="false">Data!$J56</f>
        <v>mm</v>
      </c>
      <c r="F56" s="212" t="str">
        <f aca="false">Data!U56</f>
        <v>ABSENC</v>
      </c>
    </row>
    <row r="57" customFormat="false" ht="10.2" hidden="false" customHeight="false" outlineLevel="0" collapsed="false">
      <c r="A57" s="212" t="n">
        <f aca="false">Data!$A57</f>
        <v>57</v>
      </c>
      <c r="B57" s="212" t="str">
        <f aca="false">Data!$B57</f>
        <v>B316A-EB03-DIA-BPM-01</v>
      </c>
      <c r="C57" s="212" t="str">
        <f aca="false">Data!$C57</f>
        <v>M4 BPM VERITAS</v>
      </c>
      <c r="D57" s="212" t="str">
        <f aca="false">Data!$D57</f>
        <v>V</v>
      </c>
      <c r="E57" s="212" t="str">
        <f aca="false">Data!$J57</f>
        <v>mm</v>
      </c>
      <c r="F57" s="212" t="str">
        <f aca="false">Data!U57</f>
        <v>ABSENC</v>
      </c>
    </row>
    <row r="58" customFormat="false" ht="10.2" hidden="false" customHeight="false" outlineLevel="0" collapsed="false">
      <c r="A58" s="212" t="n">
        <f aca="false">Data!$A58</f>
        <v>58</v>
      </c>
      <c r="B58" s="212" t="str">
        <f aca="false">Data!$B58</f>
        <v>B316A-EB03-OPT-MIR-04</v>
      </c>
      <c r="C58" s="212" t="str">
        <f aca="false">Data!$C58</f>
        <v>Focusing Mirror M4 VERITAS</v>
      </c>
      <c r="D58" s="212" t="str">
        <f aca="false">Data!$D58</f>
        <v>V1</v>
      </c>
      <c r="E58" s="212" t="str">
        <f aca="false">Data!$J58</f>
        <v>um</v>
      </c>
      <c r="F58" s="212" t="str">
        <f aca="false">Data!U58</f>
        <v>ABSENC</v>
      </c>
      <c r="H58" s="214" t="n">
        <v>84095873</v>
      </c>
      <c r="I58" s="214" t="n">
        <v>79056547</v>
      </c>
      <c r="J58" s="214" t="n">
        <v>89155784</v>
      </c>
      <c r="K58" s="214" t="n">
        <v>84095.873</v>
      </c>
      <c r="L58" s="214" t="n">
        <v>79056.547</v>
      </c>
      <c r="M58" s="214" t="n">
        <v>89155.784</v>
      </c>
      <c r="P58" s="213" t="n">
        <v>251</v>
      </c>
    </row>
    <row r="59" s="220" customFormat="true" ht="10.2" hidden="false" customHeight="false" outlineLevel="0" collapsed="false"/>
    <row r="60" s="220" customFormat="true" ht="10.2" hidden="false" customHeight="false" outlineLevel="0" collapsed="false"/>
    <row r="61" customFormat="false" ht="10.2" hidden="false" customHeight="false" outlineLevel="0" collapsed="false">
      <c r="A61" s="212" t="n">
        <f aca="false">Data!$A61</f>
        <v>61</v>
      </c>
      <c r="B61" s="212" t="str">
        <f aca="false">Data!$B61</f>
        <v>B316A-EB03-OPT-MIR-04</v>
      </c>
      <c r="C61" s="212" t="str">
        <f aca="false">Data!$C61</f>
        <v>Focusing Mirror M4 VERITAS</v>
      </c>
      <c r="D61" s="212" t="str">
        <f aca="false">Data!$D61</f>
        <v>V2</v>
      </c>
      <c r="E61" s="212" t="str">
        <f aca="false">Data!$J61</f>
        <v>um</v>
      </c>
      <c r="F61" s="212" t="str">
        <f aca="false">Data!U61</f>
        <v>ABSENC</v>
      </c>
      <c r="H61" s="214" t="n">
        <v>78960638</v>
      </c>
      <c r="I61" s="214" t="n">
        <v>73779002</v>
      </c>
      <c r="J61" s="214" t="n">
        <v>83968939</v>
      </c>
      <c r="K61" s="214" t="n">
        <v>78960.638</v>
      </c>
      <c r="L61" s="214" t="n">
        <v>73779.002</v>
      </c>
      <c r="M61" s="214" t="n">
        <v>83968.939</v>
      </c>
      <c r="N61" s="219"/>
      <c r="O61" s="219"/>
      <c r="P61" s="213" t="n">
        <v>248</v>
      </c>
    </row>
    <row r="62" customFormat="false" ht="10.2" hidden="false" customHeight="false" outlineLevel="0" collapsed="false">
      <c r="A62" s="212" t="n">
        <f aca="false">Data!$A62</f>
        <v>62</v>
      </c>
      <c r="B62" s="212" t="str">
        <f aca="false">Data!$B62</f>
        <v>B316A-EB03-OPT-MIR-04</v>
      </c>
      <c r="C62" s="212" t="str">
        <f aca="false">Data!$C62</f>
        <v>Focusing Mirror M4 VERITAS</v>
      </c>
      <c r="D62" s="212" t="str">
        <f aca="false">Data!$D62</f>
        <v>V3</v>
      </c>
      <c r="E62" s="212" t="str">
        <f aca="false">Data!$J62</f>
        <v>um</v>
      </c>
      <c r="F62" s="212" t="str">
        <f aca="false">Data!U62</f>
        <v>ABSENC</v>
      </c>
      <c r="H62" s="214" t="n">
        <v>84128024</v>
      </c>
      <c r="I62" s="214" t="n">
        <v>79004220</v>
      </c>
      <c r="J62" s="214" t="n">
        <v>89190308</v>
      </c>
      <c r="K62" s="214" t="n">
        <v>84128.024</v>
      </c>
      <c r="L62" s="214" t="n">
        <v>79004.22</v>
      </c>
      <c r="M62" s="214" t="n">
        <v>89190.308</v>
      </c>
      <c r="N62" s="219"/>
      <c r="O62" s="219"/>
      <c r="P62" s="213" t="n">
        <v>247</v>
      </c>
    </row>
    <row r="63" customFormat="false" ht="10.2" hidden="false" customHeight="false" outlineLevel="0" collapsed="false">
      <c r="A63" s="212" t="n">
        <f aca="false">Data!$A63</f>
        <v>63</v>
      </c>
      <c r="B63" s="212" t="str">
        <f aca="false">Data!$B63</f>
        <v>B316A-EB03-OPT-MIR-04</v>
      </c>
      <c r="C63" s="212" t="str">
        <f aca="false">Data!$C63</f>
        <v>Focusing Mirror M4 VERITAS</v>
      </c>
      <c r="D63" s="212" t="str">
        <f aca="false">Data!$D63</f>
        <v>H4</v>
      </c>
      <c r="E63" s="212" t="str">
        <f aca="false">Data!$J63</f>
        <v>um</v>
      </c>
      <c r="F63" s="212" t="str">
        <f aca="false">Data!U63</f>
        <v>ABSENC</v>
      </c>
      <c r="H63" s="214" t="n">
        <v>84001007</v>
      </c>
      <c r="I63" s="214" t="n">
        <v>78970165</v>
      </c>
      <c r="J63" s="214" t="n">
        <v>89093371</v>
      </c>
      <c r="K63" s="214" t="n">
        <v>84001.007</v>
      </c>
      <c r="L63" s="214" t="n">
        <v>78970.165</v>
      </c>
      <c r="M63" s="214" t="n">
        <v>89093.371</v>
      </c>
      <c r="P63" s="213" t="n">
        <v>249</v>
      </c>
    </row>
    <row r="64" customFormat="false" ht="10.2" hidden="false" customHeight="false" outlineLevel="0" collapsed="false">
      <c r="A64" s="212" t="n">
        <f aca="false">Data!$A64</f>
        <v>64</v>
      </c>
      <c r="B64" s="212" t="str">
        <f aca="false">Data!$B64</f>
        <v>B316A-EB03-OPT-MIR-04</v>
      </c>
      <c r="C64" s="212" t="str">
        <f aca="false">Data!$C64</f>
        <v>Focusing Mirror M4 VERITAS</v>
      </c>
      <c r="D64" s="212" t="str">
        <f aca="false">Data!$D64</f>
        <v>H5</v>
      </c>
      <c r="E64" s="212" t="str">
        <f aca="false">Data!$J64</f>
        <v>um</v>
      </c>
      <c r="F64" s="212" t="str">
        <f aca="false">Data!U64</f>
        <v>ABSENC</v>
      </c>
      <c r="H64" s="214" t="n">
        <v>81975505</v>
      </c>
      <c r="I64" s="214" t="n">
        <v>76941717</v>
      </c>
      <c r="J64" s="214" t="n">
        <v>87075481</v>
      </c>
      <c r="K64" s="214" t="n">
        <v>81975.505</v>
      </c>
      <c r="L64" s="214" t="n">
        <v>76941.717</v>
      </c>
      <c r="M64" s="214" t="n">
        <v>87075.481</v>
      </c>
      <c r="P64" s="213" t="n">
        <v>251</v>
      </c>
    </row>
    <row r="65" customFormat="false" ht="10.2" hidden="false" customHeight="false" outlineLevel="0" collapsed="false">
      <c r="A65" s="212" t="n">
        <f aca="false">Data!$A65</f>
        <v>65</v>
      </c>
      <c r="B65" s="212" t="n">
        <f aca="false">Data!$B65</f>
        <v>0</v>
      </c>
      <c r="C65" s="212" t="n">
        <f aca="false">Data!$C65</f>
        <v>0</v>
      </c>
      <c r="D65" s="212" t="n">
        <f aca="false">Data!$D65</f>
        <v>0</v>
      </c>
      <c r="E65" s="212" t="str">
        <f aca="false">Data!$J65</f>
        <v>mm</v>
      </c>
      <c r="F65" s="212" t="n">
        <f aca="false">Data!U65</f>
        <v>0</v>
      </c>
    </row>
    <row r="66" customFormat="false" ht="10.2" hidden="false" customHeight="false" outlineLevel="0" collapsed="false">
      <c r="A66" s="212" t="n">
        <f aca="false">Data!$A66</f>
        <v>66</v>
      </c>
      <c r="B66" s="212" t="n">
        <f aca="false">Data!$B66</f>
        <v>0</v>
      </c>
      <c r="C66" s="212" t="n">
        <f aca="false">Data!$C66</f>
        <v>0</v>
      </c>
      <c r="D66" s="212" t="n">
        <f aca="false">Data!$D66</f>
        <v>0</v>
      </c>
      <c r="E66" s="212" t="str">
        <f aca="false">Data!$J66</f>
        <v>um</v>
      </c>
      <c r="F66" s="212" t="n">
        <f aca="false">Data!U66</f>
        <v>0</v>
      </c>
    </row>
    <row r="67" customFormat="false" ht="10.2" hidden="false" customHeight="false" outlineLevel="0" collapsed="false">
      <c r="A67" s="212" t="n">
        <f aca="false">Data!$A67</f>
        <v>67</v>
      </c>
      <c r="B67" s="212" t="n">
        <f aca="false">Data!$B67</f>
        <v>0</v>
      </c>
      <c r="C67" s="212" t="n">
        <f aca="false">Data!$C67</f>
        <v>0</v>
      </c>
      <c r="D67" s="212" t="n">
        <f aca="false">Data!$D67</f>
        <v>0</v>
      </c>
      <c r="E67" s="212" t="str">
        <f aca="false">Data!$J67</f>
        <v>um</v>
      </c>
      <c r="F67" s="212" t="n">
        <f aca="false">Data!U67</f>
        <v>0</v>
      </c>
    </row>
    <row r="68" customFormat="false" ht="10.2" hidden="false" customHeight="false" outlineLevel="0" collapsed="false">
      <c r="A68" s="212" t="n">
        <f aca="false">Data!$A68</f>
        <v>68</v>
      </c>
      <c r="B68" s="212" t="n">
        <f aca="false">Data!$B68</f>
        <v>0</v>
      </c>
      <c r="C68" s="212" t="n">
        <f aca="false">Data!$C68</f>
        <v>0</v>
      </c>
      <c r="D68" s="212" t="n">
        <f aca="false">Data!$D68</f>
        <v>0</v>
      </c>
      <c r="E68" s="212" t="str">
        <f aca="false">Data!$J68</f>
        <v>um</v>
      </c>
      <c r="F68" s="212" t="n">
        <f aca="false">Data!U68</f>
        <v>0</v>
      </c>
    </row>
    <row r="69" s="220" customFormat="true" ht="10.2" hidden="false" customHeight="false" outlineLevel="0" collapsed="false"/>
    <row r="70" s="220" customFormat="true" ht="10.2"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DI121"/>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4" ySplit="1" topLeftCell="DD38" activePane="bottomRight" state="frozen"/>
      <selection pane="topLeft" activeCell="A1" activeCellId="0" sqref="A1"/>
      <selection pane="topRight" activeCell="DD1" activeCellId="0" sqref="DD1"/>
      <selection pane="bottomLeft" activeCell="A38" activeCellId="0" sqref="A38"/>
      <selection pane="bottomRight" activeCell="CT1" activeCellId="1" sqref="O61:O64 CT1"/>
    </sheetView>
  </sheetViews>
  <sheetFormatPr defaultRowHeight="10.2" outlineLevelRow="0" outlineLevelCol="0"/>
  <cols>
    <col collapsed="false" customWidth="true" hidden="false" outlineLevel="0" max="1" min="1" style="221" width="2.89"/>
    <col collapsed="false" customWidth="true" hidden="false" outlineLevel="0" max="2" min="2" style="221" width="18.56"/>
    <col collapsed="false" customWidth="true" hidden="false" outlineLevel="0" max="3" min="3" style="222" width="27.45"/>
    <col collapsed="false" customWidth="true" hidden="false" outlineLevel="0" max="4" min="4" style="223" width="6.01"/>
    <col collapsed="false" customWidth="true" hidden="false" outlineLevel="0" max="5" min="5" style="224" width="10.33"/>
    <col collapsed="false" customWidth="true" hidden="false" outlineLevel="0" max="6" min="6" style="225" width="5.44"/>
    <col collapsed="false" customWidth="true" hidden="false" outlineLevel="0" max="7" min="7" style="225" width="10.11"/>
    <col collapsed="false" customWidth="true" hidden="false" outlineLevel="0" max="8" min="8" style="225" width="12.66"/>
    <col collapsed="false" customWidth="true" hidden="false" outlineLevel="0" max="9" min="9" style="222" width="8.67"/>
    <col collapsed="false" customWidth="true" hidden="false" outlineLevel="0" max="11" min="10" style="222" width="7.88"/>
    <col collapsed="false" customWidth="true" hidden="false" outlineLevel="0" max="12" min="12" style="222" width="10.45"/>
    <col collapsed="false" customWidth="true" hidden="false" outlineLevel="0" max="13" min="13" style="226" width="6.66"/>
    <col collapsed="false" customWidth="true" hidden="false" outlineLevel="0" max="14" min="14" style="222" width="22.44"/>
    <col collapsed="false" customWidth="true" hidden="false" outlineLevel="0" max="15" min="15" style="222" width="23.44"/>
    <col collapsed="false" customWidth="true" hidden="false" outlineLevel="0" max="17" min="16" style="222" width="9.33"/>
    <col collapsed="false" customWidth="true" hidden="false" outlineLevel="0" max="18" min="18" style="226" width="4.33"/>
    <col collapsed="false" customWidth="true" hidden="false" outlineLevel="0" max="19" min="19" style="226" width="4.89"/>
    <col collapsed="false" customWidth="true" hidden="false" outlineLevel="0" max="22" min="20" style="227" width="6.44"/>
    <col collapsed="false" customWidth="true" hidden="false" outlineLevel="0" max="27" min="23" style="228" width="6.44"/>
    <col collapsed="false" customWidth="true" hidden="false" outlineLevel="0" max="28" min="28" style="160" width="4.89"/>
    <col collapsed="false" customWidth="true" hidden="false" outlineLevel="0" max="31" min="29" style="160" width="5.1"/>
    <col collapsed="false" customWidth="true" hidden="false" outlineLevel="0" max="32" min="32" style="225" width="12.66"/>
    <col collapsed="false" customWidth="false" hidden="false" outlineLevel="0" max="33" min="33" style="160" width="11.45"/>
    <col collapsed="false" customWidth="true" hidden="false" outlineLevel="0" max="34" min="34" style="221" width="10.89"/>
    <col collapsed="false" customWidth="true" hidden="false" outlineLevel="0" max="35" min="35" style="221" width="10.33"/>
    <col collapsed="false" customWidth="true" hidden="false" outlineLevel="0" max="36" min="36" style="158" width="7.67"/>
    <col collapsed="false" customWidth="true" hidden="false" outlineLevel="0" max="37" min="37" style="158" width="10.33"/>
    <col collapsed="false" customWidth="true" hidden="false" outlineLevel="0" max="38" min="38" style="158" width="10.89"/>
    <col collapsed="false" customWidth="true" hidden="false" outlineLevel="0" max="39" min="39" style="229" width="7.56"/>
    <col collapsed="false" customWidth="true" hidden="false" outlineLevel="0" max="40" min="40" style="229" width="9"/>
    <col collapsed="false" customWidth="true" hidden="false" outlineLevel="0" max="41" min="41" style="222" width="6.44"/>
    <col collapsed="false" customWidth="true" hidden="false" outlineLevel="0" max="42" min="42" style="222" width="8.67"/>
    <col collapsed="false" customWidth="true" hidden="false" outlineLevel="0" max="43" min="43" style="230" width="8.78"/>
    <col collapsed="false" customWidth="true" hidden="false" outlineLevel="0" max="44" min="44" style="230" width="10.99"/>
    <col collapsed="false" customWidth="true" hidden="false" outlineLevel="0" max="45" min="45" style="230" width="8.78"/>
    <col collapsed="false" customWidth="true" hidden="false" outlineLevel="0" max="46" min="46" style="230" width="10.99"/>
    <col collapsed="false" customWidth="true" hidden="false" outlineLevel="0" max="48" min="47" style="230" width="12.33"/>
    <col collapsed="false" customWidth="true" hidden="false" outlineLevel="0" max="50" min="49" style="231" width="10"/>
    <col collapsed="false" customWidth="true" hidden="false" outlineLevel="0" max="52" min="51" style="230" width="6.11"/>
    <col collapsed="false" customWidth="true" hidden="false" outlineLevel="0" max="53" min="53" style="230" width="6.01"/>
    <col collapsed="false" customWidth="true" hidden="false" outlineLevel="0" max="54" min="54" style="232" width="10.45"/>
    <col collapsed="false" customWidth="true" hidden="false" outlineLevel="0" max="55" min="55" style="230" width="10.89"/>
    <col collapsed="false" customWidth="true" hidden="false" outlineLevel="0" max="56" min="56" style="231" width="8.21"/>
    <col collapsed="false" customWidth="true" hidden="false" outlineLevel="0" max="57" min="57" style="230" width="8.33"/>
    <col collapsed="false" customWidth="true" hidden="false" outlineLevel="0" max="58" min="58" style="233" width="10.56"/>
    <col collapsed="false" customWidth="true" hidden="false" outlineLevel="0" max="59" min="59" style="234" width="9.33"/>
    <col collapsed="false" customWidth="true" hidden="false" outlineLevel="0" max="60" min="60" style="234" width="8.89"/>
    <col collapsed="false" customWidth="true" hidden="false" outlineLevel="0" max="61" min="61" style="235" width="8.89"/>
    <col collapsed="false" customWidth="true" hidden="false" outlineLevel="0" max="63" min="62" style="236" width="8.89"/>
    <col collapsed="false" customWidth="true" hidden="false" outlineLevel="0" max="64" min="64" style="109" width="8.89"/>
    <col collapsed="false" customWidth="true" hidden="false" outlineLevel="0" max="65" min="65" style="237" width="8.89"/>
    <col collapsed="false" customWidth="true" hidden="false" outlineLevel="0" max="66" min="66" style="235" width="13.89"/>
    <col collapsed="false" customWidth="true" hidden="false" outlineLevel="0" max="67" min="67" style="235" width="13.01"/>
    <col collapsed="false" customWidth="true" hidden="false" outlineLevel="0" max="68" min="68" style="235" width="8.89"/>
    <col collapsed="false" customWidth="true" hidden="false" outlineLevel="0" max="69" min="69" style="237" width="8.89"/>
    <col collapsed="false" customWidth="true" hidden="false" outlineLevel="0" max="71" min="70" style="234" width="8.89"/>
    <col collapsed="false" customWidth="true" hidden="false" outlineLevel="0" max="73" min="72" style="235" width="8.89"/>
    <col collapsed="false" customWidth="true" hidden="false" outlineLevel="0" max="75" min="74" style="234" width="8.89"/>
    <col collapsed="false" customWidth="true" hidden="false" outlineLevel="0" max="77" min="76" style="222" width="6.44"/>
    <col collapsed="false" customWidth="true" hidden="false" outlineLevel="0" max="80" min="78" style="113" width="12.33"/>
    <col collapsed="false" customWidth="true" hidden="false" outlineLevel="0" max="81" min="81" style="113" width="10.56"/>
    <col collapsed="false" customWidth="true" hidden="false" outlineLevel="0" max="82" min="82" style="160" width="9.89"/>
    <col collapsed="false" customWidth="true" hidden="false" outlineLevel="0" max="83" min="83" style="160" width="11.33"/>
    <col collapsed="false" customWidth="true" hidden="false" outlineLevel="0" max="84" min="84" style="160" width="8.89"/>
    <col collapsed="false" customWidth="true" hidden="false" outlineLevel="0" max="86" min="85" style="234" width="8.89"/>
    <col collapsed="false" customWidth="true" hidden="false" outlineLevel="0" max="88" min="87" style="235" width="8.89"/>
    <col collapsed="false" customWidth="true" hidden="false" outlineLevel="0" max="90" min="89" style="160" width="5.89"/>
    <col collapsed="false" customWidth="true" hidden="false" outlineLevel="0" max="91" min="91" style="160" width="6.34"/>
    <col collapsed="false" customWidth="true" hidden="false" outlineLevel="0" max="95" min="92" style="160" width="5.66"/>
    <col collapsed="false" customWidth="true" hidden="false" outlineLevel="0" max="96" min="96" style="160" width="48.44"/>
    <col collapsed="false" customWidth="true" hidden="false" outlineLevel="0" max="97" min="97" style="232" width="89.1"/>
    <col collapsed="false" customWidth="true" hidden="false" outlineLevel="0" max="98" min="98" style="222" width="23.44"/>
    <col collapsed="false" customWidth="true" hidden="false" outlineLevel="0" max="99" min="99" style="105" width="5.1"/>
    <col collapsed="false" customWidth="true" hidden="false" outlineLevel="0" max="100" min="100" style="221" width="10.33"/>
    <col collapsed="false" customWidth="true" hidden="false" outlineLevel="0" max="101" min="101" style="158" width="10.33"/>
    <col collapsed="false" customWidth="true" hidden="false" outlineLevel="0" max="102" min="102" style="158" width="10.89"/>
    <col collapsed="false" customWidth="true" hidden="false" outlineLevel="0" max="103" min="103" style="229" width="7.56"/>
    <col collapsed="false" customWidth="true" hidden="false" outlineLevel="0" max="104" min="104" style="229" width="9"/>
    <col collapsed="false" customWidth="true" hidden="false" outlineLevel="0" max="105" min="105" style="230" width="8.67"/>
    <col collapsed="false" customWidth="true" hidden="false" outlineLevel="0" max="106" min="106" style="230" width="7.88"/>
    <col collapsed="false" customWidth="true" hidden="false" outlineLevel="0" max="107" min="107" style="230" width="10.89"/>
    <col collapsed="false" customWidth="true" hidden="false" outlineLevel="0" max="108" min="108" style="231" width="7.88"/>
    <col collapsed="false" customWidth="true" hidden="false" outlineLevel="0" max="109" min="109" style="230" width="8.33"/>
    <col collapsed="false" customWidth="true" hidden="false" outlineLevel="0" max="110" min="110" style="233" width="22.44"/>
    <col collapsed="false" customWidth="true" hidden="false" outlineLevel="0" max="112" min="111" style="234" width="8.89"/>
    <col collapsed="false" customWidth="true" hidden="false" outlineLevel="0" max="113" min="113" style="236" width="8.89"/>
    <col collapsed="false" customWidth="true" hidden="false" outlineLevel="0" max="1025" min="114" style="160" width="8.89"/>
  </cols>
  <sheetData>
    <row r="1" s="104" customFormat="true" ht="91.8" hidden="false" customHeight="false" outlineLevel="0" collapsed="false">
      <c r="A1" s="238" t="s">
        <v>200</v>
      </c>
      <c r="B1" s="238" t="s">
        <v>201</v>
      </c>
      <c r="C1" s="239" t="s">
        <v>202</v>
      </c>
      <c r="D1" s="240" t="s">
        <v>203</v>
      </c>
      <c r="E1" s="241" t="s">
        <v>204</v>
      </c>
      <c r="F1" s="242" t="s">
        <v>7</v>
      </c>
      <c r="G1" s="242" t="s">
        <v>8</v>
      </c>
      <c r="H1" s="242" t="s">
        <v>420</v>
      </c>
      <c r="I1" s="239" t="s">
        <v>391</v>
      </c>
      <c r="J1" s="239" t="s">
        <v>421</v>
      </c>
      <c r="K1" s="239" t="s">
        <v>422</v>
      </c>
      <c r="L1" s="239" t="s">
        <v>423</v>
      </c>
      <c r="M1" s="243" t="s">
        <v>424</v>
      </c>
      <c r="N1" s="239" t="s">
        <v>425</v>
      </c>
      <c r="O1" s="239" t="s">
        <v>426</v>
      </c>
      <c r="P1" s="239" t="s">
        <v>9</v>
      </c>
      <c r="Q1" s="239" t="s">
        <v>10</v>
      </c>
      <c r="R1" s="243" t="s">
        <v>427</v>
      </c>
      <c r="S1" s="243" t="s">
        <v>428</v>
      </c>
      <c r="T1" s="244" t="s">
        <v>11</v>
      </c>
      <c r="U1" s="244" t="s">
        <v>429</v>
      </c>
      <c r="V1" s="244" t="s">
        <v>430</v>
      </c>
      <c r="W1" s="245" t="s">
        <v>431</v>
      </c>
      <c r="X1" s="245" t="s">
        <v>432</v>
      </c>
      <c r="Y1" s="246" t="s">
        <v>433</v>
      </c>
      <c r="Z1" s="246" t="s">
        <v>434</v>
      </c>
      <c r="AA1" s="246" t="s">
        <v>435</v>
      </c>
      <c r="AB1" s="104" t="s">
        <v>436</v>
      </c>
      <c r="AC1" s="104" t="s">
        <v>437</v>
      </c>
      <c r="AD1" s="104" t="s">
        <v>438</v>
      </c>
      <c r="AE1" s="104" t="s">
        <v>439</v>
      </c>
      <c r="AF1" s="242" t="s">
        <v>420</v>
      </c>
      <c r="AG1" s="104" t="s">
        <v>440</v>
      </c>
      <c r="AH1" s="238" t="s">
        <v>221</v>
      </c>
      <c r="AI1" s="247" t="s">
        <v>441</v>
      </c>
      <c r="AJ1" s="248" t="s">
        <v>442</v>
      </c>
      <c r="AK1" s="248" t="s">
        <v>443</v>
      </c>
      <c r="AL1" s="249" t="s">
        <v>444</v>
      </c>
      <c r="AM1" s="250" t="s">
        <v>445</v>
      </c>
      <c r="AN1" s="250" t="s">
        <v>446</v>
      </c>
      <c r="AO1" s="239" t="s">
        <v>447</v>
      </c>
      <c r="AP1" s="239" t="s">
        <v>448</v>
      </c>
      <c r="AQ1" s="251" t="s">
        <v>449</v>
      </c>
      <c r="AR1" s="251" t="s">
        <v>450</v>
      </c>
      <c r="AS1" s="251" t="s">
        <v>451</v>
      </c>
      <c r="AT1" s="251" t="s">
        <v>452</v>
      </c>
      <c r="AU1" s="239" t="s">
        <v>12</v>
      </c>
      <c r="AV1" s="239" t="s">
        <v>13</v>
      </c>
      <c r="AW1" s="252" t="s">
        <v>16</v>
      </c>
      <c r="AX1" s="252" t="s">
        <v>17</v>
      </c>
      <c r="AY1" s="104" t="s">
        <v>453</v>
      </c>
      <c r="AZ1" s="104" t="s">
        <v>454</v>
      </c>
      <c r="BA1" s="104" t="s">
        <v>455</v>
      </c>
      <c r="BB1" s="253" t="s">
        <v>14</v>
      </c>
      <c r="BC1" s="254" t="s">
        <v>456</v>
      </c>
      <c r="BD1" s="255" t="s">
        <v>457</v>
      </c>
      <c r="BE1" s="104" t="s">
        <v>458</v>
      </c>
      <c r="BF1" s="256" t="s">
        <v>214</v>
      </c>
      <c r="BG1" s="257" t="s">
        <v>459</v>
      </c>
      <c r="BH1" s="257" t="s">
        <v>460</v>
      </c>
      <c r="BI1" s="258" t="s">
        <v>400</v>
      </c>
      <c r="BJ1" s="259" t="s">
        <v>461</v>
      </c>
      <c r="BK1" s="259" t="s">
        <v>462</v>
      </c>
      <c r="BL1" s="260" t="s">
        <v>463</v>
      </c>
      <c r="BM1" s="260" t="s">
        <v>464</v>
      </c>
      <c r="BN1" s="261" t="s">
        <v>465</v>
      </c>
      <c r="BO1" s="261" t="s">
        <v>466</v>
      </c>
      <c r="BP1" s="262" t="s">
        <v>467</v>
      </c>
      <c r="BQ1" s="260" t="s">
        <v>468</v>
      </c>
      <c r="BR1" s="259" t="s">
        <v>469</v>
      </c>
      <c r="BS1" s="259" t="s">
        <v>470</v>
      </c>
      <c r="BT1" s="258" t="s">
        <v>471</v>
      </c>
      <c r="BU1" s="258" t="s">
        <v>472</v>
      </c>
      <c r="BV1" s="263" t="s">
        <v>473</v>
      </c>
      <c r="BW1" s="263" t="s">
        <v>474</v>
      </c>
      <c r="BX1" s="239" t="s">
        <v>475</v>
      </c>
      <c r="BY1" s="258" t="s">
        <v>233</v>
      </c>
      <c r="BZ1" s="126" t="s">
        <v>476</v>
      </c>
      <c r="CA1" s="264" t="s">
        <v>477</v>
      </c>
      <c r="CB1" s="264" t="s">
        <v>478</v>
      </c>
      <c r="CC1" s="126" t="s">
        <v>479</v>
      </c>
      <c r="CD1" s="104" t="s">
        <v>480</v>
      </c>
      <c r="CE1" s="104" t="s">
        <v>481</v>
      </c>
      <c r="CF1" s="104" t="s">
        <v>482</v>
      </c>
      <c r="CG1" s="263" t="s">
        <v>483</v>
      </c>
      <c r="CH1" s="263" t="s">
        <v>484</v>
      </c>
      <c r="CI1" s="265" t="s">
        <v>485</v>
      </c>
      <c r="CJ1" s="265" t="s">
        <v>486</v>
      </c>
      <c r="CK1" s="104" t="s">
        <v>487</v>
      </c>
      <c r="CL1" s="104" t="s">
        <v>488</v>
      </c>
      <c r="CM1" s="104" t="s">
        <v>489</v>
      </c>
      <c r="CN1" s="104" t="s">
        <v>490</v>
      </c>
      <c r="CO1" s="265" t="s">
        <v>491</v>
      </c>
      <c r="CP1" s="266" t="s">
        <v>492</v>
      </c>
      <c r="CQ1" s="266" t="s">
        <v>493</v>
      </c>
      <c r="CR1" s="104" t="s">
        <v>3</v>
      </c>
      <c r="CS1" s="263" t="s">
        <v>494</v>
      </c>
      <c r="CT1" s="239" t="s">
        <v>495</v>
      </c>
      <c r="CU1" s="111" t="s">
        <v>496</v>
      </c>
      <c r="CV1" s="247" t="s">
        <v>441</v>
      </c>
      <c r="CW1" s="248" t="s">
        <v>443</v>
      </c>
      <c r="CX1" s="249" t="s">
        <v>444</v>
      </c>
      <c r="CY1" s="250" t="s">
        <v>445</v>
      </c>
      <c r="CZ1" s="250" t="s">
        <v>226</v>
      </c>
      <c r="DA1" s="251" t="s">
        <v>497</v>
      </c>
      <c r="DB1" s="251" t="s">
        <v>498</v>
      </c>
      <c r="DC1" s="254" t="s">
        <v>225</v>
      </c>
      <c r="DD1" s="255" t="s">
        <v>499</v>
      </c>
      <c r="DE1" s="104" t="s">
        <v>500</v>
      </c>
      <c r="DF1" s="256" t="s">
        <v>214</v>
      </c>
      <c r="DG1" s="257" t="s">
        <v>501</v>
      </c>
      <c r="DH1" s="258" t="s">
        <v>400</v>
      </c>
      <c r="DI1" s="259" t="s">
        <v>502</v>
      </c>
    </row>
    <row r="2" customFormat="false" ht="10.2" hidden="false" customHeight="false" outlineLevel="0" collapsed="false">
      <c r="A2" s="212" t="n">
        <f aca="false">Data!$A2</f>
        <v>1</v>
      </c>
      <c r="B2" s="212" t="str">
        <f aca="false">Data!$B2</f>
        <v>B316A-EA03-OPT-BAFF-01</v>
      </c>
      <c r="C2" s="212" t="str">
        <f aca="false">Data!$C2</f>
        <v>M4 Baffles VERITAS</v>
      </c>
      <c r="D2" s="267" t="str">
        <f aca="false">Data!D2</f>
        <v>VT</v>
      </c>
      <c r="E2" s="224" t="str">
        <f aca="false">Data!$E2</f>
        <v>a_m4_baff_vt</v>
      </c>
      <c r="F2" s="225" t="str">
        <f aca="false">Data!$G2</f>
        <v>Y</v>
      </c>
      <c r="G2" s="268" t="str">
        <f aca="false">Data!$H2</f>
        <v>N</v>
      </c>
      <c r="H2" s="225" t="str">
        <f aca="false">Data!$AM2</f>
        <v>-</v>
      </c>
      <c r="I2" s="222" t="str">
        <f aca="true">INDEX(OFFSET(MOTION1!$A$1,0,0,SystemInfo!$B$1,1),MATCH(CONCATENATE(B2,D2),OFFSET(MOTION1!$J$1,0,0,SystemInfo!$B$1,1),0))</f>
        <v>W032648</v>
      </c>
      <c r="J2" s="222" t="str">
        <f aca="true">INDEX(OFFSET(MOTION3!$A$1,0,0,SystemInfo!$B$1,1),MATCH(CONCATENATE(B2,D2),OFFSET(MOTION3!$J$1,0,0,SystemInfo!$B$1,1),0))</f>
        <v>W032649</v>
      </c>
      <c r="L2" s="222" t="str">
        <f aca="true">INDEX(OFFSET(DISABLE!$A$1,0,0,SystemInfo!$B$1,1),MATCH(CONCATENATE(B2,D2),OFFSET(DISABLE!$J$1,0,0,SystemInfo!$B$1,1),0))</f>
        <v>-</v>
      </c>
      <c r="N2" s="222" t="str">
        <f aca="false">Data!$F2</f>
        <v>Nanotec L4118S1404-M6X1</v>
      </c>
      <c r="O2" s="222" t="str">
        <f aca="false">Data!$Y2</f>
        <v>Renishaw Resolute 32 bits BISS-C</v>
      </c>
      <c r="P2" s="107" t="n">
        <f aca="false">Data!$O2</f>
        <v>2.8</v>
      </c>
      <c r="Q2" s="107" t="n">
        <f aca="false">Data!$N2</f>
        <v>2</v>
      </c>
      <c r="R2" s="226" t="n">
        <v>1.6</v>
      </c>
      <c r="S2" s="226" t="n">
        <v>2.3</v>
      </c>
      <c r="T2" s="227" t="n">
        <f aca="false">IF(Q2="","-",IF(S2="","-",S2-Q2))</f>
        <v>0.3</v>
      </c>
      <c r="U2" s="227" t="n">
        <f aca="false">Data!$M2*$S2</f>
        <v>4.6</v>
      </c>
      <c r="V2" s="227" t="n">
        <f aca="false">6.28*$R2*Data!$M2/8</f>
        <v>2.512</v>
      </c>
      <c r="W2" s="269" t="n">
        <v>24</v>
      </c>
      <c r="X2" s="269" t="n">
        <v>12</v>
      </c>
      <c r="Y2" s="269" t="n">
        <v>1.5</v>
      </c>
      <c r="Z2" s="269" t="n">
        <v>50</v>
      </c>
      <c r="AA2" s="269"/>
      <c r="AB2" s="105" t="s">
        <v>248</v>
      </c>
      <c r="AC2" s="105" t="s">
        <v>248</v>
      </c>
      <c r="AD2" s="105" t="s">
        <v>503</v>
      </c>
      <c r="AE2" s="105" t="s">
        <v>248</v>
      </c>
      <c r="AF2" s="225" t="str">
        <f aca="false">Data!$AM2</f>
        <v>-</v>
      </c>
      <c r="AG2" s="160" t="s">
        <v>504</v>
      </c>
      <c r="AH2" s="222" t="str">
        <f aca="false">Data!$Z2</f>
        <v>absolute</v>
      </c>
      <c r="AI2" s="222" t="n">
        <f aca="false">FATPOSITIONS!$H2</f>
        <v>1141382500</v>
      </c>
      <c r="AJ2" s="270" t="n">
        <v>0</v>
      </c>
      <c r="AK2" s="270"/>
      <c r="AL2" s="158" t="s">
        <v>504</v>
      </c>
      <c r="AM2" s="229" t="n">
        <f aca="false">Data!$R2</f>
        <v>200</v>
      </c>
      <c r="AN2" s="229" t="n">
        <f aca="false">Data!$W2</f>
        <v>1000000</v>
      </c>
      <c r="AO2" s="108" t="n">
        <f aca="false">Data!$P2</f>
        <v>200</v>
      </c>
      <c r="AP2" s="108" t="n">
        <f aca="false">Data!$L2</f>
        <v>2</v>
      </c>
      <c r="AQ2" s="230" t="n">
        <v>-7686</v>
      </c>
      <c r="AR2" s="230" t="n">
        <v>1137151156</v>
      </c>
      <c r="AS2" s="230" t="n">
        <v>76</v>
      </c>
      <c r="AT2" s="230" t="n">
        <v>1156521622</v>
      </c>
      <c r="AU2" s="108" t="n">
        <f aca="false">FATPOSITIONS!$I2</f>
        <v>1137397500</v>
      </c>
      <c r="AV2" s="108" t="n">
        <f aca="false">FATPOSITIONS!$J2</f>
        <v>1156335550</v>
      </c>
      <c r="AW2" s="231" t="n">
        <f aca="false">AR2+AJ2</f>
        <v>1137151156</v>
      </c>
      <c r="AX2" s="231" t="n">
        <f aca="false">AT2+AJ2</f>
        <v>1156521622</v>
      </c>
      <c r="AY2" s="160"/>
      <c r="AZ2" s="271" t="n">
        <v>400</v>
      </c>
      <c r="BA2" s="271" t="n">
        <v>0.15</v>
      </c>
      <c r="BB2" s="232" t="n">
        <f aca="false">(AS2-AQ2)/AZ2</f>
        <v>19.405</v>
      </c>
      <c r="BC2" s="108" t="n">
        <f aca="false">IF(AM2=0,"",(AN2/AM2)*AO2)</f>
        <v>1000000</v>
      </c>
      <c r="BD2" s="231" t="n">
        <f aca="false">IF(AR2="","",(AT2-AR2)*AO2*AP2/(AS2-AQ2))</f>
        <v>998220.355578459</v>
      </c>
      <c r="BE2" s="271" t="n">
        <v>1000000</v>
      </c>
      <c r="BF2" s="233" t="str">
        <f aca="false">Data!$S2</f>
        <v>30mm</v>
      </c>
      <c r="BG2" s="236" t="n">
        <f aca="false">IF(AQ2="","",(AS2-AQ2)/(AM2*AP2))</f>
        <v>19.405</v>
      </c>
      <c r="BH2" s="236" t="n">
        <f aca="false">IF(AR2="","",(AT2-AR2)/AN2)</f>
        <v>19.370466</v>
      </c>
      <c r="BI2" s="221" t="str">
        <f aca="false">Data!$J2</f>
        <v>mm</v>
      </c>
      <c r="BJ2" s="236" t="n">
        <f aca="false">AM2*AP2</f>
        <v>400</v>
      </c>
      <c r="BK2" s="236" t="n">
        <f aca="false">IFERROR(($AO2*$AP2)/($BE2/$AN2),0)</f>
        <v>400</v>
      </c>
      <c r="BL2" s="109" t="n">
        <v>400</v>
      </c>
      <c r="BM2" s="272" t="n">
        <v>1</v>
      </c>
      <c r="BN2" s="208" t="s">
        <v>505</v>
      </c>
      <c r="BO2" s="208" t="s">
        <v>506</v>
      </c>
      <c r="BP2" s="273" t="s">
        <v>507</v>
      </c>
      <c r="BQ2" s="272" t="n">
        <v>-1137.23</v>
      </c>
      <c r="BR2" s="236" t="n">
        <f aca="false">IF(BP2="FALSE",($BM2*($AQ2/$BL2)+$BQ2),($BM2*($AR2/$AN2)+$BQ2))</f>
        <v>-0.0788440000001174</v>
      </c>
      <c r="BS2" s="236" t="n">
        <f aca="false">IF(BP2="FALSE",($BM2*($AS2/$BL2)+$BQ2),($BM2*($AT2/$AN2)+$BQ2))</f>
        <v>19.291622</v>
      </c>
      <c r="BT2" s="107" t="n">
        <f aca="false">FATPOSITIONS!$L2</f>
        <v>-3.99</v>
      </c>
      <c r="BU2" s="107" t="n">
        <f aca="false">FATPOSITIONS!$M2</f>
        <v>14.95</v>
      </c>
      <c r="BV2" s="236" t="str">
        <f aca="false">IFERROR($BM2*FATPOSITIONS!$N2+$BR2,"")</f>
        <v/>
      </c>
      <c r="BW2" s="236" t="str">
        <f aca="false">IFERROR(-$BM2*FATPOSITIONS!$O2+$BS2,"")</f>
        <v/>
      </c>
      <c r="BX2" s="221" t="str">
        <f aca="false">Data!$AK2</f>
        <v>-</v>
      </c>
      <c r="BY2" s="221" t="str">
        <f aca="false">Data!$AL2</f>
        <v>-</v>
      </c>
      <c r="BZ2" s="113" t="s">
        <v>253</v>
      </c>
      <c r="CC2" s="113" t="s">
        <v>253</v>
      </c>
      <c r="CD2" s="160" t="s">
        <v>508</v>
      </c>
      <c r="CE2" s="271" t="n">
        <v>0.1</v>
      </c>
      <c r="CF2" s="271" t="n">
        <v>40</v>
      </c>
      <c r="CG2" s="232" t="n">
        <f aca="false">$AY2/$AN2</f>
        <v>0</v>
      </c>
      <c r="CH2" s="234" t="n">
        <f aca="false">$CF2/($AP2*$AM2)</f>
        <v>0.1</v>
      </c>
      <c r="CI2" s="221" t="n">
        <f aca="false">Data!AO2</f>
        <v>0</v>
      </c>
      <c r="CJ2" s="221" t="n">
        <f aca="false">Data!AP2</f>
        <v>0</v>
      </c>
      <c r="CK2" s="271" t="n">
        <v>0</v>
      </c>
      <c r="CL2" s="271" t="n">
        <v>0</v>
      </c>
      <c r="CM2" s="271" t="n">
        <v>0.1</v>
      </c>
      <c r="CN2" s="271" t="n">
        <v>50</v>
      </c>
      <c r="CO2" s="233" t="n">
        <f aca="false">Data!$AQ2</f>
        <v>0</v>
      </c>
      <c r="CP2" s="271"/>
      <c r="CQ2" s="271"/>
      <c r="CR2" s="160" t="s">
        <v>509</v>
      </c>
      <c r="CS2" s="232" t="str">
        <f aca="false">"Step_per_unit:"&amp;$BL2&amp;";"&amp;"Offset:"&amp;$BQ2&amp;";"&amp;"Sign:"&amp;$BM2&amp;";"&amp;"EncoderSource:"&amp;$BN2&amp;";"&amp;"EncoderSourceFormula:"&amp;$BO2&amp;";"&amp;"UseEncoderSource:"&amp;$BP2</f>
        <v>Step_per_unit:400;Offset:-1137.23;Sign:1;EncoderSource:attr://EncAbsEnc;EncoderSourceFormula:VALUE/1000000;UseEncoderSource:TRUE</v>
      </c>
      <c r="CT2" s="222" t="n">
        <f aca="false">Data!$AG2</f>
        <v>0</v>
      </c>
      <c r="CU2" s="274"/>
      <c r="CV2" s="222" t="n">
        <f aca="false">FATPOSITIONS!$H2</f>
        <v>1141382500</v>
      </c>
      <c r="CW2" s="270" t="n">
        <v>0</v>
      </c>
      <c r="CY2" s="229" t="n">
        <f aca="false">Data!$AB2</f>
        <v>0</v>
      </c>
      <c r="CZ2" s="229" t="n">
        <f aca="false">Data!$AE2</f>
        <v>0</v>
      </c>
      <c r="DC2" s="108" t="e">
        <f aca="false">IF(K2="-","-",(CZ2/CY2)*AO2)</f>
        <v>#DIV/0!</v>
      </c>
      <c r="DD2" s="231" t="str">
        <f aca="false">IF(K2="-","-",IF(DA2="","",(DB2-DA2)*AO2*AP2/(AS2-AQ2)))</f>
        <v/>
      </c>
      <c r="DE2" s="160"/>
      <c r="DF2" s="233" t="str">
        <f aca="false">Data!$S2</f>
        <v>30mm</v>
      </c>
      <c r="DG2" s="234" t="str">
        <f aca="false">IF(K2="-","-",IF(DA2="","",(DB2-DA2)/CZ2))</f>
        <v/>
      </c>
      <c r="DH2" s="221" t="str">
        <f aca="false">Data!J2</f>
        <v>mm</v>
      </c>
      <c r="DI2" s="236" t="n">
        <f aca="false">IFERROR(($AO2*$AP2)/($DE2/$CZ2),0)</f>
        <v>0</v>
      </c>
    </row>
    <row r="3" customFormat="false" ht="10.2" hidden="false" customHeight="false" outlineLevel="0" collapsed="false">
      <c r="A3" s="212" t="n">
        <f aca="false">Data!$A3</f>
        <v>2</v>
      </c>
      <c r="B3" s="212" t="str">
        <f aca="false">Data!$B3</f>
        <v>B316A-EA03-OPT-BAFF-01</v>
      </c>
      <c r="C3" s="212" t="str">
        <f aca="false">Data!$C3</f>
        <v>M4 Baffles VERITAS</v>
      </c>
      <c r="D3" s="267" t="str">
        <f aca="false">Data!D3</f>
        <v>VB</v>
      </c>
      <c r="E3" s="224" t="str">
        <f aca="false">Data!$E3</f>
        <v>a_m4_baff_vb</v>
      </c>
      <c r="F3" s="225" t="str">
        <f aca="false">Data!$G3</f>
        <v>Y</v>
      </c>
      <c r="G3" s="225" t="str">
        <f aca="false">Data!$H3</f>
        <v>N</v>
      </c>
      <c r="H3" s="225" t="str">
        <f aca="false">Data!$AM3</f>
        <v>-</v>
      </c>
      <c r="I3" s="222" t="str">
        <f aca="true">INDEX(OFFSET(MOTION1!$A$1,0,0,SystemInfo!$B$1,1),MATCH(CONCATENATE(B3,D3),OFFSET(MOTION1!$J$1,0,0,SystemInfo!$B$1,1),0))</f>
        <v>W032650</v>
      </c>
      <c r="J3" s="222" t="str">
        <f aca="true">INDEX(OFFSET(MOTION3!$A$1,0,0,SystemInfo!$B$1,1),MATCH(CONCATENATE(B3,D3),OFFSET(MOTION3!$J$1,0,0,SystemInfo!$B$1,1),0))</f>
        <v>W032651</v>
      </c>
      <c r="L3" s="222" t="str">
        <f aca="true">INDEX(OFFSET(DISABLE!$A$1,0,0,SystemInfo!$B$1,1),MATCH(CONCATENATE(B3,D3),OFFSET(DISABLE!$J$1,0,0,SystemInfo!$B$1,1),0))</f>
        <v>-</v>
      </c>
      <c r="N3" s="222" t="str">
        <f aca="false">Data!$F3</f>
        <v>Nanotec L4118S1404-M6X1</v>
      </c>
      <c r="O3" s="222" t="str">
        <f aca="false">Data!$Y3</f>
        <v>Renishaw Resolute 32 bits BISS-C</v>
      </c>
      <c r="P3" s="222" t="n">
        <f aca="false">Data!$O3</f>
        <v>2.8</v>
      </c>
      <c r="Q3" s="222" t="n">
        <f aca="false">Data!$N3</f>
        <v>2</v>
      </c>
      <c r="R3" s="226" t="n">
        <v>1.6</v>
      </c>
      <c r="S3" s="226" t="n">
        <v>2.4</v>
      </c>
      <c r="T3" s="227" t="n">
        <f aca="false">IF(Q3="","-",IF(S3="","-",S3-Q3))</f>
        <v>0.4</v>
      </c>
      <c r="U3" s="227" t="n">
        <f aca="false">Data!$M3*$S3</f>
        <v>4.8</v>
      </c>
      <c r="V3" s="227" t="n">
        <f aca="false">6.28*$R3*Data!$M3/8</f>
        <v>2.512</v>
      </c>
      <c r="W3" s="269" t="n">
        <v>24</v>
      </c>
      <c r="X3" s="269" t="n">
        <v>12</v>
      </c>
      <c r="Y3" s="269" t="n">
        <v>1.5</v>
      </c>
      <c r="Z3" s="269" t="n">
        <v>50</v>
      </c>
      <c r="AA3" s="269"/>
      <c r="AB3" s="105" t="s">
        <v>248</v>
      </c>
      <c r="AC3" s="105" t="s">
        <v>248</v>
      </c>
      <c r="AD3" s="105" t="s">
        <v>503</v>
      </c>
      <c r="AE3" s="105" t="s">
        <v>248</v>
      </c>
      <c r="AF3" s="225" t="str">
        <f aca="false">Data!$AM3</f>
        <v>-</v>
      </c>
      <c r="AG3" s="160" t="s">
        <v>504</v>
      </c>
      <c r="AH3" s="222" t="str">
        <f aca="false">Data!$Z3</f>
        <v>absolute</v>
      </c>
      <c r="AI3" s="222" t="n">
        <f aca="false">FATPOSITIONS!$H3</f>
        <v>285271100</v>
      </c>
      <c r="AJ3" s="270" t="n">
        <v>0</v>
      </c>
      <c r="AK3" s="270"/>
      <c r="AL3" s="158" t="s">
        <v>504</v>
      </c>
      <c r="AM3" s="229" t="n">
        <f aca="false">Data!$R3</f>
        <v>200</v>
      </c>
      <c r="AN3" s="229" t="n">
        <f aca="false">Data!$W3</f>
        <v>1000000</v>
      </c>
      <c r="AO3" s="222" t="n">
        <f aca="false">Data!$P3</f>
        <v>200</v>
      </c>
      <c r="AP3" s="222" t="n">
        <f aca="false">Data!$L3</f>
        <v>2</v>
      </c>
      <c r="AQ3" s="230" t="n">
        <v>-86</v>
      </c>
      <c r="AR3" s="230" t="n">
        <v>269809070</v>
      </c>
      <c r="AS3" s="230" t="n">
        <v>7815</v>
      </c>
      <c r="AT3" s="230" t="n">
        <v>289522512</v>
      </c>
      <c r="AU3" s="108" t="n">
        <f aca="false">FATPOSITIONS!$I3</f>
        <v>270296000</v>
      </c>
      <c r="AV3" s="108" t="n">
        <f aca="false">FATPOSITIONS!$J3</f>
        <v>289271100</v>
      </c>
      <c r="AW3" s="231" t="n">
        <f aca="false">AR3+AJ3</f>
        <v>269809070</v>
      </c>
      <c r="AX3" s="231" t="n">
        <f aca="false">AT3+AJ3</f>
        <v>289522512</v>
      </c>
      <c r="AY3" s="160"/>
      <c r="AZ3" s="271" t="n">
        <v>400</v>
      </c>
      <c r="BA3" s="271" t="n">
        <v>0.15</v>
      </c>
      <c r="BB3" s="232" t="n">
        <f aca="false">(AS3-AQ3)/AZ3</f>
        <v>19.7525</v>
      </c>
      <c r="BC3" s="108" t="n">
        <f aca="false">IF(AM3=0,"",(AN3/AM3)*AO3)</f>
        <v>1000000</v>
      </c>
      <c r="BD3" s="231" t="n">
        <f aca="false">IF(AR3="","",(AT3-AR3)*AO3*AP3/(AS3-AQ3))</f>
        <v>998022.630046829</v>
      </c>
      <c r="BE3" s="271" t="n">
        <v>1000000</v>
      </c>
      <c r="BF3" s="233" t="str">
        <f aca="false">Data!$S3</f>
        <v>30mm</v>
      </c>
      <c r="BG3" s="236" t="n">
        <f aca="false">IF(AQ3="","",(AS3-AQ3)/(AM3*AP3))</f>
        <v>19.7525</v>
      </c>
      <c r="BH3" s="236" t="n">
        <f aca="false">IF(AR3="","",(AT3-AR3)/AN3)</f>
        <v>19.713442</v>
      </c>
      <c r="BI3" s="235" t="str">
        <f aca="false">Data!$J3</f>
        <v>mm</v>
      </c>
      <c r="BJ3" s="236" t="n">
        <f aca="false">AM3*AP3</f>
        <v>400</v>
      </c>
      <c r="BK3" s="236" t="n">
        <f aca="false">IFERROR(($AO3*$AP3)/($BE3/$AN3),0)</f>
        <v>400</v>
      </c>
      <c r="BL3" s="109" t="n">
        <v>400</v>
      </c>
      <c r="BM3" s="272" t="n">
        <v>-1</v>
      </c>
      <c r="BN3" s="208" t="s">
        <v>505</v>
      </c>
      <c r="BO3" s="208" t="s">
        <v>506</v>
      </c>
      <c r="BP3" s="273" t="s">
        <v>507</v>
      </c>
      <c r="BQ3" s="272" t="n">
        <v>289.59</v>
      </c>
      <c r="BR3" s="236" t="n">
        <f aca="false">IF(BP3="FALSE",($BM3*($AQ3/$BL3)+$BQ3),($BM3*($AR3/$AN3)+$BQ3))</f>
        <v>19.78093</v>
      </c>
      <c r="BS3" s="236" t="n">
        <f aca="false">IF(BP3="FALSE",($BM3*($AS3/$BL3)+$BQ3),($BM3*($AT3/$AN3)+$BQ3))</f>
        <v>0.0674879999999689</v>
      </c>
      <c r="BT3" s="107" t="n">
        <f aca="false">FATPOSITIONS!$L3</f>
        <v>-14.98</v>
      </c>
      <c r="BU3" s="107" t="n">
        <f aca="false">FATPOSITIONS!$M3</f>
        <v>4</v>
      </c>
      <c r="BV3" s="236" t="str">
        <f aca="false">IFERROR($BM3*FATPOSITIONS!$N3+$BR3,"")</f>
        <v/>
      </c>
      <c r="BW3" s="236" t="str">
        <f aca="false">IFERROR(-$BM3*FATPOSITIONS!$O3+$BS3,"")</f>
        <v/>
      </c>
      <c r="BX3" s="221" t="str">
        <f aca="false">Data!$AK3</f>
        <v>-</v>
      </c>
      <c r="BY3" s="221" t="str">
        <f aca="false">Data!$AL3</f>
        <v>-</v>
      </c>
      <c r="BZ3" s="113" t="s">
        <v>253</v>
      </c>
      <c r="CC3" s="113" t="s">
        <v>253</v>
      </c>
      <c r="CD3" s="160" t="s">
        <v>508</v>
      </c>
      <c r="CE3" s="271" t="n">
        <v>0.1</v>
      </c>
      <c r="CF3" s="271" t="n">
        <v>40</v>
      </c>
      <c r="CG3" s="234" t="n">
        <f aca="false">$AY3/$AN3</f>
        <v>0</v>
      </c>
      <c r="CH3" s="234" t="n">
        <f aca="false">$CF3/($AP3*$AM3)</f>
        <v>0.1</v>
      </c>
      <c r="CI3" s="221" t="n">
        <f aca="false">Data!AO3</f>
        <v>0</v>
      </c>
      <c r="CJ3" s="221" t="n">
        <f aca="false">Data!AP3</f>
        <v>0</v>
      </c>
      <c r="CK3" s="271" t="n">
        <v>0</v>
      </c>
      <c r="CL3" s="271" t="n">
        <v>0</v>
      </c>
      <c r="CM3" s="271" t="n">
        <v>0.1</v>
      </c>
      <c r="CN3" s="271" t="n">
        <v>50</v>
      </c>
      <c r="CO3" s="233" t="n">
        <f aca="false">Data!$AQ3</f>
        <v>0</v>
      </c>
      <c r="CP3" s="271"/>
      <c r="CQ3" s="271"/>
      <c r="CR3" s="160" t="s">
        <v>510</v>
      </c>
      <c r="CS3" s="232" t="str">
        <f aca="false">"Step_per_unit:"&amp;$BL3&amp;";"&amp;"Offset:"&amp;$BQ3&amp;";"&amp;"Sign:"&amp;$BM3&amp;";"&amp;"EncoderSource:"&amp;$BN3&amp;";"&amp;"EncoderSourceFormula:"&amp;$BO3&amp;";"&amp;"UseEncoderSource:"&amp;$BP3</f>
        <v>Step_per_unit:400;Offset:289,59;Sign:-1;EncoderSource:attr://EncAbsEnc;EncoderSourceFormula:VALUE/1000000;UseEncoderSource:TRUE</v>
      </c>
      <c r="CT3" s="222" t="n">
        <f aca="false">Data!$AG3</f>
        <v>0</v>
      </c>
      <c r="CU3" s="156"/>
      <c r="CV3" s="222" t="n">
        <f aca="false">FATPOSITIONS!$H3</f>
        <v>285271100</v>
      </c>
      <c r="CW3" s="270" t="n">
        <v>0</v>
      </c>
      <c r="CY3" s="229" t="n">
        <f aca="false">Data!$AB3</f>
        <v>0</v>
      </c>
      <c r="CZ3" s="229" t="n">
        <f aca="false">Data!$AE3</f>
        <v>0</v>
      </c>
      <c r="DC3" s="108" t="e">
        <f aca="false">IF(K3="-","-",(CZ3/CY3)*AO3)</f>
        <v>#DIV/0!</v>
      </c>
      <c r="DD3" s="231" t="str">
        <f aca="false">IF(K3="-","-",IF(DA3="","",(DB3-DA3)*AO3*AP3/(AS3-AQ3)))</f>
        <v/>
      </c>
      <c r="DE3" s="160"/>
      <c r="DF3" s="233" t="str">
        <f aca="false">Data!$S3</f>
        <v>30mm</v>
      </c>
      <c r="DG3" s="234" t="str">
        <f aca="false">IF(K3="-","-",IF(DA3="","",(DB3-DA3)/CZ3))</f>
        <v/>
      </c>
      <c r="DH3" s="221" t="str">
        <f aca="false">Data!J3</f>
        <v>mm</v>
      </c>
      <c r="DI3" s="236" t="n">
        <f aca="false">IFERROR(($AO3*$AP3)/($DE3/$CZ3),0)</f>
        <v>0</v>
      </c>
    </row>
    <row r="4" customFormat="false" ht="10.2" hidden="false" customHeight="false" outlineLevel="0" collapsed="false">
      <c r="A4" s="212" t="n">
        <f aca="false">Data!$A4</f>
        <v>3</v>
      </c>
      <c r="B4" s="212" t="str">
        <f aca="false">Data!$B4</f>
        <v>B316A-EA03-OPT-BAFF-01</v>
      </c>
      <c r="C4" s="212" t="str">
        <f aca="false">Data!$C4</f>
        <v>M4 Baffles VERITAS</v>
      </c>
      <c r="D4" s="267" t="str">
        <f aca="false">Data!D4</f>
        <v>HL</v>
      </c>
      <c r="E4" s="224" t="str">
        <f aca="false">Data!$E4</f>
        <v>a_m4_baff_hl</v>
      </c>
      <c r="F4" s="225" t="str">
        <f aca="false">Data!$G4</f>
        <v>Y</v>
      </c>
      <c r="G4" s="225" t="str">
        <f aca="false">Data!$H4</f>
        <v>N</v>
      </c>
      <c r="H4" s="225" t="str">
        <f aca="false">Data!$AM4</f>
        <v>-</v>
      </c>
      <c r="I4" s="222" t="str">
        <f aca="true">INDEX(OFFSET(MOTION1!$A$1,0,0,SystemInfo!$B$1,1),MATCH(CONCATENATE(B4,D4),OFFSET(MOTION1!$J$1,0,0,SystemInfo!$B$1,1),0))</f>
        <v>W032652</v>
      </c>
      <c r="J4" s="222" t="str">
        <f aca="true">INDEX(OFFSET(MOTION3!$A$1,0,0,SystemInfo!$B$1,1),MATCH(CONCATENATE(B4,D4),OFFSET(MOTION3!$J$1,0,0,SystemInfo!$B$1,1),0))</f>
        <v>W032653</v>
      </c>
      <c r="L4" s="222" t="str">
        <f aca="true">INDEX(OFFSET(DISABLE!$A$1,0,0,SystemInfo!$B$1,1),MATCH(CONCATENATE(B4,D4),OFFSET(DISABLE!$J$1,0,0,SystemInfo!$B$1,1),0))</f>
        <v>-</v>
      </c>
      <c r="N4" s="222" t="str">
        <f aca="false">Data!$F4</f>
        <v>Nanotec L4118S1404-M6X1</v>
      </c>
      <c r="O4" s="222" t="str">
        <f aca="false">Data!$Y4</f>
        <v>Renishaw Resolute 32 bits BISS-C</v>
      </c>
      <c r="P4" s="222" t="n">
        <f aca="false">Data!$O4</f>
        <v>2.8</v>
      </c>
      <c r="Q4" s="222" t="n">
        <f aca="false">Data!$N4</f>
        <v>2</v>
      </c>
      <c r="R4" s="226" t="n">
        <v>1.6</v>
      </c>
      <c r="S4" s="226" t="n">
        <v>2.4</v>
      </c>
      <c r="T4" s="227" t="n">
        <f aca="false">IF(Q4="","-",IF(S4="","-",S4-Q4))</f>
        <v>0.4</v>
      </c>
      <c r="U4" s="227" t="n">
        <f aca="false">Data!$M4*$S4</f>
        <v>4.8</v>
      </c>
      <c r="V4" s="227" t="n">
        <f aca="false">6.28*$R4*Data!$M4/8</f>
        <v>2.512</v>
      </c>
      <c r="W4" s="269" t="n">
        <v>24</v>
      </c>
      <c r="X4" s="269" t="n">
        <v>12</v>
      </c>
      <c r="Y4" s="269" t="n">
        <v>1.5</v>
      </c>
      <c r="Z4" s="269" t="n">
        <v>50</v>
      </c>
      <c r="AA4" s="269"/>
      <c r="AB4" s="105" t="s">
        <v>248</v>
      </c>
      <c r="AC4" s="105" t="s">
        <v>248</v>
      </c>
      <c r="AD4" s="105" t="s">
        <v>503</v>
      </c>
      <c r="AE4" s="105" t="s">
        <v>248</v>
      </c>
      <c r="AF4" s="225" t="str">
        <f aca="false">Data!$AM4</f>
        <v>-</v>
      </c>
      <c r="AG4" s="160" t="s">
        <v>504</v>
      </c>
      <c r="AH4" s="222" t="str">
        <f aca="false">Data!$Z4</f>
        <v>absolute</v>
      </c>
      <c r="AI4" s="222" t="n">
        <f aca="false">FATPOSITIONS!$H4</f>
        <v>1493769300</v>
      </c>
      <c r="AJ4" s="270" t="n">
        <v>0</v>
      </c>
      <c r="AK4" s="270"/>
      <c r="AL4" s="158" t="s">
        <v>504</v>
      </c>
      <c r="AM4" s="229" t="n">
        <f aca="false">Data!$R4</f>
        <v>200</v>
      </c>
      <c r="AN4" s="229" t="n">
        <f aca="false">Data!$W4</f>
        <v>1000000</v>
      </c>
      <c r="AO4" s="222" t="n">
        <f aca="false">Data!$P4</f>
        <v>200</v>
      </c>
      <c r="AP4" s="222" t="n">
        <f aca="false">Data!$L4</f>
        <v>2</v>
      </c>
      <c r="AQ4" s="230" t="n">
        <f aca="false">112007-117441</f>
        <v>-5434</v>
      </c>
      <c r="AR4" s="230" t="n">
        <v>1488648723</v>
      </c>
      <c r="AS4" s="230" t="n">
        <f aca="false">119305-117441</f>
        <v>1864</v>
      </c>
      <c r="AT4" s="230" t="n">
        <v>1503859033</v>
      </c>
      <c r="AU4" s="108" t="n">
        <f aca="false">FATPOSITIONS!$I4</f>
        <v>1488770800</v>
      </c>
      <c r="AV4" s="108" t="n">
        <f aca="false">FATPOSITIONS!$J4</f>
        <v>1503773200</v>
      </c>
      <c r="AW4" s="231" t="n">
        <f aca="false">AR4+AJ4</f>
        <v>1488648723</v>
      </c>
      <c r="AX4" s="231" t="n">
        <f aca="false">AT4+AJ4</f>
        <v>1503859033</v>
      </c>
      <c r="AY4" s="160"/>
      <c r="AZ4" s="271" t="n">
        <v>400</v>
      </c>
      <c r="BA4" s="271" t="n">
        <v>0.15</v>
      </c>
      <c r="BB4" s="232" t="n">
        <f aca="false">(AS4-AQ4)/AZ4</f>
        <v>18.245</v>
      </c>
      <c r="BC4" s="108" t="n">
        <f aca="false">IF(AM4=0,"",(AN4/AM4)*AO4)</f>
        <v>1000000</v>
      </c>
      <c r="BD4" s="231" t="n">
        <f aca="false">IF(AR4="","",(AT4-AR4)*AO4*AP4/(AS4-AQ4))</f>
        <v>833670.046588106</v>
      </c>
      <c r="BE4" s="271" t="n">
        <v>1000000</v>
      </c>
      <c r="BF4" s="233" t="str">
        <f aca="false">Data!$S4</f>
        <v>20mm</v>
      </c>
      <c r="BG4" s="236" t="n">
        <f aca="false">IF(AQ4="","",(AS4-AQ4)/(AM4*AP4))</f>
        <v>18.245</v>
      </c>
      <c r="BH4" s="236" t="n">
        <f aca="false">IF(AR4="","",(AT4-AR4)/AN4)</f>
        <v>15.21031</v>
      </c>
      <c r="BI4" s="235" t="str">
        <f aca="false">Data!$J4</f>
        <v>mm</v>
      </c>
      <c r="BJ4" s="236" t="n">
        <f aca="false">AM4*AP4</f>
        <v>400</v>
      </c>
      <c r="BK4" s="236" t="n">
        <f aca="false">IFERROR(($AO4*$AP4)/($BE4/$AN4),0)</f>
        <v>400</v>
      </c>
      <c r="BL4" s="109" t="n">
        <v>400</v>
      </c>
      <c r="BM4" s="272" t="n">
        <v>1</v>
      </c>
      <c r="BN4" s="208" t="s">
        <v>505</v>
      </c>
      <c r="BO4" s="208" t="s">
        <v>506</v>
      </c>
      <c r="BP4" s="273" t="s">
        <v>507</v>
      </c>
      <c r="BQ4" s="272" t="n">
        <v>-1488.73</v>
      </c>
      <c r="BR4" s="236" t="n">
        <f aca="false">IF(BP4="FALSE",($BM4*($AQ4/$BL4)+$BQ4),($BM4*($AR4/$AN4)+$BQ4))</f>
        <v>-0.081277</v>
      </c>
      <c r="BS4" s="236" t="n">
        <f aca="false">IF(BP4="FALSE",($BM4*($AS4/$BL4)+$BQ4),($BM4*($AT4/$AN4)+$BQ4))</f>
        <v>15.1290329999999</v>
      </c>
      <c r="BT4" s="107" t="n">
        <f aca="false">FATPOSITIONS!$L4</f>
        <v>-5</v>
      </c>
      <c r="BU4" s="107" t="n">
        <f aca="false">FATPOSITIONS!$M4</f>
        <v>10</v>
      </c>
      <c r="BV4" s="236" t="str">
        <f aca="false">IFERROR($BM4*FATPOSITIONS!$N4+$BR4,"")</f>
        <v/>
      </c>
      <c r="BW4" s="236" t="str">
        <f aca="false">IFERROR(-$BM4*FATPOSITIONS!$O4+$BS4,"")</f>
        <v/>
      </c>
      <c r="BX4" s="221" t="str">
        <f aca="false">Data!$AK4</f>
        <v>-</v>
      </c>
      <c r="BY4" s="221" t="str">
        <f aca="false">Data!$AL4</f>
        <v>-</v>
      </c>
      <c r="BZ4" s="113" t="s">
        <v>253</v>
      </c>
      <c r="CC4" s="113" t="s">
        <v>253</v>
      </c>
      <c r="CD4" s="160" t="s">
        <v>508</v>
      </c>
      <c r="CE4" s="271" t="n">
        <v>0.1</v>
      </c>
      <c r="CF4" s="271" t="n">
        <v>40</v>
      </c>
      <c r="CG4" s="234" t="n">
        <f aca="false">$AY4/$AN4</f>
        <v>0</v>
      </c>
      <c r="CH4" s="234" t="n">
        <f aca="false">$CF4/($AP4*$AM4)</f>
        <v>0.1</v>
      </c>
      <c r="CI4" s="221" t="n">
        <f aca="false">Data!AO4</f>
        <v>0</v>
      </c>
      <c r="CJ4" s="221" t="n">
        <f aca="false">Data!AP4</f>
        <v>0</v>
      </c>
      <c r="CK4" s="271" t="n">
        <v>0</v>
      </c>
      <c r="CL4" s="271" t="n">
        <v>0</v>
      </c>
      <c r="CM4" s="271" t="n">
        <v>0.1</v>
      </c>
      <c r="CN4" s="271" t="n">
        <v>50</v>
      </c>
      <c r="CO4" s="233" t="n">
        <f aca="false">Data!$AQ4</f>
        <v>0</v>
      </c>
      <c r="CP4" s="271"/>
      <c r="CQ4" s="271"/>
      <c r="CR4" s="160" t="s">
        <v>511</v>
      </c>
      <c r="CS4" s="232" t="str">
        <f aca="false">"Step_per_unit:"&amp;$BL4&amp;";"&amp;"Offset:"&amp;$BQ4&amp;";"&amp;"Sign:"&amp;$BM4&amp;";"&amp;"EncoderSource:"&amp;$BN4&amp;";"&amp;"EncoderSourceFormula:"&amp;$BO4&amp;";"&amp;"UseEncoderSource:"&amp;$BP4</f>
        <v>Step_per_unit:400;Offset:-1488,73;Sign:1;EncoderSource:attr://EncAbsEnc;EncoderSourceFormula:VALUE/1000000;UseEncoderSource:TRUE</v>
      </c>
      <c r="CT4" s="222" t="n">
        <f aca="false">Data!$AG4</f>
        <v>0</v>
      </c>
      <c r="CU4" s="156"/>
      <c r="CV4" s="222" t="n">
        <f aca="false">FATPOSITIONS!$H4</f>
        <v>1493769300</v>
      </c>
      <c r="CW4" s="270" t="n">
        <v>0</v>
      </c>
      <c r="CY4" s="229" t="n">
        <f aca="false">Data!$AB4</f>
        <v>0</v>
      </c>
      <c r="CZ4" s="229" t="n">
        <f aca="false">Data!$AE4</f>
        <v>0</v>
      </c>
      <c r="DC4" s="108" t="e">
        <f aca="false">IF(K4="-","-",(CZ4/CY4)*AO4)</f>
        <v>#DIV/0!</v>
      </c>
      <c r="DD4" s="231" t="str">
        <f aca="false">IF(K4="-","-",IF(DA4="","",(DB4-DA4)*AO4*AP4/(AS4-AQ4)))</f>
        <v/>
      </c>
      <c r="DE4" s="160"/>
      <c r="DF4" s="233" t="str">
        <f aca="false">Data!$S4</f>
        <v>20mm</v>
      </c>
      <c r="DG4" s="234" t="str">
        <f aca="false">IF(K4="-","-",IF(DA4="","",(DB4-DA4)/CZ4))</f>
        <v/>
      </c>
      <c r="DH4" s="221" t="str">
        <f aca="false">Data!J4</f>
        <v>mm</v>
      </c>
      <c r="DI4" s="236" t="n">
        <f aca="false">IFERROR(($AO4*$AP4)/($DE4/$CZ4),0)</f>
        <v>0</v>
      </c>
    </row>
    <row r="5" customFormat="false" ht="10.2" hidden="false" customHeight="false" outlineLevel="0" collapsed="false">
      <c r="A5" s="212" t="n">
        <f aca="false">Data!$A5</f>
        <v>4</v>
      </c>
      <c r="B5" s="212" t="str">
        <f aca="false">Data!$B5</f>
        <v>B316A-EA03-OPT-BAFF-01</v>
      </c>
      <c r="C5" s="212" t="str">
        <f aca="false">Data!$C5</f>
        <v>M4 Baffles VERITAS</v>
      </c>
      <c r="D5" s="267" t="str">
        <f aca="false">Data!D5</f>
        <v>HR</v>
      </c>
      <c r="E5" s="224" t="str">
        <f aca="false">Data!$E5</f>
        <v>a_m4_baff_hr</v>
      </c>
      <c r="F5" s="225" t="str">
        <f aca="false">Data!$G5</f>
        <v>Y</v>
      </c>
      <c r="G5" s="225" t="str">
        <f aca="false">Data!$H5</f>
        <v>N</v>
      </c>
      <c r="H5" s="225" t="str">
        <f aca="false">Data!$AM5</f>
        <v>-</v>
      </c>
      <c r="I5" s="222" t="str">
        <f aca="true">INDEX(OFFSET(MOTION1!$A$1,0,0,SystemInfo!$B$1,1),MATCH(CONCATENATE(B5,D5),OFFSET(MOTION1!$J$1,0,0,SystemInfo!$B$1,1),0))</f>
        <v>W032654</v>
      </c>
      <c r="J5" s="222" t="str">
        <f aca="true">INDEX(OFFSET(MOTION3!$A$1,0,0,SystemInfo!$B$1,1),MATCH(CONCATENATE(B5,D5),OFFSET(MOTION3!$J$1,0,0,SystemInfo!$B$1,1),0))</f>
        <v>W032655</v>
      </c>
      <c r="L5" s="222" t="str">
        <f aca="true">INDEX(OFFSET(DISABLE!$A$1,0,0,SystemInfo!$B$1,1),MATCH(CONCATENATE(B5,D5),OFFSET(DISABLE!$J$1,0,0,SystemInfo!$B$1,1),0))</f>
        <v>-</v>
      </c>
      <c r="N5" s="222" t="str">
        <f aca="false">Data!$F5</f>
        <v>Nanotec L4118S1404-M6X1</v>
      </c>
      <c r="O5" s="222" t="str">
        <f aca="false">Data!$Y5</f>
        <v>Renishaw Resolute 32 bits BISS-C</v>
      </c>
      <c r="P5" s="222" t="n">
        <f aca="false">Data!$O5</f>
        <v>2.8</v>
      </c>
      <c r="Q5" s="222" t="n">
        <f aca="false">Data!$N5</f>
        <v>2</v>
      </c>
      <c r="R5" s="226" t="n">
        <v>1.6</v>
      </c>
      <c r="S5" s="226" t="n">
        <v>2.4</v>
      </c>
      <c r="T5" s="227" t="n">
        <f aca="false">IF(Q5="","-",IF(S5="","-",S5-Q5))</f>
        <v>0.4</v>
      </c>
      <c r="U5" s="227" t="n">
        <f aca="false">Data!$M5*$S5</f>
        <v>4.8</v>
      </c>
      <c r="V5" s="227" t="n">
        <f aca="false">6.28*$R5*Data!$M5/8</f>
        <v>2.512</v>
      </c>
      <c r="W5" s="269" t="n">
        <v>24</v>
      </c>
      <c r="X5" s="269" t="n">
        <v>12</v>
      </c>
      <c r="Y5" s="269" t="n">
        <v>1.5</v>
      </c>
      <c r="Z5" s="269" t="n">
        <v>50</v>
      </c>
      <c r="AA5" s="269"/>
      <c r="AB5" s="105" t="s">
        <v>248</v>
      </c>
      <c r="AC5" s="105" t="s">
        <v>248</v>
      </c>
      <c r="AD5" s="105" t="s">
        <v>503</v>
      </c>
      <c r="AE5" s="105" t="s">
        <v>248</v>
      </c>
      <c r="AF5" s="225" t="str">
        <f aca="false">Data!$AM5</f>
        <v>-</v>
      </c>
      <c r="AG5" s="160" t="s">
        <v>504</v>
      </c>
      <c r="AH5" s="222" t="str">
        <f aca="false">Data!$Z5</f>
        <v>absolute</v>
      </c>
      <c r="AI5" s="222" t="n">
        <f aca="false">FATPOSITIONS!$H5</f>
        <v>1731444100</v>
      </c>
      <c r="AJ5" s="270" t="n">
        <v>0</v>
      </c>
      <c r="AK5" s="270"/>
      <c r="AL5" s="158" t="s">
        <v>504</v>
      </c>
      <c r="AM5" s="229" t="n">
        <f aca="false">Data!$R5</f>
        <v>200</v>
      </c>
      <c r="AN5" s="229" t="n">
        <f aca="false">Data!$W5</f>
        <v>1000000</v>
      </c>
      <c r="AO5" s="222" t="n">
        <f aca="false">Data!$P5</f>
        <v>200</v>
      </c>
      <c r="AP5" s="222" t="n">
        <f aca="false">Data!$L5</f>
        <v>2</v>
      </c>
      <c r="AQ5" s="230" t="n">
        <f aca="false">228729-232784</f>
        <v>-4055</v>
      </c>
      <c r="AR5" s="230" t="n">
        <v>1726168125</v>
      </c>
      <c r="AS5" s="230" t="n">
        <f aca="false">235057-232784</f>
        <v>2273</v>
      </c>
      <c r="AT5" s="230" t="n">
        <v>1741991012</v>
      </c>
      <c r="AU5" s="108" t="n">
        <f aca="false">FATPOSITIONS!$I5</f>
        <v>1726440100</v>
      </c>
      <c r="AV5" s="108" t="n">
        <f aca="false">FATPOSITIONS!$J5</f>
        <v>1741418400</v>
      </c>
      <c r="AW5" s="231" t="n">
        <f aca="false">AR5+AJ5</f>
        <v>1726168125</v>
      </c>
      <c r="AX5" s="231" t="n">
        <f aca="false">AT5+AJ5</f>
        <v>1741991012</v>
      </c>
      <c r="AY5" s="160"/>
      <c r="AZ5" s="271" t="n">
        <v>400</v>
      </c>
      <c r="BA5" s="271" t="n">
        <v>0.15</v>
      </c>
      <c r="BB5" s="232" t="n">
        <f aca="false">(AS5-AQ5)/AZ5</f>
        <v>15.82</v>
      </c>
      <c r="BC5" s="108" t="n">
        <f aca="false">IF(AM5=0,"",(AN5/AM5)*AO5)</f>
        <v>1000000</v>
      </c>
      <c r="BD5" s="231" t="n">
        <f aca="false">IF(AR5="","",(AT5-AR5)*AO5*AP5/(AS5-AQ5))</f>
        <v>1000182.49051833</v>
      </c>
      <c r="BE5" s="271" t="n">
        <v>1000000</v>
      </c>
      <c r="BF5" s="233" t="str">
        <f aca="false">Data!$S5</f>
        <v>20mm</v>
      </c>
      <c r="BG5" s="236" t="n">
        <f aca="false">IF(AQ5="","",(AS5-AQ5)/(AM5*AP5))</f>
        <v>15.82</v>
      </c>
      <c r="BH5" s="236" t="n">
        <f aca="false">IF(AR5="","",(AT5-AR5)/AN5)</f>
        <v>15.822887</v>
      </c>
      <c r="BI5" s="235" t="str">
        <f aca="false">Data!$J5</f>
        <v>mm</v>
      </c>
      <c r="BJ5" s="236" t="n">
        <f aca="false">AM5*AP5</f>
        <v>400</v>
      </c>
      <c r="BK5" s="236" t="n">
        <f aca="false">IFERROR(($AO5*$AP5)/($BE5/$AN5),0)</f>
        <v>400</v>
      </c>
      <c r="BL5" s="109" t="n">
        <v>400</v>
      </c>
      <c r="BM5" s="272" t="n">
        <v>1</v>
      </c>
      <c r="BN5" s="208" t="s">
        <v>505</v>
      </c>
      <c r="BO5" s="208" t="s">
        <v>506</v>
      </c>
      <c r="BP5" s="273" t="s">
        <v>507</v>
      </c>
      <c r="BQ5" s="272" t="n">
        <v>-1726.09</v>
      </c>
      <c r="BR5" s="236" t="n">
        <f aca="false">IF(BP5="FALSE",($BM5*($AQ5/$BL5)+$BQ5),($BM5*($AR5/$AN5)+$BQ5))</f>
        <v>0.078125</v>
      </c>
      <c r="BS5" s="236" t="n">
        <f aca="false">IF(BP5="FALSE",($BM5*($AS5/$BL5)+$BQ5),($BM5*($AT5/$AN5)+$BQ5))</f>
        <v>15.901012</v>
      </c>
      <c r="BT5" s="107" t="n">
        <f aca="false">FATPOSITIONS!$L5</f>
        <v>-5</v>
      </c>
      <c r="BU5" s="107" t="n">
        <f aca="false">FATPOSITIONS!$M5</f>
        <v>9.97</v>
      </c>
      <c r="BV5" s="236" t="str">
        <f aca="false">IFERROR($BM5*FATPOSITIONS!$N5+$BR5,"")</f>
        <v/>
      </c>
      <c r="BW5" s="236" t="str">
        <f aca="false">IFERROR(-$BM5*FATPOSITIONS!$O5+$BS5,"")</f>
        <v/>
      </c>
      <c r="BX5" s="221" t="str">
        <f aca="false">Data!$AK5</f>
        <v>-</v>
      </c>
      <c r="BY5" s="221" t="str">
        <f aca="false">Data!$AL5</f>
        <v>-</v>
      </c>
      <c r="BZ5" s="113" t="s">
        <v>253</v>
      </c>
      <c r="CC5" s="113" t="s">
        <v>253</v>
      </c>
      <c r="CD5" s="160" t="s">
        <v>508</v>
      </c>
      <c r="CE5" s="271" t="n">
        <v>0.1</v>
      </c>
      <c r="CF5" s="271" t="n">
        <v>40</v>
      </c>
      <c r="CG5" s="234" t="n">
        <f aca="false">$AY5/$AN5</f>
        <v>0</v>
      </c>
      <c r="CH5" s="234" t="n">
        <f aca="false">$CF5/($AP5*$AM5)</f>
        <v>0.1</v>
      </c>
      <c r="CI5" s="221" t="n">
        <f aca="false">Data!AO5</f>
        <v>0</v>
      </c>
      <c r="CJ5" s="221" t="n">
        <f aca="false">Data!AP5</f>
        <v>0</v>
      </c>
      <c r="CK5" s="271" t="n">
        <v>0</v>
      </c>
      <c r="CL5" s="271" t="n">
        <v>0</v>
      </c>
      <c r="CM5" s="271" t="n">
        <v>0.1</v>
      </c>
      <c r="CN5" s="271" t="n">
        <v>50</v>
      </c>
      <c r="CO5" s="233" t="n">
        <f aca="false">Data!$AQ5</f>
        <v>0</v>
      </c>
      <c r="CP5" s="271"/>
      <c r="CQ5" s="271"/>
      <c r="CR5" s="158" t="s">
        <v>512</v>
      </c>
      <c r="CS5" s="232" t="str">
        <f aca="false">"Step_per_unit:"&amp;$BL5&amp;";"&amp;"Offset:"&amp;$BQ5&amp;";"&amp;"Sign:"&amp;$BM5&amp;";"&amp;"EncoderSource:"&amp;$BN5&amp;";"&amp;"EncoderSourceFormula:"&amp;$BO5&amp;";"&amp;"UseEncoderSource:"&amp;$BP5</f>
        <v>Step_per_unit:400;Offset:-1726,09;Sign:1;EncoderSource:attr://EncAbsEnc;EncoderSourceFormula:VALUE/1000000;UseEncoderSource:TRUE</v>
      </c>
      <c r="CT5" s="222" t="n">
        <f aca="false">Data!$AG5</f>
        <v>0</v>
      </c>
      <c r="CU5" s="156"/>
      <c r="CV5" s="222" t="n">
        <f aca="false">FATPOSITIONS!$H5</f>
        <v>1731444100</v>
      </c>
      <c r="CW5" s="270" t="n">
        <v>0</v>
      </c>
      <c r="CY5" s="229" t="n">
        <f aca="false">Data!$AB5</f>
        <v>0</v>
      </c>
      <c r="CZ5" s="229" t="n">
        <f aca="false">Data!$AE5</f>
        <v>0</v>
      </c>
      <c r="DC5" s="108" t="e">
        <f aca="false">IF(K5="-","-",(CZ5/CY5)*AO5)</f>
        <v>#DIV/0!</v>
      </c>
      <c r="DD5" s="231" t="str">
        <f aca="false">IF(K5="-","-",IF(DA5="","",(DB5-DA5)*AO5*AP5/(AS5-AQ5)))</f>
        <v/>
      </c>
      <c r="DE5" s="160"/>
      <c r="DF5" s="233" t="str">
        <f aca="false">Data!$S5</f>
        <v>20mm</v>
      </c>
      <c r="DG5" s="234" t="str">
        <f aca="false">IF(K5="-","-",IF(DA5="","",(DB5-DA5)/CZ5))</f>
        <v/>
      </c>
      <c r="DH5" s="221" t="str">
        <f aca="false">Data!J5</f>
        <v>mm</v>
      </c>
      <c r="DI5" s="236" t="n">
        <f aca="false">IFERROR(($AO5*$AP5)/($DE5/$CZ5),0)</f>
        <v>0</v>
      </c>
    </row>
    <row r="6" customFormat="false" ht="10.2" hidden="false" customHeight="false" outlineLevel="0" collapsed="false">
      <c r="A6" s="212" t="n">
        <f aca="false">Data!$A6</f>
        <v>5</v>
      </c>
      <c r="B6" s="212" t="str">
        <f aca="false">Data!$B6</f>
        <v>B316A-EA03-DIA-BPM-01</v>
      </c>
      <c r="C6" s="212" t="str">
        <f aca="false">Data!$C6</f>
        <v>M4 BPM VERITAS</v>
      </c>
      <c r="D6" s="267" t="str">
        <f aca="false">Data!D6</f>
        <v>V</v>
      </c>
      <c r="E6" s="224" t="str">
        <f aca="false">Data!$E6</f>
        <v>a_m4_bpm_v</v>
      </c>
      <c r="F6" s="225" t="str">
        <f aca="false">Data!$G6</f>
        <v>Y</v>
      </c>
      <c r="G6" s="225" t="str">
        <f aca="false">Data!$H6</f>
        <v>N</v>
      </c>
      <c r="H6" s="225" t="str">
        <f aca="false">Data!$AM6</f>
        <v>2O</v>
      </c>
      <c r="I6" s="222" t="str">
        <f aca="true">INDEX(OFFSET(MOTION1!$A$1,0,0,SystemInfo!$B$1,1),MATCH(CONCATENATE(B6,D6),OFFSET(MOTION1!$J$1,0,0,SystemInfo!$B$1,1),0))</f>
        <v>W032656</v>
      </c>
      <c r="J6" s="222" t="str">
        <f aca="true">INDEX(OFFSET(MOTION3!$A$1,0,0,SystemInfo!$B$1,1),MATCH(CONCATENATE(B6,D6),OFFSET(MOTION3!$J$1,0,0,SystemInfo!$B$1,1),0))</f>
        <v>W032657</v>
      </c>
      <c r="L6" s="222" t="str">
        <f aca="true">INDEX(OFFSET(DISABLE!$A$1,0,0,SystemInfo!$B$1,1),MATCH(CONCATENATE(B6,D6),OFFSET(DISABLE!$J$1,0,0,SystemInfo!$B$1,1),0))</f>
        <v>-</v>
      </c>
      <c r="N6" s="222" t="str">
        <f aca="false">Data!$F6</f>
        <v>Oriental PKP268MD28B-L</v>
      </c>
      <c r="O6" s="222" t="str">
        <f aca="false">Data!$Y6</f>
        <v>Renishaw Resolute 32 bits BISS-C</v>
      </c>
      <c r="P6" s="222" t="n">
        <f aca="false">Data!$O6</f>
        <v>6</v>
      </c>
      <c r="Q6" s="222" t="n">
        <f aca="false">Data!$N6</f>
        <v>1.23</v>
      </c>
      <c r="R6" s="226" t="n">
        <v>5.4</v>
      </c>
      <c r="S6" s="226" t="n">
        <v>1.6</v>
      </c>
      <c r="T6" s="227" t="n">
        <f aca="false">IF(Q6="","-",IF(S6="","-",S6-Q6))</f>
        <v>0.37</v>
      </c>
      <c r="U6" s="227" t="n">
        <f aca="false">Data!$M6*$S6</f>
        <v>6.24</v>
      </c>
      <c r="V6" s="227" t="n">
        <f aca="false">6.28*$R6*Data!$M6/8</f>
        <v>16.5321</v>
      </c>
      <c r="W6" s="269" t="n">
        <v>48</v>
      </c>
      <c r="X6" s="269" t="n">
        <v>12</v>
      </c>
      <c r="Y6" s="269" t="n">
        <v>1.8</v>
      </c>
      <c r="Z6" s="269" t="n">
        <v>50</v>
      </c>
      <c r="AA6" s="269"/>
      <c r="AB6" s="105" t="s">
        <v>248</v>
      </c>
      <c r="AC6" s="105" t="s">
        <v>248</v>
      </c>
      <c r="AD6" s="105" t="s">
        <v>503</v>
      </c>
      <c r="AE6" s="105" t="s">
        <v>248</v>
      </c>
      <c r="AF6" s="225" t="str">
        <f aca="false">Data!$AM6</f>
        <v>2O</v>
      </c>
      <c r="AG6" s="160" t="s">
        <v>513</v>
      </c>
      <c r="AH6" s="222" t="str">
        <f aca="false">Data!$Z6</f>
        <v>absolute</v>
      </c>
      <c r="AI6" s="222" t="str">
        <f aca="false">FATPOSITIONS!$H6</f>
        <v>-</v>
      </c>
      <c r="AJ6" s="270" t="n">
        <v>0</v>
      </c>
      <c r="AK6" s="270"/>
      <c r="AL6" s="158" t="s">
        <v>504</v>
      </c>
      <c r="AM6" s="229" t="n">
        <f aca="false">Data!$R6</f>
        <v>400</v>
      </c>
      <c r="AN6" s="229" t="n">
        <f aca="false">Data!$W6</f>
        <v>1000000</v>
      </c>
      <c r="AO6" s="222" t="n">
        <f aca="false">Data!$P6</f>
        <v>400</v>
      </c>
      <c r="AP6" s="222" t="n">
        <f aca="false">Data!$L6</f>
        <v>2</v>
      </c>
      <c r="AQ6" s="230" t="n">
        <v>-5331</v>
      </c>
      <c r="AR6" s="230" t="n">
        <v>23793762</v>
      </c>
      <c r="AS6" s="230" t="n">
        <v>101616</v>
      </c>
      <c r="AT6" s="230" t="n">
        <v>156798879</v>
      </c>
      <c r="AU6" s="108" t="str">
        <f aca="false">FATPOSITIONS!$I6</f>
        <v>-</v>
      </c>
      <c r="AV6" s="108" t="str">
        <f aca="false">FATPOSITIONS!$J6</f>
        <v>-</v>
      </c>
      <c r="AW6" s="231" t="n">
        <f aca="false">AR6+AJ6</f>
        <v>23793762</v>
      </c>
      <c r="AX6" s="231" t="n">
        <f aca="false">AT6+AJ6</f>
        <v>156798879</v>
      </c>
      <c r="AY6" s="160"/>
      <c r="AZ6" s="271" t="n">
        <v>1600</v>
      </c>
      <c r="BA6" s="271" t="n">
        <v>0.3</v>
      </c>
      <c r="BB6" s="232" t="n">
        <f aca="false">(AS6-AQ6)/AZ6</f>
        <v>66.841875</v>
      </c>
      <c r="BC6" s="108" t="n">
        <f aca="false">IF(AM6=0,"",(AN6/AM6)*AO6)</f>
        <v>1000000</v>
      </c>
      <c r="BD6" s="231" t="n">
        <f aca="false">IF(AR6="","",(AT6-AR6)*AO6*AP6/(AS6-AQ6))</f>
        <v>994923.593929703</v>
      </c>
      <c r="BE6" s="271" t="n">
        <v>1000000</v>
      </c>
      <c r="BF6" s="233" t="str">
        <f aca="false">Data!$S6</f>
        <v>50mm</v>
      </c>
      <c r="BG6" s="236" t="n">
        <f aca="false">IF(AQ6="","",(AS6-AQ6)/(AM6*AP6))</f>
        <v>133.68375</v>
      </c>
      <c r="BH6" s="236" t="n">
        <f aca="false">IF(AR6="","",(AT6-AR6)/AN6)</f>
        <v>133.005117</v>
      </c>
      <c r="BI6" s="235" t="str">
        <f aca="false">Data!$J6</f>
        <v>mm</v>
      </c>
      <c r="BJ6" s="236" t="n">
        <f aca="false">AM6*AP6</f>
        <v>800</v>
      </c>
      <c r="BK6" s="236" t="n">
        <f aca="false">IFERROR(($AO6*$AP6)/($BE6/$AN6),0)</f>
        <v>800</v>
      </c>
      <c r="BL6" s="109" t="n">
        <v>800</v>
      </c>
      <c r="BM6" s="272" t="n">
        <v>-1</v>
      </c>
      <c r="BN6" s="208" t="s">
        <v>505</v>
      </c>
      <c r="BO6" s="208" t="s">
        <v>506</v>
      </c>
      <c r="BP6" s="273" t="s">
        <v>507</v>
      </c>
      <c r="BQ6" s="272" t="n">
        <v>0</v>
      </c>
      <c r="BR6" s="236" t="n">
        <f aca="false">IF(BP6="FALSE",($BM6*($AQ6/$BL6)+$BQ6),($BM6*($AR6/$AN6)+$BQ6))</f>
        <v>-23.793762</v>
      </c>
      <c r="BS6" s="236" t="n">
        <f aca="false">IF(BP6="FALSE",($BM6*($AS6/$BL6)+$BQ6),($BM6*($AT6/$AN6)+$BQ6))</f>
        <v>-156.798879</v>
      </c>
      <c r="BT6" s="107" t="str">
        <f aca="false">FATPOSITIONS!$L6</f>
        <v>-</v>
      </c>
      <c r="BU6" s="107" t="str">
        <f aca="false">FATPOSITIONS!$M6</f>
        <v>-</v>
      </c>
      <c r="BV6" s="236" t="str">
        <f aca="false">IFERROR($BM6*FATPOSITIONS!$N6+$BR6,"")</f>
        <v/>
      </c>
      <c r="BW6" s="236" t="str">
        <f aca="false">IFERROR(-$BM6*FATPOSITIONS!$O6+$BS6,"")</f>
        <v/>
      </c>
      <c r="BX6" s="221" t="str">
        <f aca="false">Data!$AK6</f>
        <v>-</v>
      </c>
      <c r="BY6" s="221" t="str">
        <f aca="false">Data!$AL6</f>
        <v>-</v>
      </c>
      <c r="BZ6" s="113" t="s">
        <v>253</v>
      </c>
      <c r="CC6" s="113" t="s">
        <v>253</v>
      </c>
      <c r="CD6" s="160" t="s">
        <v>514</v>
      </c>
      <c r="CE6" s="271" t="n">
        <v>0.1</v>
      </c>
      <c r="CF6" s="271" t="n">
        <v>40</v>
      </c>
      <c r="CG6" s="234" t="n">
        <f aca="false">$AY6/$AN6</f>
        <v>0</v>
      </c>
      <c r="CH6" s="234" t="n">
        <f aca="false">$CF6/($AP6*$AM6)</f>
        <v>0.05</v>
      </c>
      <c r="CI6" s="221" t="n">
        <f aca="false">Data!AO6</f>
        <v>0</v>
      </c>
      <c r="CJ6" s="221" t="n">
        <f aca="false">Data!AP6</f>
        <v>0</v>
      </c>
      <c r="CK6" s="271" t="n">
        <v>0</v>
      </c>
      <c r="CL6" s="271" t="n">
        <v>0</v>
      </c>
      <c r="CM6" s="271" t="n">
        <v>0.1</v>
      </c>
      <c r="CN6" s="271" t="n">
        <v>50</v>
      </c>
      <c r="CO6" s="233" t="n">
        <f aca="false">Data!$AQ6</f>
        <v>0</v>
      </c>
      <c r="CP6" s="271"/>
      <c r="CQ6" s="271"/>
      <c r="CR6" s="160" t="s">
        <v>515</v>
      </c>
      <c r="CS6" s="232" t="str">
        <f aca="false">"Step_per_unit:"&amp;$BL6&amp;";"&amp;"Offset:"&amp;$BQ6&amp;";"&amp;"Sign:"&amp;$BM6&amp;";"&amp;"EncoderSource:"&amp;$BN6&amp;";"&amp;"EncoderSourceFormula:"&amp;$BO6&amp;";"&amp;"UseEncoderSource:"&amp;$BP6</f>
        <v>Step_per_unit:800;Offset:0;Sign:-1;EncoderSource:attr://EncAbsEnc;EncoderSourceFormula:VALUE/1000000;UseEncoderSource:TRUE</v>
      </c>
      <c r="CT6" s="222" t="n">
        <f aca="false">Data!$AG6</f>
        <v>0</v>
      </c>
      <c r="CU6" s="156"/>
      <c r="CV6" s="222" t="str">
        <f aca="false">FATPOSITIONS!$H6</f>
        <v>-</v>
      </c>
      <c r="CW6" s="270" t="n">
        <v>0</v>
      </c>
      <c r="CY6" s="229" t="n">
        <f aca="false">Data!$AB6</f>
        <v>0</v>
      </c>
      <c r="CZ6" s="229" t="n">
        <f aca="false">Data!$AE6</f>
        <v>0</v>
      </c>
      <c r="DC6" s="108" t="e">
        <f aca="false">IF(K6="-","-",(CZ6/CY6)*AO6)</f>
        <v>#DIV/0!</v>
      </c>
      <c r="DD6" s="231" t="str">
        <f aca="false">IF(K6="-","-",IF(DA6="","",(DB6-DA6)*AO6*AP6/(AS6-AQ6)))</f>
        <v/>
      </c>
      <c r="DE6" s="160"/>
      <c r="DF6" s="233" t="str">
        <f aca="false">Data!$S6</f>
        <v>50mm</v>
      </c>
      <c r="DG6" s="234" t="str">
        <f aca="false">IF(K6="-","-",IF(DA6="","",(DB6-DA6)/CZ6))</f>
        <v/>
      </c>
      <c r="DH6" s="221" t="str">
        <f aca="false">Data!J6</f>
        <v>mm</v>
      </c>
      <c r="DI6" s="236" t="n">
        <f aca="false">IFERROR(($AO6*$AP6)/($DE6/$CZ6),0)</f>
        <v>0</v>
      </c>
    </row>
    <row r="7" customFormat="false" ht="10.2" hidden="false" customHeight="false" outlineLevel="0" collapsed="false">
      <c r="A7" s="212" t="n">
        <f aca="false">Data!$A7</f>
        <v>6</v>
      </c>
      <c r="B7" s="212" t="str">
        <f aca="false">Data!$B7</f>
        <v>B316A-EA03-OPT-MIR-04</v>
      </c>
      <c r="C7" s="212" t="str">
        <f aca="false">Data!$C7</f>
        <v>Focusing Mirror M4 VERITAS</v>
      </c>
      <c r="D7" s="267" t="str">
        <f aca="false">Data!D7</f>
        <v>V1</v>
      </c>
      <c r="E7" s="224" t="str">
        <f aca="false">Data!$E7</f>
        <v>a_m4_v1</v>
      </c>
      <c r="F7" s="225" t="str">
        <f aca="false">Data!$G7</f>
        <v>Y</v>
      </c>
      <c r="G7" s="225" t="str">
        <f aca="false">Data!$H7</f>
        <v>N</v>
      </c>
      <c r="H7" s="225" t="str">
        <f aca="false">Data!$AM7</f>
        <v>2O</v>
      </c>
      <c r="I7" s="222" t="str">
        <f aca="true">INDEX(OFFSET(MOTION1!$A$1,0,0,SystemInfo!$B$1,1),MATCH(CONCATENATE(B7,D7),OFFSET(MOTION1!$J$1,0,0,SystemInfo!$B$1,1),0))</f>
        <v>W032658</v>
      </c>
      <c r="J7" s="222" t="str">
        <f aca="true">INDEX(OFFSET(MOTION3!$A$1,0,0,SystemInfo!$B$1,1),MATCH(CONCATENATE(B7,D7),OFFSET(MOTION3!$J$1,0,0,SystemInfo!$B$1,1),0))</f>
        <v>W032659</v>
      </c>
      <c r="L7" s="222" t="str">
        <f aca="true">INDEX(OFFSET(DISABLE!$A$1,0,0,SystemInfo!$B$1,1),MATCH(CONCATENATE(B7,D7),OFFSET(DISABLE!$J$1,0,0,SystemInfo!$B$1,1),0))</f>
        <v>-</v>
      </c>
      <c r="N7" s="222" t="str">
        <f aca="false">Data!$F7</f>
        <v>Oriental PK245M-02B unipolar 1 coil</v>
      </c>
      <c r="O7" s="222" t="str">
        <f aca="false">Data!$Y7</f>
        <v>Renishaw Resolute 32 bits BISS-C</v>
      </c>
      <c r="P7" s="222" t="n">
        <f aca="false">Data!$O7</f>
        <v>9.9</v>
      </c>
      <c r="Q7" s="222" t="n">
        <f aca="false">Data!$N7</f>
        <v>7.5</v>
      </c>
      <c r="R7" s="226" t="n">
        <v>7</v>
      </c>
      <c r="S7" s="226" t="n">
        <v>3</v>
      </c>
      <c r="T7" s="227" t="n">
        <f aca="false">IF(Q7="","-",IF(S7="","-",S7-Q7))</f>
        <v>-4.5</v>
      </c>
      <c r="U7" s="227" t="n">
        <f aca="false">Data!$M7*$S7</f>
        <v>2.4</v>
      </c>
      <c r="V7" s="227" t="n">
        <f aca="false">6.28*$R7*Data!$M7/8</f>
        <v>4.396</v>
      </c>
      <c r="W7" s="269" t="n">
        <v>24</v>
      </c>
      <c r="X7" s="269" t="n">
        <v>12</v>
      </c>
      <c r="Y7" s="269" t="n">
        <v>0.8</v>
      </c>
      <c r="Z7" s="269" t="n">
        <v>50</v>
      </c>
      <c r="AA7" s="269"/>
      <c r="AB7" s="105" t="s">
        <v>248</v>
      </c>
      <c r="AC7" s="105" t="s">
        <v>248</v>
      </c>
      <c r="AD7" s="105" t="s">
        <v>503</v>
      </c>
      <c r="AE7" s="156" t="s">
        <v>248</v>
      </c>
      <c r="AF7" s="225" t="str">
        <f aca="false">Data!$AM7</f>
        <v>2O</v>
      </c>
      <c r="AG7" s="160" t="s">
        <v>513</v>
      </c>
      <c r="AH7" s="222" t="str">
        <f aca="false">Data!$Z7</f>
        <v>absolute</v>
      </c>
      <c r="AI7" s="222" t="n">
        <f aca="false">FATPOSITIONS!$H7</f>
        <v>84229529</v>
      </c>
      <c r="AJ7" s="270" t="n">
        <v>0</v>
      </c>
      <c r="AK7" s="270"/>
      <c r="AL7" s="158" t="s">
        <v>504</v>
      </c>
      <c r="AM7" s="229" t="n">
        <f aca="false">Data!$R7</f>
        <v>40</v>
      </c>
      <c r="AN7" s="229" t="n">
        <f aca="false">Data!$W7</f>
        <v>1000</v>
      </c>
      <c r="AO7" s="222" t="n">
        <f aca="false">Data!$P7</f>
        <v>400</v>
      </c>
      <c r="AP7" s="222" t="n">
        <f aca="false">Data!$L7</f>
        <v>2</v>
      </c>
      <c r="AQ7" s="230" t="n">
        <v>-405570</v>
      </c>
      <c r="AR7" s="230" t="n">
        <v>79160740</v>
      </c>
      <c r="AS7" s="230" t="n">
        <v>423303</v>
      </c>
      <c r="AT7" s="230" t="n">
        <v>89529602</v>
      </c>
      <c r="AU7" s="108" t="n">
        <f aca="false">FATPOSITIONS!$I7</f>
        <v>79262957</v>
      </c>
      <c r="AV7" s="108" t="n">
        <f aca="false">FATPOSITIONS!$J7</f>
        <v>89556843</v>
      </c>
      <c r="AW7" s="231" t="n">
        <f aca="false">AR7+AJ7</f>
        <v>79160740</v>
      </c>
      <c r="AX7" s="231" t="n">
        <f aca="false">AT7+AJ7</f>
        <v>89529602</v>
      </c>
      <c r="AY7" s="160"/>
      <c r="AZ7" s="271" t="n">
        <v>1600</v>
      </c>
      <c r="BA7" s="271" t="n">
        <v>0.3</v>
      </c>
      <c r="BB7" s="232" t="n">
        <f aca="false">(AS7-AQ7)/AZ7</f>
        <v>518.045625</v>
      </c>
      <c r="BC7" s="108" t="n">
        <f aca="false">IF(AM7=0,"",(AN7/AM7)*AO7)</f>
        <v>10000</v>
      </c>
      <c r="BD7" s="231" t="n">
        <f aca="false">IF(AR7="","",(AT7-AR7)*AO7*AP7/(AS7-AQ7))</f>
        <v>10007.6725867533</v>
      </c>
      <c r="BE7" s="271" t="n">
        <v>10000</v>
      </c>
      <c r="BF7" s="233" t="str">
        <f aca="false">Data!$S7</f>
        <v>10mm (±5mm)</v>
      </c>
      <c r="BG7" s="236" t="n">
        <f aca="false">IF(AQ7="","",(AS7-AQ7)/(AM7*AP7))</f>
        <v>10360.9125</v>
      </c>
      <c r="BH7" s="236" t="n">
        <f aca="false">IF(AR7="","",(AT7-AR7)/AN7)</f>
        <v>10368.862</v>
      </c>
      <c r="BI7" s="235" t="str">
        <f aca="false">Data!$J7</f>
        <v>um</v>
      </c>
      <c r="BJ7" s="236" t="n">
        <f aca="false">AM7*AP7</f>
        <v>80</v>
      </c>
      <c r="BK7" s="236" t="n">
        <f aca="false">IFERROR(($AO7*$AP7)/($BE7/$AN7),0)</f>
        <v>80</v>
      </c>
      <c r="BL7" s="109" t="n">
        <v>80</v>
      </c>
      <c r="BM7" s="272" t="n">
        <v>1</v>
      </c>
      <c r="BN7" s="208" t="s">
        <v>505</v>
      </c>
      <c r="BO7" s="208" t="s">
        <v>516</v>
      </c>
      <c r="BP7" s="273" t="s">
        <v>507</v>
      </c>
      <c r="BQ7" s="272" t="n">
        <v>-84229.529</v>
      </c>
      <c r="BR7" s="236" t="n">
        <f aca="false">IF(BP7="FALSE",($BM7*($AQ7/$BL7)+$BQ7),($BM7*($AR7/$AN7)+$BQ7))</f>
        <v>-5068.78899999999</v>
      </c>
      <c r="BS7" s="236" t="n">
        <f aca="false">IF(BP7="FALSE",($BM7*($AS7/$BL7)+$BQ7),($BM7*($AT7/$AN7)+$BQ7))</f>
        <v>5300.073</v>
      </c>
      <c r="BT7" s="107" t="n">
        <f aca="false">FATPOSITIONS!$L7</f>
        <v>79.262957</v>
      </c>
      <c r="BU7" s="107" t="n">
        <f aca="false">FATPOSITIONS!$M7</f>
        <v>89.556843</v>
      </c>
      <c r="BV7" s="236" t="str">
        <f aca="false">IFERROR($BM7*FATPOSITIONS!$N7+$BR7,"")</f>
        <v/>
      </c>
      <c r="BW7" s="236" t="str">
        <f aca="false">IFERROR(-$BM7*FATPOSITIONS!$O7+$BS7,"")</f>
        <v/>
      </c>
      <c r="BX7" s="221" t="str">
        <f aca="false">Data!$AK7</f>
        <v>-</v>
      </c>
      <c r="BY7" s="221" t="str">
        <f aca="false">Data!$AL7</f>
        <v>-</v>
      </c>
      <c r="BZ7" s="113" t="s">
        <v>253</v>
      </c>
      <c r="CC7" s="113" t="s">
        <v>253</v>
      </c>
      <c r="CD7" s="160" t="s">
        <v>514</v>
      </c>
      <c r="CE7" s="271" t="n">
        <v>0.1</v>
      </c>
      <c r="CF7" s="271" t="n">
        <v>40</v>
      </c>
      <c r="CG7" s="234" t="n">
        <f aca="false">$AY7/$AN7</f>
        <v>0</v>
      </c>
      <c r="CH7" s="234" t="n">
        <f aca="false">$CF7/($AP7*$AM7)</f>
        <v>0.5</v>
      </c>
      <c r="CI7" s="221" t="n">
        <f aca="false">Data!AO7</f>
        <v>0</v>
      </c>
      <c r="CJ7" s="221" t="n">
        <f aca="false">Data!AP7</f>
        <v>0</v>
      </c>
      <c r="CK7" s="271" t="n">
        <v>0</v>
      </c>
      <c r="CL7" s="271" t="n">
        <v>0</v>
      </c>
      <c r="CM7" s="271" t="n">
        <v>0.1</v>
      </c>
      <c r="CN7" s="271" t="n">
        <v>50</v>
      </c>
      <c r="CO7" s="233" t="n">
        <f aca="false">Data!$AQ7</f>
        <v>0</v>
      </c>
      <c r="CP7" s="271"/>
      <c r="CQ7" s="271"/>
      <c r="CR7" s="160" t="s">
        <v>517</v>
      </c>
      <c r="CS7" s="232" t="str">
        <f aca="false">"Step_per_unit:"&amp;$BL7&amp;";"&amp;"Offset:"&amp;$BQ7&amp;";"&amp;"Sign:"&amp;$BM7&amp;";"&amp;"EncoderSource:"&amp;$BN7&amp;";"&amp;"EncoderSourceFormula:"&amp;$BO7&amp;";"&amp;"UseEncoderSource:"&amp;$BP7</f>
        <v>Step_per_unit:80;Offset:-84229,529;Sign:1;EncoderSource:attr://EncAbsEnc;EncoderSourceFormula:VALUE/1000;UseEncoderSource:TRUE</v>
      </c>
      <c r="CT7" s="222" t="n">
        <f aca="false">Data!$AG7</f>
        <v>0</v>
      </c>
      <c r="CU7" s="156"/>
      <c r="CV7" s="222" t="n">
        <f aca="false">FATPOSITIONS!$H7</f>
        <v>84229529</v>
      </c>
      <c r="CW7" s="270" t="n">
        <v>0</v>
      </c>
      <c r="CY7" s="229" t="n">
        <f aca="false">Data!$AB7</f>
        <v>0</v>
      </c>
      <c r="CZ7" s="229" t="n">
        <f aca="false">Data!$AE7</f>
        <v>0</v>
      </c>
      <c r="DC7" s="108" t="e">
        <f aca="false">IF(K7="-","-",(CZ7/CY7)*AO7)</f>
        <v>#DIV/0!</v>
      </c>
      <c r="DD7" s="231" t="str">
        <f aca="false">IF(K7="-","-",IF(DA7="","",(DB7-DA7)*AO7*AP7/(AS7-AQ7)))</f>
        <v/>
      </c>
      <c r="DE7" s="160"/>
      <c r="DF7" s="233" t="str">
        <f aca="false">Data!$S7</f>
        <v>10mm (±5mm)</v>
      </c>
      <c r="DG7" s="234" t="str">
        <f aca="false">IF(K7="-","-",IF(DA7="","",(DB7-DA7)/CZ7))</f>
        <v/>
      </c>
      <c r="DH7" s="221" t="str">
        <f aca="false">Data!J7</f>
        <v>um</v>
      </c>
      <c r="DI7" s="236" t="n">
        <f aca="false">IFERROR(($AO7*$AP7)/($DE7/$CZ7),0)</f>
        <v>0</v>
      </c>
    </row>
    <row r="8" customFormat="false" ht="10.2" hidden="false" customHeight="false" outlineLevel="0" collapsed="false">
      <c r="A8" s="212" t="n">
        <f aca="false">Data!$A8</f>
        <v>7</v>
      </c>
      <c r="B8" s="212" t="str">
        <f aca="false">Data!$B8</f>
        <v>B316A-EA03-OPT-MIR-04</v>
      </c>
      <c r="C8" s="212" t="str">
        <f aca="false">Data!$C8</f>
        <v>Focusing Mirror M4 VERITAS</v>
      </c>
      <c r="D8" s="267" t="str">
        <f aca="false">Data!D8</f>
        <v>V2</v>
      </c>
      <c r="E8" s="224" t="str">
        <f aca="false">Data!$E8</f>
        <v>a_m4_v2</v>
      </c>
      <c r="F8" s="225" t="str">
        <f aca="false">Data!$G8</f>
        <v>Y</v>
      </c>
      <c r="G8" s="225" t="str">
        <f aca="false">Data!$H8</f>
        <v>N</v>
      </c>
      <c r="H8" s="225" t="str">
        <f aca="false">Data!$AM8</f>
        <v>2O</v>
      </c>
      <c r="I8" s="222" t="str">
        <f aca="true">INDEX(OFFSET(MOTION1!$A$1,0,0,SystemInfo!$B$1,1),MATCH(CONCATENATE(B8,D8),OFFSET(MOTION1!$J$1,0,0,SystemInfo!$B$1,1),0))</f>
        <v>W032660</v>
      </c>
      <c r="J8" s="222" t="str">
        <f aca="true">INDEX(OFFSET(MOTION3!$A$1,0,0,SystemInfo!$B$1,1),MATCH(CONCATENATE(B8,D8),OFFSET(MOTION3!$J$1,0,0,SystemInfo!$B$1,1),0))</f>
        <v>W032661</v>
      </c>
      <c r="L8" s="222" t="str">
        <f aca="true">INDEX(OFFSET(DISABLE!$A$1,0,0,SystemInfo!$B$1,1),MATCH(CONCATENATE(B8,D8),OFFSET(DISABLE!$J$1,0,0,SystemInfo!$B$1,1),0))</f>
        <v>-</v>
      </c>
      <c r="N8" s="222" t="str">
        <f aca="false">Data!$F8</f>
        <v>Oriental PK245M-02B unipolar 1 coil</v>
      </c>
      <c r="O8" s="222" t="str">
        <f aca="false">Data!$Y8</f>
        <v>Renishaw Resolute 32 bits BISS-C</v>
      </c>
      <c r="P8" s="222" t="n">
        <f aca="false">Data!$O8</f>
        <v>9.9</v>
      </c>
      <c r="Q8" s="222" t="n">
        <f aca="false">Data!$N8</f>
        <v>7.5</v>
      </c>
      <c r="R8" s="226" t="n">
        <v>7.1</v>
      </c>
      <c r="S8" s="226" t="n">
        <v>2.8</v>
      </c>
      <c r="T8" s="227" t="n">
        <f aca="false">IF(Q8="","-",IF(S8="","-",S8-Q8))</f>
        <v>-4.7</v>
      </c>
      <c r="U8" s="227" t="n">
        <f aca="false">Data!$M8*$S8</f>
        <v>2.24</v>
      </c>
      <c r="V8" s="227" t="n">
        <f aca="false">6.28*$R8*Data!$M8/8</f>
        <v>4.4588</v>
      </c>
      <c r="W8" s="269" t="n">
        <v>24</v>
      </c>
      <c r="X8" s="269" t="n">
        <v>12</v>
      </c>
      <c r="Y8" s="269" t="n">
        <v>0.8</v>
      </c>
      <c r="Z8" s="269" t="n">
        <v>50</v>
      </c>
      <c r="AA8" s="269"/>
      <c r="AB8" s="105" t="s">
        <v>248</v>
      </c>
      <c r="AC8" s="105" t="s">
        <v>248</v>
      </c>
      <c r="AD8" s="105" t="s">
        <v>503</v>
      </c>
      <c r="AE8" s="156" t="s">
        <v>248</v>
      </c>
      <c r="AF8" s="225" t="str">
        <f aca="false">Data!$AM8</f>
        <v>2O</v>
      </c>
      <c r="AG8" s="160" t="s">
        <v>513</v>
      </c>
      <c r="AH8" s="222" t="str">
        <f aca="false">Data!$Z8</f>
        <v>absolute</v>
      </c>
      <c r="AI8" s="222" t="n">
        <f aca="false">FATPOSITIONS!$H8</f>
        <v>84265053</v>
      </c>
      <c r="AJ8" s="270" t="n">
        <v>0</v>
      </c>
      <c r="AK8" s="270"/>
      <c r="AL8" s="158" t="s">
        <v>504</v>
      </c>
      <c r="AM8" s="229" t="n">
        <f aca="false">Data!$R8</f>
        <v>40</v>
      </c>
      <c r="AN8" s="229" t="n">
        <f aca="false">Data!$W8</f>
        <v>1000</v>
      </c>
      <c r="AO8" s="222" t="n">
        <f aca="false">Data!$P8</f>
        <v>400</v>
      </c>
      <c r="AP8" s="222" t="n">
        <f aca="false">Data!$L8</f>
        <v>2</v>
      </c>
      <c r="AQ8" s="230" t="n">
        <v>-431338</v>
      </c>
      <c r="AR8" s="230" t="n">
        <v>78870502</v>
      </c>
      <c r="AS8" s="230" t="n">
        <v>451171</v>
      </c>
      <c r="AT8" s="230" t="n">
        <v>89899058</v>
      </c>
      <c r="AU8" s="108" t="n">
        <f aca="false">FATPOSITIONS!$I8</f>
        <v>78917342</v>
      </c>
      <c r="AV8" s="108" t="n">
        <f aca="false">FATPOSITIONS!$J8</f>
        <v>89182222</v>
      </c>
      <c r="AW8" s="231" t="n">
        <f aca="false">AR8+AJ8</f>
        <v>78870502</v>
      </c>
      <c r="AX8" s="231" t="n">
        <f aca="false">AT8+AJ8</f>
        <v>89899058</v>
      </c>
      <c r="AY8" s="160"/>
      <c r="AZ8" s="271" t="n">
        <v>1600</v>
      </c>
      <c r="BA8" s="271" t="n">
        <v>0.3</v>
      </c>
      <c r="BB8" s="232" t="n">
        <f aca="false">(AS8-AQ8)/AZ8</f>
        <v>551.568125</v>
      </c>
      <c r="BC8" s="108" t="n">
        <f aca="false">IF(AM8=0,"",(AN8/AM8)*AO8)</f>
        <v>10000</v>
      </c>
      <c r="BD8" s="231" t="n">
        <f aca="false">IF(AR8="","",(AT8-AR8)*AO8*AP8/(AS8-AQ8))</f>
        <v>9997.45588996826</v>
      </c>
      <c r="BE8" s="271" t="n">
        <v>10000</v>
      </c>
      <c r="BF8" s="233" t="str">
        <f aca="false">Data!$S8</f>
        <v>10mm (±5mm)</v>
      </c>
      <c r="BG8" s="236" t="n">
        <f aca="false">IF(AQ8="","",(AS8-AQ8)/(AM8*AP8))</f>
        <v>11031.3625</v>
      </c>
      <c r="BH8" s="236" t="n">
        <f aca="false">IF(AR8="","",(AT8-AR8)/AN8)</f>
        <v>11028.556</v>
      </c>
      <c r="BI8" s="235" t="str">
        <f aca="false">Data!$J8</f>
        <v>um</v>
      </c>
      <c r="BJ8" s="236" t="n">
        <f aca="false">AM8*AP8</f>
        <v>80</v>
      </c>
      <c r="BK8" s="236" t="n">
        <f aca="false">IFERROR(($AO8*$AP8)/($BE8/$AN8),0)</f>
        <v>80</v>
      </c>
      <c r="BL8" s="109" t="n">
        <v>80</v>
      </c>
      <c r="BM8" s="272" t="n">
        <v>1</v>
      </c>
      <c r="BN8" s="208" t="s">
        <v>505</v>
      </c>
      <c r="BO8" s="208" t="s">
        <v>516</v>
      </c>
      <c r="BP8" s="273" t="s">
        <v>507</v>
      </c>
      <c r="BQ8" s="272" t="n">
        <v>-84265.053</v>
      </c>
      <c r="BR8" s="236" t="n">
        <f aca="false">IF(BP8="FALSE",($BM8*($AQ8/$BL8)+$BQ8),($BM8*($AR8/$AN8)+$BQ8))</f>
        <v>-5394.55100000001</v>
      </c>
      <c r="BS8" s="236" t="n">
        <f aca="false">IF(BP8="FALSE",($BM8*($AS8/$BL8)+$BQ8),($BM8*($AT8/$AN8)+$BQ8))</f>
        <v>5634.005</v>
      </c>
      <c r="BT8" s="107" t="n">
        <f aca="false">FATPOSITIONS!$L8</f>
        <v>78.917342</v>
      </c>
      <c r="BU8" s="107" t="n">
        <f aca="false">FATPOSITIONS!$M8</f>
        <v>89.182222</v>
      </c>
      <c r="BV8" s="236" t="str">
        <f aca="false">IFERROR($BM8*FATPOSITIONS!$N8+$BR8,"")</f>
        <v/>
      </c>
      <c r="BW8" s="236" t="str">
        <f aca="false">IFERROR(-$BM8*FATPOSITIONS!$O8+$BS8,"")</f>
        <v/>
      </c>
      <c r="BX8" s="221" t="str">
        <f aca="false">Data!$AK8</f>
        <v>-</v>
      </c>
      <c r="BY8" s="221" t="str">
        <f aca="false">Data!$AL8</f>
        <v>-</v>
      </c>
      <c r="BZ8" s="113" t="s">
        <v>253</v>
      </c>
      <c r="CC8" s="113" t="s">
        <v>253</v>
      </c>
      <c r="CD8" s="160" t="s">
        <v>514</v>
      </c>
      <c r="CE8" s="271" t="n">
        <v>0.1</v>
      </c>
      <c r="CF8" s="271" t="n">
        <v>40</v>
      </c>
      <c r="CG8" s="234" t="n">
        <f aca="false">$AY8/$AN8</f>
        <v>0</v>
      </c>
      <c r="CH8" s="234" t="n">
        <f aca="false">$CF8/($AP8*$AM8)</f>
        <v>0.5</v>
      </c>
      <c r="CI8" s="221" t="n">
        <f aca="false">Data!AO8</f>
        <v>0</v>
      </c>
      <c r="CJ8" s="221" t="n">
        <f aca="false">Data!AP8</f>
        <v>0</v>
      </c>
      <c r="CK8" s="271" t="n">
        <v>0</v>
      </c>
      <c r="CL8" s="271" t="n">
        <v>0</v>
      </c>
      <c r="CM8" s="271" t="n">
        <v>0.1</v>
      </c>
      <c r="CN8" s="271" t="n">
        <v>50</v>
      </c>
      <c r="CO8" s="233" t="n">
        <f aca="false">Data!$AQ8</f>
        <v>0</v>
      </c>
      <c r="CP8" s="271"/>
      <c r="CQ8" s="271"/>
      <c r="CR8" s="160" t="s">
        <v>518</v>
      </c>
      <c r="CS8" s="232" t="str">
        <f aca="false">"Step_per_unit:"&amp;$BL8&amp;";"&amp;"Offset:"&amp;$BQ8&amp;";"&amp;"Sign:"&amp;$BM8&amp;";"&amp;"EncoderSource:"&amp;$BN8&amp;";"&amp;"EncoderSourceFormula:"&amp;$BO8&amp;";"&amp;"UseEncoderSource:"&amp;$BP8</f>
        <v>Step_per_unit:80;Offset:-84265,053;Sign:1;EncoderSource:attr://EncAbsEnc;EncoderSourceFormula:VALUE/1000;UseEncoderSource:TRUE</v>
      </c>
      <c r="CT8" s="222" t="n">
        <f aca="false">Data!$AG8</f>
        <v>0</v>
      </c>
      <c r="CU8" s="156"/>
      <c r="CV8" s="222" t="n">
        <f aca="false">FATPOSITIONS!$H8</f>
        <v>84265053</v>
      </c>
      <c r="CW8" s="270" t="n">
        <v>0</v>
      </c>
      <c r="CY8" s="229" t="n">
        <f aca="false">Data!$AB8</f>
        <v>0</v>
      </c>
      <c r="CZ8" s="229" t="n">
        <f aca="false">Data!$AE8</f>
        <v>0</v>
      </c>
      <c r="DC8" s="108" t="e">
        <f aca="false">IF(K8="-","-",(CZ8/CY8)*AO8)</f>
        <v>#DIV/0!</v>
      </c>
      <c r="DD8" s="231" t="str">
        <f aca="false">IF(K8="-","-",IF(DA8="","",(DB8-DA8)*AO8*AP8/(AS8-AQ8)))</f>
        <v/>
      </c>
      <c r="DE8" s="160"/>
      <c r="DF8" s="233" t="str">
        <f aca="false">Data!$S8</f>
        <v>10mm (±5mm)</v>
      </c>
      <c r="DG8" s="234" t="str">
        <f aca="false">IF(K8="-","-",IF(DA8="","",(DB8-DA8)/CZ8))</f>
        <v/>
      </c>
      <c r="DH8" s="221" t="str">
        <f aca="false">Data!J8</f>
        <v>um</v>
      </c>
      <c r="DI8" s="236" t="n">
        <f aca="false">IFERROR(($AO8*$AP8)/($DE8/$CZ8),0)</f>
        <v>0</v>
      </c>
    </row>
    <row r="9" customFormat="false" ht="10.2" hidden="false" customHeight="false" outlineLevel="0" collapsed="false">
      <c r="A9" s="212" t="n">
        <f aca="false">Data!$A9</f>
        <v>8</v>
      </c>
      <c r="B9" s="212" t="str">
        <f aca="false">Data!$B9</f>
        <v>B316A-EA03-OPT-MIR-04</v>
      </c>
      <c r="C9" s="212" t="str">
        <f aca="false">Data!$C9</f>
        <v>Focusing Mirror M4 VERITAS</v>
      </c>
      <c r="D9" s="267" t="str">
        <f aca="false">Data!D9</f>
        <v>V3</v>
      </c>
      <c r="E9" s="224" t="str">
        <f aca="false">Data!$E9</f>
        <v>a_m4_v3</v>
      </c>
      <c r="F9" s="225" t="str">
        <f aca="false">Data!$G9</f>
        <v>Y</v>
      </c>
      <c r="G9" s="225" t="str">
        <f aca="false">Data!$H9</f>
        <v>N</v>
      </c>
      <c r="H9" s="225" t="str">
        <f aca="false">Data!$AM9</f>
        <v>2O</v>
      </c>
      <c r="I9" s="222" t="str">
        <f aca="true">INDEX(OFFSET(MOTION1!$A$1,0,0,SystemInfo!$B$1,1),MATCH(CONCATENATE(B9,D9),OFFSET(MOTION1!$J$1,0,0,SystemInfo!$B$1,1),0))</f>
        <v>W032662</v>
      </c>
      <c r="J9" s="222" t="str">
        <f aca="true">INDEX(OFFSET(MOTION3!$A$1,0,0,SystemInfo!$B$1,1),MATCH(CONCATENATE(B9,D9),OFFSET(MOTION3!$J$1,0,0,SystemInfo!$B$1,1),0))</f>
        <v>W032663</v>
      </c>
      <c r="L9" s="222" t="str">
        <f aca="true">INDEX(OFFSET(DISABLE!$A$1,0,0,SystemInfo!$B$1,1),MATCH(CONCATENATE(B9,D9),OFFSET(DISABLE!$J$1,0,0,SystemInfo!$B$1,1),0))</f>
        <v>-</v>
      </c>
      <c r="N9" s="222" t="str">
        <f aca="false">Data!$F9</f>
        <v>Oriental PK245M-02B unipolar 1 coil</v>
      </c>
      <c r="O9" s="222" t="str">
        <f aca="false">Data!$Y9</f>
        <v>Renishaw Resolute 32 bits BISS-C</v>
      </c>
      <c r="P9" s="222" t="n">
        <f aca="false">Data!$O9</f>
        <v>9.9</v>
      </c>
      <c r="Q9" s="222" t="n">
        <f aca="false">Data!$N9</f>
        <v>7.5</v>
      </c>
      <c r="R9" s="226" t="n">
        <v>7.2</v>
      </c>
      <c r="S9" s="226" t="n">
        <v>2.9</v>
      </c>
      <c r="T9" s="227" t="n">
        <f aca="false">IF(Q9="","-",IF(S9="","-",S9-Q9))</f>
        <v>-4.6</v>
      </c>
      <c r="U9" s="227" t="n">
        <f aca="false">Data!$M9*$S9</f>
        <v>2.32</v>
      </c>
      <c r="V9" s="227" t="n">
        <f aca="false">6.28*$R9*Data!$M9/8</f>
        <v>4.5216</v>
      </c>
      <c r="W9" s="269" t="n">
        <v>24</v>
      </c>
      <c r="X9" s="269" t="n">
        <v>12</v>
      </c>
      <c r="Y9" s="269" t="n">
        <v>0.8</v>
      </c>
      <c r="Z9" s="269" t="n">
        <v>50</v>
      </c>
      <c r="AA9" s="269"/>
      <c r="AB9" s="105" t="s">
        <v>248</v>
      </c>
      <c r="AC9" s="105" t="s">
        <v>248</v>
      </c>
      <c r="AD9" s="105" t="s">
        <v>503</v>
      </c>
      <c r="AE9" s="156" t="s">
        <v>248</v>
      </c>
      <c r="AF9" s="225" t="str">
        <f aca="false">Data!$AM9</f>
        <v>2O</v>
      </c>
      <c r="AG9" s="160" t="s">
        <v>513</v>
      </c>
      <c r="AH9" s="222" t="str">
        <f aca="false">Data!$Z9</f>
        <v>absolute</v>
      </c>
      <c r="AI9" s="222" t="n">
        <f aca="false">FATPOSITIONS!$H9</f>
        <v>84179513</v>
      </c>
      <c r="AJ9" s="270" t="n">
        <v>0</v>
      </c>
      <c r="AK9" s="270"/>
      <c r="AL9" s="158" t="s">
        <v>504</v>
      </c>
      <c r="AM9" s="229" t="n">
        <f aca="false">Data!$R9</f>
        <v>40</v>
      </c>
      <c r="AN9" s="229" t="n">
        <f aca="false">Data!$W9</f>
        <v>1000</v>
      </c>
      <c r="AO9" s="222" t="n">
        <f aca="false">Data!$P9</f>
        <v>400</v>
      </c>
      <c r="AP9" s="222" t="n">
        <f aca="false">Data!$L9</f>
        <v>2</v>
      </c>
      <c r="AQ9" s="230" t="n">
        <v>-402520</v>
      </c>
      <c r="AR9" s="230" t="n">
        <v>79150746</v>
      </c>
      <c r="AS9" s="230" t="n">
        <v>411384</v>
      </c>
      <c r="AT9" s="230" t="n">
        <v>89323302</v>
      </c>
      <c r="AU9" s="108" t="n">
        <f aca="false">FATPOSITIONS!$I9</f>
        <v>78778910</v>
      </c>
      <c r="AV9" s="108" t="n">
        <f aca="false">FATPOSITIONS!$J9</f>
        <v>89084464</v>
      </c>
      <c r="AW9" s="231" t="n">
        <f aca="false">AR9+AJ9</f>
        <v>79150746</v>
      </c>
      <c r="AX9" s="231" t="n">
        <f aca="false">AT9+AJ9</f>
        <v>89323302</v>
      </c>
      <c r="AZ9" s="230" t="n">
        <v>1600</v>
      </c>
      <c r="BA9" s="271" t="n">
        <v>0.3</v>
      </c>
      <c r="BB9" s="232" t="n">
        <f aca="false">(AS9-AQ9)/AZ9</f>
        <v>508.69</v>
      </c>
      <c r="BC9" s="108" t="n">
        <f aca="false">IF(AM9=0,"",(AN9/AM9)*AO9)</f>
        <v>10000</v>
      </c>
      <c r="BD9" s="231" t="n">
        <f aca="false">IF(AR9="","",(AT9-AR9)*AO9*AP9/(AS9-AQ9))</f>
        <v>9998.77725137117</v>
      </c>
      <c r="BE9" s="230" t="n">
        <v>10000</v>
      </c>
      <c r="BF9" s="233" t="str">
        <f aca="false">Data!$S9</f>
        <v>10mm (±5mm)</v>
      </c>
      <c r="BG9" s="236" t="n">
        <f aca="false">IF(AQ9="","",(AS9-AQ9)/(AM9*AP9))</f>
        <v>10173.8</v>
      </c>
      <c r="BH9" s="236" t="n">
        <f aca="false">IF(AR9="","",(AT9-AR9)/AN9)</f>
        <v>10172.556</v>
      </c>
      <c r="BI9" s="235" t="str">
        <f aca="false">Data!$J9</f>
        <v>um</v>
      </c>
      <c r="BJ9" s="236" t="n">
        <f aca="false">AM9*AP9</f>
        <v>80</v>
      </c>
      <c r="BK9" s="236" t="n">
        <f aca="false">IFERROR(($AO9*$AP9)/($BE9/$AN9),0)</f>
        <v>80</v>
      </c>
      <c r="BL9" s="109" t="n">
        <v>80</v>
      </c>
      <c r="BM9" s="272" t="n">
        <v>1</v>
      </c>
      <c r="BN9" s="208" t="s">
        <v>505</v>
      </c>
      <c r="BO9" s="208" t="s">
        <v>516</v>
      </c>
      <c r="BP9" s="273" t="s">
        <v>507</v>
      </c>
      <c r="BQ9" s="272" t="n">
        <v>-84179.513</v>
      </c>
      <c r="BR9" s="236" t="n">
        <f aca="false">IF(BP9="FALSE",($BM9*($AQ9/$BL9)+$BQ9),($BM9*($AR9/$AN9)+$BQ9))</f>
        <v>-5028.76700000001</v>
      </c>
      <c r="BS9" s="236" t="n">
        <f aca="false">IF(BP9="FALSE",($BM9*($AS9/$BL9)+$BQ9),($BM9*($AT9/$AN9)+$BQ9))</f>
        <v>5143.78899999999</v>
      </c>
      <c r="BT9" s="107" t="n">
        <f aca="false">FATPOSITIONS!$L9</f>
        <v>78.77891</v>
      </c>
      <c r="BU9" s="107" t="n">
        <f aca="false">FATPOSITIONS!$M9</f>
        <v>89.084464</v>
      </c>
      <c r="BV9" s="236" t="str">
        <f aca="false">IFERROR($BM9*FATPOSITIONS!$N9+$BR9,"")</f>
        <v/>
      </c>
      <c r="BW9" s="236" t="str">
        <f aca="false">IFERROR(-$BM9*FATPOSITIONS!$O9+$BS9,"")</f>
        <v/>
      </c>
      <c r="BX9" s="221" t="str">
        <f aca="false">Data!$AK9</f>
        <v>-</v>
      </c>
      <c r="BY9" s="221" t="str">
        <f aca="false">Data!$AL9</f>
        <v>-</v>
      </c>
      <c r="BZ9" s="113" t="s">
        <v>253</v>
      </c>
      <c r="CC9" s="113" t="s">
        <v>253</v>
      </c>
      <c r="CD9" s="160" t="s">
        <v>514</v>
      </c>
      <c r="CE9" s="271" t="n">
        <v>0.1</v>
      </c>
      <c r="CF9" s="271" t="n">
        <v>40</v>
      </c>
      <c r="CG9" s="234" t="n">
        <f aca="false">$AY9/$AN9</f>
        <v>0</v>
      </c>
      <c r="CH9" s="234" t="n">
        <f aca="false">$CF9/($AP9*$AM9)</f>
        <v>0.5</v>
      </c>
      <c r="CI9" s="221" t="n">
        <f aca="false">Data!AO9</f>
        <v>0</v>
      </c>
      <c r="CJ9" s="221" t="n">
        <f aca="false">Data!AP9</f>
        <v>0</v>
      </c>
      <c r="CK9" s="271" t="n">
        <v>0</v>
      </c>
      <c r="CL9" s="271" t="n">
        <v>0</v>
      </c>
      <c r="CM9" s="271" t="n">
        <v>0.1</v>
      </c>
      <c r="CN9" s="271" t="n">
        <v>50</v>
      </c>
      <c r="CO9" s="233" t="n">
        <f aca="false">Data!$AQ9</f>
        <v>0</v>
      </c>
      <c r="CP9" s="271"/>
      <c r="CQ9" s="271"/>
      <c r="CR9" s="160" t="s">
        <v>519</v>
      </c>
      <c r="CS9" s="232" t="str">
        <f aca="false">"Step_per_unit:"&amp;$BL9&amp;";"&amp;"Offset:"&amp;$BQ9&amp;";"&amp;"Sign:"&amp;$BM9&amp;";"&amp;"EncoderSource:"&amp;$BN9&amp;";"&amp;"EncoderSourceFormula:"&amp;$BO9&amp;";"&amp;"UseEncoderSource:"&amp;$BP9</f>
        <v>Step_per_unit:80;Offset:-84179,513;Sign:1;EncoderSource:attr://EncAbsEnc;EncoderSourceFormula:VALUE/1000;UseEncoderSource:TRUE</v>
      </c>
      <c r="CT9" s="222" t="n">
        <f aca="false">Data!$AG9</f>
        <v>0</v>
      </c>
      <c r="CU9" s="156"/>
      <c r="CV9" s="222" t="n">
        <f aca="false">FATPOSITIONS!$H9</f>
        <v>84179513</v>
      </c>
      <c r="CW9" s="270" t="n">
        <v>0</v>
      </c>
      <c r="CY9" s="229" t="n">
        <f aca="false">Data!$AB9</f>
        <v>0</v>
      </c>
      <c r="CZ9" s="229" t="n">
        <f aca="false">Data!$AE9</f>
        <v>0</v>
      </c>
      <c r="DC9" s="108" t="e">
        <f aca="false">IF(K9="-","-",(CZ9/CY9)*AO9)</f>
        <v>#DIV/0!</v>
      </c>
      <c r="DD9" s="231" t="str">
        <f aca="false">IF(K9="-","-",IF(DA9="","",(DB9-DA9)*AO9*AP9/(AS9-AQ9)))</f>
        <v/>
      </c>
      <c r="DF9" s="233" t="str">
        <f aca="false">Data!$S9</f>
        <v>10mm (±5mm)</v>
      </c>
      <c r="DG9" s="234" t="str">
        <f aca="false">IF(K9="-","-",IF(DA9="","",(DB9-DA9)/CZ9))</f>
        <v/>
      </c>
      <c r="DH9" s="221" t="str">
        <f aca="false">Data!J9</f>
        <v>um</v>
      </c>
      <c r="DI9" s="236" t="n">
        <f aca="false">IFERROR(($AO9*$AP9)/($DE9/$CZ9),0)</f>
        <v>0</v>
      </c>
    </row>
    <row r="10" s="279" customFormat="true" ht="10.2" hidden="false" customHeight="false" outlineLevel="0" collapsed="false">
      <c r="A10" s="220"/>
      <c r="B10" s="220"/>
      <c r="C10" s="220"/>
      <c r="D10" s="275"/>
      <c r="E10" s="276"/>
      <c r="F10" s="275"/>
      <c r="G10" s="275"/>
      <c r="H10" s="275"/>
      <c r="I10" s="277"/>
      <c r="J10" s="277"/>
      <c r="K10" s="277"/>
      <c r="L10" s="277"/>
      <c r="M10" s="278"/>
      <c r="N10" s="277"/>
      <c r="O10" s="277"/>
      <c r="P10" s="277"/>
      <c r="Q10" s="277"/>
      <c r="R10" s="278"/>
      <c r="S10" s="278"/>
      <c r="T10" s="278"/>
      <c r="U10" s="278"/>
      <c r="V10" s="278"/>
      <c r="W10" s="278"/>
      <c r="X10" s="278"/>
      <c r="Y10" s="278"/>
      <c r="Z10" s="278"/>
      <c r="AA10" s="278"/>
      <c r="AF10" s="275"/>
      <c r="AH10" s="277"/>
      <c r="AI10" s="277"/>
      <c r="AJ10" s="277"/>
      <c r="AK10" s="277"/>
      <c r="AM10" s="278"/>
      <c r="AN10" s="278"/>
      <c r="AO10" s="277"/>
      <c r="AP10" s="277"/>
      <c r="AQ10" s="280"/>
      <c r="AR10" s="280"/>
      <c r="AS10" s="280"/>
      <c r="AT10" s="280"/>
      <c r="AU10" s="280"/>
      <c r="AV10" s="280"/>
      <c r="AW10" s="280"/>
      <c r="AX10" s="280"/>
      <c r="BB10" s="281"/>
      <c r="BC10" s="280"/>
      <c r="BD10" s="280"/>
      <c r="BF10" s="281"/>
      <c r="BG10" s="282"/>
      <c r="BH10" s="282"/>
      <c r="BI10" s="283"/>
      <c r="BJ10" s="282"/>
      <c r="BK10" s="282"/>
      <c r="BL10" s="284"/>
      <c r="BM10" s="284"/>
      <c r="BN10" s="282"/>
      <c r="BO10" s="282"/>
      <c r="BP10" s="282"/>
      <c r="BQ10" s="284"/>
      <c r="BR10" s="282"/>
      <c r="BS10" s="282"/>
      <c r="BT10" s="282"/>
      <c r="BU10" s="282"/>
      <c r="BV10" s="282"/>
      <c r="BW10" s="282"/>
      <c r="BZ10" s="277"/>
      <c r="CA10" s="277"/>
      <c r="CB10" s="277"/>
      <c r="CC10" s="277"/>
      <c r="CG10" s="283"/>
      <c r="CH10" s="283"/>
      <c r="CI10" s="283"/>
      <c r="CJ10" s="283"/>
      <c r="CK10" s="283"/>
      <c r="CS10" s="281"/>
      <c r="CT10" s="277"/>
      <c r="CU10" s="285"/>
      <c r="CV10" s="277"/>
      <c r="CW10" s="277"/>
      <c r="CY10" s="278"/>
      <c r="CZ10" s="278"/>
      <c r="DA10" s="280"/>
      <c r="DB10" s="280"/>
      <c r="DC10" s="280"/>
      <c r="DD10" s="280"/>
      <c r="DF10" s="281"/>
      <c r="DG10" s="283"/>
      <c r="DH10" s="283"/>
      <c r="DI10" s="282"/>
    </row>
    <row r="11" customFormat="false" ht="10.2" hidden="false" customHeight="false" outlineLevel="0" collapsed="false">
      <c r="A11" s="212" t="n">
        <f aca="false">Data!$A11</f>
        <v>11</v>
      </c>
      <c r="B11" s="212" t="str">
        <f aca="false">Data!$B11</f>
        <v>B316A-EA03-OPT-MIR-04</v>
      </c>
      <c r="C11" s="212" t="str">
        <f aca="false">Data!$C11</f>
        <v>Focusing Mirror M4 VERITAS</v>
      </c>
      <c r="D11" s="267" t="str">
        <f aca="false">Data!D11</f>
        <v>H4</v>
      </c>
      <c r="E11" s="224" t="str">
        <f aca="false">Data!$E11</f>
        <v>a_m4_h4</v>
      </c>
      <c r="F11" s="225" t="str">
        <f aca="false">Data!$G11</f>
        <v>Y</v>
      </c>
      <c r="G11" s="225" t="str">
        <f aca="false">Data!$H11</f>
        <v>N</v>
      </c>
      <c r="H11" s="225" t="str">
        <f aca="false">Data!$AM11</f>
        <v>2O</v>
      </c>
      <c r="I11" s="222" t="str">
        <f aca="true">INDEX(OFFSET(MOTION1!$A$1,0,0,SystemInfo!$B$1,1),MATCH(CONCATENATE(B11,D11),OFFSET(MOTION1!$J$1,0,0,SystemInfo!$B$1,1),0))</f>
        <v>W032664</v>
      </c>
      <c r="J11" s="222" t="str">
        <f aca="true">INDEX(OFFSET(MOTION3!$A$1,0,0,SystemInfo!$B$1,1),MATCH(CONCATENATE(B11,D11),OFFSET(MOTION3!$J$1,0,0,SystemInfo!$B$1,1),0))</f>
        <v>W032665</v>
      </c>
      <c r="L11" s="222" t="str">
        <f aca="true">INDEX(OFFSET(DISABLE!$A$1,0,0,SystemInfo!$B$1,1),MATCH(CONCATENATE(B11,D11),OFFSET(DISABLE!$J$1,0,0,SystemInfo!$B$1,1),0))</f>
        <v>-</v>
      </c>
      <c r="N11" s="222" t="str">
        <f aca="false">Data!$F11</f>
        <v>Oriental PK245M-02B unipolar 1 coil</v>
      </c>
      <c r="O11" s="222" t="str">
        <f aca="false">Data!$Y11</f>
        <v>Renishaw Resolute 32 bits BISS-C</v>
      </c>
      <c r="P11" s="107" t="n">
        <f aca="false">Data!$O11</f>
        <v>9.9</v>
      </c>
      <c r="Q11" s="107" t="n">
        <f aca="false">Data!$N11</f>
        <v>7.5</v>
      </c>
      <c r="R11" s="226" t="n">
        <v>7.1</v>
      </c>
      <c r="S11" s="226" t="n">
        <v>2.9</v>
      </c>
      <c r="T11" s="227" t="n">
        <f aca="false">IF(Q11="","-",IF(S11="","-",S11-Q11))</f>
        <v>-4.6</v>
      </c>
      <c r="U11" s="227" t="n">
        <f aca="false">Data!$M11*$S11</f>
        <v>2.32</v>
      </c>
      <c r="V11" s="227" t="n">
        <f aca="false">6.28*$R11*Data!$M11/8</f>
        <v>4.4588</v>
      </c>
      <c r="W11" s="269" t="n">
        <v>24</v>
      </c>
      <c r="X11" s="269" t="n">
        <v>12</v>
      </c>
      <c r="Y11" s="269" t="n">
        <v>0.8</v>
      </c>
      <c r="Z11" s="269" t="n">
        <v>50</v>
      </c>
      <c r="AA11" s="269"/>
      <c r="AB11" s="105" t="s">
        <v>248</v>
      </c>
      <c r="AC11" s="105" t="s">
        <v>248</v>
      </c>
      <c r="AD11" s="105" t="s">
        <v>503</v>
      </c>
      <c r="AE11" s="156" t="s">
        <v>248</v>
      </c>
      <c r="AF11" s="225" t="str">
        <f aca="false">Data!$AM11</f>
        <v>2O</v>
      </c>
      <c r="AG11" s="160" t="s">
        <v>513</v>
      </c>
      <c r="AH11" s="222" t="str">
        <f aca="false">Data!$Z11</f>
        <v>absolute</v>
      </c>
      <c r="AI11" s="222" t="n">
        <f aca="false">FATPOSITIONS!$H11</f>
        <v>84516617</v>
      </c>
      <c r="AJ11" s="270" t="n">
        <v>0</v>
      </c>
      <c r="AK11" s="270"/>
      <c r="AL11" s="158" t="s">
        <v>504</v>
      </c>
      <c r="AM11" s="229" t="n">
        <f aca="false">Data!$R11</f>
        <v>40</v>
      </c>
      <c r="AN11" s="229" t="n">
        <f aca="false">Data!$W11</f>
        <v>1000</v>
      </c>
      <c r="AO11" s="222" t="n">
        <f aca="false">Data!$P11</f>
        <v>400</v>
      </c>
      <c r="AP11" s="222" t="n">
        <f aca="false">Data!$L11</f>
        <v>2</v>
      </c>
      <c r="AQ11" s="230" t="n">
        <v>-404883</v>
      </c>
      <c r="AR11" s="230" t="n">
        <v>5409</v>
      </c>
      <c r="AS11" s="230" t="n">
        <v>415109</v>
      </c>
      <c r="AT11" s="230" t="n">
        <v>89699463</v>
      </c>
      <c r="AU11" s="108" t="n">
        <f aca="false">FATPOSITIONS!$I11</f>
        <v>79454625</v>
      </c>
      <c r="AV11" s="108" t="n">
        <f aca="false">FATPOSITIONS!$J11</f>
        <v>89489938</v>
      </c>
      <c r="AW11" s="231" t="n">
        <f aca="false">AR11+AJ11</f>
        <v>5409</v>
      </c>
      <c r="AX11" s="231" t="n">
        <f aca="false">AT11+AJ11</f>
        <v>89699463</v>
      </c>
      <c r="AZ11" s="230" t="n">
        <v>1600</v>
      </c>
      <c r="BA11" s="286" t="n">
        <v>0.3</v>
      </c>
      <c r="BB11" s="232" t="n">
        <f aca="false">(AS11-AQ11)/AZ11</f>
        <v>512.495</v>
      </c>
      <c r="BC11" s="108" t="n">
        <f aca="false">IF(AM11=0,"",(AN11/AM11)*AO11)</f>
        <v>10000</v>
      </c>
      <c r="BD11" s="231" t="n">
        <f aca="false">IF(AR11="","",(AT11-AR11)*AO11*AP11/(AS11-AQ11))</f>
        <v>87507.247875589</v>
      </c>
      <c r="BE11" s="230" t="n">
        <v>10000</v>
      </c>
      <c r="BF11" s="233" t="str">
        <f aca="false">Data!$S11</f>
        <v>10mm (±5mm)</v>
      </c>
      <c r="BG11" s="236" t="n">
        <f aca="false">IF(AQ11="","",(AS11-AQ11)/(AM11*AP11))</f>
        <v>10249.9</v>
      </c>
      <c r="BH11" s="236" t="n">
        <f aca="false">IF(AR11="","",(AT11-AR11)/AN11)</f>
        <v>89694.054</v>
      </c>
      <c r="BI11" s="235" t="str">
        <f aca="false">Data!$J11</f>
        <v>um</v>
      </c>
      <c r="BJ11" s="236" t="n">
        <f aca="false">AM11*AP11</f>
        <v>80</v>
      </c>
      <c r="BK11" s="236" t="n">
        <f aca="false">IFERROR(($AO11*$AP11)/($BE11/$AN11),0)</f>
        <v>80</v>
      </c>
      <c r="BL11" s="109" t="n">
        <v>80</v>
      </c>
      <c r="BM11" s="272" t="n">
        <v>1</v>
      </c>
      <c r="BN11" s="208" t="s">
        <v>505</v>
      </c>
      <c r="BO11" s="208" t="s">
        <v>516</v>
      </c>
      <c r="BP11" s="273" t="s">
        <v>507</v>
      </c>
      <c r="BQ11" s="272" t="n">
        <v>-84516.617</v>
      </c>
      <c r="BR11" s="236" t="n">
        <f aca="false">IF(BP11="FALSE",($BM11*($AQ11/$BL11)+$BQ11),($BM11*($AR11/$AN11)+$BQ11))</f>
        <v>-84511.208</v>
      </c>
      <c r="BS11" s="236" t="n">
        <f aca="false">IF(BP11="FALSE",($BM11*($AS11/$BL11)+$BQ11),($BM11*($AT11/$AN11)+$BQ11))</f>
        <v>5182.84600000001</v>
      </c>
      <c r="BT11" s="107" t="n">
        <f aca="false">FATPOSITIONS!$L11</f>
        <v>79.454625</v>
      </c>
      <c r="BU11" s="107" t="n">
        <f aca="false">FATPOSITIONS!$M11</f>
        <v>89.489938</v>
      </c>
      <c r="BV11" s="236" t="str">
        <f aca="false">IFERROR($BM11*FATPOSITIONS!$N11+$BR11,"")</f>
        <v/>
      </c>
      <c r="BW11" s="236" t="str">
        <f aca="false">IFERROR(-$BM11*FATPOSITIONS!$O11+$BS11,"")</f>
        <v/>
      </c>
      <c r="BX11" s="221" t="str">
        <f aca="false">Data!$AK11</f>
        <v>-</v>
      </c>
      <c r="BY11" s="221" t="str">
        <f aca="false">Data!$AL11</f>
        <v>-</v>
      </c>
      <c r="BZ11" s="113" t="s">
        <v>253</v>
      </c>
      <c r="CC11" s="113" t="s">
        <v>253</v>
      </c>
      <c r="CD11" s="160" t="s">
        <v>514</v>
      </c>
      <c r="CE11" s="271" t="n">
        <v>0.1</v>
      </c>
      <c r="CF11" s="271" t="n">
        <v>40</v>
      </c>
      <c r="CG11" s="234" t="n">
        <f aca="false">$AY11/$AN11</f>
        <v>0</v>
      </c>
      <c r="CH11" s="234" t="n">
        <f aca="false">$CF11/($AP11*$AM11)</f>
        <v>0.5</v>
      </c>
      <c r="CI11" s="221" t="n">
        <f aca="false">Data!AO11</f>
        <v>0</v>
      </c>
      <c r="CJ11" s="221" t="n">
        <f aca="false">Data!AP11</f>
        <v>0</v>
      </c>
      <c r="CK11" s="271" t="n">
        <v>0</v>
      </c>
      <c r="CL11" s="271" t="n">
        <v>0</v>
      </c>
      <c r="CM11" s="271" t="n">
        <v>0.1</v>
      </c>
      <c r="CN11" s="271" t="n">
        <v>50</v>
      </c>
      <c r="CO11" s="233" t="n">
        <f aca="false">Data!$AQ11</f>
        <v>0</v>
      </c>
      <c r="CP11" s="271"/>
      <c r="CQ11" s="271"/>
      <c r="CR11" s="160" t="s">
        <v>520</v>
      </c>
      <c r="CS11" s="232" t="str">
        <f aca="false">"Step_per_unit:"&amp;$BL11&amp;";"&amp;"Offset:"&amp;$BQ11&amp;";"&amp;"Sign:"&amp;$BM11&amp;";"&amp;"EncoderSource:"&amp;$BN11&amp;";"&amp;"EncoderSourceFormula:"&amp;$BO11&amp;";"&amp;"UseEncoderSource:"&amp;$BP11</f>
        <v>Step_per_unit:80;Offset:-84516.617;Sign:1;EncoderSource:attr://EncAbsEnc;EncoderSourceFormula:VALUE/1000;UseEncoderSource:TRUE</v>
      </c>
      <c r="CU11" s="274"/>
      <c r="CV11" s="222"/>
      <c r="CW11" s="270"/>
      <c r="DC11" s="108"/>
      <c r="DE11" s="160"/>
      <c r="DH11" s="221"/>
    </row>
    <row r="12" customFormat="false" ht="10.2" hidden="false" customHeight="false" outlineLevel="0" collapsed="false">
      <c r="A12" s="212" t="n">
        <f aca="false">Data!$A12</f>
        <v>12</v>
      </c>
      <c r="B12" s="212" t="str">
        <f aca="false">Data!$B12</f>
        <v>B316A-EA03-OPT-MIR-04</v>
      </c>
      <c r="C12" s="212" t="str">
        <f aca="false">Data!$C12</f>
        <v>Focusing Mirror M4 VERITAS</v>
      </c>
      <c r="D12" s="267" t="str">
        <f aca="false">Data!D12</f>
        <v>H5</v>
      </c>
      <c r="E12" s="224" t="str">
        <f aca="false">E13</f>
        <v>a_mp1_x</v>
      </c>
      <c r="F12" s="225" t="str">
        <f aca="false">Data!$G12</f>
        <v>Y</v>
      </c>
      <c r="G12" s="225" t="str">
        <f aca="false">Data!$H12</f>
        <v>N</v>
      </c>
      <c r="H12" s="225" t="str">
        <f aca="false">Data!$AM12</f>
        <v>2O</v>
      </c>
      <c r="I12" s="222" t="str">
        <f aca="true">INDEX(OFFSET(MOTION1!$A$1,0,0,SystemInfo!$B$1,1),MATCH(CONCATENATE(B12,D12),OFFSET(MOTION1!$J$1,0,0,SystemInfo!$B$1,1),0))</f>
        <v>W032666</v>
      </c>
      <c r="J12" s="222" t="str">
        <f aca="true">INDEX(OFFSET(MOTION3!$A$1,0,0,SystemInfo!$B$1,1),MATCH(CONCATENATE(B12,D12),OFFSET(MOTION3!$J$1,0,0,SystemInfo!$B$1,1),0))</f>
        <v>W032667</v>
      </c>
      <c r="L12" s="222" t="str">
        <f aca="true">INDEX(OFFSET(DISABLE!$A$1,0,0,SystemInfo!$B$1,1),MATCH(CONCATENATE(B12,D12),OFFSET(DISABLE!$J$1,0,0,SystemInfo!$B$1,1),0))</f>
        <v>-</v>
      </c>
      <c r="N12" s="222" t="str">
        <f aca="false">Data!$F12</f>
        <v>Oriental PK245M-02B unipolar 1 coil</v>
      </c>
      <c r="O12" s="222" t="str">
        <f aca="false">Data!$Y12</f>
        <v>Renishaw Resolute 32 bits BISS-C</v>
      </c>
      <c r="P12" s="222" t="n">
        <f aca="false">Data!$O12</f>
        <v>9.9</v>
      </c>
      <c r="Q12" s="222" t="n">
        <f aca="false">Data!$N12</f>
        <v>7.5</v>
      </c>
      <c r="R12" s="226" t="n">
        <v>7</v>
      </c>
      <c r="S12" s="226" t="n">
        <v>2.9</v>
      </c>
      <c r="T12" s="227" t="n">
        <f aca="false">IF(Q12="","-",IF(S12="","-",S12-Q12))</f>
        <v>-4.6</v>
      </c>
      <c r="U12" s="227" t="n">
        <f aca="false">Data!$M12*$S12</f>
        <v>2.32</v>
      </c>
      <c r="V12" s="227" t="n">
        <f aca="false">6.28*$R12*Data!$M12/8</f>
        <v>4.396</v>
      </c>
      <c r="W12" s="269" t="n">
        <v>24</v>
      </c>
      <c r="X12" s="269" t="n">
        <v>12</v>
      </c>
      <c r="Y12" s="269" t="n">
        <v>0.8</v>
      </c>
      <c r="Z12" s="269" t="n">
        <v>50</v>
      </c>
      <c r="AA12" s="269"/>
      <c r="AB12" s="105" t="s">
        <v>248</v>
      </c>
      <c r="AC12" s="105" t="s">
        <v>248</v>
      </c>
      <c r="AD12" s="105" t="s">
        <v>503</v>
      </c>
      <c r="AE12" s="156" t="s">
        <v>248</v>
      </c>
      <c r="AF12" s="225" t="str">
        <f aca="false">Data!$AM12</f>
        <v>2O</v>
      </c>
      <c r="AG12" s="160" t="s">
        <v>513</v>
      </c>
      <c r="AH12" s="222" t="str">
        <f aca="false">Data!$Z12</f>
        <v>absolute</v>
      </c>
      <c r="AI12" s="222" t="n">
        <f aca="false">FATPOSITIONS!$H12</f>
        <v>84135330</v>
      </c>
      <c r="AJ12" s="270" t="n">
        <v>0</v>
      </c>
      <c r="AK12" s="270"/>
      <c r="AL12" s="158" t="s">
        <v>504</v>
      </c>
      <c r="AM12" s="229" t="n">
        <f aca="false">Data!$R12</f>
        <v>40</v>
      </c>
      <c r="AN12" s="229" t="n">
        <f aca="false">Data!$W12</f>
        <v>1000</v>
      </c>
      <c r="AO12" s="222" t="n">
        <f aca="false">Data!$P12</f>
        <v>400</v>
      </c>
      <c r="AP12" s="222" t="n">
        <f aca="false">Data!$L12</f>
        <v>2</v>
      </c>
      <c r="AQ12" s="230" t="n">
        <v>-424114</v>
      </c>
      <c r="AR12" s="230" t="n">
        <v>78842287</v>
      </c>
      <c r="AS12" s="230" t="n">
        <v>435322</v>
      </c>
      <c r="AT12" s="230" t="n">
        <v>89574879</v>
      </c>
      <c r="AU12" s="108" t="n">
        <f aca="false">FATPOSITIONS!$I12</f>
        <v>79187845</v>
      </c>
      <c r="AV12" s="108" t="n">
        <f aca="false">FATPOSITIONS!$J12</f>
        <v>89575714</v>
      </c>
      <c r="AW12" s="231" t="n">
        <f aca="false">AR12+AJ12</f>
        <v>78842287</v>
      </c>
      <c r="AX12" s="231" t="n">
        <f aca="false">AT12+AJ12</f>
        <v>89574879</v>
      </c>
      <c r="AZ12" s="230" t="n">
        <v>1600</v>
      </c>
      <c r="BA12" s="286" t="n">
        <v>0.3</v>
      </c>
      <c r="BB12" s="232" t="n">
        <f aca="false">(AS12-AQ12)/AZ12</f>
        <v>537.1475</v>
      </c>
      <c r="BC12" s="108" t="n">
        <f aca="false">IF(AM12=0,"",(AN12/AM12)*AO12)</f>
        <v>10000</v>
      </c>
      <c r="BD12" s="231" t="n">
        <f aca="false">IF(AR12="","",(AT12-AR12)*AO12*AP12/(AS12-AQ12))</f>
        <v>9990.35832801977</v>
      </c>
      <c r="BE12" s="230" t="n">
        <v>10000</v>
      </c>
      <c r="BF12" s="233" t="str">
        <f aca="false">Data!$S12</f>
        <v>10mm (±5mm)</v>
      </c>
      <c r="BG12" s="236" t="n">
        <f aca="false">IF(AQ12="","",(AS12-AQ12)/(AM12*AP12))</f>
        <v>10742.95</v>
      </c>
      <c r="BH12" s="236" t="n">
        <f aca="false">IF(AR12="","",(AT12-AR12)/AN12)</f>
        <v>10732.592</v>
      </c>
      <c r="BI12" s="235" t="str">
        <f aca="false">Data!$J12</f>
        <v>um</v>
      </c>
      <c r="BJ12" s="236" t="n">
        <f aca="false">AM12*AP12</f>
        <v>80</v>
      </c>
      <c r="BK12" s="236" t="n">
        <f aca="false">IFERROR(($AO12*$AP12)/($BE12/$AN12),0)</f>
        <v>80</v>
      </c>
      <c r="BL12" s="109" t="n">
        <v>80</v>
      </c>
      <c r="BM12" s="272" t="n">
        <v>1</v>
      </c>
      <c r="BN12" s="208" t="s">
        <v>505</v>
      </c>
      <c r="BO12" s="208" t="s">
        <v>516</v>
      </c>
      <c r="BP12" s="273" t="s">
        <v>507</v>
      </c>
      <c r="BQ12" s="272" t="n">
        <v>-84135.33</v>
      </c>
      <c r="BR12" s="236" t="n">
        <f aca="false">IF(BP12="FALSE",($BM12*($AQ12/$BL12)+$BQ12),($BM12*($AR12/$AN12)+$BQ12))</f>
        <v>-5293.04300000001</v>
      </c>
      <c r="BS12" s="236" t="n">
        <f aca="false">IF(BP12="FALSE",($BM12*($AS12/$BL12)+$BQ12),($BM12*($AT12/$AN12)+$BQ12))</f>
        <v>5439.549</v>
      </c>
      <c r="BT12" s="107" t="n">
        <f aca="false">FATPOSITIONS!$L12</f>
        <v>79.187845</v>
      </c>
      <c r="BU12" s="107" t="n">
        <f aca="false">FATPOSITIONS!$M12</f>
        <v>89.575714</v>
      </c>
      <c r="BV12" s="236" t="str">
        <f aca="false">IFERROR($BM12*FATPOSITIONS!$N12+$BR12,"")</f>
        <v/>
      </c>
      <c r="BW12" s="236" t="str">
        <f aca="false">IFERROR(-$BM12*FATPOSITIONS!$O12+$BS12,"")</f>
        <v/>
      </c>
      <c r="BX12" s="221" t="str">
        <f aca="false">Data!$AK12</f>
        <v>-</v>
      </c>
      <c r="BY12" s="221" t="str">
        <f aca="false">Data!$AL12</f>
        <v>-</v>
      </c>
      <c r="BZ12" s="113" t="s">
        <v>253</v>
      </c>
      <c r="CC12" s="113" t="s">
        <v>253</v>
      </c>
      <c r="CD12" s="160" t="s">
        <v>514</v>
      </c>
      <c r="CE12" s="271" t="n">
        <v>0.1</v>
      </c>
      <c r="CF12" s="271" t="n">
        <v>40</v>
      </c>
      <c r="CG12" s="234" t="n">
        <f aca="false">$AY12/$AN12</f>
        <v>0</v>
      </c>
      <c r="CH12" s="234" t="n">
        <f aca="false">$CF12/($AP12*$AM12)</f>
        <v>0.5</v>
      </c>
      <c r="CI12" s="221" t="n">
        <f aca="false">Data!AO12</f>
        <v>0</v>
      </c>
      <c r="CJ12" s="221" t="n">
        <f aca="false">Data!AP12</f>
        <v>0</v>
      </c>
      <c r="CK12" s="271" t="n">
        <v>0</v>
      </c>
      <c r="CL12" s="271" t="n">
        <v>0</v>
      </c>
      <c r="CM12" s="271" t="n">
        <v>0.1</v>
      </c>
      <c r="CN12" s="271" t="n">
        <v>50</v>
      </c>
      <c r="CO12" s="233" t="n">
        <f aca="false">Data!$AQ12</f>
        <v>0</v>
      </c>
      <c r="CP12" s="271"/>
      <c r="CQ12" s="271"/>
      <c r="CR12" s="160" t="s">
        <v>521</v>
      </c>
      <c r="CS12" s="232" t="str">
        <f aca="false">"Step_per_unit:"&amp;$BL12&amp;";"&amp;"Offset:"&amp;$BQ12&amp;";"&amp;"Sign:"&amp;$BM12&amp;";"&amp;"EncoderSource:"&amp;$BN12&amp;";"&amp;"EncoderSourceFormula:"&amp;$BO12&amp;";"&amp;"UseEncoderSource:"&amp;$BP12</f>
        <v>Step_per_unit:80;Offset:-84135,33;Sign:1;EncoderSource:attr://EncAbsEnc;EncoderSourceFormula:VALUE/1000;UseEncoderSource:TRUE</v>
      </c>
      <c r="CU12" s="156"/>
      <c r="CV12" s="222"/>
      <c r="CW12" s="270"/>
      <c r="DC12" s="108"/>
      <c r="DE12" s="160"/>
      <c r="DH12" s="221"/>
    </row>
    <row r="13" customFormat="false" ht="10.2" hidden="false" customHeight="false" outlineLevel="0" collapsed="false">
      <c r="A13" s="212" t="n">
        <f aca="false">Data!$A13</f>
        <v>13</v>
      </c>
      <c r="B13" s="212" t="str">
        <f aca="false">Data!$B13</f>
        <v>B316A-EA04-DIA-MP-01</v>
      </c>
      <c r="C13" s="212" t="str">
        <f aca="false">Data!$C13</f>
        <v>Manipulator VERITAS</v>
      </c>
      <c r="D13" s="267" t="str">
        <f aca="false">Data!D13</f>
        <v>X</v>
      </c>
      <c r="E13" s="224" t="str">
        <f aca="false">Data!$E13</f>
        <v>a_mp1_x</v>
      </c>
      <c r="F13" s="225" t="str">
        <f aca="false">Data!$G13</f>
        <v>Y</v>
      </c>
      <c r="G13" s="225" t="str">
        <f aca="false">Data!$H13</f>
        <v>N</v>
      </c>
      <c r="H13" s="225" t="str">
        <f aca="false">Data!$AM13</f>
        <v>OPEN</v>
      </c>
      <c r="I13" s="222" t="str">
        <f aca="true">INDEX(OFFSET(MOTION1!$A$1,0,0,SystemInfo!$B$1,1),MATCH(CONCATENATE(B13,D13),OFFSET(MOTION1!$J$1,0,0,SystemInfo!$B$1,1),0))</f>
        <v>W050216</v>
      </c>
      <c r="J13" s="222" t="str">
        <f aca="true">INDEX(OFFSET(MOTION3!$A$1,0,0,SystemInfo!$B$1,1),MATCH(CONCATENATE(B13,D13),OFFSET(MOTION3!$J$1,0,0,SystemInfo!$B$1,1),0))</f>
        <v>W050217</v>
      </c>
      <c r="L13" s="222" t="e">
        <f aca="true">INDEX(OFFSET(DISABLE!$A$1,0,0,SystemInfo!$B$1,1),MATCH(CONCATENATE(B13,D13),OFFSET(DISABLE!$J$1,0,0,SystemInfo!$B$1,1),0))</f>
        <v>#N/A</v>
      </c>
      <c r="N13" s="222" t="str">
        <f aca="false">Data!$F13</f>
        <v>Oriental PK245M-02B series</v>
      </c>
      <c r="O13" s="222" t="str">
        <f aca="false">Data!$Y13</f>
        <v>Renishaw Resolute 32 bits BISS-C</v>
      </c>
      <c r="P13" s="222" t="n">
        <f aca="false">Data!$O13</f>
        <v>39.6</v>
      </c>
      <c r="Q13" s="222" t="n">
        <f aca="false">Data!$N13</f>
        <v>15</v>
      </c>
      <c r="R13" s="226" t="n">
        <v>37</v>
      </c>
      <c r="S13" s="226" t="n">
        <v>15.2</v>
      </c>
      <c r="T13" s="227" t="n">
        <f aca="false">IF(Q13="","-",IF(S13="","-",S13-Q13))</f>
        <v>0.199999999999999</v>
      </c>
      <c r="U13" s="227" t="n">
        <f aca="false">Data!$M13*$S13</f>
        <v>12.16</v>
      </c>
      <c r="V13" s="227" t="n">
        <f aca="false">6.28*$R13*Data!$M13/8</f>
        <v>23.236</v>
      </c>
      <c r="W13" s="269" t="n">
        <v>48</v>
      </c>
      <c r="X13" s="269" t="n">
        <v>12</v>
      </c>
      <c r="Y13" s="269" t="n">
        <v>0.8</v>
      </c>
      <c r="Z13" s="269" t="n">
        <v>50</v>
      </c>
      <c r="AA13" s="269"/>
      <c r="AB13" s="105" t="s">
        <v>248</v>
      </c>
      <c r="AC13" s="105" t="s">
        <v>248</v>
      </c>
      <c r="AD13" s="105" t="s">
        <v>503</v>
      </c>
      <c r="AE13" s="156" t="s">
        <v>248</v>
      </c>
      <c r="AF13" s="225" t="str">
        <f aca="false">Data!$AM13</f>
        <v>OPEN</v>
      </c>
      <c r="AG13" s="160" t="s">
        <v>504</v>
      </c>
      <c r="AH13" s="222" t="str">
        <f aca="false">Data!$Z13</f>
        <v>absolute</v>
      </c>
      <c r="AI13" s="222" t="n">
        <f aca="false">FATPOSITIONS!$H13</f>
        <v>0</v>
      </c>
      <c r="AJ13" s="270" t="n">
        <v>0</v>
      </c>
      <c r="AK13" s="270"/>
      <c r="AL13" s="158" t="s">
        <v>504</v>
      </c>
      <c r="AM13" s="229" t="n">
        <f aca="false">Data!$R13</f>
        <v>200</v>
      </c>
      <c r="AN13" s="229" t="n">
        <f aca="false">Data!$W13</f>
        <v>1000000</v>
      </c>
      <c r="AO13" s="222" t="n">
        <f aca="false">Data!$P13</f>
        <v>400</v>
      </c>
      <c r="AP13" s="222" t="n">
        <f aca="false">Data!$L13</f>
        <v>2</v>
      </c>
      <c r="AQ13" s="230" t="n">
        <v>25409</v>
      </c>
      <c r="AR13" s="230" t="n">
        <v>63546787</v>
      </c>
      <c r="AS13" s="230" t="n">
        <v>37468</v>
      </c>
      <c r="AT13" s="230" t="n">
        <v>93644801</v>
      </c>
      <c r="AU13" s="108" t="n">
        <f aca="false">FATPOSITIONS!$I13</f>
        <v>0</v>
      </c>
      <c r="AV13" s="108" t="n">
        <f aca="false">FATPOSITIONS!$J13</f>
        <v>0</v>
      </c>
      <c r="AW13" s="231" t="n">
        <f aca="false">AR13+AJ13</f>
        <v>63546787</v>
      </c>
      <c r="AX13" s="231" t="n">
        <f aca="false">AT13+AJ13</f>
        <v>93644801</v>
      </c>
      <c r="AZ13" s="230" t="n">
        <v>100</v>
      </c>
      <c r="BA13" s="271" t="n">
        <v>0.5</v>
      </c>
      <c r="BB13" s="232" t="n">
        <f aca="false">(AS13-AQ13)/AZ13</f>
        <v>120.59</v>
      </c>
      <c r="BC13" s="108" t="n">
        <f aca="false">IF(AM13=0,"",(AN13/AM13)*AO13)</f>
        <v>2000000</v>
      </c>
      <c r="BD13" s="231" t="n">
        <f aca="false">IF(AR13="","",(AT13-AR13)*AO13*AP13/(AS13-AQ13))</f>
        <v>1996717.07438428</v>
      </c>
      <c r="BE13" s="230" t="n">
        <v>2000000</v>
      </c>
      <c r="BF13" s="233" t="str">
        <f aca="false">Data!$S13</f>
        <v>±15mm</v>
      </c>
      <c r="BG13" s="236" t="n">
        <f aca="false">IF(AQ13="","",(AS13-AQ13)/(AM13*AP13))</f>
        <v>30.1475</v>
      </c>
      <c r="BH13" s="236" t="n">
        <f aca="false">IF(AR13="","",(AT13-AR13)/AN13)</f>
        <v>30.098014</v>
      </c>
      <c r="BI13" s="235" t="str">
        <f aca="false">Data!$J13</f>
        <v>mm</v>
      </c>
      <c r="BJ13" s="236" t="n">
        <f aca="false">AM13*AP13</f>
        <v>400</v>
      </c>
      <c r="BK13" s="236" t="n">
        <f aca="false">IFERROR(($AO13*$AP13)/($BE13/$AN13),0)</f>
        <v>400</v>
      </c>
      <c r="BL13" s="109" t="n">
        <v>400</v>
      </c>
      <c r="BM13" s="272" t="n">
        <v>1</v>
      </c>
      <c r="BN13" s="208" t="s">
        <v>505</v>
      </c>
      <c r="BO13" s="208" t="s">
        <v>506</v>
      </c>
      <c r="BP13" s="273" t="s">
        <v>507</v>
      </c>
      <c r="BQ13" s="272"/>
      <c r="BR13" s="236" t="n">
        <f aca="false">IF(BP13="FALSE",($BM13*($AQ13/$BL13)+$BQ13),($BM13*($AR13/$AN13)+$BQ13))</f>
        <v>63.546787</v>
      </c>
      <c r="BS13" s="236" t="n">
        <f aca="false">IF(BP13="FALSE",($BM13*($AS13/$BL13)+$BQ13),($BM13*($AT13/$AN13)+$BQ13))</f>
        <v>93.644801</v>
      </c>
      <c r="BT13" s="107" t="n">
        <f aca="false">FATPOSITIONS!$L13</f>
        <v>0</v>
      </c>
      <c r="BU13" s="107" t="n">
        <f aca="false">FATPOSITIONS!$M13</f>
        <v>0</v>
      </c>
      <c r="BV13" s="236" t="n">
        <f aca="false">IFERROR($BM13*FATPOSITIONS!$N13+$BR13,"")</f>
        <v>63.546787</v>
      </c>
      <c r="BW13" s="236" t="n">
        <f aca="false">IFERROR(-$BM13*FATPOSITIONS!$O13+$BS13,"")</f>
        <v>93.644801</v>
      </c>
      <c r="BX13" s="221" t="n">
        <f aca="false">Data!$AK13</f>
        <v>0</v>
      </c>
      <c r="BY13" s="221" t="n">
        <f aca="false">Data!$AL13</f>
        <v>0</v>
      </c>
      <c r="CO13" s="221"/>
      <c r="CS13" s="232" t="str">
        <f aca="false">"Step_per_unit:"&amp;$BL13&amp;";"&amp;"Offset:"&amp;$BQ13&amp;";"&amp;"Sign:"&amp;$BM13&amp;";"&amp;"EncoderSource:"&amp;$BN13&amp;";"&amp;"EncoderSourceFormula:"&amp;$BO13&amp;";"&amp;"UseEncoderSource:"&amp;$BP13</f>
        <v>Step_per_unit:400;Offset:;Sign:1;EncoderSource:attr://EncAbsEnc;EncoderSourceFormula:VALUE/1000000;UseEncoderSource:TRUE</v>
      </c>
      <c r="CU13" s="156"/>
      <c r="CV13" s="222"/>
      <c r="CW13" s="270"/>
      <c r="DC13" s="108"/>
      <c r="DE13" s="160"/>
      <c r="DH13" s="221"/>
    </row>
    <row r="14" customFormat="false" ht="10.2" hidden="false" customHeight="false" outlineLevel="0" collapsed="false">
      <c r="A14" s="212" t="n">
        <f aca="false">Data!$A14</f>
        <v>14</v>
      </c>
      <c r="B14" s="212" t="str">
        <f aca="false">Data!$B14</f>
        <v>B316A-EA04-DIA-MP-01</v>
      </c>
      <c r="C14" s="212" t="str">
        <f aca="false">Data!$C14</f>
        <v>Manipulator VERITAS</v>
      </c>
      <c r="D14" s="267" t="str">
        <f aca="false">Data!D14</f>
        <v>Z</v>
      </c>
      <c r="E14" s="224" t="str">
        <f aca="false">Data!$E14</f>
        <v>a_mp1_z</v>
      </c>
      <c r="F14" s="225" t="str">
        <f aca="false">Data!$G14</f>
        <v>Y</v>
      </c>
      <c r="G14" s="225" t="str">
        <f aca="false">Data!$H14</f>
        <v>N</v>
      </c>
      <c r="H14" s="225" t="str">
        <f aca="false">Data!$AM14</f>
        <v>OPEN</v>
      </c>
      <c r="I14" s="222" t="str">
        <f aca="true">INDEX(OFFSET(MOTION1!$A$1,0,0,SystemInfo!$B$1,1),MATCH(CONCATENATE(B14,D14),OFFSET(MOTION1!$J$1,0,0,SystemInfo!$B$1,1),0))</f>
        <v>W050218</v>
      </c>
      <c r="J14" s="222" t="str">
        <f aca="true">INDEX(OFFSET(MOTION3!$A$1,0,0,SystemInfo!$B$1,1),MATCH(CONCATENATE(B14,D14),OFFSET(MOTION3!$J$1,0,0,SystemInfo!$B$1,1),0))</f>
        <v>W050219</v>
      </c>
      <c r="L14" s="222" t="e">
        <f aca="true">INDEX(OFFSET(DISABLE!$A$1,0,0,SystemInfo!$B$1,1),MATCH(CONCATENATE(B14,D14),OFFSET(DISABLE!$J$1,0,0,SystemInfo!$B$1,1),0))</f>
        <v>#N/A</v>
      </c>
      <c r="N14" s="222" t="str">
        <f aca="false">Data!$F14</f>
        <v>Oriental PK245M-02B series</v>
      </c>
      <c r="O14" s="222" t="str">
        <f aca="false">Data!$Y14</f>
        <v>Renishaw Resolute 32 bits BISS-C</v>
      </c>
      <c r="P14" s="222" t="n">
        <f aca="false">Data!$O14</f>
        <v>39.6</v>
      </c>
      <c r="Q14" s="222" t="n">
        <f aca="false">Data!$N14</f>
        <v>15</v>
      </c>
      <c r="R14" s="226" t="n">
        <v>38.66</v>
      </c>
      <c r="S14" s="226" t="n">
        <v>15.5</v>
      </c>
      <c r="T14" s="227" t="n">
        <f aca="false">IF(Q14="","-",IF(S14="","-",S14-Q14))</f>
        <v>0.5</v>
      </c>
      <c r="U14" s="227" t="n">
        <f aca="false">Data!$M14*$S14</f>
        <v>12.4</v>
      </c>
      <c r="V14" s="227" t="n">
        <f aca="false">6.28*$R14*Data!$M14/8</f>
        <v>24.27848</v>
      </c>
      <c r="W14" s="269" t="n">
        <v>48</v>
      </c>
      <c r="X14" s="269" t="n">
        <v>12</v>
      </c>
      <c r="Y14" s="269" t="n">
        <v>0.8</v>
      </c>
      <c r="Z14" s="269" t="n">
        <v>50</v>
      </c>
      <c r="AA14" s="269"/>
      <c r="AB14" s="105" t="s">
        <v>248</v>
      </c>
      <c r="AC14" s="105" t="s">
        <v>248</v>
      </c>
      <c r="AD14" s="105" t="s">
        <v>503</v>
      </c>
      <c r="AE14" s="156" t="s">
        <v>248</v>
      </c>
      <c r="AF14" s="225" t="str">
        <f aca="false">Data!$AM14</f>
        <v>OPEN</v>
      </c>
      <c r="AG14" s="160" t="s">
        <v>504</v>
      </c>
      <c r="AH14" s="222" t="str">
        <f aca="false">Data!$Z14</f>
        <v>absolute</v>
      </c>
      <c r="AI14" s="222" t="n">
        <f aca="false">FATPOSITIONS!$H14</f>
        <v>0</v>
      </c>
      <c r="AJ14" s="270" t="n">
        <v>0</v>
      </c>
      <c r="AK14" s="270"/>
      <c r="AL14" s="158" t="s">
        <v>504</v>
      </c>
      <c r="AM14" s="229" t="n">
        <f aca="false">Data!$R14</f>
        <v>200</v>
      </c>
      <c r="AN14" s="229" t="n">
        <f aca="false">Data!$W14</f>
        <v>1000000</v>
      </c>
      <c r="AO14" s="222" t="n">
        <f aca="false">Data!$P14</f>
        <v>400</v>
      </c>
      <c r="AP14" s="222" t="n">
        <f aca="false">Data!$L14</f>
        <v>2</v>
      </c>
      <c r="AQ14" s="230" t="n">
        <v>2591</v>
      </c>
      <c r="AR14" s="230" t="n">
        <v>6504094</v>
      </c>
      <c r="AS14" s="230" t="n">
        <v>14536</v>
      </c>
      <c r="AT14" s="230" t="n">
        <v>36322435</v>
      </c>
      <c r="AU14" s="108" t="n">
        <f aca="false">FATPOSITIONS!$I14</f>
        <v>0</v>
      </c>
      <c r="AV14" s="108" t="n">
        <f aca="false">FATPOSITIONS!$J14</f>
        <v>0</v>
      </c>
      <c r="AW14" s="231" t="n">
        <f aca="false">AR14+AJ14</f>
        <v>6504094</v>
      </c>
      <c r="AX14" s="231" t="n">
        <f aca="false">AT14+AJ14</f>
        <v>36322435</v>
      </c>
      <c r="AY14" s="271"/>
      <c r="AZ14" s="160" t="s">
        <v>522</v>
      </c>
      <c r="BA14" s="286" t="n">
        <v>0.5</v>
      </c>
      <c r="BB14" s="232" t="n">
        <f aca="false">(AS14-AQ14)/AZ14</f>
        <v>119.45</v>
      </c>
      <c r="BC14" s="108" t="n">
        <f aca="false">IF(AM14=0,"",(AN14/AM14)*AO14)</f>
        <v>2000000</v>
      </c>
      <c r="BD14" s="231" t="n">
        <f aca="false">IF(AR14="","",(AT14-AR14)*AO14*AP14/(AS14-AQ14))</f>
        <v>1997042.51151109</v>
      </c>
      <c r="BE14" s="160" t="s">
        <v>523</v>
      </c>
      <c r="BF14" s="233" t="str">
        <f aca="false">Data!$S14</f>
        <v>±15mm</v>
      </c>
      <c r="BG14" s="236" t="n">
        <f aca="false">IF(AQ14="","",(AS14-AQ14)/(AM14*AP14))</f>
        <v>29.8625</v>
      </c>
      <c r="BH14" s="236" t="n">
        <f aca="false">IF(AR14="","",(AT14-AR14)/AN14)</f>
        <v>29.818341</v>
      </c>
      <c r="BI14" s="235" t="str">
        <f aca="false">Data!$J14</f>
        <v>mm</v>
      </c>
      <c r="BJ14" s="236" t="n">
        <f aca="false">AM14*AP14</f>
        <v>400</v>
      </c>
      <c r="BK14" s="236" t="n">
        <f aca="false">IFERROR(($AO14*$AP14)/($BE14/$AN14),0)</f>
        <v>400</v>
      </c>
      <c r="BL14" s="109" t="n">
        <v>400</v>
      </c>
      <c r="BM14" s="272" t="n">
        <v>1</v>
      </c>
      <c r="BN14" s="208" t="s">
        <v>505</v>
      </c>
      <c r="BO14" s="208" t="s">
        <v>506</v>
      </c>
      <c r="BP14" s="273" t="s">
        <v>507</v>
      </c>
      <c r="BQ14" s="272"/>
      <c r="BR14" s="236" t="n">
        <f aca="false">IF(BP14="FALSE",($BM14*($AQ14/$BL14)+$BQ14),($BM14*($AR14/$AN14)+$BQ14))</f>
        <v>6.504094</v>
      </c>
      <c r="BS14" s="236" t="n">
        <f aca="false">IF(BP14="FALSE",($BM14*($AS14/$BL14)+$BQ14),($BM14*($AT14/$AN14)+$BQ14))</f>
        <v>36.322435</v>
      </c>
      <c r="BT14" s="107" t="n">
        <f aca="false">FATPOSITIONS!$L14</f>
        <v>0</v>
      </c>
      <c r="BU14" s="107" t="n">
        <f aca="false">FATPOSITIONS!$M14</f>
        <v>0</v>
      </c>
      <c r="BV14" s="236" t="n">
        <f aca="false">IFERROR($BM14*FATPOSITIONS!$N14+$BR14,"")</f>
        <v>6.504094</v>
      </c>
      <c r="BW14" s="236" t="n">
        <f aca="false">IFERROR(-$BM14*FATPOSITIONS!$O14+$BS14,"")</f>
        <v>36.322435</v>
      </c>
      <c r="BX14" s="221" t="n">
        <f aca="false">Data!$AK14</f>
        <v>0</v>
      </c>
      <c r="BY14" s="221" t="n">
        <f aca="false">Data!$AL14</f>
        <v>0</v>
      </c>
      <c r="CO14" s="221"/>
      <c r="CS14" s="232" t="str">
        <f aca="false">"Step_per_unit:"&amp;$BL14&amp;";"&amp;"Offset:"&amp;$BQ14&amp;";"&amp;"Sign:"&amp;$BM14&amp;";"&amp;"EncoderSource:"&amp;$BN14&amp;";"&amp;"EncoderSourceFormula:"&amp;$BO14&amp;";"&amp;"UseEncoderSource:"&amp;$BP14</f>
        <v>Step_per_unit:400;Offset:;Sign:1;EncoderSource:attr://EncAbsEnc;EncoderSourceFormula:VALUE/1000000;UseEncoderSource:TRUE</v>
      </c>
      <c r="CU14" s="156"/>
      <c r="CV14" s="222"/>
      <c r="CW14" s="270"/>
      <c r="DC14" s="108"/>
      <c r="DE14" s="160"/>
      <c r="DH14" s="221"/>
    </row>
    <row r="15" customFormat="false" ht="10.2" hidden="false" customHeight="false" outlineLevel="0" collapsed="false">
      <c r="A15" s="212" t="n">
        <f aca="false">Data!$A15</f>
        <v>15</v>
      </c>
      <c r="B15" s="212" t="str">
        <f aca="false">Data!$B15</f>
        <v>B316A-EA04-DIA-MP-01</v>
      </c>
      <c r="C15" s="212" t="str">
        <f aca="false">Data!$C15</f>
        <v>Manipulator VERITAS</v>
      </c>
      <c r="D15" s="267" t="str">
        <f aca="false">Data!D15</f>
        <v>Y</v>
      </c>
      <c r="E15" s="224" t="str">
        <f aca="false">Data!$E15</f>
        <v>a_mp1_y</v>
      </c>
      <c r="F15" s="225" t="str">
        <f aca="false">Data!$G15</f>
        <v>Y</v>
      </c>
      <c r="G15" s="225" t="str">
        <f aca="false">Data!$H15</f>
        <v>N</v>
      </c>
      <c r="H15" s="225" t="str">
        <f aca="false">Data!$AM15</f>
        <v>OPEN</v>
      </c>
      <c r="I15" s="222" t="str">
        <f aca="true">INDEX(OFFSET(MOTION1!$A$1,0,0,SystemInfo!$B$1,1),MATCH(CONCATENATE(B15,D15),OFFSET(MOTION1!$J$1,0,0,SystemInfo!$B$1,1),0))</f>
        <v>W050220</v>
      </c>
      <c r="J15" s="222" t="str">
        <f aca="true">INDEX(OFFSET(MOTION3!$A$1,0,0,SystemInfo!$B$1,1),MATCH(CONCATENATE(B15,D15),OFFSET(MOTION3!$J$1,0,0,SystemInfo!$B$1,1),0))</f>
        <v>W050221</v>
      </c>
      <c r="L15" s="222" t="e">
        <f aca="true">INDEX(OFFSET(DISABLE!$A$1,0,0,SystemInfo!$B$1,1),MATCH(CONCATENATE(B15,D15),OFFSET(DISABLE!$J$1,0,0,SystemInfo!$B$1,1),0))</f>
        <v>#N/A</v>
      </c>
      <c r="N15" s="222" t="str">
        <f aca="false">Data!$F15</f>
        <v>Oriental PK264M-E2.0 parallel</v>
      </c>
      <c r="O15" s="222" t="str">
        <f aca="false">Data!$Y15</f>
        <v>Renishaw Resolute 32 bits BISS-C</v>
      </c>
      <c r="P15" s="222" t="n">
        <f aca="false">Data!$O15</f>
        <v>1.7</v>
      </c>
      <c r="Q15" s="222" t="n">
        <f aca="false">Data!$N15</f>
        <v>0.7</v>
      </c>
      <c r="R15" s="226" t="n">
        <v>1.249</v>
      </c>
      <c r="S15" s="226" t="n">
        <v>1</v>
      </c>
      <c r="T15" s="227" t="n">
        <f aca="false">IF(Q15="","-",IF(S15="","-",S15-Q15))</f>
        <v>0.3</v>
      </c>
      <c r="U15" s="227" t="n">
        <f aca="false">Data!$M15*$S15</f>
        <v>3.9</v>
      </c>
      <c r="V15" s="227" t="n">
        <f aca="false">6.28*$R15*Data!$M15/8</f>
        <v>3.8238135</v>
      </c>
      <c r="W15" s="269" t="n">
        <v>48</v>
      </c>
      <c r="X15" s="269" t="n">
        <v>12</v>
      </c>
      <c r="Y15" s="269" t="n">
        <v>3.5</v>
      </c>
      <c r="Z15" s="269" t="n">
        <v>90</v>
      </c>
      <c r="AA15" s="269"/>
      <c r="AB15" s="105" t="s">
        <v>248</v>
      </c>
      <c r="AC15" s="105" t="s">
        <v>248</v>
      </c>
      <c r="AD15" s="105" t="s">
        <v>503</v>
      </c>
      <c r="AE15" s="156" t="s">
        <v>248</v>
      </c>
      <c r="AF15" s="225" t="str">
        <f aca="false">Data!$AM15</f>
        <v>OPEN</v>
      </c>
      <c r="AG15" s="160" t="s">
        <v>504</v>
      </c>
      <c r="AH15" s="222" t="str">
        <f aca="false">Data!$Z15</f>
        <v>absolute</v>
      </c>
      <c r="AI15" s="222" t="n">
        <f aca="false">FATPOSITIONS!$H15</f>
        <v>0</v>
      </c>
      <c r="AJ15" s="270" t="n">
        <v>0</v>
      </c>
      <c r="AK15" s="270"/>
      <c r="AL15" s="158" t="s">
        <v>504</v>
      </c>
      <c r="AM15" s="229" t="n">
        <f aca="false">Data!$R15</f>
        <v>200</v>
      </c>
      <c r="AN15" s="229" t="n">
        <f aca="false">Data!$W15</f>
        <v>1000000</v>
      </c>
      <c r="AO15" s="222" t="n">
        <f aca="false">Data!$P15</f>
        <v>400</v>
      </c>
      <c r="AP15" s="222" t="n">
        <f aca="false">Data!$L15</f>
        <v>2</v>
      </c>
      <c r="AQ15" s="230" t="n">
        <v>-27611</v>
      </c>
      <c r="AR15" s="230" t="n">
        <v>58251519</v>
      </c>
      <c r="AS15" s="230" t="n">
        <v>209304</v>
      </c>
      <c r="AT15" s="230" t="n">
        <v>419605289</v>
      </c>
      <c r="AU15" s="108" t="n">
        <f aca="false">FATPOSITIONS!$I15</f>
        <v>0</v>
      </c>
      <c r="AV15" s="108" t="n">
        <f aca="false">FATPOSITIONS!$J15</f>
        <v>0</v>
      </c>
      <c r="AW15" s="231" t="n">
        <f aca="false">AR15+AJ15</f>
        <v>58251519</v>
      </c>
      <c r="AX15" s="231" t="n">
        <f aca="false">AT15+AJ15</f>
        <v>419605289</v>
      </c>
      <c r="AY15" s="271"/>
      <c r="AZ15" s="160" t="s">
        <v>524</v>
      </c>
      <c r="BA15" s="286" t="n">
        <v>2</v>
      </c>
      <c r="BB15" s="232" t="n">
        <f aca="false">(AS15-AQ15)/AZ15</f>
        <v>592.2875</v>
      </c>
      <c r="BC15" s="108" t="n">
        <f aca="false">IF(AM15=0,"",(AN15/AM15)*AO15)</f>
        <v>2000000</v>
      </c>
      <c r="BD15" s="231" t="n">
        <f aca="false">IF(AR15="","",(AT15-AR15)*AO15*AP15/(AS15-AQ15))</f>
        <v>1220197.18464428</v>
      </c>
      <c r="BE15" s="271" t="n">
        <v>2000000</v>
      </c>
      <c r="BF15" s="233" t="str">
        <f aca="false">Data!$S15</f>
        <v>358mm(400mm)</v>
      </c>
      <c r="BG15" s="236" t="n">
        <f aca="false">IF(AQ15="","",(AS15-AQ15)/(AM15*AP15))</f>
        <v>592.2875</v>
      </c>
      <c r="BH15" s="236" t="n">
        <f aca="false">IF(AR15="","",(AT15-AR15)/AN15)</f>
        <v>361.35377</v>
      </c>
      <c r="BI15" s="235" t="str">
        <f aca="false">Data!$J15</f>
        <v>mm</v>
      </c>
      <c r="BJ15" s="236" t="n">
        <f aca="false">AM15*AP15</f>
        <v>400</v>
      </c>
      <c r="BK15" s="236" t="n">
        <f aca="false">IFERROR(($AO15*$AP15)/($BE15/$AN15),0)</f>
        <v>400</v>
      </c>
      <c r="BL15" s="109" t="n">
        <v>400</v>
      </c>
      <c r="BM15" s="272" t="n">
        <v>1</v>
      </c>
      <c r="BN15" s="208" t="s">
        <v>505</v>
      </c>
      <c r="BO15" s="208" t="s">
        <v>506</v>
      </c>
      <c r="BP15" s="273" t="s">
        <v>507</v>
      </c>
      <c r="BQ15" s="272"/>
      <c r="BR15" s="236" t="n">
        <f aca="false">IF(BP15="FALSE",($BM15*($AQ15/$BL15)+$BQ15),($BM15*($AR15/$AN15)+$BQ15))</f>
        <v>58.251519</v>
      </c>
      <c r="BS15" s="236" t="n">
        <f aca="false">IF(BP15="FALSE",($BM15*($AS15/$BL15)+$BQ15),($BM15*($AT15/$AN15)+$BQ15))</f>
        <v>419.605289</v>
      </c>
      <c r="BT15" s="107" t="n">
        <f aca="false">FATPOSITIONS!$L15</f>
        <v>0</v>
      </c>
      <c r="BU15" s="107" t="n">
        <f aca="false">FATPOSITIONS!$M15</f>
        <v>0</v>
      </c>
      <c r="BV15" s="236" t="n">
        <f aca="false">IFERROR($BM15*FATPOSITIONS!$N15+$BR15,"")</f>
        <v>58.251519</v>
      </c>
      <c r="BW15" s="236" t="n">
        <f aca="false">IFERROR(-$BM15*FATPOSITIONS!$O15+$BS15,"")</f>
        <v>419.605289</v>
      </c>
      <c r="BX15" s="221" t="n">
        <f aca="false">Data!$AK15</f>
        <v>0</v>
      </c>
      <c r="BY15" s="221" t="n">
        <f aca="false">Data!$AL15</f>
        <v>0</v>
      </c>
      <c r="CO15" s="221"/>
      <c r="CS15" s="232" t="str">
        <f aca="false">"Step_per_unit:"&amp;$BL15&amp;";"&amp;"Offset:"&amp;$BQ15&amp;";"&amp;"Sign:"&amp;$BM15&amp;";"&amp;"EncoderSource:"&amp;$BN15&amp;";"&amp;"EncoderSourceFormula:"&amp;$BO15&amp;";"&amp;"UseEncoderSource:"&amp;$BP15</f>
        <v>Step_per_unit:400;Offset:;Sign:1;EncoderSource:attr://EncAbsEnc;EncoderSourceFormula:VALUE/1000000;UseEncoderSource:TRUE</v>
      </c>
      <c r="CU15" s="156"/>
      <c r="CV15" s="222"/>
      <c r="CW15" s="270"/>
      <c r="DC15" s="108"/>
      <c r="DE15" s="160"/>
      <c r="DH15" s="221"/>
    </row>
    <row r="16" customFormat="false" ht="10.2" hidden="false" customHeight="false" outlineLevel="0" collapsed="false">
      <c r="A16" s="212" t="n">
        <f aca="false">Data!$A16</f>
        <v>16</v>
      </c>
      <c r="B16" s="212" t="str">
        <f aca="false">Data!$B16</f>
        <v>B316A-EA04-DIA-MP-01</v>
      </c>
      <c r="C16" s="212" t="str">
        <f aca="false">Data!$C16</f>
        <v>Manipulator VERITAS</v>
      </c>
      <c r="D16" s="267" t="str">
        <f aca="false">Data!D16</f>
        <v>YAW</v>
      </c>
      <c r="E16" s="224" t="str">
        <f aca="false">Data!$E16</f>
        <v>a_mp1_yaw</v>
      </c>
      <c r="F16" s="225" t="str">
        <f aca="false">Data!$G16</f>
        <v>Y</v>
      </c>
      <c r="G16" s="225" t="str">
        <f aca="false">Data!$H16</f>
        <v>N</v>
      </c>
      <c r="H16" s="225" t="str">
        <f aca="false">Data!$AM16</f>
        <v>OPEN</v>
      </c>
      <c r="I16" s="222" t="str">
        <f aca="true">INDEX(OFFSET(MOTION1!$A$1,0,0,SystemInfo!$B$1,1),MATCH(CONCATENATE(B16,D16),OFFSET(MOTION1!$J$1,0,0,SystemInfo!$B$1,1),0))</f>
        <v>W050222</v>
      </c>
      <c r="J16" s="222" t="str">
        <f aca="true">INDEX(OFFSET(MOTION3!$A$1,0,0,SystemInfo!$B$1,1),MATCH(CONCATENATE(B16,D16),OFFSET(MOTION3!$J$1,0,0,SystemInfo!$B$1,1),0))</f>
        <v>W050223</v>
      </c>
      <c r="L16" s="222" t="e">
        <f aca="true">INDEX(OFFSET(DISABLE!$A$1,0,0,SystemInfo!$B$1,1),MATCH(CONCATENATE(B16,D16),OFFSET(DISABLE!$J$1,0,0,SystemInfo!$B$1,1),0))</f>
        <v>#N/A</v>
      </c>
      <c r="N16" s="222" t="str">
        <f aca="false">Data!$F16</f>
        <v>Nanotec L4118S1404-M6X1</v>
      </c>
      <c r="O16" s="222" t="str">
        <f aca="false">Data!$Y16</f>
        <v>Renishaw Resolute 32 bits BISS-C</v>
      </c>
      <c r="P16" s="222" t="n">
        <f aca="false">Data!$O16</f>
        <v>2.8</v>
      </c>
      <c r="Q16" s="222" t="n">
        <f aca="false">Data!$N16</f>
        <v>2</v>
      </c>
      <c r="R16" s="226" t="n">
        <v>3.096</v>
      </c>
      <c r="S16" s="226" t="n">
        <v>2.2</v>
      </c>
      <c r="T16" s="227" t="n">
        <f aca="false">IF(Q16="","-",IF(S16="","-",S16-Q16))</f>
        <v>0.2</v>
      </c>
      <c r="U16" s="227" t="n">
        <f aca="false">Data!$M16*$S16</f>
        <v>4.4</v>
      </c>
      <c r="V16" s="227" t="n">
        <f aca="false">6.28*$R16*Data!$M16/8</f>
        <v>4.86072</v>
      </c>
      <c r="W16" s="269" t="n">
        <v>48</v>
      </c>
      <c r="X16" s="269" t="n">
        <v>12</v>
      </c>
      <c r="Y16" s="269" t="n">
        <v>1.6</v>
      </c>
      <c r="Z16" s="269" t="n">
        <v>70</v>
      </c>
      <c r="AD16" s="105" t="s">
        <v>503</v>
      </c>
      <c r="AF16" s="225" t="str">
        <f aca="false">Data!$AM16</f>
        <v>OPEN</v>
      </c>
      <c r="AG16" s="160" t="s">
        <v>504</v>
      </c>
      <c r="AH16" s="222" t="str">
        <f aca="false">Data!$Z16</f>
        <v>absolute</v>
      </c>
      <c r="AI16" s="222" t="n">
        <f aca="false">FATPOSITIONS!$H16</f>
        <v>0</v>
      </c>
      <c r="AJ16" s="270" t="n">
        <v>0</v>
      </c>
      <c r="AK16" s="270"/>
      <c r="AL16" s="158" t="s">
        <v>504</v>
      </c>
      <c r="AM16" s="229" t="n">
        <f aca="false">Data!$R16</f>
        <v>200</v>
      </c>
      <c r="AN16" s="229" t="n">
        <f aca="false">Data!$W16</f>
        <v>11930445.5027192</v>
      </c>
      <c r="AO16" s="222" t="n">
        <f aca="false">Data!$P16</f>
        <v>200</v>
      </c>
      <c r="AP16" s="222" t="n">
        <f aca="false">Data!$L16</f>
        <v>2</v>
      </c>
      <c r="AQ16" s="230" t="n">
        <v>-134242</v>
      </c>
      <c r="AR16" s="230" t="n">
        <v>-938480000</v>
      </c>
      <c r="AS16" s="230" t="n">
        <v>171136</v>
      </c>
      <c r="AT16" s="230" t="n">
        <v>1183926000</v>
      </c>
      <c r="AU16" s="108" t="n">
        <f aca="false">FATPOSITIONS!$I16</f>
        <v>0</v>
      </c>
      <c r="AV16" s="108" t="n">
        <f aca="false">FATPOSITIONS!$J16</f>
        <v>0</v>
      </c>
      <c r="AW16" s="231" t="n">
        <f aca="false">AR16+AJ16</f>
        <v>-938480000</v>
      </c>
      <c r="AX16" s="231" t="n">
        <f aca="false">AT16+AJ16</f>
        <v>1183926000</v>
      </c>
      <c r="AY16" s="160"/>
      <c r="AZ16" s="160" t="s">
        <v>525</v>
      </c>
      <c r="BA16" s="286" t="n">
        <v>0.5</v>
      </c>
      <c r="BB16" s="232" t="n">
        <f aca="false">(AS16-AQ16)/AZ16</f>
        <v>152.689</v>
      </c>
      <c r="BC16" s="108" t="n">
        <f aca="false">IF(AM16=0,"",(AN16/AM16)*AO16)</f>
        <v>11930445.5027192</v>
      </c>
      <c r="BD16" s="231" t="n">
        <f aca="false">IF(AR16="","",(AT16-AR16)*AO16*AP16/(AS16-AQ16))</f>
        <v>2780037.85472431</v>
      </c>
      <c r="BE16" s="160" t="s">
        <v>526</v>
      </c>
      <c r="BF16" s="233" t="n">
        <f aca="false">Data!$S16</f>
        <v>0</v>
      </c>
      <c r="BG16" s="236" t="n">
        <f aca="false">IF(AQ16="","",(AS16-AQ16)/(AM16*AP16))</f>
        <v>763.445</v>
      </c>
      <c r="BH16" s="236" t="n">
        <f aca="false">IF(AR16="","",(AT16-AR16)/AN16)</f>
        <v>177.898302248333</v>
      </c>
      <c r="BI16" s="235" t="str">
        <f aca="false">Data!$J16</f>
        <v>deg</v>
      </c>
      <c r="BJ16" s="236" t="n">
        <f aca="false">AM16*AP16</f>
        <v>400</v>
      </c>
      <c r="BK16" s="236" t="n">
        <f aca="false">IFERROR(($AO16*$AP16)/($BE16/$AN16),0)</f>
        <v>1704.34935753131</v>
      </c>
      <c r="BL16" s="109" t="n">
        <v>400</v>
      </c>
      <c r="BM16" s="272" t="n">
        <v>1</v>
      </c>
      <c r="BN16" s="208" t="s">
        <v>505</v>
      </c>
      <c r="BO16" s="208" t="s">
        <v>527</v>
      </c>
      <c r="BP16" s="273" t="s">
        <v>507</v>
      </c>
      <c r="BQ16" s="272"/>
      <c r="BR16" s="236" t="n">
        <f aca="false">IF(BP16="FALSE",($BM16*($AQ16/$BL16)+$BQ16),($BM16*($AR16/$AN16)+$BQ16))</f>
        <v>-78.6626115333333</v>
      </c>
      <c r="BS16" s="236" t="n">
        <f aca="false">IF(BP16="FALSE",($BM16*($AS16/$BL16)+$BQ16),($BM16*($AT16/$AN16)+$BQ16))</f>
        <v>99.235690715</v>
      </c>
      <c r="BT16" s="107" t="n">
        <f aca="false">FATPOSITIONS!$L16</f>
        <v>0</v>
      </c>
      <c r="BU16" s="107" t="n">
        <f aca="false">FATPOSITIONS!$M16</f>
        <v>0</v>
      </c>
      <c r="BV16" s="236" t="n">
        <f aca="false">IFERROR($BM16*FATPOSITIONS!$N16+$BR16,"")</f>
        <v>-78.6626115333333</v>
      </c>
      <c r="BW16" s="236" t="n">
        <f aca="false">IFERROR(-$BM16*FATPOSITIONS!$O16+$BS16,"")</f>
        <v>99.235690715</v>
      </c>
      <c r="BX16" s="221" t="n">
        <f aca="false">Data!$AK16</f>
        <v>0</v>
      </c>
      <c r="BY16" s="221" t="n">
        <f aca="false">Data!$AL16</f>
        <v>0</v>
      </c>
      <c r="CO16" s="221"/>
      <c r="CS16" s="232" t="str">
        <f aca="false">"Step_per_unit:"&amp;$BL16&amp;";"&amp;"Offset:"&amp;$BQ16&amp;";"&amp;"Sign:"&amp;$BM16&amp;";"&amp;"EncoderSource:"&amp;$BN16&amp;";"&amp;"EncoderSourceFormula:"&amp;$BO16&amp;";"&amp;"UseEncoderSource:"&amp;$BP16</f>
        <v>Step_per_unit:400;Offset:;Sign:1;EncoderSource:attr://EncAbsEnc;EncoderSourceFormula:VALUE/11930445,5027191;UseEncoderSource:TRUE</v>
      </c>
      <c r="CU16" s="156"/>
      <c r="CV16" s="222"/>
      <c r="CW16" s="270"/>
      <c r="DC16" s="108"/>
      <c r="DE16" s="160"/>
      <c r="DH16" s="221"/>
    </row>
    <row r="17" customFormat="false" ht="10.2" hidden="false" customHeight="false" outlineLevel="0" collapsed="false">
      <c r="A17" s="212" t="n">
        <f aca="false">Data!$A17</f>
        <v>17</v>
      </c>
      <c r="B17" s="212" t="str">
        <f aca="false">Data!$B17</f>
        <v>B316A-EA05-DIA-SPC-01</v>
      </c>
      <c r="C17" s="212" t="str">
        <f aca="false">Data!$C17</f>
        <v>Q-Chamber VERITAS</v>
      </c>
      <c r="D17" s="267" t="str">
        <f aca="false">Data!D17</f>
        <v>YAW</v>
      </c>
      <c r="E17" s="224" t="str">
        <f aca="false">Data!$E17</f>
        <v>a_spc1_yaw</v>
      </c>
      <c r="F17" s="225" t="str">
        <f aca="false">Data!$G17</f>
        <v>Y</v>
      </c>
      <c r="G17" s="225" t="str">
        <f aca="false">Data!$H17</f>
        <v>N</v>
      </c>
      <c r="H17" s="225" t="n">
        <f aca="false">Data!$AM17</f>
        <v>0</v>
      </c>
      <c r="I17" s="222" t="e">
        <f aca="true">INDEX(OFFSET(MOTION1!$A$1,0,0,SystemInfo!$B$1,1),MATCH(CONCATENATE(B17,D17),OFFSET(MOTION1!$J$1,0,0,SystemInfo!$B$1,1),0))</f>
        <v>#N/A</v>
      </c>
      <c r="J17" s="222" t="e">
        <f aca="true">INDEX(OFFSET(MOTION3!$A$1,0,0,SystemInfo!$B$1,1),MATCH(CONCATENATE(B17,D17),OFFSET(MOTION3!$J$1,0,0,SystemInfo!$B$1,1),0))</f>
        <v>#N/A</v>
      </c>
      <c r="L17" s="222" t="e">
        <f aca="true">INDEX(OFFSET(DISABLE!$A$1,0,0,SystemInfo!$B$1,1),MATCH(CONCATENATE(B17,D17),OFFSET(DISABLE!$J$1,0,0,SystemInfo!$B$1,1),0))</f>
        <v>#N/A</v>
      </c>
      <c r="N17" s="222" t="str">
        <f aca="false">Data!$F17</f>
        <v>Oriental PK296-E4.5 parallel</v>
      </c>
      <c r="O17" s="222" t="n">
        <f aca="false">Data!$Y17</f>
        <v>0</v>
      </c>
      <c r="P17" s="222" t="n">
        <f aca="false">Data!$O17</f>
        <v>1.5</v>
      </c>
      <c r="Q17" s="222" t="n">
        <f aca="false">Data!$N17</f>
        <v>0.24</v>
      </c>
      <c r="T17" s="227" t="str">
        <f aca="false">IF(Q17="","-",IF(S17="","-",S17-Q17))</f>
        <v>-</v>
      </c>
      <c r="U17" s="227" t="n">
        <f aca="false">Data!$M17*$S17</f>
        <v>0</v>
      </c>
      <c r="V17" s="227" t="n">
        <f aca="false">6.28*$R17*Data!$M17/8</f>
        <v>0</v>
      </c>
      <c r="AF17" s="225" t="n">
        <f aca="false">Data!$AM17</f>
        <v>0</v>
      </c>
      <c r="AH17" s="222" t="str">
        <f aca="false">Data!$Z17</f>
        <v>absolute</v>
      </c>
      <c r="AI17" s="222" t="n">
        <f aca="false">FATPOSITIONS!$H17</f>
        <v>0</v>
      </c>
      <c r="AJ17" s="270"/>
      <c r="AK17" s="270"/>
      <c r="AM17" s="229" t="n">
        <f aca="false">Data!$R17</f>
        <v>200</v>
      </c>
      <c r="AN17" s="229" t="n">
        <f aca="false">Data!$W17</f>
        <v>0</v>
      </c>
      <c r="AO17" s="222" t="n">
        <f aca="false">Data!$P17</f>
        <v>200</v>
      </c>
      <c r="AP17" s="222" t="n">
        <f aca="false">Data!$L17</f>
        <v>2</v>
      </c>
      <c r="AU17" s="108" t="n">
        <f aca="false">FATPOSITIONS!$I17</f>
        <v>0</v>
      </c>
      <c r="AV17" s="108" t="n">
        <f aca="false">FATPOSITIONS!$J17</f>
        <v>0</v>
      </c>
      <c r="AW17" s="231" t="n">
        <f aca="false">AR17+AJ17</f>
        <v>0</v>
      </c>
      <c r="AX17" s="231" t="n">
        <f aca="false">AT17+AJ17</f>
        <v>0</v>
      </c>
      <c r="AY17" s="271"/>
      <c r="AZ17" s="160"/>
      <c r="BA17" s="286"/>
      <c r="BB17" s="232" t="e">
        <f aca="false">(AS17-AQ17)/AZ17</f>
        <v>#DIV/0!</v>
      </c>
      <c r="BC17" s="108" t="n">
        <f aca="false">IF(AM17=0,"",(AN17/AM17)*AO17)</f>
        <v>0</v>
      </c>
      <c r="BD17" s="231" t="str">
        <f aca="false">IF(AR17="","",(AT17-AR17)*AO17*AP17/(AS17-AQ17))</f>
        <v/>
      </c>
      <c r="BE17" s="160"/>
      <c r="BF17" s="233" t="n">
        <f aca="false">Data!$S17</f>
        <v>0</v>
      </c>
      <c r="BG17" s="236" t="str">
        <f aca="false">IF(AQ17="","",(AS17-AQ17)/(AM17*AP17))</f>
        <v/>
      </c>
      <c r="BH17" s="236" t="str">
        <f aca="false">IF(AR17="","",(AT17-AR17)/AN17)</f>
        <v/>
      </c>
      <c r="BI17" s="235" t="str">
        <f aca="false">Data!$J17</f>
        <v>deg</v>
      </c>
      <c r="BJ17" s="236" t="n">
        <f aca="false">AM17*AP17</f>
        <v>400</v>
      </c>
      <c r="BK17" s="236" t="n">
        <f aca="false">IFERROR(($AO17*$AP17)/($BE17/$AN17),0)</f>
        <v>0</v>
      </c>
      <c r="BM17" s="272"/>
      <c r="BN17" s="208"/>
      <c r="BO17" s="208"/>
      <c r="BP17" s="208"/>
      <c r="BQ17" s="272"/>
      <c r="BR17" s="236"/>
      <c r="BS17" s="236"/>
      <c r="BT17" s="107" t="n">
        <f aca="false">FATPOSITIONS!$L17</f>
        <v>0</v>
      </c>
      <c r="BU17" s="107" t="n">
        <f aca="false">FATPOSITIONS!$M17</f>
        <v>0</v>
      </c>
      <c r="BV17" s="236" t="n">
        <f aca="false">IFERROR($BM17*FATPOSITIONS!$N17+$BR17,"")</f>
        <v>0</v>
      </c>
      <c r="BW17" s="236" t="n">
        <f aca="false">IFERROR(-$BM17*FATPOSITIONS!$O17+$BS17,"")</f>
        <v>0</v>
      </c>
      <c r="BX17" s="221" t="n">
        <f aca="false">Data!$AK17</f>
        <v>0</v>
      </c>
      <c r="BY17" s="221" t="n">
        <f aca="false">Data!$AL17</f>
        <v>0</v>
      </c>
      <c r="BZ17" s="287"/>
      <c r="CA17" s="287"/>
      <c r="CB17" s="287"/>
      <c r="CC17" s="287"/>
      <c r="CO17" s="221"/>
      <c r="CS17" s="232" t="str">
        <f aca="false">"Step_per_unit:"&amp;$BL17&amp;";"&amp;"Offset:"&amp;$BQ17&amp;";"&amp;"Sign:"&amp;$BM17&amp;";"&amp;"EncoderSource:"&amp;$BN17&amp;";"&amp;"EncoderSourceFormula:"&amp;$BO17&amp;";"&amp;"UseEncoderSource:"&amp;$BP17</f>
        <v>Step_per_unit:;Offset:;Sign:;EncoderSource:;EncoderSourceFormula:;UseEncoderSource:</v>
      </c>
      <c r="CU17" s="156"/>
      <c r="CV17" s="222"/>
      <c r="CW17" s="270"/>
      <c r="DC17" s="108"/>
      <c r="DE17" s="160"/>
      <c r="DH17" s="221"/>
    </row>
    <row r="18" customFormat="false" ht="10.2" hidden="false" customHeight="false" outlineLevel="0" collapsed="false">
      <c r="A18" s="212" t="n">
        <f aca="false">Data!$A18</f>
        <v>18</v>
      </c>
      <c r="B18" s="212" t="str">
        <f aca="false">Data!$B18</f>
        <v>B316A-EA07-OPT-BAFF-01</v>
      </c>
      <c r="C18" s="212" t="str">
        <f aca="false">Data!$C18</f>
        <v>Grating Baffles VERITAS</v>
      </c>
      <c r="D18" s="267" t="str">
        <f aca="false">Data!D18</f>
        <v>VT</v>
      </c>
      <c r="E18" s="224" t="str">
        <f aca="false">Data!$E18</f>
        <v>a_gr_baff_vt</v>
      </c>
      <c r="F18" s="225" t="str">
        <f aca="false">Data!$G18</f>
        <v>Y</v>
      </c>
      <c r="G18" s="225" t="str">
        <f aca="false">Data!$H18</f>
        <v>N</v>
      </c>
      <c r="H18" s="225" t="n">
        <f aca="false">Data!$AM18</f>
        <v>0</v>
      </c>
      <c r="I18" s="222" t="e">
        <f aca="true">INDEX(OFFSET(MOTION1!$A$1,0,0,SystemInfo!$B$1,1),MATCH(CONCATENATE(B18,D18),OFFSET(MOTION1!$J$1,0,0,SystemInfo!$B$1,1),0))</f>
        <v>#N/A</v>
      </c>
      <c r="J18" s="222" t="e">
        <f aca="true">INDEX(OFFSET(MOTION3!$A$1,0,0,SystemInfo!$B$1,1),MATCH(CONCATENATE(B18,D18),OFFSET(MOTION3!$J$1,0,0,SystemInfo!$B$1,1),0))</f>
        <v>#N/A</v>
      </c>
      <c r="L18" s="222" t="e">
        <f aca="true">INDEX(OFFSET(DISABLE!$A$1,0,0,SystemInfo!$B$1,1),MATCH(CONCATENATE(B18,D18),OFFSET(DISABLE!$J$1,0,0,SystemInfo!$B$1,1),0))</f>
        <v>#N/A</v>
      </c>
      <c r="N18" s="222" t="str">
        <f aca="false">Data!$F18</f>
        <v>Oriental PK245M-02B series</v>
      </c>
      <c r="O18" s="222" t="str">
        <f aca="false">Data!$Y18</f>
        <v>Renishaw Resolute 32 bits BISS-C</v>
      </c>
      <c r="P18" s="222" t="n">
        <f aca="false">Data!$O18</f>
        <v>39.6</v>
      </c>
      <c r="Q18" s="222" t="n">
        <f aca="false">Data!$N18</f>
        <v>15</v>
      </c>
      <c r="T18" s="227" t="str">
        <f aca="false">IF(Q18="","-",IF(S18="","-",S18-Q18))</f>
        <v>-</v>
      </c>
      <c r="U18" s="227" t="n">
        <f aca="false">Data!$M18*$S18</f>
        <v>0</v>
      </c>
      <c r="V18" s="227" t="n">
        <f aca="false">6.28*$R18*Data!$M18/8</f>
        <v>0</v>
      </c>
      <c r="AF18" s="225" t="n">
        <f aca="false">Data!$AM18</f>
        <v>0</v>
      </c>
      <c r="AH18" s="222" t="str">
        <f aca="false">Data!$Z18</f>
        <v>absolute</v>
      </c>
      <c r="AI18" s="222" t="n">
        <f aca="false">FATPOSITIONS!$H18</f>
        <v>0</v>
      </c>
      <c r="AJ18" s="270"/>
      <c r="AK18" s="270"/>
      <c r="AM18" s="229" t="n">
        <f aca="false">Data!$R18</f>
        <v>400</v>
      </c>
      <c r="AN18" s="229" t="n">
        <f aca="false">Data!$W18</f>
        <v>1000000</v>
      </c>
      <c r="AO18" s="222" t="n">
        <f aca="false">Data!$P18</f>
        <v>400</v>
      </c>
      <c r="AP18" s="222" t="n">
        <f aca="false">Data!$L18</f>
        <v>2</v>
      </c>
      <c r="AU18" s="108" t="n">
        <f aca="false">FATPOSITIONS!$I18</f>
        <v>0</v>
      </c>
      <c r="AV18" s="108" t="n">
        <f aca="false">FATPOSITIONS!$J18</f>
        <v>0</v>
      </c>
      <c r="AW18" s="231" t="n">
        <f aca="false">AR18+AJ18</f>
        <v>0</v>
      </c>
      <c r="AX18" s="231" t="n">
        <f aca="false">AT18+AJ18</f>
        <v>0</v>
      </c>
      <c r="AY18" s="271"/>
      <c r="AZ18" s="160"/>
      <c r="BA18" s="286"/>
      <c r="BB18" s="232" t="e">
        <f aca="false">(AS18-AQ18)/AZ18</f>
        <v>#DIV/0!</v>
      </c>
      <c r="BC18" s="108" t="n">
        <f aca="false">IF(AM18=0,"",(AN18/AM18)*AO18)</f>
        <v>1000000</v>
      </c>
      <c r="BD18" s="231" t="str">
        <f aca="false">IF(AR18="","",(AT18-AR18)*AO18*AP18/(AS18-AQ18))</f>
        <v/>
      </c>
      <c r="BE18" s="160"/>
      <c r="BF18" s="233" t="n">
        <f aca="false">Data!$S18</f>
        <v>0</v>
      </c>
      <c r="BG18" s="236" t="str">
        <f aca="false">IF(AQ18="","",(AS18-AQ18)/(AM18*AP18))</f>
        <v/>
      </c>
      <c r="BH18" s="236" t="str">
        <f aca="false">IF(AR18="","",(AT18-AR18)/AN18)</f>
        <v/>
      </c>
      <c r="BI18" s="235" t="str">
        <f aca="false">Data!$J18</f>
        <v>mm</v>
      </c>
      <c r="BJ18" s="236" t="n">
        <f aca="false">AM18*AP18</f>
        <v>800</v>
      </c>
      <c r="BK18" s="236" t="n">
        <f aca="false">IFERROR(($AO18*$AP18)/($BE18/$AN18),0)</f>
        <v>0</v>
      </c>
      <c r="BM18" s="272"/>
      <c r="BN18" s="208"/>
      <c r="BO18" s="208"/>
      <c r="BP18" s="208"/>
      <c r="BQ18" s="272"/>
      <c r="BR18" s="236"/>
      <c r="BS18" s="236"/>
      <c r="BT18" s="107" t="n">
        <f aca="false">FATPOSITIONS!$L18</f>
        <v>0</v>
      </c>
      <c r="BU18" s="107" t="n">
        <f aca="false">FATPOSITIONS!$M18</f>
        <v>0</v>
      </c>
      <c r="BV18" s="236" t="n">
        <f aca="false">IFERROR($BM18*FATPOSITIONS!$N18+$BR18,"")</f>
        <v>0</v>
      </c>
      <c r="BW18" s="236" t="n">
        <f aca="false">IFERROR(-$BM18*FATPOSITIONS!$O18+$BS18,"")</f>
        <v>0</v>
      </c>
      <c r="BX18" s="221" t="n">
        <f aca="false">Data!$AK18</f>
        <v>0</v>
      </c>
      <c r="BY18" s="221" t="n">
        <f aca="false">Data!$AL18</f>
        <v>0</v>
      </c>
      <c r="CO18" s="221"/>
      <c r="CS18" s="232" t="str">
        <f aca="false">"Step_per_unit:"&amp;$BL18&amp;";"&amp;"Offset:"&amp;$BQ18&amp;";"&amp;"Sign:"&amp;$BM18&amp;";"&amp;"EncoderSource:"&amp;$BN18&amp;";"&amp;"EncoderSourceFormula:"&amp;$BO18&amp;";"&amp;"UseEncoderSource:"&amp;$BP18</f>
        <v>Step_per_unit:;Offset:;Sign:;EncoderSource:;EncoderSourceFormula:;UseEncoderSource:</v>
      </c>
      <c r="CU18" s="156"/>
      <c r="CV18" s="222"/>
      <c r="CW18" s="270"/>
      <c r="DC18" s="108"/>
      <c r="DH18" s="221"/>
    </row>
    <row r="19" s="279" customFormat="true" ht="10.2" hidden="false" customHeight="false" outlineLevel="0" collapsed="false">
      <c r="A19" s="220" t="n">
        <f aca="false">Data!$A19</f>
        <v>0</v>
      </c>
      <c r="B19" s="220"/>
      <c r="C19" s="220"/>
      <c r="D19" s="275"/>
      <c r="E19" s="276"/>
      <c r="F19" s="275"/>
      <c r="G19" s="275"/>
      <c r="H19" s="275"/>
      <c r="I19" s="277"/>
      <c r="J19" s="277"/>
      <c r="K19" s="277"/>
      <c r="L19" s="277"/>
      <c r="M19" s="278"/>
      <c r="N19" s="277"/>
      <c r="O19" s="277"/>
      <c r="P19" s="277"/>
      <c r="Q19" s="277"/>
      <c r="R19" s="278"/>
      <c r="S19" s="278"/>
      <c r="T19" s="278"/>
      <c r="U19" s="278"/>
      <c r="V19" s="278"/>
      <c r="W19" s="278"/>
      <c r="X19" s="278"/>
      <c r="Y19" s="278"/>
      <c r="Z19" s="278"/>
      <c r="AA19" s="278"/>
      <c r="AF19" s="275"/>
      <c r="AH19" s="277"/>
      <c r="AI19" s="277"/>
      <c r="AJ19" s="277"/>
      <c r="AK19" s="277"/>
      <c r="AM19" s="278"/>
      <c r="AN19" s="278"/>
      <c r="AO19" s="277"/>
      <c r="AP19" s="277"/>
      <c r="AQ19" s="280"/>
      <c r="AR19" s="280"/>
      <c r="AS19" s="280"/>
      <c r="AT19" s="280"/>
      <c r="AU19" s="277"/>
      <c r="AV19" s="277"/>
      <c r="AW19" s="280"/>
      <c r="AX19" s="280"/>
      <c r="BB19" s="281"/>
      <c r="BC19" s="280"/>
      <c r="BD19" s="280"/>
      <c r="BF19" s="281"/>
      <c r="BG19" s="283"/>
      <c r="BH19" s="283"/>
      <c r="BI19" s="283"/>
      <c r="BJ19" s="282"/>
      <c r="BK19" s="282"/>
      <c r="BL19" s="284"/>
      <c r="BM19" s="284"/>
      <c r="BN19" s="282"/>
      <c r="BO19" s="282"/>
      <c r="BP19" s="282"/>
      <c r="BQ19" s="284"/>
      <c r="BR19" s="282"/>
      <c r="BS19" s="283"/>
      <c r="BT19" s="283"/>
      <c r="BU19" s="283"/>
      <c r="BV19" s="283"/>
      <c r="BW19" s="283"/>
      <c r="BZ19" s="277"/>
      <c r="CA19" s="277"/>
      <c r="CB19" s="277"/>
      <c r="CC19" s="277"/>
      <c r="CG19" s="283"/>
      <c r="CH19" s="283"/>
      <c r="CI19" s="283"/>
      <c r="CJ19" s="283"/>
      <c r="CK19" s="283"/>
      <c r="CL19" s="283"/>
      <c r="CM19" s="283"/>
      <c r="CS19" s="281"/>
      <c r="CT19" s="277"/>
      <c r="CU19" s="285"/>
      <c r="CV19" s="277"/>
      <c r="CW19" s="277"/>
      <c r="CY19" s="278"/>
      <c r="CZ19" s="278"/>
      <c r="DA19" s="280"/>
      <c r="DB19" s="280"/>
      <c r="DC19" s="280"/>
      <c r="DD19" s="280"/>
      <c r="DF19" s="281"/>
      <c r="DG19" s="288"/>
      <c r="DH19" s="283"/>
      <c r="DI19" s="282"/>
    </row>
    <row r="20" s="279" customFormat="true" ht="10.2" hidden="false" customHeight="false" outlineLevel="0" collapsed="false">
      <c r="A20" s="220" t="n">
        <f aca="false">Data!$A20</f>
        <v>0</v>
      </c>
      <c r="B20" s="220"/>
      <c r="C20" s="220"/>
      <c r="D20" s="275"/>
      <c r="E20" s="276"/>
      <c r="F20" s="275"/>
      <c r="G20" s="275"/>
      <c r="H20" s="275"/>
      <c r="I20" s="277"/>
      <c r="J20" s="277"/>
      <c r="K20" s="277"/>
      <c r="L20" s="277"/>
      <c r="M20" s="278"/>
      <c r="N20" s="277"/>
      <c r="O20" s="277"/>
      <c r="P20" s="277"/>
      <c r="Q20" s="277"/>
      <c r="R20" s="278"/>
      <c r="S20" s="278"/>
      <c r="T20" s="278"/>
      <c r="U20" s="278"/>
      <c r="V20" s="278"/>
      <c r="W20" s="278"/>
      <c r="X20" s="278"/>
      <c r="Y20" s="278"/>
      <c r="Z20" s="278"/>
      <c r="AA20" s="278"/>
      <c r="AF20" s="275"/>
      <c r="AH20" s="277"/>
      <c r="AI20" s="277"/>
      <c r="AJ20" s="277"/>
      <c r="AK20" s="277"/>
      <c r="AM20" s="278"/>
      <c r="AN20" s="278"/>
      <c r="AO20" s="277"/>
      <c r="AP20" s="277"/>
      <c r="AQ20" s="280"/>
      <c r="AR20" s="280"/>
      <c r="AS20" s="280"/>
      <c r="AT20" s="280"/>
      <c r="AU20" s="277"/>
      <c r="AV20" s="277"/>
      <c r="AW20" s="280"/>
      <c r="AX20" s="280"/>
      <c r="BB20" s="281"/>
      <c r="BC20" s="280"/>
      <c r="BD20" s="280"/>
      <c r="BF20" s="281"/>
      <c r="BG20" s="283"/>
      <c r="BH20" s="283"/>
      <c r="BI20" s="283"/>
      <c r="BJ20" s="282"/>
      <c r="BK20" s="282"/>
      <c r="BL20" s="284"/>
      <c r="BM20" s="284"/>
      <c r="BN20" s="282"/>
      <c r="BO20" s="282"/>
      <c r="BP20" s="282"/>
      <c r="BQ20" s="284"/>
      <c r="BR20" s="282"/>
      <c r="BS20" s="283"/>
      <c r="BT20" s="283"/>
      <c r="BU20" s="283"/>
      <c r="BV20" s="283"/>
      <c r="BW20" s="283"/>
      <c r="BZ20" s="277"/>
      <c r="CA20" s="277"/>
      <c r="CB20" s="277"/>
      <c r="CC20" s="277"/>
      <c r="CG20" s="283"/>
      <c r="CH20" s="283"/>
      <c r="CI20" s="283"/>
      <c r="CJ20" s="283"/>
      <c r="CK20" s="283"/>
      <c r="CL20" s="283"/>
      <c r="CM20" s="283"/>
      <c r="CS20" s="281"/>
      <c r="CT20" s="277"/>
      <c r="CU20" s="285"/>
      <c r="CV20" s="277"/>
      <c r="CW20" s="277"/>
      <c r="CY20" s="278"/>
      <c r="CZ20" s="278"/>
      <c r="DA20" s="280"/>
      <c r="DB20" s="280"/>
      <c r="DC20" s="280"/>
      <c r="DD20" s="280"/>
      <c r="DF20" s="281"/>
      <c r="DG20" s="288"/>
      <c r="DH20" s="283"/>
      <c r="DI20" s="282"/>
    </row>
    <row r="21" customFormat="false" ht="10.2" hidden="false" customHeight="false" outlineLevel="0" collapsed="false">
      <c r="A21" s="212" t="n">
        <f aca="false">Data!$A21</f>
        <v>21</v>
      </c>
      <c r="B21" s="212" t="str">
        <f aca="false">Data!$B21</f>
        <v>B316A-EA07-OPT-BAFF-01</v>
      </c>
      <c r="C21" s="212" t="str">
        <f aca="false">Data!$C21</f>
        <v>Grating Baffles VERITAS</v>
      </c>
      <c r="D21" s="267" t="str">
        <f aca="false">Data!D21</f>
        <v>VB</v>
      </c>
      <c r="E21" s="224" t="str">
        <f aca="false">Data!$E21</f>
        <v>a_gr_baff_vb</v>
      </c>
      <c r="F21" s="225" t="str">
        <f aca="false">Data!$G21</f>
        <v>Y</v>
      </c>
      <c r="G21" s="225" t="str">
        <f aca="false">Data!$H21</f>
        <v>N</v>
      </c>
      <c r="H21" s="225" t="n">
        <f aca="false">Data!$AM21</f>
        <v>0</v>
      </c>
      <c r="I21" s="222" t="e">
        <f aca="true">INDEX(OFFSET(MOTION1!$A$1,0,0,SystemInfo!$B$1,1),MATCH(CONCATENATE(B21,D21),OFFSET(MOTION1!$J$1,0,0,SystemInfo!$B$1,1),0))</f>
        <v>#N/A</v>
      </c>
      <c r="J21" s="222" t="e">
        <f aca="true">INDEX(OFFSET(MOTION3!$A$1,0,0,SystemInfo!$B$1,1),MATCH(CONCATENATE(B21,D21),OFFSET(MOTION3!$J$1,0,0,SystemInfo!$B$1,1),0))</f>
        <v>#N/A</v>
      </c>
      <c r="L21" s="222" t="e">
        <f aca="true">INDEX(OFFSET(DISABLE!$A$1,0,0,SystemInfo!$B$1,1),MATCH(CONCATENATE(B21,D21),OFFSET(DISABLE!$J$1,0,0,SystemInfo!$B$1,1),0))</f>
        <v>#N/A</v>
      </c>
      <c r="P21" s="107" t="n">
        <f aca="false">Data!$O21</f>
        <v>39.6</v>
      </c>
      <c r="Q21" s="107" t="n">
        <f aca="false">Data!$N21</f>
        <v>15</v>
      </c>
      <c r="AH21" s="222"/>
      <c r="AI21" s="222"/>
      <c r="AJ21" s="270"/>
      <c r="AK21" s="270"/>
      <c r="AU21" s="108" t="n">
        <f aca="false">FATPOSITIONS!$I21</f>
        <v>0</v>
      </c>
      <c r="AV21" s="108" t="n">
        <f aca="false">FATPOSITIONS!$J21</f>
        <v>0</v>
      </c>
      <c r="AW21" s="231" t="n">
        <f aca="false">AR21+AJ21</f>
        <v>0</v>
      </c>
      <c r="AX21" s="231" t="n">
        <f aca="false">AT21+AJ21</f>
        <v>0</v>
      </c>
      <c r="AY21" s="160"/>
      <c r="AZ21" s="271" t="n">
        <v>400</v>
      </c>
      <c r="BA21" s="271" t="n">
        <v>0.15</v>
      </c>
      <c r="BB21" s="232" t="n">
        <f aca="false">(AS21-AQ21)/AZ21</f>
        <v>0</v>
      </c>
      <c r="BC21" s="108" t="str">
        <f aca="false">IF(AM21=0,"",(AN21/AM21)*AO21)</f>
        <v/>
      </c>
      <c r="BD21" s="231" t="str">
        <f aca="false">IF(AR21="","",(AT21-AR21)*AO21*AP21/(AS21-AQ21))</f>
        <v/>
      </c>
      <c r="BE21" s="271" t="n">
        <v>1000000</v>
      </c>
      <c r="BF21" s="233" t="n">
        <f aca="false">Data!$S21</f>
        <v>0</v>
      </c>
      <c r="BG21" s="236" t="str">
        <f aca="false">IF(AQ21="","",(AS21-AQ21)/(AM21*AP21))</f>
        <v/>
      </c>
      <c r="BH21" s="236" t="str">
        <f aca="false">IF(AR21="","",(AT21-AR21)/AN21)</f>
        <v/>
      </c>
      <c r="BI21" s="221" t="str">
        <f aca="false">Data!$J21</f>
        <v>mm</v>
      </c>
      <c r="BJ21" s="236" t="n">
        <f aca="false">AM21*AP21</f>
        <v>0</v>
      </c>
      <c r="BK21" s="236" t="n">
        <f aca="false">IFERROR(($AO21*$AP21)/($BE21/$AN21),0)</f>
        <v>0</v>
      </c>
      <c r="BM21" s="272"/>
      <c r="BN21" s="208"/>
      <c r="BO21" s="208"/>
      <c r="BP21" s="208"/>
      <c r="BQ21" s="272"/>
      <c r="BX21" s="221"/>
      <c r="BY21" s="221"/>
      <c r="CO21" s="221"/>
      <c r="CS21" s="232" t="str">
        <f aca="false">"Step_per_unit:"&amp;$BL21&amp;";"&amp;"Offset:"&amp;$BQ21&amp;";"&amp;"Sign:"&amp;$BM21&amp;";"&amp;"EncoderSource:"&amp;$BN21&amp;";"&amp;"EncoderSourceFormula:"&amp;$BO21&amp;";"&amp;"UseEncoderSource:"&amp;$BP21</f>
        <v>Step_per_unit:;Offset:;Sign:;EncoderSource:;EncoderSourceFormula:;UseEncoderSource:</v>
      </c>
      <c r="CU21" s="274"/>
      <c r="CV21" s="222"/>
      <c r="CW21" s="270"/>
      <c r="DC21" s="108"/>
      <c r="DE21" s="160"/>
      <c r="DH21" s="221"/>
    </row>
    <row r="22" customFormat="false" ht="10.2" hidden="false" customHeight="false" outlineLevel="0" collapsed="false">
      <c r="A22" s="212" t="n">
        <f aca="false">Data!$A22</f>
        <v>22</v>
      </c>
      <c r="B22" s="212" t="str">
        <f aca="false">Data!$B22</f>
        <v>B316A-EA07-OPT-BAFF-01</v>
      </c>
      <c r="C22" s="212" t="str">
        <f aca="false">Data!$C22</f>
        <v>Grating Baffles VERITAS</v>
      </c>
      <c r="D22" s="267" t="str">
        <f aca="false">Data!D22</f>
        <v>HR</v>
      </c>
      <c r="E22" s="224" t="str">
        <f aca="false">Data!$E22</f>
        <v>a_gr_baff_hr</v>
      </c>
      <c r="F22" s="225" t="str">
        <f aca="false">Data!$G22</f>
        <v>Y</v>
      </c>
      <c r="G22" s="225" t="str">
        <f aca="false">Data!$H22</f>
        <v>N</v>
      </c>
      <c r="H22" s="225" t="n">
        <f aca="false">Data!$AM22</f>
        <v>0</v>
      </c>
      <c r="I22" s="222" t="e">
        <f aca="true">INDEX(OFFSET(MOTION1!$A$1,0,0,SystemInfo!$B$1,1),MATCH(CONCATENATE(B22,D22),OFFSET(MOTION1!$J$1,0,0,SystemInfo!$B$1,1),0))</f>
        <v>#N/A</v>
      </c>
      <c r="J22" s="222" t="e">
        <f aca="true">INDEX(OFFSET(MOTION3!$A$1,0,0,SystemInfo!$B$1,1),MATCH(CONCATENATE(B22,D22),OFFSET(MOTION3!$J$1,0,0,SystemInfo!$B$1,1),0))</f>
        <v>#N/A</v>
      </c>
      <c r="L22" s="222" t="e">
        <f aca="true">INDEX(OFFSET(DISABLE!$A$1,0,0,SystemInfo!$B$1,1),MATCH(CONCATENATE(B22,D22),OFFSET(DISABLE!$J$1,0,0,SystemInfo!$B$1,1),0))</f>
        <v>#N/A</v>
      </c>
      <c r="P22" s="222" t="n">
        <f aca="false">Data!$O22</f>
        <v>39.6</v>
      </c>
      <c r="Q22" s="222" t="n">
        <f aca="false">Data!$N22</f>
        <v>15</v>
      </c>
      <c r="AH22" s="222"/>
      <c r="AI22" s="222"/>
      <c r="AJ22" s="270"/>
      <c r="AK22" s="270"/>
      <c r="AU22" s="108" t="n">
        <f aca="false">FATPOSITIONS!$I22</f>
        <v>0</v>
      </c>
      <c r="AV22" s="108" t="n">
        <f aca="false">FATPOSITIONS!$J22</f>
        <v>0</v>
      </c>
      <c r="AW22" s="231" t="n">
        <f aca="false">AR22+AJ22</f>
        <v>0</v>
      </c>
      <c r="AX22" s="231" t="n">
        <f aca="false">AT22+AJ22</f>
        <v>0</v>
      </c>
      <c r="AY22" s="160"/>
      <c r="AZ22" s="271" t="n">
        <v>400</v>
      </c>
      <c r="BA22" s="271" t="n">
        <v>0.15</v>
      </c>
      <c r="BB22" s="232" t="n">
        <f aca="false">(AS22-AQ22)/AZ22</f>
        <v>0</v>
      </c>
      <c r="BC22" s="108" t="str">
        <f aca="false">IF(AM22=0,"",(AN22/AM22)*AO22)</f>
        <v/>
      </c>
      <c r="BD22" s="231" t="str">
        <f aca="false">IF(AR22="","",(AT22-AR22)*AO22*AP22/(AS22-AQ22))</f>
        <v/>
      </c>
      <c r="BE22" s="271" t="n">
        <v>1000000</v>
      </c>
      <c r="BF22" s="233" t="n">
        <f aca="false">Data!$S22</f>
        <v>0</v>
      </c>
      <c r="BG22" s="236" t="str">
        <f aca="false">IF(AQ22="","",(AS22-AQ22)/(AM22*AP22))</f>
        <v/>
      </c>
      <c r="BH22" s="236" t="str">
        <f aca="false">IF(AR22="","",(AT22-AR22)/AN22)</f>
        <v/>
      </c>
      <c r="BI22" s="235" t="str">
        <f aca="false">Data!$J22</f>
        <v>mm</v>
      </c>
      <c r="BJ22" s="236" t="n">
        <f aca="false">AM22*AP22</f>
        <v>0</v>
      </c>
      <c r="BK22" s="236" t="n">
        <f aca="false">IFERROR(($AO22*$AP22)/($BE22/$AN22),0)</f>
        <v>0</v>
      </c>
      <c r="BM22" s="272"/>
      <c r="BN22" s="208"/>
      <c r="BO22" s="208"/>
      <c r="BP22" s="208"/>
      <c r="BQ22" s="272"/>
      <c r="BX22" s="221"/>
      <c r="BY22" s="221"/>
      <c r="CO22" s="221"/>
      <c r="CS22" s="232" t="str">
        <f aca="false">"Step_per_unit:"&amp;$BL22&amp;";"&amp;"Offset:"&amp;$BQ22&amp;";"&amp;"Sign:"&amp;$BM22&amp;";"&amp;"EncoderSource:"&amp;$BN22&amp;";"&amp;"EncoderSourceFormula:"&amp;$BO22&amp;";"&amp;"UseEncoderSource:"&amp;$BP22</f>
        <v>Step_per_unit:;Offset:;Sign:;EncoderSource:;EncoderSourceFormula:;UseEncoderSource:</v>
      </c>
      <c r="CU22" s="156"/>
      <c r="CV22" s="222"/>
      <c r="CW22" s="270"/>
      <c r="DC22" s="108"/>
      <c r="DE22" s="160"/>
      <c r="DH22" s="221"/>
    </row>
    <row r="23" customFormat="false" ht="10.2" hidden="false" customHeight="false" outlineLevel="0" collapsed="false">
      <c r="A23" s="212" t="n">
        <f aca="false">Data!$A23</f>
        <v>23</v>
      </c>
      <c r="B23" s="212" t="str">
        <f aca="false">Data!$B23</f>
        <v>B316A-EA07-OPT-BAFF-01</v>
      </c>
      <c r="C23" s="212" t="str">
        <f aca="false">Data!$C23</f>
        <v>Grating Baffles VERITAS</v>
      </c>
      <c r="D23" s="267" t="str">
        <f aca="false">Data!D23</f>
        <v>HL</v>
      </c>
      <c r="E23" s="224" t="str">
        <f aca="false">Data!$E23</f>
        <v>a_gr_baff_hl</v>
      </c>
      <c r="F23" s="225" t="str">
        <f aca="false">Data!$G23</f>
        <v>Y</v>
      </c>
      <c r="G23" s="225" t="str">
        <f aca="false">Data!$H23</f>
        <v>N</v>
      </c>
      <c r="H23" s="225" t="n">
        <f aca="false">Data!$AM23</f>
        <v>0</v>
      </c>
      <c r="I23" s="222" t="e">
        <f aca="true">INDEX(OFFSET(MOTION1!$A$1,0,0,SystemInfo!$B$1,1),MATCH(CONCATENATE(B23,D23),OFFSET(MOTION1!$J$1,0,0,SystemInfo!$B$1,1),0))</f>
        <v>#N/A</v>
      </c>
      <c r="J23" s="222" t="e">
        <f aca="true">INDEX(OFFSET(MOTION3!$A$1,0,0,SystemInfo!$B$1,1),MATCH(CONCATENATE(B23,D23),OFFSET(MOTION3!$J$1,0,0,SystemInfo!$B$1,1),0))</f>
        <v>#N/A</v>
      </c>
      <c r="L23" s="222" t="e">
        <f aca="true">INDEX(OFFSET(DISABLE!$A$1,0,0,SystemInfo!$B$1,1),MATCH(CONCATENATE(B23,D23),OFFSET(DISABLE!$J$1,0,0,SystemInfo!$B$1,1),0))</f>
        <v>#N/A</v>
      </c>
      <c r="P23" s="222" t="n">
        <f aca="false">Data!$O23</f>
        <v>39.6</v>
      </c>
      <c r="Q23" s="222" t="n">
        <f aca="false">Data!$N23</f>
        <v>15</v>
      </c>
      <c r="AH23" s="222"/>
      <c r="AI23" s="222"/>
      <c r="AJ23" s="270"/>
      <c r="AK23" s="270"/>
      <c r="AU23" s="108" t="n">
        <f aca="false">FATPOSITIONS!$I23</f>
        <v>0</v>
      </c>
      <c r="AV23" s="108" t="n">
        <f aca="false">FATPOSITIONS!$J23</f>
        <v>0</v>
      </c>
      <c r="AW23" s="231" t="n">
        <f aca="false">AR23+AJ23</f>
        <v>0</v>
      </c>
      <c r="AX23" s="231" t="n">
        <f aca="false">AT23+AJ23</f>
        <v>0</v>
      </c>
      <c r="AY23" s="160"/>
      <c r="AZ23" s="271" t="n">
        <v>400</v>
      </c>
      <c r="BA23" s="271" t="n">
        <v>0.15</v>
      </c>
      <c r="BB23" s="232" t="n">
        <f aca="false">(AS23-AQ23)/AZ23</f>
        <v>0</v>
      </c>
      <c r="BC23" s="108" t="str">
        <f aca="false">IF(AM23=0,"",(AN23/AM23)*AO23)</f>
        <v/>
      </c>
      <c r="BD23" s="231" t="str">
        <f aca="false">IF(AR23="","",(AT23-AR23)*AO23*AP23/(AS23-AQ23))</f>
        <v/>
      </c>
      <c r="BE23" s="271" t="n">
        <v>1000000</v>
      </c>
      <c r="BF23" s="233" t="n">
        <f aca="false">Data!$S23</f>
        <v>0</v>
      </c>
      <c r="BG23" s="236" t="str">
        <f aca="false">IF(AQ23="","",(AS23-AQ23)/(AM23*AP23))</f>
        <v/>
      </c>
      <c r="BH23" s="236" t="str">
        <f aca="false">IF(AR23="","",(AT23-AR23)/AN23)</f>
        <v/>
      </c>
      <c r="BI23" s="235" t="str">
        <f aca="false">Data!$J23</f>
        <v>mm</v>
      </c>
      <c r="BJ23" s="236" t="n">
        <f aca="false">AM23*AP23</f>
        <v>0</v>
      </c>
      <c r="BK23" s="236" t="n">
        <f aca="false">IFERROR(($AO23*$AP23)/($BE23/$AN23),0)</f>
        <v>0</v>
      </c>
      <c r="BM23" s="272"/>
      <c r="BN23" s="208"/>
      <c r="BO23" s="208"/>
      <c r="BP23" s="208"/>
      <c r="BQ23" s="272"/>
      <c r="BX23" s="221"/>
      <c r="BY23" s="221"/>
      <c r="CO23" s="221"/>
      <c r="CS23" s="232" t="str">
        <f aca="false">"Step_per_unit:"&amp;$BL23&amp;";"&amp;"Offset:"&amp;$BQ23&amp;";"&amp;"Sign:"&amp;$BM23&amp;";"&amp;"EncoderSource:"&amp;$BN23&amp;";"&amp;"EncoderSourceFormula:"&amp;$BO23&amp;";"&amp;"UseEncoderSource:"&amp;$BP23</f>
        <v>Step_per_unit:;Offset:;Sign:;EncoderSource:;EncoderSourceFormula:;UseEncoderSource:</v>
      </c>
      <c r="CU23" s="156"/>
      <c r="CV23" s="222"/>
      <c r="CW23" s="270"/>
      <c r="DC23" s="108"/>
      <c r="DE23" s="160"/>
      <c r="DH23" s="221"/>
    </row>
    <row r="24" customFormat="false" ht="10.2" hidden="false" customHeight="false" outlineLevel="0" collapsed="false">
      <c r="A24" s="212" t="n">
        <f aca="false">Data!$A24</f>
        <v>24</v>
      </c>
      <c r="B24" s="212" t="str">
        <f aca="false">Data!$B24</f>
        <v>B316A-EA07-OPT-GRA-01</v>
      </c>
      <c r="C24" s="212" t="str">
        <f aca="false">Data!$C24</f>
        <v>Grating VERITAS</v>
      </c>
      <c r="D24" s="267" t="str">
        <f aca="false">Data!D24</f>
        <v>Y1</v>
      </c>
      <c r="E24" s="224" t="str">
        <f aca="false">Data!$E24</f>
        <v>a_gra1_y1</v>
      </c>
      <c r="F24" s="225" t="str">
        <f aca="false">Data!$G24</f>
        <v>Y</v>
      </c>
      <c r="G24" s="225" t="str">
        <f aca="false">Data!$H24</f>
        <v>N</v>
      </c>
      <c r="H24" s="225" t="n">
        <f aca="false">Data!$AM24</f>
        <v>0</v>
      </c>
      <c r="I24" s="222" t="e">
        <f aca="true">INDEX(OFFSET(MOTION1!$A$1,0,0,SystemInfo!$B$1,1),MATCH(CONCATENATE(B24,D24),OFFSET(MOTION1!$J$1,0,0,SystemInfo!$B$1,1),0))</f>
        <v>#N/A</v>
      </c>
      <c r="J24" s="222" t="e">
        <f aca="true">INDEX(OFFSET(MOTION3!$A$1,0,0,SystemInfo!$B$1,1),MATCH(CONCATENATE(B24,D24),OFFSET(MOTION3!$J$1,0,0,SystemInfo!$B$1,1),0))</f>
        <v>#N/A</v>
      </c>
      <c r="L24" s="222" t="e">
        <f aca="true">INDEX(OFFSET(DISABLE!$A$1,0,0,SystemInfo!$B$1,1),MATCH(CONCATENATE(B24,D24),OFFSET(DISABLE!$J$1,0,0,SystemInfo!$B$1,1),0))</f>
        <v>#N/A</v>
      </c>
      <c r="P24" s="222" t="e">
        <f aca="false">Data!$O24</f>
        <v>#N/A</v>
      </c>
      <c r="Q24" s="222" t="e">
        <f aca="false">Data!$N24</f>
        <v>#N/A</v>
      </c>
      <c r="AG24" s="157"/>
      <c r="AH24" s="222"/>
      <c r="AI24" s="222"/>
      <c r="AJ24" s="270"/>
      <c r="AK24" s="270"/>
      <c r="AU24" s="108" t="n">
        <f aca="false">FATPOSITIONS!$I24</f>
        <v>0</v>
      </c>
      <c r="AV24" s="108" t="n">
        <f aca="false">FATPOSITIONS!$J24</f>
        <v>0</v>
      </c>
      <c r="AW24" s="231" t="n">
        <f aca="false">AR24+AJ24</f>
        <v>0</v>
      </c>
      <c r="AX24" s="231" t="n">
        <f aca="false">AT24+AJ24</f>
        <v>0</v>
      </c>
      <c r="AY24" s="160"/>
      <c r="AZ24" s="271" t="n">
        <v>400</v>
      </c>
      <c r="BA24" s="271" t="n">
        <v>0.15</v>
      </c>
      <c r="BB24" s="232" t="n">
        <f aca="false">(AS24-AQ24)/AZ24</f>
        <v>0</v>
      </c>
      <c r="BC24" s="108" t="str">
        <f aca="false">IF(AM24=0,"",(AN24/AM24)*AO24)</f>
        <v/>
      </c>
      <c r="BD24" s="231" t="str">
        <f aca="false">IF(AR24="","",(AT24-AR24)*AO24*AP24/(AS24-AQ24))</f>
        <v/>
      </c>
      <c r="BE24" s="271" t="n">
        <v>1000000</v>
      </c>
      <c r="BF24" s="233" t="n">
        <f aca="false">Data!$S24</f>
        <v>0</v>
      </c>
      <c r="BG24" s="236" t="str">
        <f aca="false">IF(AQ24="","",(AS24-AQ24)/(AM24*AP24))</f>
        <v/>
      </c>
      <c r="BH24" s="236" t="str">
        <f aca="false">IF(AR24="","",(AT24-AR24)/AN24)</f>
        <v/>
      </c>
      <c r="BI24" s="235" t="str">
        <f aca="false">Data!$J24</f>
        <v>mm</v>
      </c>
      <c r="BJ24" s="236" t="n">
        <f aca="false">AM24*AP24</f>
        <v>0</v>
      </c>
      <c r="BK24" s="236" t="n">
        <f aca="false">IFERROR(($AO24*$AP24)/($BE24/$AN24),0)</f>
        <v>0</v>
      </c>
      <c r="BM24" s="272"/>
      <c r="BN24" s="208"/>
      <c r="BO24" s="208"/>
      <c r="BP24" s="208"/>
      <c r="BQ24" s="272"/>
      <c r="BX24" s="221"/>
      <c r="BY24" s="221"/>
      <c r="BZ24" s="287"/>
      <c r="CA24" s="287"/>
      <c r="CB24" s="287"/>
      <c r="CC24" s="287"/>
      <c r="CD24" s="157"/>
      <c r="CE24" s="157"/>
      <c r="CO24" s="221"/>
      <c r="CS24" s="232" t="str">
        <f aca="false">"Step_per_unit:"&amp;$BL24&amp;";"&amp;"Offset:"&amp;$BQ24&amp;";"&amp;"Sign:"&amp;$BM24&amp;";"&amp;"EncoderSource:"&amp;$BN24&amp;";"&amp;"EncoderSourceFormula:"&amp;$BO24&amp;";"&amp;"UseEncoderSource:"&amp;$BP24</f>
        <v>Step_per_unit:;Offset:;Sign:;EncoderSource:;EncoderSourceFormula:;UseEncoderSource:</v>
      </c>
      <c r="CU24" s="156"/>
      <c r="CV24" s="222"/>
      <c r="CW24" s="270"/>
      <c r="DC24" s="108"/>
      <c r="DE24" s="160"/>
      <c r="DH24" s="221"/>
    </row>
    <row r="25" customFormat="false" ht="10.2" hidden="false" customHeight="false" outlineLevel="0" collapsed="false">
      <c r="A25" s="212" t="n">
        <f aca="false">Data!$A25</f>
        <v>25</v>
      </c>
      <c r="B25" s="212" t="str">
        <f aca="false">Data!$B25</f>
        <v>B316A-EA07-OPT-GRA-01</v>
      </c>
      <c r="C25" s="212" t="str">
        <f aca="false">Data!$C25</f>
        <v>Grating VERITAS</v>
      </c>
      <c r="D25" s="267" t="str">
        <f aca="false">Data!D25</f>
        <v>Y2</v>
      </c>
      <c r="E25" s="224" t="str">
        <f aca="false">Data!$E25</f>
        <v>a_gra1_y2</v>
      </c>
      <c r="F25" s="225" t="str">
        <f aca="false">Data!$G25</f>
        <v>Y</v>
      </c>
      <c r="G25" s="225" t="str">
        <f aca="false">Data!$H25</f>
        <v>N</v>
      </c>
      <c r="H25" s="225" t="n">
        <f aca="false">Data!$AM25</f>
        <v>0</v>
      </c>
      <c r="I25" s="222" t="e">
        <f aca="true">INDEX(OFFSET(MOTION1!$A$1,0,0,SystemInfo!$B$1,1),MATCH(CONCATENATE(B25,D25),OFFSET(MOTION1!$J$1,0,0,SystemInfo!$B$1,1),0))</f>
        <v>#N/A</v>
      </c>
      <c r="J25" s="222" t="e">
        <f aca="true">INDEX(OFFSET(MOTION3!$A$1,0,0,SystemInfo!$B$1,1),MATCH(CONCATENATE(B25,D25),OFFSET(MOTION3!$J$1,0,0,SystemInfo!$B$1,1),0))</f>
        <v>#N/A</v>
      </c>
      <c r="L25" s="222" t="e">
        <f aca="true">INDEX(OFFSET(DISABLE!$A$1,0,0,SystemInfo!$B$1,1),MATCH(CONCATENATE(B25,D25),OFFSET(DISABLE!$J$1,0,0,SystemInfo!$B$1,1),0))</f>
        <v>#N/A</v>
      </c>
      <c r="P25" s="222" t="e">
        <f aca="false">Data!$O25</f>
        <v>#N/A</v>
      </c>
      <c r="Q25" s="222" t="e">
        <f aca="false">Data!$N25</f>
        <v>#N/A</v>
      </c>
      <c r="AH25" s="222"/>
      <c r="AI25" s="222"/>
      <c r="AJ25" s="270"/>
      <c r="AK25" s="270"/>
      <c r="AU25" s="108" t="n">
        <f aca="false">FATPOSITIONS!$I25</f>
        <v>0</v>
      </c>
      <c r="AV25" s="108" t="n">
        <f aca="false">FATPOSITIONS!$J25</f>
        <v>0</v>
      </c>
      <c r="AW25" s="231" t="n">
        <f aca="false">AR25+AJ25</f>
        <v>0</v>
      </c>
      <c r="AX25" s="231" t="n">
        <f aca="false">AT25+AJ25</f>
        <v>0</v>
      </c>
      <c r="AY25" s="160"/>
      <c r="AZ25" s="271" t="n">
        <v>1600</v>
      </c>
      <c r="BA25" s="271" t="n">
        <v>0.3</v>
      </c>
      <c r="BB25" s="232" t="n">
        <f aca="false">(AS25-AQ25)/AZ25</f>
        <v>0</v>
      </c>
      <c r="BC25" s="108" t="str">
        <f aca="false">IF(AM25=0,"",(AN25/AM25)*AO25)</f>
        <v/>
      </c>
      <c r="BD25" s="231" t="str">
        <f aca="false">IF(AR25="","",(AT25-AR25)*AO25*AP25/(AS25-AQ25))</f>
        <v/>
      </c>
      <c r="BE25" s="271" t="n">
        <v>1000000</v>
      </c>
      <c r="BF25" s="233" t="n">
        <f aca="false">Data!$S25</f>
        <v>0</v>
      </c>
      <c r="BG25" s="236" t="str">
        <f aca="false">IF(AQ25="","",(AS25-AQ25)/(AM25*AP25))</f>
        <v/>
      </c>
      <c r="BH25" s="236" t="str">
        <f aca="false">IF(AR25="","",(AT25-AR25)/AN25)</f>
        <v/>
      </c>
      <c r="BI25" s="235" t="str">
        <f aca="false">Data!$J25</f>
        <v>mm</v>
      </c>
      <c r="BJ25" s="236" t="n">
        <f aca="false">AM25*AP25</f>
        <v>0</v>
      </c>
      <c r="BK25" s="236" t="n">
        <f aca="false">IFERROR(($AO25*$AP25)/($BE25/$AN25),0)</f>
        <v>0</v>
      </c>
      <c r="BM25" s="272"/>
      <c r="BN25" s="208"/>
      <c r="BO25" s="208"/>
      <c r="BP25" s="208"/>
      <c r="BQ25" s="272"/>
      <c r="BX25" s="221"/>
      <c r="BY25" s="221"/>
      <c r="BZ25" s="287"/>
      <c r="CA25" s="287"/>
      <c r="CB25" s="287"/>
      <c r="CC25" s="287"/>
      <c r="CD25" s="157"/>
      <c r="CE25" s="157"/>
      <c r="CO25" s="221"/>
      <c r="CS25" s="232" t="str">
        <f aca="false">"Step_per_unit:"&amp;$BL25&amp;";"&amp;"Offset:"&amp;$BQ25&amp;";"&amp;"Sign:"&amp;$BM25&amp;";"&amp;"EncoderSource:"&amp;$BN25&amp;";"&amp;"EncoderSourceFormula:"&amp;$BO25&amp;";"&amp;"UseEncoderSource:"&amp;$BP25</f>
        <v>Step_per_unit:;Offset:;Sign:;EncoderSource:;EncoderSourceFormula:;UseEncoderSource:</v>
      </c>
      <c r="CU25" s="156"/>
      <c r="CV25" s="222"/>
      <c r="CW25" s="270"/>
      <c r="DC25" s="108"/>
      <c r="DE25" s="160"/>
      <c r="DH25" s="221"/>
    </row>
    <row r="26" customFormat="false" ht="10.2" hidden="false" customHeight="false" outlineLevel="0" collapsed="false">
      <c r="A26" s="212" t="n">
        <f aca="false">Data!$A26</f>
        <v>26</v>
      </c>
      <c r="B26" s="212" t="str">
        <f aca="false">Data!$B26</f>
        <v>B316A-EA07-OPT-GRA-01</v>
      </c>
      <c r="C26" s="212" t="str">
        <f aca="false">Data!$C26</f>
        <v>Grating VERITAS</v>
      </c>
      <c r="D26" s="267" t="str">
        <f aca="false">Data!D26</f>
        <v>Y3</v>
      </c>
      <c r="E26" s="224" t="str">
        <f aca="false">Data!$E26</f>
        <v>a_gra1_y3</v>
      </c>
      <c r="F26" s="225" t="str">
        <f aca="false">Data!$G26</f>
        <v>Y</v>
      </c>
      <c r="G26" s="225" t="str">
        <f aca="false">Data!$H26</f>
        <v>N</v>
      </c>
      <c r="H26" s="225" t="n">
        <f aca="false">Data!$AM26</f>
        <v>0</v>
      </c>
      <c r="I26" s="222" t="e">
        <f aca="true">INDEX(OFFSET(MOTION1!$A$1,0,0,SystemInfo!$B$1,1),MATCH(CONCATENATE(B26,D26),OFFSET(MOTION1!$J$1,0,0,SystemInfo!$B$1,1),0))</f>
        <v>#N/A</v>
      </c>
      <c r="J26" s="222" t="e">
        <f aca="true">INDEX(OFFSET(MOTION3!$A$1,0,0,SystemInfo!$B$1,1),MATCH(CONCATENATE(B26,D26),OFFSET(MOTION3!$J$1,0,0,SystemInfo!$B$1,1),0))</f>
        <v>#N/A</v>
      </c>
      <c r="L26" s="222" t="e">
        <f aca="true">INDEX(OFFSET(DISABLE!$A$1,0,0,SystemInfo!$B$1,1),MATCH(CONCATENATE(B26,D26),OFFSET(DISABLE!$J$1,0,0,SystemInfo!$B$1,1),0))</f>
        <v>#N/A</v>
      </c>
      <c r="P26" s="222" t="e">
        <f aca="false">Data!$O26</f>
        <v>#N/A</v>
      </c>
      <c r="Q26" s="222" t="e">
        <f aca="false">Data!$N26</f>
        <v>#N/A</v>
      </c>
      <c r="AH26" s="222"/>
      <c r="AI26" s="222"/>
      <c r="AJ26" s="270"/>
      <c r="AK26" s="270"/>
      <c r="AU26" s="108" t="n">
        <f aca="false">FATPOSITIONS!$I26</f>
        <v>0</v>
      </c>
      <c r="AV26" s="108" t="n">
        <f aca="false">FATPOSITIONS!$J26</f>
        <v>0</v>
      </c>
      <c r="AW26" s="231" t="n">
        <f aca="false">AR26+AJ26</f>
        <v>0</v>
      </c>
      <c r="AX26" s="231" t="n">
        <f aca="false">AT26+AJ26</f>
        <v>0</v>
      </c>
      <c r="AY26" s="160"/>
      <c r="AZ26" s="271" t="n">
        <v>1600</v>
      </c>
      <c r="BA26" s="271" t="n">
        <v>0.3</v>
      </c>
      <c r="BB26" s="232" t="n">
        <f aca="false">(AS26-AQ26)/AZ26</f>
        <v>0</v>
      </c>
      <c r="BC26" s="108" t="str">
        <f aca="false">IF(AM26=0,"",(AN26/AM26)*AO26)</f>
        <v/>
      </c>
      <c r="BD26" s="231" t="str">
        <f aca="false">IF(AR26="","",(AT26-AR26)*AO26*AP26/(AS26-AQ26))</f>
        <v/>
      </c>
      <c r="BE26" s="271" t="n">
        <v>10000</v>
      </c>
      <c r="BF26" s="233" t="n">
        <f aca="false">Data!$S26</f>
        <v>0</v>
      </c>
      <c r="BG26" s="236" t="str">
        <f aca="false">IF(AQ26="","",(AS26-AQ26)/(AM26*AP26))</f>
        <v/>
      </c>
      <c r="BH26" s="236" t="str">
        <f aca="false">IF(AR26="","",(AT26-AR26)/AN26)</f>
        <v/>
      </c>
      <c r="BI26" s="235" t="str">
        <f aca="false">Data!$J26</f>
        <v>mm</v>
      </c>
      <c r="BJ26" s="236" t="n">
        <f aca="false">AM26*AP26</f>
        <v>0</v>
      </c>
      <c r="BK26" s="236" t="n">
        <f aca="false">IFERROR(($AO26*$AP26)/($BE26/$AN26),0)</f>
        <v>0</v>
      </c>
      <c r="BM26" s="272"/>
      <c r="BN26" s="208"/>
      <c r="BO26" s="208"/>
      <c r="BP26" s="208"/>
      <c r="BQ26" s="272"/>
      <c r="BX26" s="221"/>
      <c r="BY26" s="221"/>
      <c r="CD26" s="157"/>
      <c r="CO26" s="221"/>
      <c r="CS26" s="232" t="str">
        <f aca="false">"Step_per_unit:"&amp;$BL26&amp;";"&amp;"Offset:"&amp;$BQ26&amp;";"&amp;"Sign:"&amp;$BM26&amp;";"&amp;"EncoderSource:"&amp;$BN26&amp;";"&amp;"EncoderSourceFormula:"&amp;$BO26&amp;";"&amp;"UseEncoderSource:"&amp;$BP26</f>
        <v>Step_per_unit:;Offset:;Sign:;EncoderSource:;EncoderSourceFormula:;UseEncoderSource:</v>
      </c>
      <c r="CU26" s="156"/>
      <c r="CV26" s="222"/>
      <c r="CW26" s="270"/>
      <c r="DC26" s="108"/>
      <c r="DE26" s="160"/>
      <c r="DH26" s="221"/>
    </row>
    <row r="27" customFormat="false" ht="10.2" hidden="false" customHeight="false" outlineLevel="0" collapsed="false">
      <c r="A27" s="212" t="n">
        <f aca="false">Data!$A27</f>
        <v>27</v>
      </c>
      <c r="B27" s="212" t="str">
        <f aca="false">Data!$B27</f>
        <v>B316A-EA07-OPT-GRA-02</v>
      </c>
      <c r="C27" s="212" t="str">
        <f aca="false">Data!$C27</f>
        <v>Grating VERITAS</v>
      </c>
      <c r="D27" s="267" t="str">
        <f aca="false">Data!D27</f>
        <v>Y1</v>
      </c>
      <c r="E27" s="224" t="str">
        <f aca="false">Data!$E27</f>
        <v>a_gra2_y1</v>
      </c>
      <c r="F27" s="225" t="str">
        <f aca="false">Data!$G27</f>
        <v>Y</v>
      </c>
      <c r="G27" s="225" t="str">
        <f aca="false">Data!$H27</f>
        <v>N</v>
      </c>
      <c r="H27" s="225" t="n">
        <f aca="false">Data!$AM27</f>
        <v>0</v>
      </c>
      <c r="I27" s="222" t="e">
        <f aca="true">INDEX(OFFSET(MOTION1!$A$1,0,0,SystemInfo!$B$1,1),MATCH(CONCATENATE(B27,D27),OFFSET(MOTION1!$J$1,0,0,SystemInfo!$B$1,1),0))</f>
        <v>#N/A</v>
      </c>
      <c r="J27" s="222" t="e">
        <f aca="true">INDEX(OFFSET(MOTION3!$A$1,0,0,SystemInfo!$B$1,1),MATCH(CONCATENATE(B27,D27),OFFSET(MOTION3!$J$1,0,0,SystemInfo!$B$1,1),0))</f>
        <v>#N/A</v>
      </c>
      <c r="L27" s="222" t="e">
        <f aca="true">INDEX(OFFSET(DISABLE!$A$1,0,0,SystemInfo!$B$1,1),MATCH(CONCATENATE(B27,D27),OFFSET(DISABLE!$J$1,0,0,SystemInfo!$B$1,1),0))</f>
        <v>#N/A</v>
      </c>
      <c r="P27" s="222" t="e">
        <f aca="false">Data!$O27</f>
        <v>#N/A</v>
      </c>
      <c r="Q27" s="222" t="e">
        <f aca="false">Data!$N27</f>
        <v>#N/A</v>
      </c>
      <c r="AH27" s="222"/>
      <c r="AI27" s="222"/>
      <c r="AJ27" s="270"/>
      <c r="AK27" s="270"/>
      <c r="AU27" s="108" t="n">
        <f aca="false">FATPOSITIONS!$I27</f>
        <v>0</v>
      </c>
      <c r="AV27" s="108" t="n">
        <f aca="false">FATPOSITIONS!$J27</f>
        <v>0</v>
      </c>
      <c r="AW27" s="231" t="n">
        <f aca="false">AR27+AJ27</f>
        <v>0</v>
      </c>
      <c r="AX27" s="231" t="n">
        <f aca="false">AT27+AJ27</f>
        <v>0</v>
      </c>
      <c r="AY27" s="160"/>
      <c r="AZ27" s="271" t="n">
        <v>1600</v>
      </c>
      <c r="BA27" s="271" t="n">
        <v>0.3</v>
      </c>
      <c r="BB27" s="232" t="n">
        <f aca="false">(AS27-AQ27)/AZ27</f>
        <v>0</v>
      </c>
      <c r="BC27" s="108" t="str">
        <f aca="false">IF(AM27=0,"",(AN27/AM27)*AO27)</f>
        <v/>
      </c>
      <c r="BD27" s="231" t="str">
        <f aca="false">IF(AR27="","",(AT27-AR27)*AO27*AP27/(AS27-AQ27))</f>
        <v/>
      </c>
      <c r="BE27" s="271" t="n">
        <v>10000</v>
      </c>
      <c r="BF27" s="233" t="n">
        <f aca="false">Data!$S27</f>
        <v>0</v>
      </c>
      <c r="BG27" s="236" t="str">
        <f aca="false">IF(AQ27="","",(AS27-AQ27)/(AM27*AP27))</f>
        <v/>
      </c>
      <c r="BH27" s="236" t="str">
        <f aca="false">IF(AR27="","",(AT27-AR27)/AN27)</f>
        <v/>
      </c>
      <c r="BI27" s="235" t="str">
        <f aca="false">Data!$J27</f>
        <v>mm</v>
      </c>
      <c r="BJ27" s="236" t="n">
        <f aca="false">AM27*AP27</f>
        <v>0</v>
      </c>
      <c r="BK27" s="236" t="n">
        <f aca="false">IFERROR(($AO27*$AP27)/($BE27/$AN27),0)</f>
        <v>0</v>
      </c>
      <c r="BM27" s="272"/>
      <c r="BN27" s="208"/>
      <c r="BO27" s="208"/>
      <c r="BP27" s="208"/>
      <c r="BQ27" s="272"/>
      <c r="BX27" s="221"/>
      <c r="BY27" s="221"/>
      <c r="CO27" s="221"/>
      <c r="CS27" s="232" t="str">
        <f aca="false">"Step_per_unit:"&amp;$BL27&amp;";"&amp;"Offset:"&amp;$BQ27&amp;";"&amp;"Sign:"&amp;$BM27&amp;";"&amp;"EncoderSource:"&amp;$BN27&amp;";"&amp;"EncoderSourceFormula:"&amp;$BO27&amp;";"&amp;"UseEncoderSource:"&amp;$BP27</f>
        <v>Step_per_unit:;Offset:;Sign:;EncoderSource:;EncoderSourceFormula:;UseEncoderSource:</v>
      </c>
      <c r="CU27" s="156"/>
      <c r="CV27" s="222"/>
      <c r="CW27" s="270"/>
      <c r="DC27" s="108"/>
      <c r="DE27" s="160"/>
      <c r="DH27" s="221"/>
    </row>
    <row r="28" customFormat="false" ht="10.2" hidden="false" customHeight="false" outlineLevel="0" collapsed="false">
      <c r="A28" s="212" t="n">
        <f aca="false">Data!$A28</f>
        <v>28</v>
      </c>
      <c r="B28" s="212" t="str">
        <f aca="false">Data!$B28</f>
        <v>B316A-EA07-OPT-GRA-02</v>
      </c>
      <c r="C28" s="212" t="str">
        <f aca="false">Data!$C28</f>
        <v>Grating VERITAS</v>
      </c>
      <c r="D28" s="267" t="str">
        <f aca="false">Data!D28</f>
        <v>Y2</v>
      </c>
      <c r="E28" s="224" t="str">
        <f aca="false">Data!$E28</f>
        <v>a_gra2_y2</v>
      </c>
      <c r="F28" s="225" t="str">
        <f aca="false">Data!$G28</f>
        <v>Y</v>
      </c>
      <c r="G28" s="225" t="str">
        <f aca="false">Data!$H28</f>
        <v>N</v>
      </c>
      <c r="H28" s="225" t="n">
        <f aca="false">Data!$AM28</f>
        <v>0</v>
      </c>
      <c r="I28" s="222" t="e">
        <f aca="true">INDEX(OFFSET(MOTION1!$A$1,0,0,SystemInfo!$B$1,1),MATCH(CONCATENATE(B28,D28),OFFSET(MOTION1!$J$1,0,0,SystemInfo!$B$1,1),0))</f>
        <v>#N/A</v>
      </c>
      <c r="J28" s="222" t="e">
        <f aca="true">INDEX(OFFSET(MOTION3!$A$1,0,0,SystemInfo!$B$1,1),MATCH(CONCATENATE(B28,D28),OFFSET(MOTION3!$J$1,0,0,SystemInfo!$B$1,1),0))</f>
        <v>#N/A</v>
      </c>
      <c r="L28" s="222" t="e">
        <f aca="true">INDEX(OFFSET(DISABLE!$A$1,0,0,SystemInfo!$B$1,1),MATCH(CONCATENATE(B28,D28),OFFSET(DISABLE!$J$1,0,0,SystemInfo!$B$1,1),0))</f>
        <v>#N/A</v>
      </c>
      <c r="P28" s="222" t="e">
        <f aca="false">Data!$O28</f>
        <v>#N/A</v>
      </c>
      <c r="Q28" s="222" t="e">
        <f aca="false">Data!$N28</f>
        <v>#N/A</v>
      </c>
      <c r="AH28" s="222"/>
      <c r="AI28" s="222"/>
      <c r="AJ28" s="270"/>
      <c r="AK28" s="270"/>
      <c r="AU28" s="108" t="n">
        <f aca="false">FATPOSITIONS!$I28</f>
        <v>0</v>
      </c>
      <c r="AV28" s="108" t="n">
        <f aca="false">FATPOSITIONS!$J28</f>
        <v>0</v>
      </c>
      <c r="AW28" s="231" t="n">
        <f aca="false">AR28+AJ28</f>
        <v>0</v>
      </c>
      <c r="AX28" s="231" t="n">
        <f aca="false">AT28+AJ28</f>
        <v>0</v>
      </c>
      <c r="AZ28" s="230" t="n">
        <v>1600</v>
      </c>
      <c r="BA28" s="271" t="n">
        <v>0.3</v>
      </c>
      <c r="BB28" s="232" t="n">
        <f aca="false">(AS28-AQ28)/AZ28</f>
        <v>0</v>
      </c>
      <c r="BC28" s="108" t="str">
        <f aca="false">IF(AM28=0,"",(AN28/AM28)*AO28)</f>
        <v/>
      </c>
      <c r="BD28" s="231" t="str">
        <f aca="false">IF(AR28="","",(AT28-AR28)*AO28*AP28/(AS28-AQ28))</f>
        <v/>
      </c>
      <c r="BE28" s="230" t="n">
        <v>10000</v>
      </c>
      <c r="BF28" s="233" t="n">
        <f aca="false">Data!$S28</f>
        <v>0</v>
      </c>
      <c r="BG28" s="236" t="str">
        <f aca="false">IF(AQ28="","",(AS28-AQ28)/(AM28*AP28))</f>
        <v/>
      </c>
      <c r="BH28" s="236" t="str">
        <f aca="false">IF(AR28="","",(AT28-AR28)/AN28)</f>
        <v/>
      </c>
      <c r="BI28" s="235" t="str">
        <f aca="false">Data!$J28</f>
        <v>mm</v>
      </c>
      <c r="BJ28" s="236" t="n">
        <f aca="false">AM28*AP28</f>
        <v>0</v>
      </c>
      <c r="BK28" s="236" t="n">
        <f aca="false">IFERROR(($AO28*$AP28)/($BE28/$AN28),0)</f>
        <v>0</v>
      </c>
      <c r="BM28" s="272"/>
      <c r="BN28" s="208"/>
      <c r="BO28" s="208"/>
      <c r="BP28" s="208"/>
      <c r="BQ28" s="272"/>
      <c r="BX28" s="221"/>
      <c r="BY28" s="221"/>
      <c r="CO28" s="221"/>
      <c r="CS28" s="232" t="str">
        <f aca="false">"Step_per_unit:"&amp;$BL28&amp;";"&amp;"Offset:"&amp;$BQ28&amp;";"&amp;"Sign:"&amp;$BM28&amp;";"&amp;"EncoderSource:"&amp;$BN28&amp;";"&amp;"EncoderSourceFormula:"&amp;$BO28&amp;";"&amp;"UseEncoderSource:"&amp;$BP28</f>
        <v>Step_per_unit:;Offset:;Sign:;EncoderSource:;EncoderSourceFormula:;UseEncoderSource:</v>
      </c>
      <c r="CU28" s="156"/>
      <c r="CV28" s="222"/>
      <c r="CW28" s="270"/>
      <c r="DC28" s="108"/>
      <c r="DH28" s="221"/>
    </row>
    <row r="29" s="279" customFormat="true" ht="10.2" hidden="false" customHeight="false" outlineLevel="0" collapsed="false">
      <c r="A29" s="220" t="n">
        <f aca="false">Data!$A29</f>
        <v>0</v>
      </c>
      <c r="B29" s="220"/>
      <c r="C29" s="220"/>
      <c r="D29" s="275"/>
      <c r="E29" s="276"/>
      <c r="F29" s="275"/>
      <c r="G29" s="275"/>
      <c r="H29" s="275"/>
      <c r="I29" s="277"/>
      <c r="J29" s="277"/>
      <c r="K29" s="277"/>
      <c r="L29" s="277"/>
      <c r="M29" s="278"/>
      <c r="N29" s="277"/>
      <c r="O29" s="277"/>
      <c r="P29" s="277"/>
      <c r="Q29" s="277"/>
      <c r="R29" s="278"/>
      <c r="S29" s="278"/>
      <c r="T29" s="278"/>
      <c r="U29" s="278"/>
      <c r="V29" s="278"/>
      <c r="W29" s="278"/>
      <c r="X29" s="278"/>
      <c r="Y29" s="278"/>
      <c r="Z29" s="278"/>
      <c r="AA29" s="278"/>
      <c r="AF29" s="275"/>
      <c r="AH29" s="277"/>
      <c r="AI29" s="277"/>
      <c r="AJ29" s="277"/>
      <c r="AK29" s="277"/>
      <c r="AM29" s="278"/>
      <c r="AN29" s="278"/>
      <c r="AO29" s="277"/>
      <c r="AP29" s="277"/>
      <c r="AQ29" s="280"/>
      <c r="AR29" s="280"/>
      <c r="AS29" s="280"/>
      <c r="AT29" s="280"/>
      <c r="AU29" s="277"/>
      <c r="AV29" s="277"/>
      <c r="AW29" s="280"/>
      <c r="AX29" s="280"/>
      <c r="BB29" s="281"/>
      <c r="BC29" s="280"/>
      <c r="BD29" s="280"/>
      <c r="BF29" s="281"/>
      <c r="BG29" s="283"/>
      <c r="BH29" s="283"/>
      <c r="BI29" s="283"/>
      <c r="BJ29" s="282"/>
      <c r="BK29" s="282"/>
      <c r="BL29" s="284"/>
      <c r="BM29" s="284"/>
      <c r="BN29" s="282"/>
      <c r="BO29" s="282"/>
      <c r="BP29" s="282"/>
      <c r="BQ29" s="284"/>
      <c r="BR29" s="283"/>
      <c r="BS29" s="283"/>
      <c r="BT29" s="283"/>
      <c r="BU29" s="283"/>
      <c r="BV29" s="283"/>
      <c r="BW29" s="283"/>
      <c r="BZ29" s="277"/>
      <c r="CA29" s="277"/>
      <c r="CB29" s="277"/>
      <c r="CC29" s="277"/>
      <c r="CG29" s="283"/>
      <c r="CH29" s="283"/>
      <c r="CI29" s="283"/>
      <c r="CJ29" s="283"/>
      <c r="CK29" s="283"/>
      <c r="CL29" s="283"/>
      <c r="CM29" s="283"/>
      <c r="CN29" s="283"/>
      <c r="CO29" s="283"/>
      <c r="CP29" s="283"/>
      <c r="CQ29" s="283"/>
      <c r="CS29" s="281"/>
      <c r="CT29" s="277"/>
      <c r="CU29" s="285"/>
      <c r="CV29" s="277"/>
      <c r="CW29" s="277"/>
      <c r="CY29" s="278"/>
      <c r="CZ29" s="278"/>
      <c r="DA29" s="280"/>
      <c r="DB29" s="280"/>
      <c r="DC29" s="280"/>
      <c r="DD29" s="280"/>
      <c r="DF29" s="281"/>
      <c r="DG29" s="283"/>
      <c r="DH29" s="283"/>
      <c r="DI29" s="282"/>
    </row>
    <row r="30" s="279" customFormat="true" ht="10.2" hidden="false" customHeight="false" outlineLevel="0" collapsed="false">
      <c r="A30" s="220" t="n">
        <f aca="false">Data!$A30</f>
        <v>0</v>
      </c>
      <c r="B30" s="220"/>
      <c r="C30" s="220"/>
      <c r="D30" s="275"/>
      <c r="E30" s="276"/>
      <c r="F30" s="275"/>
      <c r="G30" s="275"/>
      <c r="H30" s="275"/>
      <c r="I30" s="277"/>
      <c r="J30" s="277"/>
      <c r="K30" s="277"/>
      <c r="L30" s="277"/>
      <c r="M30" s="278"/>
      <c r="N30" s="277"/>
      <c r="O30" s="277"/>
      <c r="P30" s="277"/>
      <c r="Q30" s="277"/>
      <c r="R30" s="278"/>
      <c r="S30" s="278"/>
      <c r="T30" s="278"/>
      <c r="U30" s="278"/>
      <c r="V30" s="278"/>
      <c r="W30" s="278"/>
      <c r="X30" s="278"/>
      <c r="Y30" s="278"/>
      <c r="Z30" s="278"/>
      <c r="AA30" s="278"/>
      <c r="AF30" s="275"/>
      <c r="AH30" s="277"/>
      <c r="AI30" s="277"/>
      <c r="AJ30" s="277"/>
      <c r="AK30" s="277"/>
      <c r="AM30" s="278"/>
      <c r="AN30" s="278"/>
      <c r="AO30" s="277"/>
      <c r="AP30" s="277"/>
      <c r="AQ30" s="280"/>
      <c r="AR30" s="280"/>
      <c r="AS30" s="280"/>
      <c r="AT30" s="280"/>
      <c r="AU30" s="277"/>
      <c r="AV30" s="277"/>
      <c r="AW30" s="280"/>
      <c r="AX30" s="280"/>
      <c r="BB30" s="281"/>
      <c r="BC30" s="280"/>
      <c r="BD30" s="280"/>
      <c r="BF30" s="281"/>
      <c r="BG30" s="283"/>
      <c r="BH30" s="283"/>
      <c r="BI30" s="283"/>
      <c r="BJ30" s="282"/>
      <c r="BK30" s="282"/>
      <c r="BL30" s="284"/>
      <c r="BM30" s="284"/>
      <c r="BN30" s="282"/>
      <c r="BO30" s="282"/>
      <c r="BP30" s="282"/>
      <c r="BQ30" s="284"/>
      <c r="BR30" s="283"/>
      <c r="BS30" s="283"/>
      <c r="BT30" s="283"/>
      <c r="BU30" s="283"/>
      <c r="BV30" s="283"/>
      <c r="BW30" s="283"/>
      <c r="BZ30" s="277"/>
      <c r="CA30" s="277"/>
      <c r="CB30" s="277"/>
      <c r="CC30" s="277"/>
      <c r="CG30" s="283"/>
      <c r="CH30" s="283"/>
      <c r="CI30" s="283"/>
      <c r="CJ30" s="283"/>
      <c r="CK30" s="283"/>
      <c r="CL30" s="283"/>
      <c r="CM30" s="283"/>
      <c r="CN30" s="283"/>
      <c r="CO30" s="283"/>
      <c r="CP30" s="283"/>
      <c r="CQ30" s="283"/>
      <c r="CS30" s="281"/>
      <c r="CT30" s="277"/>
      <c r="CU30" s="285"/>
      <c r="CV30" s="277"/>
      <c r="CW30" s="277"/>
      <c r="CY30" s="278"/>
      <c r="CZ30" s="278"/>
      <c r="DA30" s="280"/>
      <c r="DB30" s="280"/>
      <c r="DC30" s="280"/>
      <c r="DD30" s="280"/>
      <c r="DF30" s="281"/>
      <c r="DG30" s="283"/>
      <c r="DH30" s="283"/>
      <c r="DI30" s="282"/>
    </row>
    <row r="31" customFormat="false" ht="10.2" hidden="false" customHeight="false" outlineLevel="0" collapsed="false">
      <c r="A31" s="212" t="n">
        <f aca="false">Data!$A31</f>
        <v>31</v>
      </c>
      <c r="B31" s="212" t="str">
        <f aca="false">Data!$B31</f>
        <v>B316A-EA07-OPT-GRA-02</v>
      </c>
      <c r="C31" s="212" t="str">
        <f aca="false">Data!$C31</f>
        <v>Grating VERITAS</v>
      </c>
      <c r="D31" s="267" t="str">
        <f aca="false">Data!D31</f>
        <v>Y3</v>
      </c>
      <c r="E31" s="224" t="str">
        <f aca="false">Data!$E31</f>
        <v>a_gra2_y3</v>
      </c>
      <c r="F31" s="225" t="str">
        <f aca="false">Data!$G31</f>
        <v>Y</v>
      </c>
      <c r="G31" s="225" t="str">
        <f aca="false">Data!$H31</f>
        <v>N</v>
      </c>
      <c r="H31" s="225" t="n">
        <f aca="false">Data!$AM31</f>
        <v>0</v>
      </c>
      <c r="I31" s="222" t="e">
        <f aca="true">INDEX(OFFSET(MOTION1!$A$1,0,0,SystemInfo!$B$1,1),MATCH(CONCATENATE(B31,D31),OFFSET(MOTION1!$J$1,0,0,SystemInfo!$B$1,1),0))</f>
        <v>#N/A</v>
      </c>
      <c r="J31" s="222" t="e">
        <f aca="true">INDEX(OFFSET(MOTION3!$A$1,0,0,SystemInfo!$B$1,1),MATCH(CONCATENATE(B31,D31),OFFSET(MOTION3!$J$1,0,0,SystemInfo!$B$1,1),0))</f>
        <v>#N/A</v>
      </c>
      <c r="L31" s="222" t="e">
        <f aca="true">INDEX(OFFSET(DISABLE!$A$1,0,0,SystemInfo!$B$1,1),MATCH(CONCATENATE(B31,D31),OFFSET(DISABLE!$J$1,0,0,SystemInfo!$B$1,1),0))</f>
        <v>#N/A</v>
      </c>
      <c r="P31" s="107" t="e">
        <f aca="false">Data!$O31</f>
        <v>#N/A</v>
      </c>
      <c r="Q31" s="107" t="e">
        <f aca="false">Data!$N31</f>
        <v>#N/A</v>
      </c>
      <c r="AH31" s="222"/>
      <c r="AI31" s="222"/>
      <c r="AJ31" s="270"/>
      <c r="AK31" s="270"/>
      <c r="AU31" s="108" t="n">
        <f aca="false">FATPOSITIONS!$I31</f>
        <v>0</v>
      </c>
      <c r="AV31" s="108" t="n">
        <f aca="false">FATPOSITIONS!$J31</f>
        <v>0</v>
      </c>
      <c r="AW31" s="231" t="n">
        <f aca="false">AR31+AJ31</f>
        <v>0</v>
      </c>
      <c r="AX31" s="231" t="n">
        <f aca="false">AT31+AJ31</f>
        <v>0</v>
      </c>
      <c r="AY31" s="160"/>
      <c r="AZ31" s="271" t="n">
        <v>400</v>
      </c>
      <c r="BA31" s="271" t="n">
        <v>0.15</v>
      </c>
      <c r="BB31" s="232" t="n">
        <f aca="false">(AS31-AQ31)/AZ31</f>
        <v>0</v>
      </c>
      <c r="BC31" s="108" t="str">
        <f aca="false">IF(AM31=0,"",(AN31/AM31)*AO31)</f>
        <v/>
      </c>
      <c r="BD31" s="231" t="str">
        <f aca="false">IF(AR31="","",(AT31-AR31)*AO31*AP31/(AS31-AQ31))</f>
        <v/>
      </c>
      <c r="BE31" s="271" t="n">
        <v>1000000</v>
      </c>
      <c r="BF31" s="233" t="n">
        <f aca="false">Data!$S31</f>
        <v>0</v>
      </c>
      <c r="BG31" s="236" t="str">
        <f aca="false">IF(AQ31="","",(AS31-AQ31)/(AM31*AP31))</f>
        <v/>
      </c>
      <c r="BH31" s="236" t="str">
        <f aca="false">IF(AR31="","",(AT31-AR31)/AN31)</f>
        <v/>
      </c>
      <c r="BI31" s="221" t="str">
        <f aca="false">Data!$J31</f>
        <v>mm</v>
      </c>
      <c r="BJ31" s="236" t="n">
        <f aca="false">AM31*AP31</f>
        <v>0</v>
      </c>
      <c r="BK31" s="236" t="n">
        <f aca="false">IFERROR(($AO31*$AP31)/($BE31/$AN31),0)</f>
        <v>0</v>
      </c>
      <c r="BM31" s="272"/>
      <c r="BN31" s="208"/>
      <c r="BO31" s="208"/>
      <c r="BP31" s="208"/>
      <c r="BQ31" s="272"/>
      <c r="BX31" s="221"/>
      <c r="BY31" s="221"/>
      <c r="CO31" s="221"/>
      <c r="CS31" s="232" t="str">
        <f aca="false">"Step_per_unit:"&amp;$BL31&amp;";"&amp;"Offset:"&amp;$BQ31&amp;";"&amp;"Sign:"&amp;$BM31&amp;";"&amp;"EncoderSource:"&amp;$BN31&amp;";"&amp;"EncoderSourceFormula:"&amp;$BO31&amp;";"&amp;"UseEncoderSource:"&amp;$BP31</f>
        <v>Step_per_unit:;Offset:;Sign:;EncoderSource:;EncoderSourceFormula:;UseEncoderSource:</v>
      </c>
      <c r="CU31" s="274"/>
      <c r="CV31" s="222"/>
      <c r="CW31" s="270"/>
      <c r="DC31" s="108"/>
      <c r="DE31" s="160"/>
      <c r="DH31" s="221"/>
    </row>
    <row r="32" customFormat="false" ht="10.2" hidden="false" customHeight="false" outlineLevel="0" collapsed="false">
      <c r="A32" s="212" t="n">
        <f aca="false">Data!$A32</f>
        <v>32</v>
      </c>
      <c r="B32" s="212" t="str">
        <f aca="false">Data!$B32</f>
        <v>B316A-EA08-OPT-FLT-01</v>
      </c>
      <c r="C32" s="212" t="str">
        <f aca="false">Data!$C32</f>
        <v>Filter Unit VERITAS</v>
      </c>
      <c r="D32" s="267" t="str">
        <f aca="false">Data!D32</f>
        <v>X</v>
      </c>
      <c r="E32" s="224" t="str">
        <f aca="false">Data!$E32</f>
        <v>a_flt1_x</v>
      </c>
      <c r="F32" s="225" t="str">
        <f aca="false">Data!$G32</f>
        <v>Y</v>
      </c>
      <c r="G32" s="225" t="str">
        <f aca="false">Data!$H32</f>
        <v>N</v>
      </c>
      <c r="H32" s="225" t="n">
        <f aca="false">Data!$AM32</f>
        <v>0</v>
      </c>
      <c r="I32" s="222" t="e">
        <f aca="true">INDEX(OFFSET(MOTION1!$A$1,0,0,SystemInfo!$B$1,1),MATCH(CONCATENATE(B32,D32),OFFSET(MOTION1!$J$1,0,0,SystemInfo!$B$1,1),0))</f>
        <v>#N/A</v>
      </c>
      <c r="J32" s="222" t="e">
        <f aca="true">INDEX(OFFSET(MOTION3!$A$1,0,0,SystemInfo!$B$1,1),MATCH(CONCATENATE(B32,D32),OFFSET(MOTION3!$J$1,0,0,SystemInfo!$B$1,1),0))</f>
        <v>#N/A</v>
      </c>
      <c r="L32" s="222" t="e">
        <f aca="true">INDEX(OFFSET(DISABLE!$A$1,0,0,SystemInfo!$B$1,1),MATCH(CONCATENATE(B32,D32),OFFSET(DISABLE!$J$1,0,0,SystemInfo!$B$1,1),0))</f>
        <v>#N/A</v>
      </c>
      <c r="P32" s="222" t="n">
        <f aca="false">Data!$O32</f>
        <v>39.6</v>
      </c>
      <c r="Q32" s="222" t="n">
        <f aca="false">Data!$N32</f>
        <v>15</v>
      </c>
      <c r="AH32" s="222"/>
      <c r="AI32" s="222"/>
      <c r="AJ32" s="270"/>
      <c r="AK32" s="270"/>
      <c r="AU32" s="108" t="n">
        <f aca="false">FATPOSITIONS!$I32</f>
        <v>0</v>
      </c>
      <c r="AV32" s="108" t="n">
        <f aca="false">FATPOSITIONS!$J32</f>
        <v>0</v>
      </c>
      <c r="AW32" s="231" t="n">
        <f aca="false">AR32+AJ32</f>
        <v>0</v>
      </c>
      <c r="AX32" s="231" t="n">
        <f aca="false">AT32+AJ32</f>
        <v>0</v>
      </c>
      <c r="AY32" s="160"/>
      <c r="AZ32" s="271" t="n">
        <v>400</v>
      </c>
      <c r="BA32" s="271" t="n">
        <v>0.15</v>
      </c>
      <c r="BB32" s="232" t="n">
        <f aca="false">(AS32-AQ32)/AZ32</f>
        <v>0</v>
      </c>
      <c r="BC32" s="108" t="str">
        <f aca="false">IF(AM32=0,"",(AN32/AM32)*AO32)</f>
        <v/>
      </c>
      <c r="BD32" s="231" t="str">
        <f aca="false">IF(AR32="","",(AT32-AR32)*AO32*AP32/(AS32-AQ32))</f>
        <v/>
      </c>
      <c r="BE32" s="271" t="n">
        <v>1000000</v>
      </c>
      <c r="BF32" s="233" t="n">
        <f aca="false">Data!$S32</f>
        <v>0</v>
      </c>
      <c r="BG32" s="236" t="str">
        <f aca="false">IF(AQ32="","",(AS32-AQ32)/(AM32*AP32))</f>
        <v/>
      </c>
      <c r="BH32" s="236" t="str">
        <f aca="false">IF(AR32="","",(AT32-AR32)/AN32)</f>
        <v/>
      </c>
      <c r="BI32" s="235" t="str">
        <f aca="false">Data!$J32</f>
        <v>mm</v>
      </c>
      <c r="BJ32" s="236" t="n">
        <f aca="false">AM32*AP32</f>
        <v>0</v>
      </c>
      <c r="BK32" s="236" t="n">
        <f aca="false">IFERROR(($AO32*$AP32)/($BE32/$AN32),0)</f>
        <v>0</v>
      </c>
      <c r="BM32" s="272"/>
      <c r="BN32" s="208"/>
      <c r="BO32" s="208"/>
      <c r="BP32" s="208"/>
      <c r="BQ32" s="272"/>
      <c r="BX32" s="221"/>
      <c r="BY32" s="221"/>
      <c r="CO32" s="221"/>
      <c r="CS32" s="232" t="str">
        <f aca="false">"Step_per_unit:"&amp;$BL32&amp;";"&amp;"Offset:"&amp;$BQ32&amp;";"&amp;"Sign:"&amp;$BM32&amp;";"&amp;"EncoderSource:"&amp;$BN32&amp;";"&amp;"EncoderSourceFormula:"&amp;$BO32&amp;";"&amp;"UseEncoderSource:"&amp;$BP32</f>
        <v>Step_per_unit:;Offset:;Sign:;EncoderSource:;EncoderSourceFormula:;UseEncoderSource:</v>
      </c>
      <c r="CU32" s="156"/>
      <c r="CV32" s="222"/>
      <c r="CW32" s="270"/>
      <c r="DC32" s="108"/>
      <c r="DE32" s="160"/>
      <c r="DH32" s="221"/>
    </row>
    <row r="33" customFormat="false" ht="10.2" hidden="false" customHeight="false" outlineLevel="0" collapsed="false">
      <c r="A33" s="212" t="n">
        <f aca="false">Data!$A33</f>
        <v>33</v>
      </c>
      <c r="B33" s="212" t="str">
        <f aca="false">Data!$B33</f>
        <v>B316A-EA08-DIA-DETMC-01</v>
      </c>
      <c r="C33" s="212" t="str">
        <f aca="false">Data!$C33</f>
        <v>Detector VERITAS</v>
      </c>
      <c r="D33" s="267" t="str">
        <f aca="false">Data!D33</f>
        <v>Y</v>
      </c>
      <c r="E33" s="224" t="str">
        <f aca="false">Data!$E33</f>
        <v>a_detmc1_y</v>
      </c>
      <c r="F33" s="225" t="str">
        <f aca="false">Data!$G33</f>
        <v>Y</v>
      </c>
      <c r="G33" s="225" t="str">
        <f aca="false">Data!$H33</f>
        <v>N</v>
      </c>
      <c r="H33" s="225" t="n">
        <f aca="false">Data!$AM33</f>
        <v>0</v>
      </c>
      <c r="I33" s="222" t="e">
        <f aca="true">INDEX(OFFSET(MOTION1!$A$1,0,0,SystemInfo!$B$1,1),MATCH(CONCATENATE(B33,D33),OFFSET(MOTION1!$J$1,0,0,SystemInfo!$B$1,1),0))</f>
        <v>#N/A</v>
      </c>
      <c r="J33" s="222" t="e">
        <f aca="true">INDEX(OFFSET(MOTION3!$A$1,0,0,SystemInfo!$B$1,1),MATCH(CONCATENATE(B33,D33),OFFSET(MOTION3!$J$1,0,0,SystemInfo!$B$1,1),0))</f>
        <v>#N/A</v>
      </c>
      <c r="L33" s="222" t="e">
        <f aca="true">INDEX(OFFSET(DISABLE!$A$1,0,0,SystemInfo!$B$1,1),MATCH(CONCATENATE(B33,D33),OFFSET(DISABLE!$J$1,0,0,SystemInfo!$B$1,1),0))</f>
        <v>#N/A</v>
      </c>
      <c r="P33" s="222" t="n">
        <f aca="false">Data!$O33</f>
        <v>39.6</v>
      </c>
      <c r="Q33" s="222" t="n">
        <f aca="false">Data!$N33</f>
        <v>15</v>
      </c>
      <c r="AH33" s="222"/>
      <c r="AI33" s="222"/>
      <c r="AJ33" s="270"/>
      <c r="AK33" s="270"/>
      <c r="AU33" s="108" t="n">
        <f aca="false">FATPOSITIONS!$I33</f>
        <v>0</v>
      </c>
      <c r="AV33" s="108" t="n">
        <f aca="false">FATPOSITIONS!$J33</f>
        <v>0</v>
      </c>
      <c r="AW33" s="231" t="n">
        <f aca="false">AR33+AJ33</f>
        <v>0</v>
      </c>
      <c r="AX33" s="231" t="n">
        <f aca="false">AT33+AJ33</f>
        <v>0</v>
      </c>
      <c r="AY33" s="160"/>
      <c r="AZ33" s="271" t="n">
        <v>400</v>
      </c>
      <c r="BA33" s="271" t="n">
        <v>0.15</v>
      </c>
      <c r="BB33" s="232" t="n">
        <f aca="false">(AS33-AQ33)/AZ33</f>
        <v>0</v>
      </c>
      <c r="BC33" s="108" t="str">
        <f aca="false">IF(AM33=0,"",(AN33/AM33)*AO33)</f>
        <v/>
      </c>
      <c r="BD33" s="231" t="str">
        <f aca="false">IF(AR33="","",(AT33-AR33)*AO33*AP33/(AS33-AQ33))</f>
        <v/>
      </c>
      <c r="BE33" s="271" t="n">
        <v>1000000</v>
      </c>
      <c r="BF33" s="233" t="n">
        <f aca="false">Data!$S33</f>
        <v>0</v>
      </c>
      <c r="BG33" s="236" t="str">
        <f aca="false">IF(AQ33="","",(AS33-AQ33)/(AM33*AP33))</f>
        <v/>
      </c>
      <c r="BH33" s="236" t="str">
        <f aca="false">IF(AR33="","",(AT33-AR33)/AN33)</f>
        <v/>
      </c>
      <c r="BI33" s="235" t="str">
        <f aca="false">Data!$J33</f>
        <v>mm</v>
      </c>
      <c r="BJ33" s="236" t="n">
        <f aca="false">AM33*AP33</f>
        <v>0</v>
      </c>
      <c r="BK33" s="236" t="n">
        <f aca="false">IFERROR(($AO33*$AP33)/($BE33/$AN33),0)</f>
        <v>0</v>
      </c>
      <c r="BM33" s="272"/>
      <c r="BN33" s="208"/>
      <c r="BO33" s="208"/>
      <c r="BP33" s="208"/>
      <c r="BQ33" s="272"/>
      <c r="BX33" s="221"/>
      <c r="BY33" s="221"/>
      <c r="CO33" s="221"/>
      <c r="CS33" s="232" t="str">
        <f aca="false">"Step_per_unit:"&amp;$BL33&amp;";"&amp;"Offset:"&amp;$BQ33&amp;";"&amp;"Sign:"&amp;$BM33&amp;";"&amp;"EncoderSource:"&amp;$BN33&amp;";"&amp;"EncoderSourceFormula:"&amp;$BO33&amp;";"&amp;"UseEncoderSource:"&amp;$BP33</f>
        <v>Step_per_unit:;Offset:;Sign:;EncoderSource:;EncoderSourceFormula:;UseEncoderSource:</v>
      </c>
      <c r="CU33" s="156"/>
      <c r="CV33" s="222"/>
      <c r="CW33" s="270"/>
      <c r="DC33" s="108"/>
      <c r="DE33" s="160"/>
      <c r="DH33" s="221"/>
    </row>
    <row r="34" customFormat="false" ht="10.2" hidden="false" customHeight="false" outlineLevel="0" collapsed="false">
      <c r="A34" s="212" t="n">
        <f aca="false">Data!$A34</f>
        <v>34</v>
      </c>
      <c r="B34" s="212" t="str">
        <f aca="false">Data!$B34</f>
        <v>B316A-EA08-DIA-DETMC-02</v>
      </c>
      <c r="C34" s="212" t="str">
        <f aca="false">Data!$C34</f>
        <v>Detector VERITAS</v>
      </c>
      <c r="D34" s="267" t="str">
        <f aca="false">Data!D34</f>
        <v>Y</v>
      </c>
      <c r="E34" s="224" t="str">
        <f aca="false">Data!$E34</f>
        <v>a_detmc2_y</v>
      </c>
      <c r="F34" s="225" t="str">
        <f aca="false">Data!$G34</f>
        <v>Y</v>
      </c>
      <c r="G34" s="225" t="str">
        <f aca="false">Data!$H34</f>
        <v>N</v>
      </c>
      <c r="H34" s="225" t="n">
        <f aca="false">Data!$AM34</f>
        <v>0</v>
      </c>
      <c r="I34" s="222" t="e">
        <f aca="true">INDEX(OFFSET(MOTION1!$A$1,0,0,SystemInfo!$B$1,1),MATCH(CONCATENATE(B34,D34),OFFSET(MOTION1!$J$1,0,0,SystemInfo!$B$1,1),0))</f>
        <v>#N/A</v>
      </c>
      <c r="J34" s="222" t="e">
        <f aca="true">INDEX(OFFSET(MOTION3!$A$1,0,0,SystemInfo!$B$1,1),MATCH(CONCATENATE(B34,D34),OFFSET(MOTION3!$J$1,0,0,SystemInfo!$B$1,1),0))</f>
        <v>#N/A</v>
      </c>
      <c r="L34" s="222" t="e">
        <f aca="true">INDEX(OFFSET(DISABLE!$A$1,0,0,SystemInfo!$B$1,1),MATCH(CONCATENATE(B34,D34),OFFSET(DISABLE!$J$1,0,0,SystemInfo!$B$1,1),0))</f>
        <v>#N/A</v>
      </c>
      <c r="P34" s="222" t="n">
        <f aca="false">Data!$O34</f>
        <v>39.6</v>
      </c>
      <c r="Q34" s="222" t="n">
        <f aca="false">Data!$N34</f>
        <v>15</v>
      </c>
      <c r="AH34" s="222"/>
      <c r="AI34" s="222"/>
      <c r="AJ34" s="270"/>
      <c r="AK34" s="270"/>
      <c r="AU34" s="108" t="n">
        <f aca="false">FATPOSITIONS!$I34</f>
        <v>0</v>
      </c>
      <c r="AV34" s="108" t="n">
        <f aca="false">FATPOSITIONS!$J34</f>
        <v>0</v>
      </c>
      <c r="AW34" s="231" t="n">
        <f aca="false">AR34+AJ34</f>
        <v>0</v>
      </c>
      <c r="AX34" s="231" t="n">
        <f aca="false">AT34+AJ34</f>
        <v>0</v>
      </c>
      <c r="AY34" s="160"/>
      <c r="AZ34" s="271" t="n">
        <v>400</v>
      </c>
      <c r="BA34" s="271" t="n">
        <v>0.15</v>
      </c>
      <c r="BB34" s="232" t="n">
        <f aca="false">(AS34-AQ34)/AZ34</f>
        <v>0</v>
      </c>
      <c r="BC34" s="108" t="str">
        <f aca="false">IF(AM34=0,"",(AN34/AM34)*AO34)</f>
        <v/>
      </c>
      <c r="BD34" s="231" t="str">
        <f aca="false">IF(AR34="","",(AT34-AR34)*AO34*AP34/(AS34-AQ34))</f>
        <v/>
      </c>
      <c r="BE34" s="271" t="n">
        <v>1000000</v>
      </c>
      <c r="BF34" s="233" t="n">
        <f aca="false">Data!$S34</f>
        <v>0</v>
      </c>
      <c r="BG34" s="236" t="str">
        <f aca="false">IF(AQ34="","",(AS34-AQ34)/(AM34*AP34))</f>
        <v/>
      </c>
      <c r="BH34" s="236" t="str">
        <f aca="false">IF(AR34="","",(AT34-AR34)/AN34)</f>
        <v/>
      </c>
      <c r="BI34" s="235" t="str">
        <f aca="false">Data!$J34</f>
        <v>mm</v>
      </c>
      <c r="BJ34" s="236" t="n">
        <f aca="false">AM34*AP34</f>
        <v>0</v>
      </c>
      <c r="BK34" s="236" t="n">
        <f aca="false">IFERROR(($AO34*$AP34)/($BE34/$AN34),0)</f>
        <v>0</v>
      </c>
      <c r="BM34" s="272"/>
      <c r="BN34" s="208"/>
      <c r="BO34" s="208"/>
      <c r="BP34" s="208"/>
      <c r="BQ34" s="272"/>
      <c r="BX34" s="221"/>
      <c r="BY34" s="221"/>
      <c r="BZ34" s="289"/>
      <c r="CA34" s="289"/>
      <c r="CB34" s="289"/>
      <c r="CC34" s="289"/>
      <c r="CO34" s="221"/>
      <c r="CS34" s="232" t="str">
        <f aca="false">"Step_per_unit:"&amp;$BL34&amp;";"&amp;"Offset:"&amp;$BQ34&amp;";"&amp;"Sign:"&amp;$BM34&amp;";"&amp;"EncoderSource:"&amp;$BN34&amp;";"&amp;"EncoderSourceFormula:"&amp;$BO34&amp;";"&amp;"UseEncoderSource:"&amp;$BP34</f>
        <v>Step_per_unit:;Offset:;Sign:;EncoderSource:;EncoderSourceFormula:;UseEncoderSource:</v>
      </c>
      <c r="CU34" s="156"/>
      <c r="CV34" s="222"/>
      <c r="CW34" s="270"/>
      <c r="DC34" s="108"/>
      <c r="DE34" s="160"/>
      <c r="DH34" s="221"/>
    </row>
    <row r="35" customFormat="false" ht="10.2" hidden="false" customHeight="false" outlineLevel="0" collapsed="false">
      <c r="A35" s="212" t="n">
        <f aca="false">Data!$A35</f>
        <v>35</v>
      </c>
      <c r="B35" s="212" t="str">
        <f aca="false">Data!$B35</f>
        <v>B316A-EA09-OPT-MM-01</v>
      </c>
      <c r="C35" s="212" t="str">
        <f aca="false">Data!$C35</f>
        <v>Movable Mask VERITAS</v>
      </c>
      <c r="D35" s="267" t="str">
        <f aca="false">Data!D35</f>
        <v>Y</v>
      </c>
      <c r="E35" s="224" t="str">
        <f aca="false">Data!$E35</f>
        <v>a_mm1_y</v>
      </c>
      <c r="F35" s="225" t="str">
        <f aca="false">Data!$G35</f>
        <v>Y</v>
      </c>
      <c r="G35" s="225" t="str">
        <f aca="false">Data!$H35</f>
        <v>N</v>
      </c>
      <c r="H35" s="225" t="n">
        <f aca="false">Data!$AM35</f>
        <v>0</v>
      </c>
      <c r="I35" s="222" t="e">
        <f aca="true">INDEX(OFFSET(MOTION1!$A$1,0,0,SystemInfo!$B$1,1),MATCH(CONCATENATE(B35,D35),OFFSET(MOTION1!$J$1,0,0,SystemInfo!$B$1,1),0))</f>
        <v>#N/A</v>
      </c>
      <c r="J35" s="222" t="e">
        <f aca="true">INDEX(OFFSET(MOTION3!$A$1,0,0,SystemInfo!$B$1,1),MATCH(CONCATENATE(B35,D35),OFFSET(MOTION3!$J$1,0,0,SystemInfo!$B$1,1),0))</f>
        <v>#N/A</v>
      </c>
      <c r="L35" s="222" t="e">
        <f aca="true">INDEX(OFFSET(DISABLE!$A$1,0,0,SystemInfo!$B$1,1),MATCH(CONCATENATE(B35,D35),OFFSET(DISABLE!$J$1,0,0,SystemInfo!$B$1,1),0))</f>
        <v>#N/A</v>
      </c>
      <c r="P35" s="222" t="n">
        <f aca="false">Data!$O35</f>
        <v>19.2</v>
      </c>
      <c r="Q35" s="222" t="n">
        <f aca="false">Data!$N35</f>
        <v>4.5</v>
      </c>
      <c r="AH35" s="222"/>
      <c r="AI35" s="222"/>
      <c r="AJ35" s="270"/>
      <c r="AK35" s="270"/>
      <c r="AU35" s="108" t="n">
        <f aca="false">FATPOSITIONS!$I35</f>
        <v>0</v>
      </c>
      <c r="AV35" s="108" t="n">
        <f aca="false">FATPOSITIONS!$J35</f>
        <v>0</v>
      </c>
      <c r="AW35" s="231" t="n">
        <f aca="false">AR35+AJ35</f>
        <v>0</v>
      </c>
      <c r="AX35" s="231" t="n">
        <f aca="false">AT35+AJ35</f>
        <v>0</v>
      </c>
      <c r="AY35" s="160"/>
      <c r="AZ35" s="271" t="n">
        <v>1600</v>
      </c>
      <c r="BA35" s="271" t="n">
        <v>0.3</v>
      </c>
      <c r="BB35" s="232" t="n">
        <f aca="false">(AS35-AQ35)/AZ35</f>
        <v>0</v>
      </c>
      <c r="BC35" s="108" t="str">
        <f aca="false">IF(AM35=0,"",(AN35/AM35)*AO35)</f>
        <v/>
      </c>
      <c r="BD35" s="231" t="str">
        <f aca="false">IF(AR35="","",(AT35-AR35)*AO35*AP35/(AS35-AQ35))</f>
        <v/>
      </c>
      <c r="BE35" s="271" t="n">
        <v>1000000</v>
      </c>
      <c r="BF35" s="233" t="n">
        <f aca="false">Data!$S35</f>
        <v>0</v>
      </c>
      <c r="BG35" s="236" t="str">
        <f aca="false">IF(AQ35="","",(AS35-AQ35)/(AM35*AP35))</f>
        <v/>
      </c>
      <c r="BH35" s="236" t="str">
        <f aca="false">IF(AR35="","",(AT35-AR35)/AN35)</f>
        <v/>
      </c>
      <c r="BI35" s="235" t="str">
        <f aca="false">Data!$J35</f>
        <v>mm</v>
      </c>
      <c r="BJ35" s="236" t="n">
        <f aca="false">AM35*AP35</f>
        <v>0</v>
      </c>
      <c r="BK35" s="236" t="n">
        <f aca="false">IFERROR(($AO35*$AP35)/($BE35/$AN35),0)</f>
        <v>0</v>
      </c>
      <c r="BM35" s="272"/>
      <c r="BN35" s="208"/>
      <c r="BO35" s="208"/>
      <c r="BP35" s="208"/>
      <c r="BQ35" s="272"/>
      <c r="BX35" s="221"/>
      <c r="BY35" s="221"/>
      <c r="CO35" s="221"/>
      <c r="CS35" s="232" t="str">
        <f aca="false">"Step_per_unit:"&amp;$BL35&amp;";"&amp;"Offset:"&amp;$BQ35&amp;";"&amp;"Sign:"&amp;$BM35&amp;";"&amp;"EncoderSource:"&amp;$BN35&amp;";"&amp;"EncoderSourceFormula:"&amp;$BO35&amp;";"&amp;"UseEncoderSource:"&amp;$BP35</f>
        <v>Step_per_unit:;Offset:;Sign:;EncoderSource:;EncoderSourceFormula:;UseEncoderSource:</v>
      </c>
      <c r="CU35" s="156"/>
      <c r="CV35" s="222"/>
      <c r="CW35" s="270"/>
      <c r="DC35" s="108"/>
      <c r="DE35" s="160"/>
      <c r="DH35" s="221"/>
    </row>
    <row r="36" customFormat="false" ht="10.2" hidden="false" customHeight="false" outlineLevel="0" collapsed="false">
      <c r="A36" s="212" t="n">
        <f aca="false">Data!$A36</f>
        <v>36</v>
      </c>
      <c r="B36" s="212" t="str">
        <f aca="false">Data!$B36</f>
        <v>B316A-EA09-OPT-MM-02</v>
      </c>
      <c r="C36" s="212" t="str">
        <f aca="false">Data!$C36</f>
        <v>Movable Mask VERITAS</v>
      </c>
      <c r="D36" s="267" t="str">
        <f aca="false">Data!D36</f>
        <v>Y</v>
      </c>
      <c r="E36" s="224" t="str">
        <f aca="false">Data!$E36</f>
        <v>a_mm2_y</v>
      </c>
      <c r="F36" s="225" t="str">
        <f aca="false">Data!$G36</f>
        <v>Y</v>
      </c>
      <c r="G36" s="225" t="str">
        <f aca="false">Data!$H36</f>
        <v>N</v>
      </c>
      <c r="H36" s="225" t="n">
        <f aca="false">Data!$AM36</f>
        <v>0</v>
      </c>
      <c r="I36" s="222" t="e">
        <f aca="true">INDEX(OFFSET(MOTION1!$A$1,0,0,SystemInfo!$B$1,1),MATCH(CONCATENATE(B36,D36),OFFSET(MOTION1!$J$1,0,0,SystemInfo!$B$1,1),0))</f>
        <v>#N/A</v>
      </c>
      <c r="J36" s="222" t="e">
        <f aca="true">INDEX(OFFSET(MOTION3!$A$1,0,0,SystemInfo!$B$1,1),MATCH(CONCATENATE(B36,D36),OFFSET(MOTION3!$J$1,0,0,SystemInfo!$B$1,1),0))</f>
        <v>#N/A</v>
      </c>
      <c r="L36" s="222" t="e">
        <f aca="true">INDEX(OFFSET(DISABLE!$A$1,0,0,SystemInfo!$B$1,1),MATCH(CONCATENATE(B36,D36),OFFSET(DISABLE!$J$1,0,0,SystemInfo!$B$1,1),0))</f>
        <v>#N/A</v>
      </c>
      <c r="P36" s="222" t="n">
        <f aca="false">Data!$O36</f>
        <v>19.2</v>
      </c>
      <c r="Q36" s="222" t="n">
        <f aca="false">Data!$N36</f>
        <v>4.5</v>
      </c>
      <c r="AH36" s="222"/>
      <c r="AI36" s="222"/>
      <c r="AJ36" s="270"/>
      <c r="AK36" s="270"/>
      <c r="AU36" s="108" t="n">
        <f aca="false">FATPOSITIONS!$I36</f>
        <v>0</v>
      </c>
      <c r="AV36" s="108" t="n">
        <f aca="false">FATPOSITIONS!$J36</f>
        <v>0</v>
      </c>
      <c r="AW36" s="231" t="n">
        <f aca="false">AR36+AJ36</f>
        <v>0</v>
      </c>
      <c r="AX36" s="231" t="n">
        <f aca="false">AT36+AJ36</f>
        <v>0</v>
      </c>
      <c r="AY36" s="160"/>
      <c r="AZ36" s="271" t="n">
        <v>1600</v>
      </c>
      <c r="BA36" s="271" t="n">
        <v>0.3</v>
      </c>
      <c r="BB36" s="232" t="n">
        <f aca="false">(AS36-AQ36)/AZ36</f>
        <v>0</v>
      </c>
      <c r="BC36" s="108" t="str">
        <f aca="false">IF(AM36=0,"",(AN36/AM36)*AO36)</f>
        <v/>
      </c>
      <c r="BD36" s="231" t="str">
        <f aca="false">IF(AR36="","",(AT36-AR36)*AO36*AP36/(AS36-AQ36))</f>
        <v/>
      </c>
      <c r="BE36" s="271" t="n">
        <v>10000</v>
      </c>
      <c r="BF36" s="233" t="n">
        <f aca="false">Data!$S36</f>
        <v>0</v>
      </c>
      <c r="BG36" s="236" t="str">
        <f aca="false">IF(AQ36="","",(AS36-AQ36)/(AM36*AP36))</f>
        <v/>
      </c>
      <c r="BH36" s="236" t="str">
        <f aca="false">IF(AR36="","",(AT36-AR36)/AN36)</f>
        <v/>
      </c>
      <c r="BI36" s="235" t="str">
        <f aca="false">Data!$J36</f>
        <v>mm</v>
      </c>
      <c r="BJ36" s="236" t="n">
        <f aca="false">AM36*AP36</f>
        <v>0</v>
      </c>
      <c r="BK36" s="236" t="n">
        <f aca="false">IFERROR(($AO36*$AP36)/($BE36/$AN36),0)</f>
        <v>0</v>
      </c>
      <c r="BM36" s="272"/>
      <c r="BN36" s="208"/>
      <c r="BO36" s="208"/>
      <c r="BP36" s="208"/>
      <c r="BQ36" s="272"/>
      <c r="BX36" s="221"/>
      <c r="BY36" s="221"/>
      <c r="CO36" s="221"/>
      <c r="CS36" s="232" t="str">
        <f aca="false">"Step_per_unit:"&amp;$BL36&amp;";"&amp;"Offset:"&amp;$BQ36&amp;";"&amp;"Sign:"&amp;$BM36&amp;";"&amp;"EncoderSource:"&amp;$BN36&amp;";"&amp;"EncoderSourceFormula:"&amp;$BO36&amp;";"&amp;"UseEncoderSource:"&amp;$BP36</f>
        <v>Step_per_unit:;Offset:;Sign:;EncoderSource:;EncoderSourceFormula:;UseEncoderSource:</v>
      </c>
      <c r="CU36" s="156"/>
      <c r="CV36" s="222"/>
      <c r="CW36" s="270"/>
      <c r="DC36" s="108"/>
      <c r="DE36" s="160"/>
      <c r="DH36" s="221"/>
    </row>
    <row r="37" customFormat="false" ht="10.2" hidden="false" customHeight="false" outlineLevel="0" collapsed="false">
      <c r="A37" s="212" t="n">
        <f aca="false">Data!$A37</f>
        <v>37</v>
      </c>
      <c r="B37" s="212" t="str">
        <f aca="false">Data!$B37</f>
        <v>B316A-EA09-OPT-POL-01</v>
      </c>
      <c r="C37" s="212" t="str">
        <f aca="false">Data!$C37</f>
        <v>Multilayer Mirror VERITAS</v>
      </c>
      <c r="D37" s="267" t="str">
        <f aca="false">Data!D37</f>
        <v>Y</v>
      </c>
      <c r="E37" s="224" t="str">
        <f aca="false">Data!$E37</f>
        <v>a_pol1_y</v>
      </c>
      <c r="F37" s="225" t="str">
        <f aca="false">Data!$G37</f>
        <v>Y</v>
      </c>
      <c r="G37" s="225" t="str">
        <f aca="false">Data!$H37</f>
        <v>N</v>
      </c>
      <c r="H37" s="225" t="n">
        <f aca="false">Data!$AM37</f>
        <v>0</v>
      </c>
      <c r="I37" s="222" t="e">
        <f aca="true">INDEX(OFFSET(MOTION1!$A$1,0,0,SystemInfo!$B$1,1),MATCH(CONCATENATE(B37,D37),OFFSET(MOTION1!$J$1,0,0,SystemInfo!$B$1,1),0))</f>
        <v>#N/A</v>
      </c>
      <c r="J37" s="222" t="e">
        <f aca="true">INDEX(OFFSET(MOTION3!$A$1,0,0,SystemInfo!$B$1,1),MATCH(CONCATENATE(B37,D37),OFFSET(MOTION3!$J$1,0,0,SystemInfo!$B$1,1),0))</f>
        <v>#N/A</v>
      </c>
      <c r="L37" s="222" t="e">
        <f aca="true">INDEX(OFFSET(DISABLE!$A$1,0,0,SystemInfo!$B$1,1),MATCH(CONCATENATE(B37,D37),OFFSET(DISABLE!$J$1,0,0,SystemInfo!$B$1,1),0))</f>
        <v>#N/A</v>
      </c>
      <c r="P37" s="222" t="n">
        <f aca="false">Data!$O37</f>
        <v>19.2</v>
      </c>
      <c r="Q37" s="222" t="n">
        <f aca="false">Data!$N37</f>
        <v>4.5</v>
      </c>
      <c r="AH37" s="222"/>
      <c r="AI37" s="222"/>
      <c r="AJ37" s="270"/>
      <c r="AK37" s="270"/>
      <c r="AU37" s="108" t="n">
        <f aca="false">FATPOSITIONS!$I37</f>
        <v>0</v>
      </c>
      <c r="AV37" s="108" t="n">
        <f aca="false">FATPOSITIONS!$J37</f>
        <v>0</v>
      </c>
      <c r="AW37" s="231" t="n">
        <f aca="false">AR37+AJ37</f>
        <v>0</v>
      </c>
      <c r="AX37" s="231" t="n">
        <f aca="false">AT37+AJ37</f>
        <v>0</v>
      </c>
      <c r="AY37" s="160"/>
      <c r="AZ37" s="271" t="n">
        <v>1600</v>
      </c>
      <c r="BA37" s="271" t="n">
        <v>0.3</v>
      </c>
      <c r="BB37" s="232" t="n">
        <f aca="false">(AS37-AQ37)/AZ37</f>
        <v>0</v>
      </c>
      <c r="BC37" s="108" t="str">
        <f aca="false">IF(AM37=0,"",(AN37/AM37)*AO37)</f>
        <v/>
      </c>
      <c r="BD37" s="231" t="str">
        <f aca="false">IF(AR37="","",(AT37-AR37)*AO37*AP37/(AS37-AQ37))</f>
        <v/>
      </c>
      <c r="BE37" s="271" t="n">
        <v>10000</v>
      </c>
      <c r="BF37" s="233" t="n">
        <f aca="false">Data!$S37</f>
        <v>0</v>
      </c>
      <c r="BG37" s="236" t="str">
        <f aca="false">IF(AQ37="","",(AS37-AQ37)/(AM37*AP37))</f>
        <v/>
      </c>
      <c r="BH37" s="236" t="str">
        <f aca="false">IF(AR37="","",(AT37-AR37)/AN37)</f>
        <v/>
      </c>
      <c r="BI37" s="235" t="str">
        <f aca="false">Data!$J37</f>
        <v>mm</v>
      </c>
      <c r="BJ37" s="236" t="n">
        <f aca="false">AM37*AP37</f>
        <v>0</v>
      </c>
      <c r="BK37" s="236" t="n">
        <f aca="false">IFERROR(($AO37*$AP37)/($BE37/$AN37),0)</f>
        <v>0</v>
      </c>
      <c r="BM37" s="272"/>
      <c r="BN37" s="208"/>
      <c r="BO37" s="208"/>
      <c r="BP37" s="208"/>
      <c r="BQ37" s="272"/>
      <c r="BX37" s="221"/>
      <c r="BY37" s="221"/>
      <c r="CO37" s="221"/>
      <c r="CS37" s="232" t="str">
        <f aca="false">"Step_per_unit:"&amp;$BL37&amp;";"&amp;"Offset:"&amp;$BQ37&amp;";"&amp;"Sign:"&amp;$BM37&amp;";"&amp;"EncoderSource:"&amp;$BN37&amp;";"&amp;"EncoderSourceFormula:"&amp;$BO37&amp;";"&amp;"UseEncoderSource:"&amp;$BP37</f>
        <v>Step_per_unit:;Offset:;Sign:;EncoderSource:;EncoderSourceFormula:;UseEncoderSource:</v>
      </c>
      <c r="CU37" s="156"/>
      <c r="CV37" s="222"/>
      <c r="CW37" s="270"/>
      <c r="DC37" s="108"/>
      <c r="DE37" s="160"/>
      <c r="DH37" s="221"/>
    </row>
    <row r="38" customFormat="false" ht="10.2" hidden="false" customHeight="false" outlineLevel="0" collapsed="false">
      <c r="A38" s="212" t="n">
        <f aca="false">Data!$A38</f>
        <v>38</v>
      </c>
      <c r="B38" s="212" t="str">
        <f aca="false">Data!$B38</f>
        <v>B316A-EA09-OPT-POL-02</v>
      </c>
      <c r="C38" s="212" t="str">
        <f aca="false">Data!$C38</f>
        <v>Multilayer Mirror VERITAS</v>
      </c>
      <c r="D38" s="267" t="str">
        <f aca="false">Data!D38</f>
        <v>PIT</v>
      </c>
      <c r="E38" s="224" t="str">
        <f aca="false">Data!$E38</f>
        <v>a_pol2_pit</v>
      </c>
      <c r="F38" s="225" t="str">
        <f aca="false">Data!$G38</f>
        <v>Y</v>
      </c>
      <c r="G38" s="225" t="str">
        <f aca="false">Data!$H38</f>
        <v>N</v>
      </c>
      <c r="H38" s="225" t="n">
        <f aca="false">Data!$AM38</f>
        <v>0</v>
      </c>
      <c r="I38" s="222" t="e">
        <f aca="true">INDEX(OFFSET(MOTION1!$A$1,0,0,SystemInfo!$B$1,1),MATCH(CONCATENATE(B38,D38),OFFSET(MOTION1!$J$1,0,0,SystemInfo!$B$1,1),0))</f>
        <v>#N/A</v>
      </c>
      <c r="J38" s="222" t="e">
        <f aca="true">INDEX(OFFSET(MOTION3!$A$1,0,0,SystemInfo!$B$1,1),MATCH(CONCATENATE(B38,D38),OFFSET(MOTION3!$J$1,0,0,SystemInfo!$B$1,1),0))</f>
        <v>#N/A</v>
      </c>
      <c r="L38" s="222" t="e">
        <f aca="true">INDEX(OFFSET(DISABLE!$A$1,0,0,SystemInfo!$B$1,1),MATCH(CONCATENATE(B38,D38),OFFSET(DISABLE!$J$1,0,0,SystemInfo!$B$1,1),0))</f>
        <v>#N/A</v>
      </c>
      <c r="P38" s="222" t="n">
        <f aca="false">Data!$O38</f>
        <v>39.6</v>
      </c>
      <c r="Q38" s="222" t="n">
        <f aca="false">Data!$N38</f>
        <v>15</v>
      </c>
      <c r="AH38" s="222"/>
      <c r="AI38" s="222"/>
      <c r="AJ38" s="270"/>
      <c r="AK38" s="270"/>
      <c r="AU38" s="108" t="n">
        <f aca="false">FATPOSITIONS!$I38</f>
        <v>0</v>
      </c>
      <c r="AV38" s="108" t="n">
        <f aca="false">FATPOSITIONS!$J38</f>
        <v>0</v>
      </c>
      <c r="AW38" s="231" t="n">
        <f aca="false">AR38+AJ38</f>
        <v>0</v>
      </c>
      <c r="AX38" s="231" t="n">
        <f aca="false">AT38+AJ38</f>
        <v>0</v>
      </c>
      <c r="AZ38" s="230" t="n">
        <v>1600</v>
      </c>
      <c r="BA38" s="271" t="n">
        <v>0.3</v>
      </c>
      <c r="BB38" s="232" t="n">
        <f aca="false">(AS38-AQ38)/AZ38</f>
        <v>0</v>
      </c>
      <c r="BC38" s="108" t="str">
        <f aca="false">IF(AM38=0,"",(AN38/AM38)*AO38)</f>
        <v/>
      </c>
      <c r="BD38" s="231" t="str">
        <f aca="false">IF(AR38="","",(AT38-AR38)*AO38*AP38/(AS38-AQ38))</f>
        <v/>
      </c>
      <c r="BE38" s="230" t="n">
        <v>10000</v>
      </c>
      <c r="BF38" s="233" t="n">
        <f aca="false">Data!$S38</f>
        <v>0</v>
      </c>
      <c r="BG38" s="236" t="str">
        <f aca="false">IF(AQ38="","",(AS38-AQ38)/(AM38*AP38))</f>
        <v/>
      </c>
      <c r="BH38" s="236" t="str">
        <f aca="false">IF(AR38="","",(AT38-AR38)/AN38)</f>
        <v/>
      </c>
      <c r="BI38" s="235" t="str">
        <f aca="false">Data!$J38</f>
        <v>deg</v>
      </c>
      <c r="BJ38" s="236" t="n">
        <f aca="false">AM38*AP38</f>
        <v>0</v>
      </c>
      <c r="BK38" s="236" t="n">
        <f aca="false">IFERROR(($AO38*$AP38)/($BE38/$AN38),0)</f>
        <v>0</v>
      </c>
      <c r="BM38" s="272"/>
      <c r="BN38" s="208"/>
      <c r="BO38" s="208"/>
      <c r="BP38" s="208"/>
      <c r="BQ38" s="272"/>
      <c r="BX38" s="221"/>
      <c r="BY38" s="221"/>
      <c r="CO38" s="221"/>
      <c r="CS38" s="232" t="str">
        <f aca="false">"Step_per_unit:"&amp;$BL38&amp;";"&amp;"Offset:"&amp;$BQ38&amp;";"&amp;"Sign:"&amp;$BM38&amp;";"&amp;"EncoderSource:"&amp;$BN38&amp;";"&amp;"EncoderSourceFormula:"&amp;$BO38&amp;";"&amp;"UseEncoderSource:"&amp;$BP38</f>
        <v>Step_per_unit:;Offset:;Sign:;EncoderSource:;EncoderSourceFormula:;UseEncoderSource:</v>
      </c>
      <c r="CU38" s="156"/>
      <c r="CV38" s="222"/>
      <c r="CW38" s="270"/>
      <c r="DC38" s="108"/>
      <c r="DH38" s="221"/>
    </row>
    <row r="39" s="279" customFormat="true" ht="10.2" hidden="false" customHeight="false" outlineLevel="0" collapsed="false">
      <c r="A39" s="220"/>
      <c r="B39" s="220"/>
      <c r="C39" s="220"/>
      <c r="D39" s="275"/>
      <c r="E39" s="276"/>
      <c r="F39" s="275"/>
      <c r="G39" s="275"/>
      <c r="H39" s="275"/>
      <c r="I39" s="277"/>
      <c r="J39" s="277"/>
      <c r="K39" s="277"/>
      <c r="L39" s="277"/>
      <c r="M39" s="278"/>
      <c r="N39" s="277"/>
      <c r="O39" s="277"/>
      <c r="P39" s="277"/>
      <c r="Q39" s="277"/>
      <c r="R39" s="278"/>
      <c r="S39" s="278"/>
      <c r="T39" s="278"/>
      <c r="U39" s="278"/>
      <c r="V39" s="278"/>
      <c r="W39" s="278"/>
      <c r="X39" s="278"/>
      <c r="Y39" s="278"/>
      <c r="Z39" s="278"/>
      <c r="AA39" s="278"/>
      <c r="AF39" s="275"/>
      <c r="AH39" s="277"/>
      <c r="AI39" s="277"/>
      <c r="AJ39" s="277"/>
      <c r="AK39" s="277"/>
      <c r="AM39" s="278"/>
      <c r="AN39" s="278"/>
      <c r="AO39" s="277"/>
      <c r="AP39" s="277"/>
      <c r="AQ39" s="280"/>
      <c r="AR39" s="280"/>
      <c r="AS39" s="280"/>
      <c r="AT39" s="280"/>
      <c r="AU39" s="277"/>
      <c r="AV39" s="277"/>
      <c r="AW39" s="280"/>
      <c r="AX39" s="280"/>
      <c r="AY39" s="280"/>
      <c r="AZ39" s="280"/>
      <c r="BA39" s="280"/>
      <c r="BB39" s="281"/>
      <c r="BC39" s="280"/>
      <c r="BD39" s="280"/>
      <c r="BE39" s="280"/>
      <c r="BF39" s="281"/>
      <c r="BG39" s="283"/>
      <c r="BH39" s="283"/>
      <c r="BI39" s="283"/>
      <c r="BJ39" s="282"/>
      <c r="BK39" s="282"/>
      <c r="BL39" s="284"/>
      <c r="BM39" s="284"/>
      <c r="BN39" s="282"/>
      <c r="BO39" s="282"/>
      <c r="BP39" s="282"/>
      <c r="BQ39" s="284"/>
      <c r="BR39" s="283"/>
      <c r="BS39" s="283"/>
      <c r="BT39" s="283"/>
      <c r="BU39" s="283"/>
      <c r="BV39" s="283"/>
      <c r="BW39" s="283"/>
      <c r="BX39" s="277"/>
      <c r="BY39" s="277"/>
      <c r="BZ39" s="277"/>
      <c r="CA39" s="277"/>
      <c r="CB39" s="277"/>
      <c r="CC39" s="277"/>
      <c r="CG39" s="283"/>
      <c r="CH39" s="283"/>
      <c r="CI39" s="283"/>
      <c r="CJ39" s="283"/>
      <c r="CK39" s="283"/>
      <c r="CS39" s="281"/>
      <c r="CT39" s="277"/>
      <c r="CU39" s="285"/>
      <c r="CV39" s="277"/>
      <c r="CW39" s="277"/>
      <c r="CY39" s="278"/>
      <c r="CZ39" s="278"/>
      <c r="DA39" s="280"/>
      <c r="DB39" s="280"/>
      <c r="DC39" s="280"/>
      <c r="DD39" s="280"/>
      <c r="DE39" s="280"/>
      <c r="DF39" s="281"/>
      <c r="DG39" s="283"/>
      <c r="DH39" s="283"/>
      <c r="DI39" s="282"/>
    </row>
    <row r="40" s="279" customFormat="true" ht="10.2" hidden="false" customHeight="false" outlineLevel="0" collapsed="false">
      <c r="A40" s="220"/>
      <c r="B40" s="220"/>
      <c r="C40" s="220"/>
      <c r="D40" s="275"/>
      <c r="E40" s="276"/>
      <c r="F40" s="275"/>
      <c r="G40" s="275"/>
      <c r="H40" s="275"/>
      <c r="I40" s="277"/>
      <c r="J40" s="277"/>
      <c r="K40" s="277"/>
      <c r="L40" s="277"/>
      <c r="M40" s="278"/>
      <c r="N40" s="277"/>
      <c r="O40" s="277"/>
      <c r="P40" s="277"/>
      <c r="Q40" s="277"/>
      <c r="R40" s="278"/>
      <c r="S40" s="278"/>
      <c r="T40" s="278"/>
      <c r="U40" s="278"/>
      <c r="V40" s="278"/>
      <c r="W40" s="278"/>
      <c r="X40" s="278"/>
      <c r="Y40" s="278"/>
      <c r="Z40" s="278"/>
      <c r="AA40" s="278"/>
      <c r="AF40" s="275"/>
      <c r="AH40" s="277"/>
      <c r="AI40" s="277"/>
      <c r="AJ40" s="277"/>
      <c r="AK40" s="277"/>
      <c r="AM40" s="278"/>
      <c r="AN40" s="278"/>
      <c r="AO40" s="277"/>
      <c r="AP40" s="277"/>
      <c r="AQ40" s="280"/>
      <c r="AR40" s="280"/>
      <c r="AS40" s="280"/>
      <c r="AT40" s="280"/>
      <c r="AU40" s="277"/>
      <c r="AV40" s="277"/>
      <c r="AW40" s="280"/>
      <c r="AX40" s="280"/>
      <c r="AY40" s="280"/>
      <c r="AZ40" s="280"/>
      <c r="BA40" s="280"/>
      <c r="BB40" s="281"/>
      <c r="BC40" s="280"/>
      <c r="BD40" s="280"/>
      <c r="BE40" s="280"/>
      <c r="BF40" s="281"/>
      <c r="BG40" s="283"/>
      <c r="BH40" s="283"/>
      <c r="BI40" s="283"/>
      <c r="BJ40" s="282"/>
      <c r="BK40" s="282"/>
      <c r="BL40" s="284"/>
      <c r="BM40" s="284"/>
      <c r="BN40" s="282"/>
      <c r="BO40" s="282"/>
      <c r="BP40" s="282"/>
      <c r="BQ40" s="284"/>
      <c r="BR40" s="283"/>
      <c r="BS40" s="283"/>
      <c r="BT40" s="283"/>
      <c r="BU40" s="283"/>
      <c r="BV40" s="283"/>
      <c r="BW40" s="283"/>
      <c r="BX40" s="277"/>
      <c r="BY40" s="277"/>
      <c r="BZ40" s="277"/>
      <c r="CA40" s="277"/>
      <c r="CB40" s="277"/>
      <c r="CC40" s="277"/>
      <c r="CG40" s="283"/>
      <c r="CH40" s="283"/>
      <c r="CI40" s="283"/>
      <c r="CJ40" s="283"/>
      <c r="CK40" s="283"/>
      <c r="CS40" s="281"/>
      <c r="CT40" s="277"/>
      <c r="CU40" s="285"/>
      <c r="CV40" s="277"/>
      <c r="CW40" s="277"/>
      <c r="CY40" s="278"/>
      <c r="CZ40" s="278"/>
      <c r="DA40" s="280"/>
      <c r="DB40" s="280"/>
      <c r="DC40" s="280"/>
      <c r="DD40" s="280"/>
      <c r="DE40" s="280"/>
      <c r="DF40" s="281"/>
      <c r="DG40" s="283"/>
      <c r="DH40" s="283"/>
      <c r="DI40" s="282"/>
    </row>
    <row r="41" customFormat="false" ht="10.2" hidden="false" customHeight="false" outlineLevel="0" collapsed="false">
      <c r="A41" s="212" t="n">
        <f aca="false">Data!$A41</f>
        <v>41</v>
      </c>
      <c r="B41" s="212" t="str">
        <f aca="false">Data!$B41</f>
        <v>B316A-EA09-OPT-POL-02</v>
      </c>
      <c r="C41" s="212" t="str">
        <f aca="false">Data!$C41</f>
        <v>Multilayer Mirror VERITAS</v>
      </c>
      <c r="D41" s="267" t="str">
        <f aca="false">Data!D41</f>
        <v>X</v>
      </c>
      <c r="E41" s="224" t="str">
        <f aca="false">Data!$E41</f>
        <v>a_pol2_x</v>
      </c>
      <c r="F41" s="225" t="str">
        <f aca="false">Data!$G41</f>
        <v>Y</v>
      </c>
      <c r="G41" s="225" t="str">
        <f aca="false">Data!$H41</f>
        <v>N</v>
      </c>
      <c r="H41" s="225" t="n">
        <f aca="false">Data!$AM41</f>
        <v>0</v>
      </c>
      <c r="I41" s="222" t="e">
        <f aca="true">INDEX(OFFSET(MOTION1!$A$1,0,0,SystemInfo!$B$1,1),MATCH(CONCATENATE(B41,D41),OFFSET(MOTION1!$J$1,0,0,SystemInfo!$B$1,1),0))</f>
        <v>#N/A</v>
      </c>
      <c r="J41" s="222" t="e">
        <f aca="true">INDEX(OFFSET(MOTION3!$A$1,0,0,SystemInfo!$B$1,1),MATCH(CONCATENATE(B41,D41),OFFSET(MOTION3!$J$1,0,0,SystemInfo!$B$1,1),0))</f>
        <v>#N/A</v>
      </c>
      <c r="L41" s="222" t="e">
        <f aca="true">INDEX(OFFSET(DISABLE!$A$1,0,0,SystemInfo!$B$1,1),MATCH(CONCATENATE(B41,D41),OFFSET(DISABLE!$J$1,0,0,SystemInfo!$B$1,1),0))</f>
        <v>#N/A</v>
      </c>
      <c r="P41" s="107" t="n">
        <f aca="false">Data!$O41</f>
        <v>39.6</v>
      </c>
      <c r="Q41" s="107" t="n">
        <f aca="false">Data!$N41</f>
        <v>15</v>
      </c>
      <c r="AH41" s="222"/>
      <c r="AI41" s="222"/>
      <c r="AJ41" s="270"/>
      <c r="AK41" s="270"/>
      <c r="AU41" s="108" t="n">
        <f aca="false">FATPOSITIONS!$I41</f>
        <v>0</v>
      </c>
      <c r="AV41" s="108" t="n">
        <f aca="false">FATPOSITIONS!$J41</f>
        <v>0</v>
      </c>
      <c r="AW41" s="231" t="n">
        <f aca="false">AR41+AJ41</f>
        <v>0</v>
      </c>
      <c r="AX41" s="231" t="n">
        <f aca="false">AT41+AJ41</f>
        <v>0</v>
      </c>
      <c r="AY41" s="160"/>
      <c r="AZ41" s="271" t="n">
        <v>400</v>
      </c>
      <c r="BA41" s="271" t="n">
        <v>0.15</v>
      </c>
      <c r="BB41" s="232" t="n">
        <f aca="false">(AS41-AQ41)/AZ41</f>
        <v>0</v>
      </c>
      <c r="BC41" s="108" t="str">
        <f aca="false">IF(AM41=0,"",(AN41/AM41)*AO41)</f>
        <v/>
      </c>
      <c r="BD41" s="231" t="str">
        <f aca="false">IF(AR41="","",(AT41-AR41)*AO41*AP41/(AS41-AQ41))</f>
        <v/>
      </c>
      <c r="BE41" s="271" t="n">
        <v>1000000</v>
      </c>
      <c r="BF41" s="233" t="n">
        <f aca="false">Data!$S41</f>
        <v>0</v>
      </c>
      <c r="BG41" s="236" t="str">
        <f aca="false">IF(AQ41="","",(AS41-AQ41)/(AM41*AP41))</f>
        <v/>
      </c>
      <c r="BH41" s="236" t="str">
        <f aca="false">IF(AR41="","",(AT41-AR41)/AN41)</f>
        <v/>
      </c>
      <c r="BI41" s="221" t="str">
        <f aca="false">Data!$J41</f>
        <v>mm</v>
      </c>
      <c r="BJ41" s="236" t="n">
        <f aca="false">AM41*AP41</f>
        <v>0</v>
      </c>
      <c r="BK41" s="236" t="n">
        <f aca="false">IFERROR(($AO41*$AP41)/($BE41/$AN41),0)</f>
        <v>0</v>
      </c>
      <c r="BM41" s="272"/>
      <c r="BN41" s="208"/>
      <c r="BO41" s="208"/>
      <c r="BP41" s="208"/>
      <c r="BQ41" s="272"/>
      <c r="BX41" s="221"/>
      <c r="BY41" s="221"/>
      <c r="CO41" s="221"/>
      <c r="CS41" s="232" t="str">
        <f aca="false">"Step_per_unit:"&amp;$BL41&amp;";"&amp;"Offset:"&amp;$BQ41&amp;";"&amp;"Sign:"&amp;$BM41&amp;";"&amp;"EncoderSource:"&amp;$BN41&amp;";"&amp;"EncoderSourceFormula:"&amp;$BO41&amp;";"&amp;"UseEncoderSource:"&amp;$BP41</f>
        <v>Step_per_unit:;Offset:;Sign:;EncoderSource:;EncoderSourceFormula:;UseEncoderSource:</v>
      </c>
      <c r="CV41" s="222"/>
      <c r="CW41" s="270"/>
      <c r="DC41" s="108"/>
      <c r="DH41" s="221"/>
    </row>
    <row r="42" customFormat="false" ht="10.2" hidden="false" customHeight="false" outlineLevel="0" collapsed="false">
      <c r="A42" s="212" t="n">
        <f aca="false">Data!$A42</f>
        <v>42</v>
      </c>
      <c r="B42" s="212" t="str">
        <f aca="false">Data!$B42</f>
        <v>B316A-EA09-DIA-TABLED-01</v>
      </c>
      <c r="C42" s="212" t="str">
        <f aca="false">Data!$C42</f>
        <v>Detector Table VERITAS</v>
      </c>
      <c r="D42" s="267" t="str">
        <f aca="false">Data!D42</f>
        <v>Z</v>
      </c>
      <c r="E42" s="224" t="str">
        <f aca="false">Data!$E42</f>
        <v>a_tabled_z</v>
      </c>
      <c r="F42" s="225" t="str">
        <f aca="false">Data!$G42</f>
        <v>Y</v>
      </c>
      <c r="G42" s="225" t="str">
        <f aca="false">Data!$H42</f>
        <v>N</v>
      </c>
      <c r="H42" s="225" t="n">
        <f aca="false">Data!$AM42</f>
        <v>0</v>
      </c>
      <c r="I42" s="222" t="e">
        <f aca="true">INDEX(OFFSET(MOTION1!$A$1,0,0,SystemInfo!$B$1,1),MATCH(CONCATENATE(B42,D42),OFFSET(MOTION1!$J$1,0,0,SystemInfo!$B$1,1),0))</f>
        <v>#N/A</v>
      </c>
      <c r="J42" s="222" t="e">
        <f aca="true">INDEX(OFFSET(MOTION3!$A$1,0,0,SystemInfo!$B$1,1),MATCH(CONCATENATE(B42,D42),OFFSET(MOTION3!$J$1,0,0,SystemInfo!$B$1,1),0))</f>
        <v>#N/A</v>
      </c>
      <c r="L42" s="222" t="e">
        <f aca="true">INDEX(OFFSET(DISABLE!$A$1,0,0,SystemInfo!$B$1,1),MATCH(CONCATENATE(B42,D42),OFFSET(DISABLE!$J$1,0,0,SystemInfo!$B$1,1),0))</f>
        <v>#N/A</v>
      </c>
      <c r="P42" s="222" t="n">
        <f aca="false">Data!$O42</f>
        <v>1.5</v>
      </c>
      <c r="Q42" s="222" t="n">
        <f aca="false">Data!$N42</f>
        <v>0.24</v>
      </c>
      <c r="AH42" s="222"/>
      <c r="AI42" s="222"/>
      <c r="AJ42" s="270"/>
      <c r="AK42" s="270"/>
      <c r="AU42" s="108" t="n">
        <f aca="false">FATPOSITIONS!$I42</f>
        <v>0</v>
      </c>
      <c r="AV42" s="108" t="n">
        <f aca="false">FATPOSITIONS!$J42</f>
        <v>0</v>
      </c>
      <c r="AW42" s="231" t="n">
        <f aca="false">AR42+AJ42</f>
        <v>0</v>
      </c>
      <c r="AX42" s="231" t="n">
        <f aca="false">AT42+AJ42</f>
        <v>0</v>
      </c>
      <c r="AY42" s="160"/>
      <c r="AZ42" s="271" t="n">
        <v>400</v>
      </c>
      <c r="BA42" s="271" t="n">
        <v>0.15</v>
      </c>
      <c r="BB42" s="232" t="n">
        <f aca="false">(AS42-AQ42)/AZ42</f>
        <v>0</v>
      </c>
      <c r="BC42" s="108" t="str">
        <f aca="false">IF(AM42=0,"",(AN42/AM42)*AO42)</f>
        <v/>
      </c>
      <c r="BD42" s="231" t="str">
        <f aca="false">IF(AR42="","",(AT42-AR42)*AO42*AP42/(AS42-AQ42))</f>
        <v/>
      </c>
      <c r="BE42" s="271" t="n">
        <v>1000000</v>
      </c>
      <c r="BF42" s="233" t="n">
        <f aca="false">Data!$S42</f>
        <v>0</v>
      </c>
      <c r="BG42" s="236" t="str">
        <f aca="false">IF(AQ42="","",(AS42-AQ42)/(AM42*AP42))</f>
        <v/>
      </c>
      <c r="BH42" s="236" t="str">
        <f aca="false">IF(AR42="","",(AT42-AR42)/AN42)</f>
        <v/>
      </c>
      <c r="BI42" s="235" t="str">
        <f aca="false">Data!$J42</f>
        <v>mm</v>
      </c>
      <c r="BJ42" s="236" t="n">
        <f aca="false">AM42*AP42</f>
        <v>0</v>
      </c>
      <c r="BK42" s="236" t="n">
        <f aca="false">IFERROR(($AO42*$AP42)/($BE42/$AN42),0)</f>
        <v>0</v>
      </c>
      <c r="BM42" s="272"/>
      <c r="BN42" s="208"/>
      <c r="BO42" s="208"/>
      <c r="BP42" s="208"/>
      <c r="BQ42" s="272"/>
      <c r="BX42" s="221"/>
      <c r="BY42" s="221"/>
      <c r="CO42" s="221"/>
      <c r="CS42" s="232" t="str">
        <f aca="false">"Step_per_unit:"&amp;$BL42&amp;";"&amp;"Offset:"&amp;$BQ42&amp;";"&amp;"Sign:"&amp;$BM42&amp;";"&amp;"EncoderSource:"&amp;$BN42&amp;";"&amp;"EncoderSourceFormula:"&amp;$BO42&amp;";"&amp;"UseEncoderSource:"&amp;$BP42</f>
        <v>Step_per_unit:;Offset:;Sign:;EncoderSource:;EncoderSourceFormula:;UseEncoderSource:</v>
      </c>
      <c r="CV42" s="222"/>
      <c r="CW42" s="270"/>
      <c r="DC42" s="108"/>
      <c r="DH42" s="221"/>
    </row>
    <row r="43" customFormat="false" ht="10.2" hidden="false" customHeight="false" outlineLevel="0" collapsed="false">
      <c r="A43" s="212" t="n">
        <f aca="false">Data!$A43</f>
        <v>43</v>
      </c>
      <c r="B43" s="212" t="str">
        <f aca="false">Data!$B43</f>
        <v>B316A-EA10-DIA-DETMC-01</v>
      </c>
      <c r="C43" s="212" t="str">
        <f aca="false">Data!$C43</f>
        <v>Detector VERITAS</v>
      </c>
      <c r="D43" s="267" t="str">
        <f aca="false">Data!D43</f>
        <v>PIT</v>
      </c>
      <c r="E43" s="224" t="str">
        <f aca="false">Data!$E43</f>
        <v>a10_detmc1_pit</v>
      </c>
      <c r="F43" s="225" t="str">
        <f aca="false">Data!$G43</f>
        <v>Y</v>
      </c>
      <c r="G43" s="225" t="str">
        <f aca="false">Data!$H43</f>
        <v>N</v>
      </c>
      <c r="H43" s="225" t="n">
        <f aca="false">Data!$AM43</f>
        <v>0</v>
      </c>
      <c r="I43" s="222" t="e">
        <f aca="true">INDEX(OFFSET(MOTION1!$A$1,0,0,SystemInfo!$B$1,1),MATCH(CONCATENATE(B43,D43),OFFSET(MOTION1!$J$1,0,0,SystemInfo!$B$1,1),0))</f>
        <v>#N/A</v>
      </c>
      <c r="J43" s="222" t="e">
        <f aca="true">INDEX(OFFSET(MOTION3!$A$1,0,0,SystemInfo!$B$1,1),MATCH(CONCATENATE(B43,D43),OFFSET(MOTION3!$J$1,0,0,SystemInfo!$B$1,1),0))</f>
        <v>#N/A</v>
      </c>
      <c r="L43" s="222" t="e">
        <f aca="true">INDEX(OFFSET(DISABLE!$A$1,0,0,SystemInfo!$B$1,1),MATCH(CONCATENATE(B43,D43),OFFSET(DISABLE!$J$1,0,0,SystemInfo!$B$1,1),0))</f>
        <v>#N/A</v>
      </c>
      <c r="P43" s="222" t="n">
        <f aca="false">Data!$O43</f>
        <v>19.2</v>
      </c>
      <c r="Q43" s="222" t="n">
        <f aca="false">Data!$N43</f>
        <v>4.5</v>
      </c>
      <c r="AH43" s="222"/>
      <c r="AI43" s="222"/>
      <c r="AJ43" s="270"/>
      <c r="AK43" s="270"/>
      <c r="AU43" s="108" t="n">
        <f aca="false">FATPOSITIONS!$I43</f>
        <v>0</v>
      </c>
      <c r="AV43" s="108" t="n">
        <f aca="false">FATPOSITIONS!$J43</f>
        <v>0</v>
      </c>
      <c r="AW43" s="231" t="n">
        <f aca="false">AR43+AJ43</f>
        <v>0</v>
      </c>
      <c r="AX43" s="231" t="n">
        <f aca="false">AT43+AJ43</f>
        <v>0</v>
      </c>
      <c r="AY43" s="160"/>
      <c r="AZ43" s="271" t="n">
        <v>400</v>
      </c>
      <c r="BA43" s="271" t="n">
        <v>0.15</v>
      </c>
      <c r="BB43" s="232" t="n">
        <f aca="false">(AS43-AQ43)/AZ43</f>
        <v>0</v>
      </c>
      <c r="BC43" s="108" t="str">
        <f aca="false">IF(AM43=0,"",(AN43/AM43)*AO43)</f>
        <v/>
      </c>
      <c r="BD43" s="231" t="str">
        <f aca="false">IF(AR43="","",(AT43-AR43)*AO43*AP43/(AS43-AQ43))</f>
        <v/>
      </c>
      <c r="BE43" s="271" t="n">
        <v>1000000</v>
      </c>
      <c r="BF43" s="233" t="n">
        <f aca="false">Data!$S43</f>
        <v>0</v>
      </c>
      <c r="BG43" s="236" t="str">
        <f aca="false">IF(AQ43="","",(AS43-AQ43)/(AM43*AP43))</f>
        <v/>
      </c>
      <c r="BH43" s="236" t="str">
        <f aca="false">IF(AR43="","",(AT43-AR43)/AN43)</f>
        <v/>
      </c>
      <c r="BI43" s="235" t="str">
        <f aca="false">Data!$J43</f>
        <v>deg</v>
      </c>
      <c r="BJ43" s="236" t="n">
        <f aca="false">AM43*AP43</f>
        <v>0</v>
      </c>
      <c r="BK43" s="236" t="n">
        <f aca="false">IFERROR(($AO43*$AP43)/($BE43/$AN43),0)</f>
        <v>0</v>
      </c>
      <c r="BM43" s="272"/>
      <c r="BN43" s="208"/>
      <c r="BO43" s="208"/>
      <c r="BP43" s="208"/>
      <c r="BQ43" s="272"/>
      <c r="BX43" s="221"/>
      <c r="BY43" s="221"/>
      <c r="CO43" s="221"/>
      <c r="CS43" s="232" t="str">
        <f aca="false">"Step_per_unit:"&amp;$BL43&amp;";"&amp;"Offset:"&amp;$BQ43&amp;";"&amp;"Sign:"&amp;$BM43&amp;";"&amp;"EncoderSource:"&amp;$BN43&amp;";"&amp;"EncoderSourceFormula:"&amp;$BO43&amp;";"&amp;"UseEncoderSource:"&amp;$BP43</f>
        <v>Step_per_unit:;Offset:;Sign:;EncoderSource:;EncoderSourceFormula:;UseEncoderSource:</v>
      </c>
      <c r="CV43" s="222"/>
      <c r="CW43" s="270"/>
      <c r="DC43" s="108"/>
      <c r="DH43" s="221"/>
    </row>
    <row r="44" customFormat="false" ht="10.2" hidden="false" customHeight="false" outlineLevel="0" collapsed="false">
      <c r="A44" s="212" t="n">
        <f aca="false">Data!$A44</f>
        <v>44</v>
      </c>
      <c r="B44" s="212" t="str">
        <f aca="false">Data!$B44</f>
        <v>B316A-EA10-DIA-DETMC-01</v>
      </c>
      <c r="C44" s="212" t="str">
        <f aca="false">Data!$C44</f>
        <v>Detector VERITAS</v>
      </c>
      <c r="D44" s="267" t="str">
        <f aca="false">Data!D44</f>
        <v>Y</v>
      </c>
      <c r="E44" s="224" t="str">
        <f aca="false">Data!$E44</f>
        <v>a10_detmc1_y</v>
      </c>
      <c r="F44" s="225" t="str">
        <f aca="false">Data!$G44</f>
        <v>Y</v>
      </c>
      <c r="G44" s="225" t="str">
        <f aca="false">Data!$H44</f>
        <v>N</v>
      </c>
      <c r="H44" s="225" t="n">
        <f aca="false">Data!$AM44</f>
        <v>0</v>
      </c>
      <c r="I44" s="222" t="e">
        <f aca="true">INDEX(OFFSET(MOTION1!$A$1,0,0,SystemInfo!$B$1,1),MATCH(CONCATENATE(B44,D44),OFFSET(MOTION1!$J$1,0,0,SystemInfo!$B$1,1),0))</f>
        <v>#N/A</v>
      </c>
      <c r="J44" s="222" t="e">
        <f aca="true">INDEX(OFFSET(MOTION3!$A$1,0,0,SystemInfo!$B$1,1),MATCH(CONCATENATE(B44,D44),OFFSET(MOTION3!$J$1,0,0,SystemInfo!$B$1,1),0))</f>
        <v>#N/A</v>
      </c>
      <c r="L44" s="222" t="e">
        <f aca="true">INDEX(OFFSET(DISABLE!$A$1,0,0,SystemInfo!$B$1,1),MATCH(CONCATENATE(B44,D44),OFFSET(DISABLE!$J$1,0,0,SystemInfo!$B$1,1),0))</f>
        <v>#N/A</v>
      </c>
      <c r="P44" s="222" t="n">
        <f aca="false">Data!$O44</f>
        <v>1.7</v>
      </c>
      <c r="Q44" s="222" t="n">
        <f aca="false">Data!$N44</f>
        <v>0.7</v>
      </c>
      <c r="AH44" s="222"/>
      <c r="AI44" s="222"/>
      <c r="AJ44" s="270"/>
      <c r="AK44" s="270"/>
      <c r="AU44" s="108" t="n">
        <f aca="false">FATPOSITIONS!$I44</f>
        <v>0</v>
      </c>
      <c r="AV44" s="108" t="n">
        <f aca="false">FATPOSITIONS!$J44</f>
        <v>0</v>
      </c>
      <c r="AW44" s="231" t="n">
        <f aca="false">AR44+AJ44</f>
        <v>0</v>
      </c>
      <c r="AX44" s="231" t="n">
        <f aca="false">AT44+AJ44</f>
        <v>0</v>
      </c>
      <c r="AY44" s="160"/>
      <c r="AZ44" s="271" t="n">
        <v>400</v>
      </c>
      <c r="BA44" s="271" t="n">
        <v>0.15</v>
      </c>
      <c r="BB44" s="232" t="n">
        <f aca="false">(AS44-AQ44)/AZ44</f>
        <v>0</v>
      </c>
      <c r="BC44" s="108" t="str">
        <f aca="false">IF(AM44=0,"",(AN44/AM44)*AO44)</f>
        <v/>
      </c>
      <c r="BD44" s="231" t="str">
        <f aca="false">IF(AR44="","",(AT44-AR44)*AO44*AP44/(AS44-AQ44))</f>
        <v/>
      </c>
      <c r="BE44" s="271" t="n">
        <v>1000000</v>
      </c>
      <c r="BF44" s="233" t="n">
        <f aca="false">Data!$S44</f>
        <v>0</v>
      </c>
      <c r="BG44" s="236" t="str">
        <f aca="false">IF(AQ44="","",(AS44-AQ44)/(AM44*AP44))</f>
        <v/>
      </c>
      <c r="BH44" s="236" t="str">
        <f aca="false">IF(AR44="","",(AT44-AR44)/AN44)</f>
        <v/>
      </c>
      <c r="BI44" s="235" t="str">
        <f aca="false">Data!$J44</f>
        <v>mm</v>
      </c>
      <c r="BJ44" s="236" t="n">
        <f aca="false">AM44*AP44</f>
        <v>0</v>
      </c>
      <c r="BK44" s="236" t="n">
        <f aca="false">IFERROR(($AO44*$AP44)/($BE44/$AN44),0)</f>
        <v>0</v>
      </c>
      <c r="BM44" s="272"/>
      <c r="BN44" s="208"/>
      <c r="BO44" s="208"/>
      <c r="BP44" s="208"/>
      <c r="BQ44" s="272"/>
      <c r="BX44" s="221"/>
      <c r="BY44" s="221"/>
      <c r="BZ44" s="289"/>
      <c r="CA44" s="289"/>
      <c r="CB44" s="289"/>
      <c r="CC44" s="289"/>
      <c r="CO44" s="221"/>
      <c r="CS44" s="232" t="str">
        <f aca="false">"Step_per_unit:"&amp;$BL44&amp;";"&amp;"Offset:"&amp;$BQ44&amp;";"&amp;"Sign:"&amp;$BM44&amp;";"&amp;"EncoderSource:"&amp;$BN44&amp;";"&amp;"EncoderSourceFormula:"&amp;$BO44&amp;";"&amp;"UseEncoderSource:"&amp;$BP44</f>
        <v>Step_per_unit:;Offset:;Sign:;EncoderSource:;EncoderSourceFormula:;UseEncoderSource:</v>
      </c>
      <c r="CV44" s="222"/>
      <c r="CW44" s="270"/>
      <c r="DC44" s="108"/>
      <c r="DH44" s="221"/>
    </row>
    <row r="45" customFormat="false" ht="10.2" hidden="false" customHeight="false" outlineLevel="0" collapsed="false">
      <c r="A45" s="212" t="n">
        <f aca="false">Data!$A45</f>
        <v>45</v>
      </c>
      <c r="B45" s="212" t="str">
        <f aca="false">Data!$B45</f>
        <v>B316A-EA10-DIA-DETMC-02</v>
      </c>
      <c r="C45" s="212" t="str">
        <f aca="false">Data!$C45</f>
        <v>Detector VERITAS</v>
      </c>
      <c r="D45" s="267" t="str">
        <f aca="false">Data!D45</f>
        <v>PIT1</v>
      </c>
      <c r="E45" s="224" t="str">
        <f aca="false">Data!$E45</f>
        <v>a_detmc2_pit1</v>
      </c>
      <c r="F45" s="225" t="str">
        <f aca="false">Data!$G45</f>
        <v>Y</v>
      </c>
      <c r="G45" s="225" t="str">
        <f aca="false">Data!$H45</f>
        <v>N</v>
      </c>
      <c r="H45" s="225" t="n">
        <f aca="false">Data!$AM45</f>
        <v>0</v>
      </c>
      <c r="I45" s="222" t="e">
        <f aca="true">INDEX(OFFSET(MOTION1!$A$1,0,0,SystemInfo!$B$1,1),MATCH(CONCATENATE(B45,D45),OFFSET(MOTION1!$J$1,0,0,SystemInfo!$B$1,1),0))</f>
        <v>#N/A</v>
      </c>
      <c r="J45" s="222" t="e">
        <f aca="true">INDEX(OFFSET(MOTION3!$A$1,0,0,SystemInfo!$B$1,1),MATCH(CONCATENATE(B45,D45),OFFSET(MOTION3!$J$1,0,0,SystemInfo!$B$1,1),0))</f>
        <v>#N/A</v>
      </c>
      <c r="L45" s="222" t="e">
        <f aca="true">INDEX(OFFSET(DISABLE!$A$1,0,0,SystemInfo!$B$1,1),MATCH(CONCATENATE(B45,D45),OFFSET(DISABLE!$J$1,0,0,SystemInfo!$B$1,1),0))</f>
        <v>#N/A</v>
      </c>
      <c r="P45" s="222" t="n">
        <f aca="false">Data!$O45</f>
        <v>19.2</v>
      </c>
      <c r="Q45" s="222" t="n">
        <f aca="false">Data!$N45</f>
        <v>4.5</v>
      </c>
      <c r="AH45" s="222"/>
      <c r="AI45" s="222"/>
      <c r="AJ45" s="270"/>
      <c r="AK45" s="270"/>
      <c r="AU45" s="108" t="n">
        <f aca="false">FATPOSITIONS!$I45</f>
        <v>0</v>
      </c>
      <c r="AV45" s="108" t="n">
        <f aca="false">FATPOSITIONS!$J45</f>
        <v>0</v>
      </c>
      <c r="AW45" s="231" t="n">
        <f aca="false">AR45+AJ45</f>
        <v>0</v>
      </c>
      <c r="AX45" s="231" t="n">
        <f aca="false">AT45+AJ45</f>
        <v>0</v>
      </c>
      <c r="AY45" s="160"/>
      <c r="AZ45" s="271" t="n">
        <v>1600</v>
      </c>
      <c r="BA45" s="271" t="n">
        <v>0.3</v>
      </c>
      <c r="BB45" s="232" t="n">
        <f aca="false">(AS45-AQ45)/AZ45</f>
        <v>0</v>
      </c>
      <c r="BC45" s="108" t="str">
        <f aca="false">IF(AM45=0,"",(AN45/AM45)*AO45)</f>
        <v/>
      </c>
      <c r="BD45" s="231" t="str">
        <f aca="false">IF(AR45="","",(AT45-AR45)*AO45*AP45/(AS45-AQ45))</f>
        <v/>
      </c>
      <c r="BE45" s="271" t="n">
        <v>1000000</v>
      </c>
      <c r="BF45" s="233" t="n">
        <f aca="false">Data!$S45</f>
        <v>0</v>
      </c>
      <c r="BG45" s="236" t="str">
        <f aca="false">IF(AQ45="","",(AS45-AQ45)/(AM45*AP45))</f>
        <v/>
      </c>
      <c r="BH45" s="236" t="str">
        <f aca="false">IF(AR45="","",(AT45-AR45)/AN45)</f>
        <v/>
      </c>
      <c r="BI45" s="235" t="str">
        <f aca="false">Data!$J45</f>
        <v>deg</v>
      </c>
      <c r="BJ45" s="236" t="n">
        <f aca="false">AM45*AP45</f>
        <v>0</v>
      </c>
      <c r="BK45" s="236" t="n">
        <f aca="false">IFERROR(($AO45*$AP45)/($BE45/$AN45),0)</f>
        <v>0</v>
      </c>
      <c r="BM45" s="272"/>
      <c r="BN45" s="208"/>
      <c r="BO45" s="208"/>
      <c r="BP45" s="208"/>
      <c r="BQ45" s="272"/>
      <c r="BX45" s="221"/>
      <c r="BY45" s="221"/>
      <c r="CO45" s="221"/>
      <c r="CS45" s="232" t="str">
        <f aca="false">"Step_per_unit:"&amp;$BL45&amp;";"&amp;"Offset:"&amp;$BQ45&amp;";"&amp;"Sign:"&amp;$BM45&amp;";"&amp;"EncoderSource:"&amp;$BN45&amp;";"&amp;"EncoderSourceFormula:"&amp;$BO45&amp;";"&amp;"UseEncoderSource:"&amp;$BP45</f>
        <v>Step_per_unit:;Offset:;Sign:;EncoderSource:;EncoderSourceFormula:;UseEncoderSource:</v>
      </c>
      <c r="CV45" s="222"/>
      <c r="CW45" s="270"/>
      <c r="DC45" s="108"/>
      <c r="DH45" s="221"/>
    </row>
    <row r="46" customFormat="false" ht="10.2" hidden="false" customHeight="false" outlineLevel="0" collapsed="false">
      <c r="A46" s="212" t="n">
        <f aca="false">Data!$A46</f>
        <v>46</v>
      </c>
      <c r="B46" s="212" t="str">
        <f aca="false">Data!$B46</f>
        <v>B316A-EA10-DIA-DETMC-02</v>
      </c>
      <c r="C46" s="212" t="str">
        <f aca="false">Data!$C46</f>
        <v>Detector VERITAS</v>
      </c>
      <c r="D46" s="267" t="str">
        <f aca="false">Data!D46</f>
        <v>PIT2</v>
      </c>
      <c r="E46" s="224" t="str">
        <f aca="false">Data!$E46</f>
        <v>a_detmc2_pit2</v>
      </c>
      <c r="F46" s="225" t="str">
        <f aca="false">Data!$G46</f>
        <v>Y</v>
      </c>
      <c r="G46" s="225" t="str">
        <f aca="false">Data!$H46</f>
        <v>N</v>
      </c>
      <c r="H46" s="225" t="n">
        <f aca="false">Data!$AM46</f>
        <v>0</v>
      </c>
      <c r="I46" s="222" t="e">
        <f aca="true">INDEX(OFFSET(MOTION1!$A$1,0,0,SystemInfo!$B$1,1),MATCH(CONCATENATE(B46,D46),OFFSET(MOTION1!$J$1,0,0,SystemInfo!$B$1,1),0))</f>
        <v>#N/A</v>
      </c>
      <c r="J46" s="222" t="e">
        <f aca="true">INDEX(OFFSET(MOTION3!$A$1,0,0,SystemInfo!$B$1,1),MATCH(CONCATENATE(B46,D46),OFFSET(MOTION3!$J$1,0,0,SystemInfo!$B$1,1),0))</f>
        <v>#N/A</v>
      </c>
      <c r="L46" s="222" t="e">
        <f aca="true">INDEX(OFFSET(DISABLE!$A$1,0,0,SystemInfo!$B$1,1),MATCH(CONCATENATE(B46,D46),OFFSET(DISABLE!$J$1,0,0,SystemInfo!$B$1,1),0))</f>
        <v>#N/A</v>
      </c>
      <c r="P46" s="222" t="n">
        <f aca="false">Data!$O46</f>
        <v>1.7</v>
      </c>
      <c r="Q46" s="222" t="n">
        <f aca="false">Data!$N46</f>
        <v>0.7</v>
      </c>
      <c r="AH46" s="222"/>
      <c r="AI46" s="222"/>
      <c r="AJ46" s="270"/>
      <c r="AK46" s="270"/>
      <c r="AU46" s="108" t="n">
        <f aca="false">FATPOSITIONS!$I46</f>
        <v>0</v>
      </c>
      <c r="AV46" s="108" t="n">
        <f aca="false">FATPOSITIONS!$J46</f>
        <v>0</v>
      </c>
      <c r="AW46" s="231" t="n">
        <f aca="false">AR46+AJ46</f>
        <v>0</v>
      </c>
      <c r="AX46" s="231" t="n">
        <f aca="false">AT46+AJ46</f>
        <v>0</v>
      </c>
      <c r="AY46" s="160"/>
      <c r="AZ46" s="271" t="n">
        <v>1600</v>
      </c>
      <c r="BA46" s="271" t="n">
        <v>0.3</v>
      </c>
      <c r="BB46" s="232" t="n">
        <f aca="false">(AS46-AQ46)/AZ46</f>
        <v>0</v>
      </c>
      <c r="BC46" s="108" t="str">
        <f aca="false">IF(AM46=0,"",(AN46/AM46)*AO46)</f>
        <v/>
      </c>
      <c r="BD46" s="231" t="str">
        <f aca="false">IF(AR46="","",(AT46-AR46)*AO46*AP46/(AS46-AQ46))</f>
        <v/>
      </c>
      <c r="BE46" s="271" t="n">
        <v>10000</v>
      </c>
      <c r="BF46" s="233" t="n">
        <f aca="false">Data!$S46</f>
        <v>0</v>
      </c>
      <c r="BG46" s="236" t="str">
        <f aca="false">IF(AQ46="","",(AS46-AQ46)/(AM46*AP46))</f>
        <v/>
      </c>
      <c r="BH46" s="236" t="str">
        <f aca="false">IF(AR46="","",(AT46-AR46)/AN46)</f>
        <v/>
      </c>
      <c r="BI46" s="235" t="str">
        <f aca="false">Data!$J46</f>
        <v>deg</v>
      </c>
      <c r="BJ46" s="236" t="n">
        <f aca="false">AM46*AP46</f>
        <v>0</v>
      </c>
      <c r="BK46" s="236" t="n">
        <f aca="false">IFERROR(($AO46*$AP46)/($BE46/$AN46),0)</f>
        <v>0</v>
      </c>
      <c r="BM46" s="272"/>
      <c r="BN46" s="208"/>
      <c r="BO46" s="208"/>
      <c r="BP46" s="208"/>
      <c r="BQ46" s="272"/>
      <c r="BX46" s="221"/>
      <c r="BY46" s="221"/>
      <c r="CO46" s="221"/>
      <c r="CS46" s="232" t="str">
        <f aca="false">"Step_per_unit:"&amp;$BL46&amp;";"&amp;"Offset:"&amp;$BQ46&amp;";"&amp;"Sign:"&amp;$BM46&amp;";"&amp;"EncoderSource:"&amp;$BN46&amp;";"&amp;"EncoderSourceFormula:"&amp;$BO46&amp;";"&amp;"UseEncoderSource:"&amp;$BP46</f>
        <v>Step_per_unit:;Offset:;Sign:;EncoderSource:;EncoderSourceFormula:;UseEncoderSource:</v>
      </c>
      <c r="CV46" s="222"/>
      <c r="CW46" s="270"/>
      <c r="DC46" s="108"/>
      <c r="DH46" s="221"/>
    </row>
    <row r="47" customFormat="false" ht="10.2" hidden="false" customHeight="false" outlineLevel="0" collapsed="false">
      <c r="A47" s="212" t="n">
        <f aca="false">Data!$A47</f>
        <v>47</v>
      </c>
      <c r="B47" s="212" t="str">
        <f aca="false">Data!$B47</f>
        <v>B316A-EA11-DIA-SPC-01</v>
      </c>
      <c r="C47" s="212" t="str">
        <f aca="false">Data!$C47</f>
        <v>Spectrometer VERITAS</v>
      </c>
      <c r="D47" s="267" t="str">
        <f aca="false">Data!D47</f>
        <v>YAW</v>
      </c>
      <c r="E47" s="224" t="str">
        <f aca="false">Data!$E47</f>
        <v>a11_spc1_yaw</v>
      </c>
      <c r="F47" s="225" t="str">
        <f aca="false">Data!$G47</f>
        <v>Y</v>
      </c>
      <c r="G47" s="225" t="str">
        <f aca="false">Data!$H47</f>
        <v>N</v>
      </c>
      <c r="H47" s="225" t="n">
        <f aca="false">Data!$AM47</f>
        <v>0</v>
      </c>
      <c r="I47" s="222" t="e">
        <f aca="true">INDEX(OFFSET(MOTION1!$A$1,0,0,SystemInfo!$B$1,1),MATCH(CONCATENATE(B47,D47),OFFSET(MOTION1!$J$1,0,0,SystemInfo!$B$1,1),0))</f>
        <v>#N/A</v>
      </c>
      <c r="J47" s="222" t="e">
        <f aca="true">INDEX(OFFSET(MOTION3!$A$1,0,0,SystemInfo!$B$1,1),MATCH(CONCATENATE(B47,D47),OFFSET(MOTION3!$J$1,0,0,SystemInfo!$B$1,1),0))</f>
        <v>#N/A</v>
      </c>
      <c r="L47" s="222" t="e">
        <f aca="true">INDEX(OFFSET(DISABLE!$A$1,0,0,SystemInfo!$B$1,1),MATCH(CONCATENATE(B47,D47),OFFSET(DISABLE!$J$1,0,0,SystemInfo!$B$1,1),0))</f>
        <v>#N/A</v>
      </c>
      <c r="P47" s="222" t="n">
        <f aca="false">Data!$O47</f>
        <v>1.5</v>
      </c>
      <c r="Q47" s="222" t="n">
        <f aca="false">Data!$N47</f>
        <v>0.24</v>
      </c>
      <c r="AH47" s="222"/>
      <c r="AI47" s="222"/>
      <c r="AJ47" s="270"/>
      <c r="AK47" s="270"/>
      <c r="AU47" s="108" t="n">
        <f aca="false">FATPOSITIONS!$I47</f>
        <v>0</v>
      </c>
      <c r="AV47" s="108" t="n">
        <f aca="false">FATPOSITIONS!$J47</f>
        <v>0</v>
      </c>
      <c r="AW47" s="231" t="n">
        <f aca="false">AR47+AJ47</f>
        <v>0</v>
      </c>
      <c r="AX47" s="231" t="n">
        <f aca="false">AT47+AJ47</f>
        <v>0</v>
      </c>
      <c r="AY47" s="160"/>
      <c r="AZ47" s="271" t="n">
        <v>1600</v>
      </c>
      <c r="BA47" s="271" t="n">
        <v>0.3</v>
      </c>
      <c r="BB47" s="232" t="n">
        <f aca="false">(AS47-AQ47)/AZ47</f>
        <v>0</v>
      </c>
      <c r="BC47" s="108" t="str">
        <f aca="false">IF(AM47=0,"",(AN47/AM47)*AO47)</f>
        <v/>
      </c>
      <c r="BD47" s="231" t="str">
        <f aca="false">IF(AR47="","",(AT47-AR47)*AO47*AP47/(AS47-AQ47))</f>
        <v/>
      </c>
      <c r="BE47" s="271" t="n">
        <v>10000</v>
      </c>
      <c r="BF47" s="233" t="n">
        <f aca="false">Data!$S47</f>
        <v>0</v>
      </c>
      <c r="BG47" s="236" t="str">
        <f aca="false">IF(AQ47="","",(AS47-AQ47)/(AM47*AP47))</f>
        <v/>
      </c>
      <c r="BH47" s="236" t="str">
        <f aca="false">IF(AR47="","",(AT47-AR47)/AN47)</f>
        <v/>
      </c>
      <c r="BI47" s="235" t="str">
        <f aca="false">Data!$J47</f>
        <v>deg</v>
      </c>
      <c r="BJ47" s="236" t="n">
        <f aca="false">AM47*AP47</f>
        <v>0</v>
      </c>
      <c r="BK47" s="236" t="n">
        <f aca="false">IFERROR(($AO47*$AP47)/($BE47/$AN47),0)</f>
        <v>0</v>
      </c>
      <c r="BM47" s="272"/>
      <c r="BN47" s="208"/>
      <c r="BO47" s="208"/>
      <c r="BP47" s="208"/>
      <c r="BQ47" s="272"/>
      <c r="BX47" s="221"/>
      <c r="BY47" s="221"/>
      <c r="CO47" s="221"/>
      <c r="CS47" s="232" t="str">
        <f aca="false">"Step_per_unit:"&amp;$BL47&amp;";"&amp;"Offset:"&amp;$BQ47&amp;";"&amp;"Sign:"&amp;$BM47&amp;";"&amp;"EncoderSource:"&amp;$BN47&amp;";"&amp;"EncoderSourceFormula:"&amp;$BO47&amp;";"&amp;"UseEncoderSource:"&amp;$BP47</f>
        <v>Step_per_unit:;Offset:;Sign:;EncoderSource:;EncoderSourceFormula:;UseEncoderSource:</v>
      </c>
      <c r="CV47" s="222"/>
      <c r="CW47" s="270"/>
      <c r="DC47" s="108"/>
      <c r="DH47" s="221"/>
    </row>
    <row r="48" customFormat="false" ht="10.2" hidden="false" customHeight="false" outlineLevel="0" collapsed="false">
      <c r="A48" s="212" t="n">
        <f aca="false">Data!$A48</f>
        <v>48</v>
      </c>
      <c r="B48" s="212" t="str">
        <f aca="false">Data!$B48</f>
        <v>B316A-EA04-DIA-MP-02</v>
      </c>
      <c r="C48" s="212" t="str">
        <f aca="false">Data!$C48</f>
        <v>Manipulator VERITAS</v>
      </c>
      <c r="D48" s="267" t="str">
        <f aca="false">Data!D48</f>
        <v>X</v>
      </c>
      <c r="E48" s="224" t="str">
        <f aca="false">Data!$E48</f>
        <v>a_mp2_x</v>
      </c>
      <c r="F48" s="225" t="str">
        <f aca="false">Data!$G48</f>
        <v>Y</v>
      </c>
      <c r="G48" s="225" t="str">
        <f aca="false">Data!$H48</f>
        <v>N</v>
      </c>
      <c r="H48" s="225" t="n">
        <f aca="false">Data!$AM48</f>
        <v>0</v>
      </c>
      <c r="I48" s="222" t="e">
        <f aca="true">INDEX(OFFSET(MOTION1!$A$1,0,0,SystemInfo!$B$1,1),MATCH(CONCATENATE(B48,D48),OFFSET(MOTION1!$J$1,0,0,SystemInfo!$B$1,1),0))</f>
        <v>#N/A</v>
      </c>
      <c r="J48" s="222" t="e">
        <f aca="true">INDEX(OFFSET(MOTION3!$A$1,0,0,SystemInfo!$B$1,1),MATCH(CONCATENATE(B48,D48),OFFSET(MOTION3!$J$1,0,0,SystemInfo!$B$1,1),0))</f>
        <v>#N/A</v>
      </c>
      <c r="L48" s="222" t="e">
        <f aca="true">INDEX(OFFSET(DISABLE!$A$1,0,0,SystemInfo!$B$1,1),MATCH(CONCATENATE(B48,D48),OFFSET(DISABLE!$J$1,0,0,SystemInfo!$B$1,1),0))</f>
        <v>#N/A</v>
      </c>
      <c r="P48" s="222" t="n">
        <f aca="false">Data!$O48</f>
        <v>19.2</v>
      </c>
      <c r="Q48" s="222" t="n">
        <f aca="false">Data!$N48</f>
        <v>4.5</v>
      </c>
      <c r="AH48" s="222"/>
      <c r="AI48" s="222"/>
      <c r="AJ48" s="270"/>
      <c r="AK48" s="270"/>
      <c r="AU48" s="108" t="n">
        <f aca="false">FATPOSITIONS!$I48</f>
        <v>0</v>
      </c>
      <c r="AV48" s="108" t="n">
        <f aca="false">FATPOSITIONS!$J48</f>
        <v>0</v>
      </c>
      <c r="AW48" s="231" t="n">
        <f aca="false">AR48+AJ48</f>
        <v>0</v>
      </c>
      <c r="AX48" s="231" t="n">
        <f aca="false">AT48+AJ48</f>
        <v>0</v>
      </c>
      <c r="AZ48" s="230" t="n">
        <v>1600</v>
      </c>
      <c r="BA48" s="271" t="n">
        <v>0.3</v>
      </c>
      <c r="BB48" s="232" t="n">
        <f aca="false">(AS48-AQ48)/AZ48</f>
        <v>0</v>
      </c>
      <c r="BC48" s="108" t="str">
        <f aca="false">IF(AM48=0,"",(AN48/AM48)*AO48)</f>
        <v/>
      </c>
      <c r="BD48" s="231" t="str">
        <f aca="false">IF(AR48="","",(AT48-AR48)*AO48*AP48/(AS48-AQ48))</f>
        <v/>
      </c>
      <c r="BE48" s="230" t="n">
        <v>10000</v>
      </c>
      <c r="BF48" s="233" t="n">
        <f aca="false">Data!$S48</f>
        <v>0</v>
      </c>
      <c r="BG48" s="236" t="str">
        <f aca="false">IF(AQ48="","",(AS48-AQ48)/(AM48*AP48))</f>
        <v/>
      </c>
      <c r="BH48" s="236" t="str">
        <f aca="false">IF(AR48="","",(AT48-AR48)/AN48)</f>
        <v/>
      </c>
      <c r="BI48" s="235" t="str">
        <f aca="false">Data!$J48</f>
        <v>mm</v>
      </c>
      <c r="BJ48" s="236" t="n">
        <f aca="false">AM48*AP48</f>
        <v>0</v>
      </c>
      <c r="BK48" s="236" t="n">
        <f aca="false">IFERROR(($AO48*$AP48)/($BE48/$AN48),0)</f>
        <v>0</v>
      </c>
      <c r="BM48" s="272"/>
      <c r="BN48" s="208"/>
      <c r="BO48" s="208"/>
      <c r="BP48" s="208"/>
      <c r="BQ48" s="272"/>
      <c r="BX48" s="221"/>
      <c r="BY48" s="221"/>
      <c r="CO48" s="221"/>
      <c r="CS48" s="232" t="str">
        <f aca="false">"Step_per_unit:"&amp;$BL48&amp;";"&amp;"Offset:"&amp;$BQ48&amp;";"&amp;"Sign:"&amp;$BM48&amp;";"&amp;"EncoderSource:"&amp;$BN48&amp;";"&amp;"EncoderSourceFormula:"&amp;$BO48&amp;";"&amp;"UseEncoderSource:"&amp;$BP48</f>
        <v>Step_per_unit:;Offset:;Sign:;EncoderSource:;EncoderSourceFormula:;UseEncoderSource:</v>
      </c>
      <c r="CV48" s="222"/>
      <c r="CW48" s="270"/>
      <c r="DC48" s="108"/>
      <c r="DH48" s="221"/>
    </row>
    <row r="49" s="279" customFormat="true" ht="10.2" hidden="false" customHeight="false" outlineLevel="0" collapsed="false">
      <c r="A49" s="220"/>
      <c r="B49" s="220"/>
      <c r="C49" s="220"/>
      <c r="D49" s="275"/>
      <c r="E49" s="276"/>
      <c r="F49" s="275"/>
      <c r="G49" s="275"/>
      <c r="H49" s="275"/>
      <c r="I49" s="277"/>
      <c r="J49" s="277"/>
      <c r="K49" s="277"/>
      <c r="L49" s="277"/>
      <c r="M49" s="277"/>
      <c r="N49" s="277"/>
      <c r="O49" s="277"/>
      <c r="P49" s="277"/>
      <c r="Q49" s="277"/>
      <c r="R49" s="278"/>
      <c r="S49" s="278"/>
      <c r="T49" s="278"/>
      <c r="U49" s="278"/>
      <c r="V49" s="278"/>
      <c r="W49" s="278"/>
      <c r="X49" s="278"/>
      <c r="Y49" s="278"/>
      <c r="Z49" s="278"/>
      <c r="AA49" s="278"/>
      <c r="AF49" s="275"/>
      <c r="AH49" s="277"/>
      <c r="AI49" s="277"/>
      <c r="AJ49" s="277"/>
      <c r="AK49" s="277"/>
      <c r="AM49" s="278"/>
      <c r="AN49" s="278"/>
      <c r="AO49" s="277"/>
      <c r="AP49" s="277"/>
      <c r="AQ49" s="280"/>
      <c r="AR49" s="280"/>
      <c r="AS49" s="280"/>
      <c r="AT49" s="280"/>
      <c r="AU49" s="277"/>
      <c r="AV49" s="277"/>
      <c r="AW49" s="280"/>
      <c r="AX49" s="280"/>
      <c r="AY49" s="280" t="n">
        <v>-13288610</v>
      </c>
      <c r="AZ49" s="280"/>
      <c r="BA49" s="280"/>
      <c r="BB49" s="281"/>
      <c r="BC49" s="280"/>
      <c r="BD49" s="280"/>
      <c r="BE49" s="280"/>
      <c r="BF49" s="281"/>
      <c r="BG49" s="283"/>
      <c r="BH49" s="283"/>
      <c r="BI49" s="283"/>
      <c r="BJ49" s="282"/>
      <c r="BK49" s="282"/>
      <c r="BL49" s="284"/>
      <c r="BM49" s="284"/>
      <c r="BN49" s="282"/>
      <c r="BO49" s="282"/>
      <c r="BP49" s="282"/>
      <c r="BQ49" s="284"/>
      <c r="BR49" s="283"/>
      <c r="BS49" s="283"/>
      <c r="BT49" s="283"/>
      <c r="BU49" s="283"/>
      <c r="BV49" s="283"/>
      <c r="BW49" s="283"/>
      <c r="BX49" s="277"/>
      <c r="BY49" s="277"/>
      <c r="BZ49" s="277"/>
      <c r="CA49" s="277"/>
      <c r="CB49" s="277"/>
      <c r="CC49" s="277"/>
      <c r="CS49" s="281"/>
      <c r="CT49" s="281"/>
      <c r="CU49" s="281"/>
      <c r="CV49" s="281"/>
      <c r="CW49" s="281"/>
      <c r="CX49" s="281"/>
      <c r="CY49" s="278"/>
      <c r="CZ49" s="281"/>
      <c r="DA49" s="281"/>
      <c r="DB49" s="281"/>
      <c r="DC49" s="281"/>
      <c r="DD49" s="281"/>
      <c r="DE49" s="281"/>
      <c r="DF49" s="281"/>
      <c r="DG49" s="281"/>
      <c r="DH49" s="281"/>
      <c r="DI49" s="281"/>
    </row>
    <row r="50" s="279" customFormat="true" ht="10.2" hidden="false" customHeight="false" outlineLevel="0" collapsed="false">
      <c r="A50" s="220"/>
      <c r="B50" s="220"/>
      <c r="C50" s="220"/>
      <c r="D50" s="275"/>
      <c r="E50" s="276"/>
      <c r="F50" s="275"/>
      <c r="G50" s="275"/>
      <c r="H50" s="275"/>
      <c r="I50" s="277"/>
      <c r="J50" s="277"/>
      <c r="K50" s="277"/>
      <c r="L50" s="277"/>
      <c r="M50" s="277"/>
      <c r="N50" s="277"/>
      <c r="O50" s="277"/>
      <c r="P50" s="277"/>
      <c r="Q50" s="277"/>
      <c r="R50" s="278"/>
      <c r="S50" s="278"/>
      <c r="T50" s="278"/>
      <c r="U50" s="278"/>
      <c r="V50" s="278"/>
      <c r="W50" s="278"/>
      <c r="X50" s="278"/>
      <c r="Y50" s="278"/>
      <c r="Z50" s="278"/>
      <c r="AA50" s="278"/>
      <c r="AF50" s="275"/>
      <c r="AH50" s="277"/>
      <c r="AI50" s="277"/>
      <c r="AJ50" s="277"/>
      <c r="AK50" s="277"/>
      <c r="AM50" s="278"/>
      <c r="AN50" s="278"/>
      <c r="AO50" s="277"/>
      <c r="AP50" s="277"/>
      <c r="AQ50" s="280"/>
      <c r="AR50" s="280"/>
      <c r="AS50" s="280"/>
      <c r="AT50" s="280"/>
      <c r="AU50" s="277"/>
      <c r="AV50" s="277"/>
      <c r="AW50" s="280"/>
      <c r="AX50" s="280"/>
      <c r="AY50" s="280" t="n">
        <v>-13288610</v>
      </c>
      <c r="AZ50" s="280"/>
      <c r="BA50" s="280"/>
      <c r="BB50" s="281"/>
      <c r="BC50" s="280"/>
      <c r="BD50" s="280"/>
      <c r="BE50" s="280"/>
      <c r="BF50" s="281"/>
      <c r="BG50" s="283"/>
      <c r="BH50" s="283"/>
      <c r="BI50" s="283"/>
      <c r="BJ50" s="282"/>
      <c r="BK50" s="282"/>
      <c r="BL50" s="284"/>
      <c r="BM50" s="284"/>
      <c r="BN50" s="282"/>
      <c r="BO50" s="282"/>
      <c r="BP50" s="282"/>
      <c r="BQ50" s="284"/>
      <c r="BR50" s="283"/>
      <c r="BS50" s="283"/>
      <c r="BT50" s="283"/>
      <c r="BU50" s="283"/>
      <c r="BV50" s="283"/>
      <c r="BW50" s="283"/>
      <c r="BX50" s="277"/>
      <c r="BY50" s="277"/>
      <c r="BZ50" s="277"/>
      <c r="CA50" s="277"/>
      <c r="CB50" s="277"/>
      <c r="CC50" s="277"/>
      <c r="CS50" s="281"/>
      <c r="CT50" s="281"/>
      <c r="CU50" s="281"/>
      <c r="CV50" s="281"/>
      <c r="CW50" s="281"/>
      <c r="CX50" s="281"/>
      <c r="CY50" s="278"/>
      <c r="CZ50" s="281"/>
      <c r="DA50" s="281"/>
      <c r="DB50" s="281"/>
      <c r="DC50" s="281"/>
      <c r="DD50" s="281"/>
      <c r="DE50" s="281"/>
      <c r="DF50" s="281"/>
      <c r="DG50" s="281"/>
      <c r="DH50" s="281"/>
      <c r="DI50" s="281"/>
    </row>
    <row r="51" customFormat="false" ht="10.2" hidden="false" customHeight="false" outlineLevel="0" collapsed="false">
      <c r="A51" s="212" t="n">
        <f aca="false">Data!$A51</f>
        <v>51</v>
      </c>
      <c r="B51" s="212" t="str">
        <f aca="false">Data!$B51</f>
        <v>B316A-EA04-DIA-MP-02</v>
      </c>
      <c r="C51" s="212" t="str">
        <f aca="false">Data!$C51</f>
        <v>Manipulator VERITAS</v>
      </c>
      <c r="D51" s="267" t="str">
        <f aca="false">Data!D51</f>
        <v>Z</v>
      </c>
      <c r="E51" s="224" t="str">
        <f aca="false">Data!$E51</f>
        <v>a_mp2_z</v>
      </c>
      <c r="F51" s="225" t="str">
        <f aca="false">Data!$G51</f>
        <v>Y</v>
      </c>
      <c r="G51" s="225" t="str">
        <f aca="false">Data!$H51</f>
        <v>N</v>
      </c>
      <c r="H51" s="225" t="n">
        <f aca="false">Data!$AM51</f>
        <v>0</v>
      </c>
      <c r="I51" s="222" t="e">
        <f aca="true">INDEX(OFFSET(MOTION1!$A$1,0,0,SystemInfo!$B$1,1),MATCH(CONCATENATE(B51,D51),OFFSET(MOTION1!$J$1,0,0,SystemInfo!$B$1,1),0))</f>
        <v>#N/A</v>
      </c>
      <c r="J51" s="222" t="e">
        <f aca="true">INDEX(OFFSET(MOTION3!$A$1,0,0,SystemInfo!$B$1,1),MATCH(CONCATENATE(B51,D51),OFFSET(MOTION3!$J$1,0,0,SystemInfo!$B$1,1),0))</f>
        <v>#N/A</v>
      </c>
      <c r="L51" s="222" t="e">
        <f aca="true">INDEX(OFFSET(DISABLE!$A$1,0,0,SystemInfo!$B$1,1),MATCH(CONCATENATE(B51,D51),OFFSET(DISABLE!$J$1,0,0,SystemInfo!$B$1,1),0))</f>
        <v>#N/A</v>
      </c>
      <c r="N51" s="222" t="str">
        <f aca="false">Data!$F51</f>
        <v>Oriental PK245M-02B series</v>
      </c>
      <c r="O51" s="222" t="n">
        <f aca="false">Data!$Y51</f>
        <v>0</v>
      </c>
      <c r="P51" s="107" t="n">
        <f aca="false">Data!$O51</f>
        <v>39.6</v>
      </c>
      <c r="Q51" s="107" t="n">
        <f aca="false">Data!$N51</f>
        <v>15</v>
      </c>
      <c r="T51" s="227" t="str">
        <f aca="false">IF(Q51="","-",IF(S51="","-",S51-Q51))</f>
        <v>-</v>
      </c>
      <c r="U51" s="227" t="n">
        <f aca="false">Data!$M51*$S51</f>
        <v>0</v>
      </c>
      <c r="V51" s="227" t="n">
        <f aca="false">6.28*$R51*Data!$M51/8</f>
        <v>0</v>
      </c>
      <c r="W51" s="269"/>
      <c r="X51" s="269"/>
      <c r="Y51" s="269"/>
      <c r="Z51" s="269"/>
      <c r="AA51" s="269"/>
      <c r="AB51" s="105"/>
      <c r="AC51" s="105"/>
      <c r="AD51" s="105"/>
      <c r="AE51" s="156"/>
      <c r="AF51" s="225" t="n">
        <f aca="false">Data!$AM51</f>
        <v>0</v>
      </c>
      <c r="AH51" s="222" t="n">
        <f aca="false">Data!$Z51</f>
        <v>0</v>
      </c>
      <c r="AI51" s="222" t="n">
        <f aca="false">FATPOSITIONS!$H51</f>
        <v>0</v>
      </c>
      <c r="AJ51" s="270" t="n">
        <v>0</v>
      </c>
      <c r="AK51" s="270" t="n">
        <v>0</v>
      </c>
      <c r="AL51" s="158" t="s">
        <v>504</v>
      </c>
      <c r="AM51" s="229" t="n">
        <f aca="false">Data!$R51</f>
        <v>400</v>
      </c>
      <c r="AN51" s="229" t="n">
        <f aca="false">Data!$W51</f>
        <v>0</v>
      </c>
      <c r="AO51" s="222" t="n">
        <f aca="false">Data!$P51</f>
        <v>400</v>
      </c>
      <c r="AP51" s="222" t="n">
        <f aca="false">Data!$L51</f>
        <v>2</v>
      </c>
      <c r="AU51" s="108" t="n">
        <f aca="false">FATPOSITIONS!$I51</f>
        <v>0</v>
      </c>
      <c r="AV51" s="108" t="n">
        <f aca="false">FATPOSITIONS!$J51</f>
        <v>0</v>
      </c>
      <c r="AW51" s="231" t="n">
        <f aca="false">AR51+AJ51</f>
        <v>0</v>
      </c>
      <c r="AX51" s="231" t="n">
        <f aca="false">AT51+AJ51</f>
        <v>0</v>
      </c>
      <c r="AY51" s="160"/>
      <c r="AZ51" s="271" t="n">
        <v>400</v>
      </c>
      <c r="BA51" s="271" t="n">
        <v>0.15</v>
      </c>
      <c r="BB51" s="232" t="n">
        <f aca="false">(AS51-AQ51)/AZ51</f>
        <v>0</v>
      </c>
      <c r="BC51" s="108" t="n">
        <f aca="false">IF(AM51=0,"",(AN51/AM51)*AO51)</f>
        <v>0</v>
      </c>
      <c r="BD51" s="231" t="str">
        <f aca="false">IF(AR51="","",(AT51-AR51)*AO51*AP51/(AS51-AQ51))</f>
        <v/>
      </c>
      <c r="BE51" s="271" t="n">
        <v>1000000</v>
      </c>
      <c r="BF51" s="233" t="n">
        <f aca="false">Data!$S51</f>
        <v>0</v>
      </c>
      <c r="BG51" s="236" t="str">
        <f aca="false">IF(AQ51="","",(AS51-AQ51)/(AM51*AP51))</f>
        <v/>
      </c>
      <c r="BH51" s="236" t="str">
        <f aca="false">IF(AR51="","",(AT51-AR51)/AN51)</f>
        <v/>
      </c>
      <c r="BI51" s="221" t="str">
        <f aca="false">Data!$J51</f>
        <v>mm</v>
      </c>
      <c r="BJ51" s="236" t="n">
        <f aca="false">AM51*AP51</f>
        <v>800</v>
      </c>
      <c r="BK51" s="236" t="n">
        <f aca="false">IFERROR(($AO51*$AP51)/($BE51/$AN51),0)</f>
        <v>0</v>
      </c>
      <c r="BM51" s="272"/>
      <c r="BN51" s="208"/>
      <c r="BO51" s="208"/>
      <c r="BP51" s="208"/>
      <c r="BQ51" s="272"/>
      <c r="BR51" s="236" t="e">
        <f aca="false">IF(BP51="FALSE",($BM51*($AQ51/$BL51)+$BQ51),($BM51*($AR51/$AN51)+$BQ51))</f>
        <v>#DIV/0!</v>
      </c>
      <c r="BS51" s="236" t="e">
        <f aca="false">IF(BP51="FALSE",($BM51*($AS51/$BL51)+$BQ51),($BM51*($AT51/$AN51)+$BQ51))</f>
        <v>#DIV/0!</v>
      </c>
      <c r="BT51" s="107" t="n">
        <f aca="false">FATPOSITIONS!$L51</f>
        <v>0</v>
      </c>
      <c r="BU51" s="107" t="n">
        <f aca="false">FATPOSITIONS!$M51</f>
        <v>0</v>
      </c>
      <c r="BV51" s="236" t="str">
        <f aca="false">IFERROR($BM51*FATPOSITIONS!$N51+$BR51,"")</f>
        <v/>
      </c>
      <c r="BW51" s="236" t="str">
        <f aca="false">IFERROR(-$BM51*FATPOSITIONS!$O51+$BS51,"")</f>
        <v/>
      </c>
      <c r="BX51" s="221" t="n">
        <f aca="false">Data!$AK51</f>
        <v>0</v>
      </c>
      <c r="BY51" s="221" t="n">
        <f aca="false">Data!$AL51</f>
        <v>0</v>
      </c>
      <c r="CO51" s="221"/>
      <c r="CS51" s="232" t="str">
        <f aca="false">"Step_per_unit:"&amp;$BL51&amp;";"&amp;"Offset:"&amp;$BQ51&amp;";"&amp;"Sign:"&amp;$BM51&amp;";"&amp;"EncoderSource:"&amp;$BN51&amp;";"&amp;"EncoderSourceFormula:"&amp;$BO51&amp;";"&amp;"UseEncoderSource:"&amp;$BP51</f>
        <v>Step_per_unit:;Offset:;Sign:;EncoderSource:;EncoderSourceFormula:;UseEncoderSource:</v>
      </c>
      <c r="CV51" s="222"/>
      <c r="CW51" s="270"/>
      <c r="DC51" s="108"/>
      <c r="DH51" s="221"/>
    </row>
    <row r="52" customFormat="false" ht="10.2" hidden="false" customHeight="false" outlineLevel="0" collapsed="false">
      <c r="A52" s="212" t="n">
        <f aca="false">Data!$A52</f>
        <v>52</v>
      </c>
      <c r="B52" s="212" t="str">
        <f aca="false">Data!$B52</f>
        <v>B316A-EA04-DIA-MP-02</v>
      </c>
      <c r="C52" s="212" t="str">
        <f aca="false">Data!$C52</f>
        <v>Manipulator VERITAS</v>
      </c>
      <c r="D52" s="267" t="str">
        <f aca="false">Data!D52</f>
        <v>Y</v>
      </c>
      <c r="E52" s="224" t="str">
        <f aca="false">Data!$E52</f>
        <v>a_mp2_y</v>
      </c>
      <c r="F52" s="225" t="str">
        <f aca="false">Data!$G52</f>
        <v>Y</v>
      </c>
      <c r="G52" s="225" t="str">
        <f aca="false">Data!$H52</f>
        <v>N</v>
      </c>
      <c r="H52" s="225" t="n">
        <f aca="false">Data!$AM52</f>
        <v>0</v>
      </c>
      <c r="I52" s="222" t="e">
        <f aca="true">INDEX(OFFSET(MOTION1!$A$1,0,0,SystemInfo!$B$1,1),MATCH(CONCATENATE(B52,D52),OFFSET(MOTION1!$J$1,0,0,SystemInfo!$B$1,1),0))</f>
        <v>#N/A</v>
      </c>
      <c r="J52" s="222" t="e">
        <f aca="true">INDEX(OFFSET(MOTION3!$A$1,0,0,SystemInfo!$B$1,1),MATCH(CONCATENATE(B52,D52),OFFSET(MOTION3!$J$1,0,0,SystemInfo!$B$1,1),0))</f>
        <v>#N/A</v>
      </c>
      <c r="L52" s="222" t="e">
        <f aca="true">INDEX(OFFSET(DISABLE!$A$1,0,0,SystemInfo!$B$1,1),MATCH(CONCATENATE(B52,D52),OFFSET(DISABLE!$J$1,0,0,SystemInfo!$B$1,1),0))</f>
        <v>#N/A</v>
      </c>
      <c r="N52" s="222" t="str">
        <f aca="false">Data!$F52</f>
        <v>Oriental PK264M-E2.0 parallel</v>
      </c>
      <c r="O52" s="222" t="n">
        <f aca="false">Data!$Y52</f>
        <v>0</v>
      </c>
      <c r="P52" s="222" t="n">
        <f aca="false">Data!$O52</f>
        <v>1.7</v>
      </c>
      <c r="Q52" s="222" t="n">
        <f aca="false">Data!$N52</f>
        <v>0.7</v>
      </c>
      <c r="T52" s="227" t="str">
        <f aca="false">IF(Q52="","-",IF(S52="","-",S52-Q52))</f>
        <v>-</v>
      </c>
      <c r="U52" s="227" t="n">
        <f aca="false">Data!$M52*$S52</f>
        <v>0</v>
      </c>
      <c r="V52" s="227" t="n">
        <f aca="false">6.28*$R52*Data!$M52/8</f>
        <v>0</v>
      </c>
      <c r="W52" s="269"/>
      <c r="X52" s="269"/>
      <c r="Y52" s="269"/>
      <c r="Z52" s="269"/>
      <c r="AA52" s="269"/>
      <c r="AB52" s="105"/>
      <c r="AC52" s="105"/>
      <c r="AD52" s="105"/>
      <c r="AE52" s="156"/>
      <c r="AF52" s="225" t="n">
        <f aca="false">Data!$AM52</f>
        <v>0</v>
      </c>
      <c r="AH52" s="222" t="n">
        <f aca="false">Data!$Z52</f>
        <v>0</v>
      </c>
      <c r="AI52" s="222" t="n">
        <f aca="false">FATPOSITIONS!$H52</f>
        <v>0</v>
      </c>
      <c r="AJ52" s="270" t="n">
        <v>0</v>
      </c>
      <c r="AK52" s="270" t="n">
        <v>0</v>
      </c>
      <c r="AL52" s="158" t="s">
        <v>504</v>
      </c>
      <c r="AM52" s="229" t="n">
        <f aca="false">Data!$R52</f>
        <v>400</v>
      </c>
      <c r="AN52" s="229" t="n">
        <f aca="false">Data!$W52</f>
        <v>0</v>
      </c>
      <c r="AO52" s="222" t="n">
        <f aca="false">Data!$P52</f>
        <v>400</v>
      </c>
      <c r="AP52" s="222" t="n">
        <f aca="false">Data!$L52</f>
        <v>2</v>
      </c>
      <c r="AU52" s="108" t="n">
        <f aca="false">FATPOSITIONS!$I52</f>
        <v>0</v>
      </c>
      <c r="AV52" s="108" t="n">
        <f aca="false">FATPOSITIONS!$J52</f>
        <v>0</v>
      </c>
      <c r="AW52" s="231" t="n">
        <f aca="false">AR52+AJ52</f>
        <v>0</v>
      </c>
      <c r="AX52" s="231" t="n">
        <f aca="false">AT52+AJ52</f>
        <v>0</v>
      </c>
      <c r="AY52" s="160"/>
      <c r="AZ52" s="271" t="n">
        <v>400</v>
      </c>
      <c r="BA52" s="271" t="n">
        <v>0.15</v>
      </c>
      <c r="BB52" s="232" t="n">
        <f aca="false">(AS52-AQ52)/AZ52</f>
        <v>0</v>
      </c>
      <c r="BC52" s="108" t="n">
        <f aca="false">IF(AM52=0,"",(AN52/AM52)*AO52)</f>
        <v>0</v>
      </c>
      <c r="BD52" s="231" t="str">
        <f aca="false">IF(AR52="","",(AT52-AR52)*AO52*AP52/(AS52-AQ52))</f>
        <v/>
      </c>
      <c r="BE52" s="271" t="n">
        <v>1000000</v>
      </c>
      <c r="BF52" s="233" t="n">
        <f aca="false">Data!$S52</f>
        <v>0</v>
      </c>
      <c r="BG52" s="236" t="str">
        <f aca="false">IF(AQ52="","",(AS52-AQ52)/(AM52*AP52))</f>
        <v/>
      </c>
      <c r="BH52" s="236" t="str">
        <f aca="false">IF(AR52="","",(AT52-AR52)/AN52)</f>
        <v/>
      </c>
      <c r="BI52" s="235" t="str">
        <f aca="false">Data!$J52</f>
        <v>mm</v>
      </c>
      <c r="BJ52" s="236" t="n">
        <f aca="false">AM52*AP52</f>
        <v>800</v>
      </c>
      <c r="BK52" s="236" t="n">
        <f aca="false">IFERROR(($AO52*$AP52)/($BE52/$AN52),0)</f>
        <v>0</v>
      </c>
      <c r="BM52" s="272"/>
      <c r="BN52" s="208"/>
      <c r="BO52" s="208"/>
      <c r="BP52" s="208"/>
      <c r="BQ52" s="272"/>
      <c r="BR52" s="236" t="e">
        <f aca="false">IF(BP52="FALSE",($BM52*($AQ52/$BL52)+$BQ52),($BM52*($AR52/$AN52)+$BQ52))</f>
        <v>#DIV/0!</v>
      </c>
      <c r="BS52" s="236" t="e">
        <f aca="false">IF(BP52="FALSE",($BM52*($AS52/$BL52)+$BQ52),($BM52*($AT52/$AN52)+$BQ52))</f>
        <v>#DIV/0!</v>
      </c>
      <c r="BT52" s="107" t="n">
        <f aca="false">FATPOSITIONS!$L52</f>
        <v>0</v>
      </c>
      <c r="BU52" s="107" t="n">
        <f aca="false">FATPOSITIONS!$M52</f>
        <v>0</v>
      </c>
      <c r="BV52" s="236" t="str">
        <f aca="false">IFERROR($BM52*FATPOSITIONS!$N52+$BR52,"")</f>
        <v/>
      </c>
      <c r="BW52" s="236" t="str">
        <f aca="false">IFERROR(-$BM52*FATPOSITIONS!$O52+$BS52,"")</f>
        <v/>
      </c>
      <c r="BX52" s="221" t="n">
        <f aca="false">Data!$AK52</f>
        <v>0</v>
      </c>
      <c r="BY52" s="221" t="n">
        <f aca="false">Data!$AL52</f>
        <v>0</v>
      </c>
      <c r="CO52" s="221"/>
      <c r="CS52" s="232" t="str">
        <f aca="false">"Step_per_unit:"&amp;$BL52&amp;";"&amp;"Offset:"&amp;$BQ52&amp;";"&amp;"Sign:"&amp;$BM52&amp;";"&amp;"EncoderSource:"&amp;$BN52&amp;";"&amp;"EncoderSourceFormula:"&amp;$BO52&amp;";"&amp;"UseEncoderSource:"&amp;$BP52</f>
        <v>Step_per_unit:;Offset:;Sign:;EncoderSource:;EncoderSourceFormula:;UseEncoderSource:</v>
      </c>
      <c r="CV52" s="222"/>
      <c r="CW52" s="270"/>
      <c r="DC52" s="108"/>
      <c r="DH52" s="221"/>
    </row>
    <row r="53" customFormat="false" ht="10.2" hidden="false" customHeight="false" outlineLevel="0" collapsed="false">
      <c r="A53" s="212" t="n">
        <f aca="false">Data!$A53</f>
        <v>53</v>
      </c>
      <c r="B53" s="212" t="str">
        <f aca="false">Data!$B53</f>
        <v>B316A-EB03-OPT-BAFF-01</v>
      </c>
      <c r="C53" s="212" t="str">
        <f aca="false">Data!$C53</f>
        <v>M4 Baffles VERITAS</v>
      </c>
      <c r="D53" s="267" t="str">
        <f aca="false">Data!D53</f>
        <v>VT</v>
      </c>
      <c r="E53" s="224" t="str">
        <f aca="false">Data!$E53</f>
        <v>b_m4_baff_vt</v>
      </c>
      <c r="F53" s="225" t="str">
        <f aca="false">Data!$G53</f>
        <v>Y</v>
      </c>
      <c r="G53" s="225" t="str">
        <f aca="false">Data!$H53</f>
        <v>N</v>
      </c>
      <c r="H53" s="225" t="str">
        <f aca="false">Data!$AM53</f>
        <v>-</v>
      </c>
      <c r="I53" s="222" t="str">
        <f aca="true">INDEX(OFFSET(MOTION1!$A$1,0,0,SystemInfo!$B$1,1),MATCH(CONCATENATE(B53,D53),OFFSET(MOTION1!$J$1,0,0,SystemInfo!$B$1,1),0))</f>
        <v>W050829</v>
      </c>
      <c r="J53" s="222" t="str">
        <f aca="true">INDEX(OFFSET(MOTION3!$A$1,0,0,SystemInfo!$B$1,1),MATCH(CONCATENATE(B53,D53),OFFSET(MOTION3!$J$1,0,0,SystemInfo!$B$1,1),0))</f>
        <v>W050830</v>
      </c>
      <c r="L53" s="222" t="e">
        <f aca="true">INDEX(OFFSET(DISABLE!$A$1,0,0,SystemInfo!$B$1,1),MATCH(CONCATENATE(B53,D53),OFFSET(DISABLE!$J$1,0,0,SystemInfo!$B$1,1),0))</f>
        <v>#N/A</v>
      </c>
      <c r="N53" s="222" t="str">
        <f aca="false">Data!$F53</f>
        <v>Nanotec L4118S1404-M6X1</v>
      </c>
      <c r="O53" s="222" t="str">
        <f aca="false">Data!$Y53</f>
        <v>Renishaw Resolute 32 bits BISS-C</v>
      </c>
      <c r="P53" s="222" t="n">
        <f aca="false">Data!$O53</f>
        <v>2.8</v>
      </c>
      <c r="Q53" s="222" t="n">
        <f aca="false">Data!$N53</f>
        <v>2</v>
      </c>
      <c r="R53" s="226" t="n">
        <v>1.7</v>
      </c>
      <c r="S53" s="226" t="n">
        <v>2.3</v>
      </c>
      <c r="T53" s="227" t="n">
        <f aca="false">IF(Q53="","-",IF(S53="","-",S53-Q53))</f>
        <v>0.3</v>
      </c>
      <c r="U53" s="227" t="n">
        <f aca="false">Data!$N53*$S53</f>
        <v>4.6</v>
      </c>
      <c r="V53" s="227" t="n">
        <f aca="false">6.28*$R53*Data!$N53/8</f>
        <v>2.669</v>
      </c>
      <c r="W53" s="269" t="n">
        <v>48</v>
      </c>
      <c r="X53" s="269" t="n">
        <v>12</v>
      </c>
      <c r="Y53" s="269" t="n">
        <v>1.4</v>
      </c>
      <c r="Z53" s="269" t="n">
        <v>50</v>
      </c>
      <c r="AA53" s="269"/>
      <c r="AB53" s="105" t="s">
        <v>248</v>
      </c>
      <c r="AC53" s="105" t="s">
        <v>248</v>
      </c>
      <c r="AD53" s="105" t="s">
        <v>503</v>
      </c>
      <c r="AE53" s="105" t="s">
        <v>248</v>
      </c>
      <c r="AF53" s="225" t="str">
        <f aca="false">Data!$AM53</f>
        <v>-</v>
      </c>
      <c r="AG53" s="160" t="s">
        <v>504</v>
      </c>
      <c r="AH53" s="222" t="str">
        <f aca="false">Data!$Z53</f>
        <v>absolute</v>
      </c>
      <c r="AI53" s="222" t="n">
        <f aca="false">FATPOSITIONS!$H53</f>
        <v>0</v>
      </c>
      <c r="AJ53" s="270" t="n">
        <v>0</v>
      </c>
      <c r="AK53" s="270" t="n">
        <v>0</v>
      </c>
      <c r="AL53" s="158" t="s">
        <v>504</v>
      </c>
      <c r="AM53" s="229" t="n">
        <f aca="false">Data!$R53</f>
        <v>200</v>
      </c>
      <c r="AN53" s="229" t="n">
        <f aca="false">Data!$W53</f>
        <v>1000000</v>
      </c>
      <c r="AO53" s="222" t="n">
        <f aca="false">Data!$P53</f>
        <v>200</v>
      </c>
      <c r="AP53" s="222" t="n">
        <f aca="false">Data!$L53</f>
        <v>2</v>
      </c>
      <c r="AQ53" s="230" t="n">
        <v>224967</v>
      </c>
      <c r="AR53" s="230" t="n">
        <v>562462456</v>
      </c>
      <c r="AS53" s="230" t="n">
        <v>233141</v>
      </c>
      <c r="AT53" s="230" t="n">
        <v>582853230</v>
      </c>
      <c r="AU53" s="108" t="n">
        <f aca="false">FATPOSITIONS!$I53</f>
        <v>0</v>
      </c>
      <c r="AV53" s="108" t="n">
        <f aca="false">FATPOSITIONS!$J53</f>
        <v>0</v>
      </c>
      <c r="AW53" s="231" t="n">
        <f aca="false">AR53+AJ53</f>
        <v>562462456</v>
      </c>
      <c r="AX53" s="231" t="n">
        <f aca="false">AT53+AJ53</f>
        <v>582853230</v>
      </c>
      <c r="AY53" s="160"/>
      <c r="AZ53" s="271" t="n">
        <v>200</v>
      </c>
      <c r="BA53" s="271" t="n">
        <v>0.3</v>
      </c>
      <c r="BB53" s="232" t="n">
        <f aca="false">(AS53-AQ53)/AZ53</f>
        <v>40.87</v>
      </c>
      <c r="BC53" s="108" t="n">
        <f aca="false">IF(AM53=0,"",(AN53/AM53)*AO53)</f>
        <v>1000000</v>
      </c>
      <c r="BD53" s="231" t="n">
        <f aca="false">IF(AR53="","",(AT53-AR53)*AO53*AP53/(AS53-AQ53))</f>
        <v>997835.771959873</v>
      </c>
      <c r="BE53" s="271" t="n">
        <v>1000000</v>
      </c>
      <c r="BF53" s="233" t="str">
        <f aca="false">Data!$S53</f>
        <v>30mm</v>
      </c>
      <c r="BG53" s="236" t="n">
        <f aca="false">IF(AQ53="","",(AS53-AQ53)/(AM53*AP53))</f>
        <v>20.435</v>
      </c>
      <c r="BH53" s="236" t="n">
        <f aca="false">IF(AR53="","",(AT53-AR53)/AN53)</f>
        <v>20.390774</v>
      </c>
      <c r="BI53" s="235" t="str">
        <f aca="false">Data!$J53</f>
        <v>mm</v>
      </c>
      <c r="BJ53" s="236" t="n">
        <f aca="false">AM53*AP53</f>
        <v>400</v>
      </c>
      <c r="BK53" s="236" t="n">
        <f aca="false">IFERROR(($AO53*$AP53)/($BE53/$AN53),0)</f>
        <v>400</v>
      </c>
      <c r="BL53" s="109" t="n">
        <v>400</v>
      </c>
      <c r="BM53" s="272" t="n">
        <v>1</v>
      </c>
      <c r="BN53" s="208" t="s">
        <v>505</v>
      </c>
      <c r="BO53" s="208" t="s">
        <v>506</v>
      </c>
      <c r="BP53" s="273" t="s">
        <v>507</v>
      </c>
      <c r="BQ53" s="272" t="n">
        <f aca="false">-562.46-4</f>
        <v>-566.46</v>
      </c>
      <c r="BR53" s="236" t="n">
        <f aca="false">IF(BP53="FALSE",($BM53*($AQ53/$BL53)+$BQ53),($BM53*($AR53/$AN53)+$BQ53))</f>
        <v>-3.99754400000006</v>
      </c>
      <c r="BS53" s="236" t="n">
        <f aca="false">IF(BP53="FALSE",($BM53*($AS53/$BL53)+$BQ53),($BM53*($AT53/$AN53)+$BQ53))</f>
        <v>16.39323</v>
      </c>
      <c r="BT53" s="107" t="n">
        <f aca="false">FATPOSITIONS!$L53</f>
        <v>0</v>
      </c>
      <c r="BU53" s="107" t="n">
        <f aca="false">FATPOSITIONS!$M53</f>
        <v>0</v>
      </c>
      <c r="BV53" s="236" t="n">
        <f aca="false">IFERROR($BM53*FATPOSITIONS!$N53+$BR53,"")</f>
        <v>-3.99754400000006</v>
      </c>
      <c r="BW53" s="236" t="n">
        <f aca="false">IFERROR(-$BM53*FATPOSITIONS!$O53+$BS53,"")</f>
        <v>16.39323</v>
      </c>
      <c r="BX53" s="221" t="str">
        <f aca="false">Data!$AK53</f>
        <v>-</v>
      </c>
      <c r="BY53" s="221" t="str">
        <f aca="false">Data!$AL53</f>
        <v>-</v>
      </c>
      <c r="CD53" s="160" t="s">
        <v>508</v>
      </c>
      <c r="CO53" s="221"/>
      <c r="CR53" s="160" t="s">
        <v>528</v>
      </c>
      <c r="CS53" s="232" t="str">
        <f aca="false">"Step_per_unit:"&amp;$BL53&amp;";"&amp;"Offset:"&amp;$BQ53&amp;";"&amp;"Sign:"&amp;$BM53&amp;";"&amp;"EncoderSource:"&amp;$BN53&amp;";"&amp;"EncoderSourceFormula:"&amp;$BO53&amp;";"&amp;"UseEncoderSource:"&amp;$BP53</f>
        <v>Step_per_unit:400;Offset:-566,46;Sign:1;EncoderSource:attr://EncAbsEnc;EncoderSourceFormula:VALUE/1000000;UseEncoderSource:TRUE</v>
      </c>
      <c r="CV53" s="222"/>
      <c r="CW53" s="270"/>
      <c r="DC53" s="108"/>
      <c r="DH53" s="221"/>
    </row>
    <row r="54" customFormat="false" ht="10.2" hidden="false" customHeight="false" outlineLevel="0" collapsed="false">
      <c r="A54" s="212" t="n">
        <f aca="false">Data!$A54</f>
        <v>1</v>
      </c>
      <c r="B54" s="212" t="str">
        <f aca="false">Data!$B54</f>
        <v>B316A-EB03-OPT-BAFF-01</v>
      </c>
      <c r="C54" s="212" t="str">
        <f aca="false">Data!$C54</f>
        <v>M4 Baffles VERITAS</v>
      </c>
      <c r="D54" s="267" t="str">
        <f aca="false">Data!D54</f>
        <v>VB</v>
      </c>
      <c r="E54" s="224" t="str">
        <f aca="false">Data!$E54</f>
        <v>b_m4_baff_vb</v>
      </c>
      <c r="F54" s="225" t="str">
        <f aca="false">Data!$G54</f>
        <v>Y</v>
      </c>
      <c r="G54" s="225" t="str">
        <f aca="false">Data!$H54</f>
        <v>N</v>
      </c>
      <c r="H54" s="225" t="str">
        <f aca="false">Data!$AM54</f>
        <v>-</v>
      </c>
      <c r="I54" s="222" t="str">
        <f aca="true">INDEX(OFFSET(MOTION1!$A$1,0,0,SystemInfo!$B$1,1),MATCH(CONCATENATE(B54,D54),OFFSET(MOTION1!$J$1,0,0,SystemInfo!$B$1,1),0))</f>
        <v>W050831</v>
      </c>
      <c r="J54" s="222" t="str">
        <f aca="true">INDEX(OFFSET(MOTION3!$A$1,0,0,SystemInfo!$B$1,1),MATCH(CONCATENATE(B54,D54),OFFSET(MOTION3!$J$1,0,0,SystemInfo!$B$1,1),0))</f>
        <v>W050832</v>
      </c>
      <c r="L54" s="222" t="e">
        <f aca="true">INDEX(OFFSET(DISABLE!$A$1,0,0,SystemInfo!$B$1,1),MATCH(CONCATENATE(B54,D54),OFFSET(DISABLE!$J$1,0,0,SystemInfo!$B$1,1),0))</f>
        <v>#N/A</v>
      </c>
      <c r="N54" s="222" t="str">
        <f aca="false">Data!$F54</f>
        <v>Nanotec L4118S1404-M6X1</v>
      </c>
      <c r="O54" s="222" t="str">
        <f aca="false">Data!$Y54</f>
        <v>Renishaw Resolute 32 bits BISS-C</v>
      </c>
      <c r="P54" s="222" t="n">
        <f aca="false">Data!$O54</f>
        <v>2.8</v>
      </c>
      <c r="Q54" s="222" t="n">
        <f aca="false">Data!$N54</f>
        <v>2</v>
      </c>
      <c r="R54" s="226" t="n">
        <v>1.7</v>
      </c>
      <c r="S54" s="226" t="n">
        <v>2.3</v>
      </c>
      <c r="T54" s="227" t="n">
        <f aca="false">IF(Q54="","-",IF(S54="","-",S54-Q54))</f>
        <v>0.3</v>
      </c>
      <c r="U54" s="227" t="n">
        <f aca="false">Data!$N54*$S54</f>
        <v>4.6</v>
      </c>
      <c r="V54" s="227" t="n">
        <f aca="false">6.28*$R54*Data!$N54/8</f>
        <v>2.669</v>
      </c>
      <c r="W54" s="269" t="n">
        <v>48</v>
      </c>
      <c r="X54" s="269" t="n">
        <v>12</v>
      </c>
      <c r="Y54" s="269" t="n">
        <v>1.4</v>
      </c>
      <c r="Z54" s="269" t="n">
        <v>50</v>
      </c>
      <c r="AA54" s="269"/>
      <c r="AB54" s="105" t="s">
        <v>248</v>
      </c>
      <c r="AC54" s="105" t="s">
        <v>248</v>
      </c>
      <c r="AD54" s="105" t="s">
        <v>503</v>
      </c>
      <c r="AE54" s="105" t="s">
        <v>248</v>
      </c>
      <c r="AF54" s="225" t="str">
        <f aca="false">Data!$AM54</f>
        <v>-</v>
      </c>
      <c r="AG54" s="160" t="s">
        <v>504</v>
      </c>
      <c r="AH54" s="222" t="str">
        <f aca="false">Data!$Z54</f>
        <v>absolute</v>
      </c>
      <c r="AI54" s="222" t="n">
        <f aca="false">FATPOSITIONS!$H54</f>
        <v>0</v>
      </c>
      <c r="AJ54" s="270" t="n">
        <v>0</v>
      </c>
      <c r="AK54" s="270" t="n">
        <v>0</v>
      </c>
      <c r="AL54" s="158" t="s">
        <v>504</v>
      </c>
      <c r="AM54" s="229" t="n">
        <f aca="false">Data!$R54</f>
        <v>200</v>
      </c>
      <c r="AN54" s="229" t="n">
        <f aca="false">Data!$W54</f>
        <v>1000000</v>
      </c>
      <c r="AO54" s="222" t="n">
        <f aca="false">Data!$P54</f>
        <v>200</v>
      </c>
      <c r="AP54" s="222" t="n">
        <f aca="false">Data!$L54</f>
        <v>2</v>
      </c>
      <c r="AQ54" s="230" t="n">
        <v>420499</v>
      </c>
      <c r="AR54" s="230" t="n">
        <v>1051146688</v>
      </c>
      <c r="AS54" s="230" t="n">
        <v>428699</v>
      </c>
      <c r="AT54" s="230" t="n">
        <v>1071650857</v>
      </c>
      <c r="AU54" s="108" t="n">
        <f aca="false">FATPOSITIONS!$I54</f>
        <v>0</v>
      </c>
      <c r="AV54" s="108" t="n">
        <f aca="false">FATPOSITIONS!$J54</f>
        <v>0</v>
      </c>
      <c r="AW54" s="231" t="n">
        <f aca="false">AR54+AJ54</f>
        <v>1051146688</v>
      </c>
      <c r="AX54" s="231" t="n">
        <f aca="false">AT54+AJ54</f>
        <v>1071650857</v>
      </c>
      <c r="AY54" s="160"/>
      <c r="AZ54" s="271" t="n">
        <v>200</v>
      </c>
      <c r="BA54" s="271" t="n">
        <v>0.3</v>
      </c>
      <c r="BB54" s="232" t="n">
        <f aca="false">(AS54-AQ54)/AZ54</f>
        <v>41</v>
      </c>
      <c r="BC54" s="108" t="n">
        <f aca="false">IF(AM54=0,"",(AN54/AM54)*AO54)</f>
        <v>1000000</v>
      </c>
      <c r="BD54" s="231" t="n">
        <f aca="false">IF(AR54="","",(AT54-AR54)*AO54*AP54/(AS54-AQ54))</f>
        <v>1000203.36585366</v>
      </c>
      <c r="BE54" s="271" t="n">
        <v>1000000</v>
      </c>
      <c r="BF54" s="233" t="str">
        <f aca="false">Data!$S54</f>
        <v>30mm</v>
      </c>
      <c r="BG54" s="236" t="n">
        <f aca="false">IF(AQ54="","",(AS54-AQ54)/(AM54*AP54))</f>
        <v>20.5</v>
      </c>
      <c r="BH54" s="236" t="n">
        <f aca="false">IF(AR54="","",(AT54-AR54)/AN54)</f>
        <v>20.504169</v>
      </c>
      <c r="BI54" s="235" t="str">
        <f aca="false">Data!$J54</f>
        <v>mm</v>
      </c>
      <c r="BJ54" s="236" t="n">
        <f aca="false">AM54*AP54</f>
        <v>400</v>
      </c>
      <c r="BK54" s="236" t="n">
        <f aca="false">IFERROR(($AO54*$AP54)/($BE54/$AN54),0)</f>
        <v>400</v>
      </c>
      <c r="BL54" s="109" t="n">
        <v>400</v>
      </c>
      <c r="BM54" s="272" t="n">
        <v>-1</v>
      </c>
      <c r="BN54" s="208" t="s">
        <v>505</v>
      </c>
      <c r="BO54" s="208" t="s">
        <v>506</v>
      </c>
      <c r="BP54" s="273" t="s">
        <v>507</v>
      </c>
      <c r="BQ54" s="272" t="n">
        <f aca="false">1071.65-4</f>
        <v>1067.65</v>
      </c>
      <c r="BR54" s="236" t="n">
        <f aca="false">IF(BP54="FALSE",($BM54*($AQ54/$BL54)+$BQ54),($BM54*($AR54/$AN54)+$BQ54))</f>
        <v>16.5033120000001</v>
      </c>
      <c r="BS54" s="236" t="n">
        <f aca="false">IF(BP54="FALSE",($BM54*($AS54/$BL54)+$BQ54),($BM54*($AT54/$AN54)+$BQ54))</f>
        <v>-4.000857</v>
      </c>
      <c r="BT54" s="107" t="n">
        <f aca="false">FATPOSITIONS!$L54</f>
        <v>0</v>
      </c>
      <c r="BU54" s="107" t="n">
        <f aca="false">FATPOSITIONS!$M54</f>
        <v>0</v>
      </c>
      <c r="BV54" s="236" t="n">
        <f aca="false">IFERROR($BM54*FATPOSITIONS!$N54+$BR54,"")</f>
        <v>16.5033120000001</v>
      </c>
      <c r="BW54" s="236" t="n">
        <f aca="false">IFERROR(-$BM54*FATPOSITIONS!$O54+$BS54,"")</f>
        <v>-4.000857</v>
      </c>
      <c r="BX54" s="221" t="str">
        <f aca="false">Data!$AK54</f>
        <v>-</v>
      </c>
      <c r="BY54" s="221" t="str">
        <f aca="false">Data!$AL54</f>
        <v>-</v>
      </c>
      <c r="BZ54" s="289"/>
      <c r="CA54" s="289"/>
      <c r="CB54" s="289"/>
      <c r="CC54" s="289"/>
      <c r="CD54" s="160" t="s">
        <v>508</v>
      </c>
      <c r="CO54" s="221"/>
      <c r="CR54" s="160" t="s">
        <v>528</v>
      </c>
      <c r="CS54" s="232" t="str">
        <f aca="false">"Step_per_unit:"&amp;$BL54&amp;";"&amp;"Offset:"&amp;$BQ54&amp;";"&amp;"Sign:"&amp;$BM54&amp;";"&amp;"EncoderSource:"&amp;$BN54&amp;";"&amp;"EncoderSourceFormula:"&amp;$BO54&amp;";"&amp;"UseEncoderSource:"&amp;$BP54</f>
        <v>Step_per_unit:400;Offset:1067,65;Sign:-1;EncoderSource:attr://EncAbsEnc;EncoderSourceFormula:VALUE/1000000;UseEncoderSource:TRUE</v>
      </c>
      <c r="CV54" s="222"/>
      <c r="CW54" s="270"/>
      <c r="DC54" s="108"/>
      <c r="DH54" s="221"/>
    </row>
    <row r="55" customFormat="false" ht="10.2" hidden="false" customHeight="false" outlineLevel="0" collapsed="false">
      <c r="A55" s="212" t="n">
        <f aca="false">Data!$A55</f>
        <v>55</v>
      </c>
      <c r="B55" s="212" t="str">
        <f aca="false">Data!$B55</f>
        <v>B316A-EB03-OPT-BAFF-01</v>
      </c>
      <c r="C55" s="212" t="str">
        <f aca="false">Data!$C55</f>
        <v>M4 Baffles VERITAS</v>
      </c>
      <c r="D55" s="267" t="str">
        <f aca="false">Data!D55</f>
        <v>HL</v>
      </c>
      <c r="E55" s="224" t="str">
        <f aca="false">Data!$E55</f>
        <v>b_m4_baff_hl</v>
      </c>
      <c r="F55" s="225" t="str">
        <f aca="false">Data!$G55</f>
        <v>Y</v>
      </c>
      <c r="G55" s="225" t="str">
        <f aca="false">Data!$H55</f>
        <v>N</v>
      </c>
      <c r="H55" s="225" t="str">
        <f aca="false">Data!$AM55</f>
        <v>-</v>
      </c>
      <c r="I55" s="222" t="str">
        <f aca="true">INDEX(OFFSET(MOTION1!$A$1,0,0,SystemInfo!$B$1,1),MATCH(CONCATENATE(B55,D55),OFFSET(MOTION1!$J$1,0,0,SystemInfo!$B$1,1),0))</f>
        <v>W050833</v>
      </c>
      <c r="J55" s="222" t="str">
        <f aca="true">INDEX(OFFSET(MOTION3!$A$1,0,0,SystemInfo!$B$1,1),MATCH(CONCATENATE(B55,D55),OFFSET(MOTION3!$J$1,0,0,SystemInfo!$B$1,1),0))</f>
        <v>W050834</v>
      </c>
      <c r="L55" s="222" t="e">
        <f aca="true">INDEX(OFFSET(DISABLE!$A$1,0,0,SystemInfo!$B$1,1),MATCH(CONCATENATE(B55,D55),OFFSET(DISABLE!$J$1,0,0,SystemInfo!$B$1,1),0))</f>
        <v>#N/A</v>
      </c>
      <c r="N55" s="222" t="str">
        <f aca="false">Data!$F55</f>
        <v>Nanotec L4118S1404-M6X1</v>
      </c>
      <c r="O55" s="222" t="str">
        <f aca="false">Data!$Y55</f>
        <v>Renishaw Resolute 32 bits BISS-C</v>
      </c>
      <c r="P55" s="222" t="n">
        <f aca="false">Data!$O55</f>
        <v>2.8</v>
      </c>
      <c r="Q55" s="222" t="n">
        <f aca="false">Data!$N55</f>
        <v>2</v>
      </c>
      <c r="R55" s="226" t="n">
        <v>1.7</v>
      </c>
      <c r="S55" s="226" t="n">
        <v>2.2</v>
      </c>
      <c r="T55" s="227" t="n">
        <f aca="false">IF(Q55="","-",IF(S55="","-",S55-Q55))</f>
        <v>0.2</v>
      </c>
      <c r="U55" s="227" t="n">
        <f aca="false">Data!$N55*$S55</f>
        <v>4.4</v>
      </c>
      <c r="V55" s="227" t="n">
        <f aca="false">6.28*$R55*Data!$N55/8</f>
        <v>2.669</v>
      </c>
      <c r="W55" s="269" t="n">
        <v>48</v>
      </c>
      <c r="X55" s="269" t="n">
        <v>12</v>
      </c>
      <c r="Y55" s="269" t="n">
        <v>1.4</v>
      </c>
      <c r="Z55" s="269" t="n">
        <v>50</v>
      </c>
      <c r="AA55" s="269"/>
      <c r="AB55" s="105" t="s">
        <v>248</v>
      </c>
      <c r="AC55" s="105" t="s">
        <v>248</v>
      </c>
      <c r="AD55" s="105" t="s">
        <v>503</v>
      </c>
      <c r="AE55" s="105" t="s">
        <v>248</v>
      </c>
      <c r="AF55" s="225" t="str">
        <f aca="false">Data!$AM55</f>
        <v>-</v>
      </c>
      <c r="AG55" s="160" t="s">
        <v>504</v>
      </c>
      <c r="AH55" s="222" t="str">
        <f aca="false">Data!$Z55</f>
        <v>absolute</v>
      </c>
      <c r="AI55" s="222" t="n">
        <f aca="false">FATPOSITIONS!$H55</f>
        <v>0</v>
      </c>
      <c r="AJ55" s="270" t="n">
        <v>0</v>
      </c>
      <c r="AK55" s="270" t="n">
        <v>0</v>
      </c>
      <c r="AL55" s="158" t="s">
        <v>504</v>
      </c>
      <c r="AM55" s="229" t="n">
        <f aca="false">Data!$R55</f>
        <v>200</v>
      </c>
      <c r="AN55" s="229" t="n">
        <f aca="false">Data!$W55</f>
        <v>1000000</v>
      </c>
      <c r="AO55" s="222" t="n">
        <f aca="false">Data!$P55</f>
        <v>200</v>
      </c>
      <c r="AP55" s="222" t="n">
        <f aca="false">Data!$L55</f>
        <v>2</v>
      </c>
      <c r="AQ55" s="230" t="n">
        <v>297090</v>
      </c>
      <c r="AR55" s="230" t="n">
        <v>742731260</v>
      </c>
      <c r="AS55" s="230" t="n">
        <v>303872</v>
      </c>
      <c r="AT55" s="230" t="n">
        <v>759685446</v>
      </c>
      <c r="AU55" s="108" t="n">
        <f aca="false">FATPOSITIONS!$I55</f>
        <v>0</v>
      </c>
      <c r="AV55" s="108" t="n">
        <f aca="false">FATPOSITIONS!$J55</f>
        <v>0</v>
      </c>
      <c r="AW55" s="231" t="n">
        <f aca="false">AR55+AJ55</f>
        <v>742731260</v>
      </c>
      <c r="AX55" s="231" t="n">
        <f aca="false">AT55+AJ55</f>
        <v>759685446</v>
      </c>
      <c r="AY55" s="160"/>
      <c r="AZ55" s="271" t="n">
        <v>200</v>
      </c>
      <c r="BA55" s="271" t="n">
        <v>0.3</v>
      </c>
      <c r="BB55" s="232" t="n">
        <f aca="false">(AS55-AQ55)/AZ55</f>
        <v>33.91</v>
      </c>
      <c r="BC55" s="108" t="n">
        <f aca="false">IF(AM55=0,"",(AN55/AM55)*AO55)</f>
        <v>1000000</v>
      </c>
      <c r="BD55" s="231" t="n">
        <f aca="false">IF(AR55="","",(AT55-AR55)*AO55*AP55/(AS55-AQ55))</f>
        <v>999951.990563256</v>
      </c>
      <c r="BE55" s="271" t="n">
        <v>1000000</v>
      </c>
      <c r="BF55" s="233" t="str">
        <f aca="false">Data!$S55</f>
        <v>20mm</v>
      </c>
      <c r="BG55" s="236" t="n">
        <f aca="false">IF(AQ55="","",(AS55-AQ55)/(AM55*AP55))</f>
        <v>16.955</v>
      </c>
      <c r="BH55" s="236" t="n">
        <f aca="false">IF(AR55="","",(AT55-AR55)/AN55)</f>
        <v>16.954186</v>
      </c>
      <c r="BI55" s="235" t="str">
        <f aca="false">Data!$J55</f>
        <v>mm</v>
      </c>
      <c r="BJ55" s="236" t="n">
        <f aca="false">AM55*AP55</f>
        <v>400</v>
      </c>
      <c r="BK55" s="236" t="n">
        <f aca="false">IFERROR(($AO55*$AP55)/($BE55/$AN55),0)</f>
        <v>400</v>
      </c>
      <c r="BL55" s="109" t="n">
        <v>400</v>
      </c>
      <c r="BM55" s="272" t="n">
        <v>1</v>
      </c>
      <c r="BN55" s="208" t="s">
        <v>505</v>
      </c>
      <c r="BO55" s="208" t="s">
        <v>506</v>
      </c>
      <c r="BP55" s="273" t="s">
        <v>507</v>
      </c>
      <c r="BQ55" s="272" t="n">
        <f aca="false">-742.73-5</f>
        <v>-747.73</v>
      </c>
      <c r="BR55" s="236" t="n">
        <f aca="false">IF(BP55="FALSE",($BM55*($AQ55/$BL55)+$BQ55),($BM55*($AR55/$AN55)+$BQ55))</f>
        <v>-4.99874</v>
      </c>
      <c r="BS55" s="236" t="n">
        <f aca="false">IF(BP55="FALSE",($BM55*($AS55/$BL55)+$BQ55),($BM55*($AT55/$AN55)+$BQ55))</f>
        <v>11.9554459999999</v>
      </c>
      <c r="BT55" s="107" t="n">
        <f aca="false">FATPOSITIONS!$L55</f>
        <v>0</v>
      </c>
      <c r="BU55" s="107" t="n">
        <f aca="false">FATPOSITIONS!$M55</f>
        <v>0</v>
      </c>
      <c r="BV55" s="236" t="n">
        <f aca="false">IFERROR($BM55*FATPOSITIONS!$N55+$BR55,"")</f>
        <v>-4.99874</v>
      </c>
      <c r="BW55" s="236" t="n">
        <f aca="false">IFERROR(-$BM55*FATPOSITIONS!$O55+$BS55,"")</f>
        <v>11.9554459999999</v>
      </c>
      <c r="BX55" s="221" t="str">
        <f aca="false">Data!$AK55</f>
        <v>-</v>
      </c>
      <c r="BY55" s="221" t="str">
        <f aca="false">Data!$AL55</f>
        <v>-</v>
      </c>
      <c r="CD55" s="160" t="s">
        <v>508</v>
      </c>
      <c r="CO55" s="221"/>
      <c r="CR55" s="160" t="s">
        <v>528</v>
      </c>
      <c r="CS55" s="232" t="str">
        <f aca="false">"Step_per_unit:"&amp;$BL55&amp;";"&amp;"Offset:"&amp;$BQ55&amp;";"&amp;"Sign:"&amp;$BM55&amp;";"&amp;"EncoderSource:"&amp;$BN55&amp;";"&amp;"EncoderSourceFormula:"&amp;$BO55&amp;";"&amp;"UseEncoderSource:"&amp;$BP55</f>
        <v>Step_per_unit:400;Offset:-747,73;Sign:1;EncoderSource:attr://EncAbsEnc;EncoderSourceFormula:VALUE/1000000;UseEncoderSource:TRUE</v>
      </c>
      <c r="CV55" s="222"/>
      <c r="CW55" s="270"/>
      <c r="DC55" s="108"/>
      <c r="DH55" s="221"/>
    </row>
    <row r="56" customFormat="false" ht="10.2" hidden="false" customHeight="false" outlineLevel="0" collapsed="false">
      <c r="A56" s="212" t="n">
        <f aca="false">Data!$A56</f>
        <v>56</v>
      </c>
      <c r="B56" s="212" t="str">
        <f aca="false">Data!$B56</f>
        <v>B316A-EB03-OPT-BAFF-01</v>
      </c>
      <c r="C56" s="212" t="str">
        <f aca="false">Data!$C56</f>
        <v>M4 Baffles VERITAS</v>
      </c>
      <c r="D56" s="267" t="str">
        <f aca="false">Data!D56</f>
        <v>HR</v>
      </c>
      <c r="E56" s="224" t="str">
        <f aca="false">Data!$E56</f>
        <v>b_m4_baff_hr</v>
      </c>
      <c r="F56" s="225" t="str">
        <f aca="false">Data!$G56</f>
        <v>Y</v>
      </c>
      <c r="G56" s="225" t="str">
        <f aca="false">Data!$H56</f>
        <v>N</v>
      </c>
      <c r="H56" s="225" t="str">
        <f aca="false">Data!$AM56</f>
        <v>-</v>
      </c>
      <c r="I56" s="222" t="str">
        <f aca="true">INDEX(OFFSET(MOTION1!$A$1,0,0,SystemInfo!$B$1,1),MATCH(CONCATENATE(B56,D56),OFFSET(MOTION1!$J$1,0,0,SystemInfo!$B$1,1),0))</f>
        <v>W050835</v>
      </c>
      <c r="J56" s="222" t="str">
        <f aca="true">INDEX(OFFSET(MOTION3!$A$1,0,0,SystemInfo!$B$1,1),MATCH(CONCATENATE(B56,D56),OFFSET(MOTION3!$J$1,0,0,SystemInfo!$B$1,1),0))</f>
        <v>W050836</v>
      </c>
      <c r="L56" s="222" t="e">
        <f aca="true">INDEX(OFFSET(DISABLE!$A$1,0,0,SystemInfo!$B$1,1),MATCH(CONCATENATE(B56,D56),OFFSET(DISABLE!$J$1,0,0,SystemInfo!$B$1,1),0))</f>
        <v>#N/A</v>
      </c>
      <c r="N56" s="222" t="str">
        <f aca="false">Data!$F56</f>
        <v>Nanotec L4118S1404-M6X1</v>
      </c>
      <c r="O56" s="222" t="str">
        <f aca="false">Data!$Y56</f>
        <v>Renishaw Resolute 32 bits BISS-C</v>
      </c>
      <c r="P56" s="222" t="n">
        <f aca="false">Data!$O56</f>
        <v>2.8</v>
      </c>
      <c r="Q56" s="222" t="n">
        <f aca="false">Data!$N56</f>
        <v>2</v>
      </c>
      <c r="R56" s="226" t="n">
        <v>1.709</v>
      </c>
      <c r="S56" s="226" t="n">
        <v>2.2</v>
      </c>
      <c r="T56" s="227" t="n">
        <f aca="false">IF(Q56="","-",IF(S56="","-",S56-Q56))</f>
        <v>0.2</v>
      </c>
      <c r="U56" s="227" t="n">
        <f aca="false">Data!$N56*$S56</f>
        <v>4.4</v>
      </c>
      <c r="V56" s="227" t="n">
        <f aca="false">6.28*$R56*Data!$N56/8</f>
        <v>2.68313</v>
      </c>
      <c r="W56" s="269" t="n">
        <v>48</v>
      </c>
      <c r="X56" s="269" t="n">
        <v>12</v>
      </c>
      <c r="Y56" s="269" t="n">
        <v>1.4</v>
      </c>
      <c r="Z56" s="269" t="n">
        <v>50</v>
      </c>
      <c r="AA56" s="269"/>
      <c r="AB56" s="105" t="s">
        <v>248</v>
      </c>
      <c r="AC56" s="105" t="s">
        <v>248</v>
      </c>
      <c r="AD56" s="105" t="s">
        <v>503</v>
      </c>
      <c r="AE56" s="105" t="s">
        <v>248</v>
      </c>
      <c r="AF56" s="225" t="str">
        <f aca="false">Data!$AM56</f>
        <v>-</v>
      </c>
      <c r="AG56" s="160" t="s">
        <v>504</v>
      </c>
      <c r="AH56" s="222" t="str">
        <f aca="false">Data!$Z56</f>
        <v>absolute</v>
      </c>
      <c r="AI56" s="222" t="n">
        <f aca="false">FATPOSITIONS!$H56</f>
        <v>0</v>
      </c>
      <c r="AJ56" s="270" t="n">
        <v>0</v>
      </c>
      <c r="AK56" s="270" t="n">
        <v>0</v>
      </c>
      <c r="AL56" s="158" t="s">
        <v>504</v>
      </c>
      <c r="AM56" s="229" t="n">
        <f aca="false">Data!$R56</f>
        <v>200</v>
      </c>
      <c r="AN56" s="229" t="n">
        <f aca="false">Data!$W56</f>
        <v>1000000</v>
      </c>
      <c r="AO56" s="222" t="n">
        <f aca="false">Data!$P56</f>
        <v>200</v>
      </c>
      <c r="AP56" s="222" t="n">
        <f aca="false">Data!$L56</f>
        <v>2</v>
      </c>
      <c r="AQ56" s="230" t="n">
        <v>273691</v>
      </c>
      <c r="AR56" s="230" t="n">
        <v>684242398</v>
      </c>
      <c r="AS56" s="230" t="n">
        <v>280370</v>
      </c>
      <c r="AT56" s="230" t="n">
        <v>700940813</v>
      </c>
      <c r="AU56" s="108" t="n">
        <f aca="false">FATPOSITIONS!$I56</f>
        <v>0</v>
      </c>
      <c r="AV56" s="108" t="n">
        <f aca="false">FATPOSITIONS!$J56</f>
        <v>0</v>
      </c>
      <c r="AW56" s="231" t="n">
        <f aca="false">AR56+AJ56</f>
        <v>684242398</v>
      </c>
      <c r="AX56" s="231" t="n">
        <f aca="false">AT56+AJ56</f>
        <v>700940813</v>
      </c>
      <c r="AY56" s="160"/>
      <c r="AZ56" s="271" t="n">
        <v>200</v>
      </c>
      <c r="BA56" s="271" t="n">
        <v>0.3</v>
      </c>
      <c r="BB56" s="232" t="n">
        <f aca="false">(AS56-AQ56)/AZ56</f>
        <v>33.395</v>
      </c>
      <c r="BC56" s="108" t="n">
        <f aca="false">IF(AM56=0,"",(AN56/AM56)*AO56)</f>
        <v>1000000</v>
      </c>
      <c r="BD56" s="231" t="n">
        <f aca="false">IF(AR56="","",(AT56-AR56)*AO56*AP56/(AS56-AQ56))</f>
        <v>1000054.79862255</v>
      </c>
      <c r="BE56" s="271" t="n">
        <v>1000000</v>
      </c>
      <c r="BF56" s="233" t="str">
        <f aca="false">Data!$S56</f>
        <v>20mm</v>
      </c>
      <c r="BG56" s="236" t="n">
        <f aca="false">IF(AQ56="","",(AS56-AQ56)/(AM56*AP56))</f>
        <v>16.6975</v>
      </c>
      <c r="BH56" s="236" t="n">
        <f aca="false">IF(AR56="","",(AT56-AR56)/AN56)</f>
        <v>16.698415</v>
      </c>
      <c r="BI56" s="235" t="str">
        <f aca="false">Data!$J56</f>
        <v>mm</v>
      </c>
      <c r="BJ56" s="236" t="n">
        <f aca="false">AM56*AP56</f>
        <v>400</v>
      </c>
      <c r="BK56" s="236" t="n">
        <f aca="false">IFERROR(($AO56*$AP56)/($BE56/$AN56),0)</f>
        <v>400</v>
      </c>
      <c r="BL56" s="109" t="n">
        <v>400</v>
      </c>
      <c r="BM56" s="272" t="n">
        <v>1</v>
      </c>
      <c r="BN56" s="208" t="s">
        <v>505</v>
      </c>
      <c r="BO56" s="208" t="s">
        <v>506</v>
      </c>
      <c r="BP56" s="273" t="s">
        <v>507</v>
      </c>
      <c r="BQ56" s="272" t="n">
        <f aca="false">-684.24-5</f>
        <v>-689.24</v>
      </c>
      <c r="BR56" s="236" t="n">
        <f aca="false">IF(BP56="FALSE",($BM56*($AQ56/$BL56)+$BQ56),($BM56*($AR56/$AN56)+$BQ56))</f>
        <v>-4.99760200000003</v>
      </c>
      <c r="BS56" s="236" t="n">
        <f aca="false">IF(BP56="FALSE",($BM56*($AS56/$BL56)+$BQ56),($BM56*($AT56/$AN56)+$BQ56))</f>
        <v>11.700813</v>
      </c>
      <c r="BT56" s="107" t="n">
        <f aca="false">FATPOSITIONS!$L56</f>
        <v>0</v>
      </c>
      <c r="BU56" s="107" t="n">
        <f aca="false">FATPOSITIONS!$M56</f>
        <v>0</v>
      </c>
      <c r="BV56" s="236" t="n">
        <f aca="false">IFERROR($BM56*FATPOSITIONS!$N56+$BR56,"")</f>
        <v>-4.99760200000003</v>
      </c>
      <c r="BW56" s="236" t="n">
        <f aca="false">IFERROR(-$BM56*FATPOSITIONS!$O56+$BS56,"")</f>
        <v>11.700813</v>
      </c>
      <c r="BX56" s="221" t="str">
        <f aca="false">Data!$AK56</f>
        <v>-</v>
      </c>
      <c r="BY56" s="221" t="str">
        <f aca="false">Data!$AL56</f>
        <v>-</v>
      </c>
      <c r="CD56" s="160" t="s">
        <v>508</v>
      </c>
      <c r="CO56" s="221"/>
      <c r="CR56" s="160" t="s">
        <v>528</v>
      </c>
      <c r="CS56" s="232" t="str">
        <f aca="false">"Step_per_unit:"&amp;$BL56&amp;";"&amp;"Offset:"&amp;$BQ56&amp;";"&amp;"Sign:"&amp;$BM56&amp;";"&amp;"EncoderSource:"&amp;$BN56&amp;";"&amp;"EncoderSourceFormula:"&amp;$BO56&amp;";"&amp;"UseEncoderSource:"&amp;$BP56</f>
        <v>Step_per_unit:400;Offset:-689,24;Sign:1;EncoderSource:attr://EncAbsEnc;EncoderSourceFormula:VALUE/1000000;UseEncoderSource:TRUE</v>
      </c>
      <c r="CV56" s="222"/>
      <c r="CW56" s="270"/>
      <c r="DC56" s="108"/>
      <c r="DH56" s="221"/>
    </row>
    <row r="57" customFormat="false" ht="10.2" hidden="false" customHeight="false" outlineLevel="0" collapsed="false">
      <c r="A57" s="212" t="n">
        <f aca="false">Data!$A57</f>
        <v>57</v>
      </c>
      <c r="B57" s="212" t="str">
        <f aca="false">Data!$B57</f>
        <v>B316A-EB03-DIA-BPM-01</v>
      </c>
      <c r="C57" s="212" t="str">
        <f aca="false">Data!$C57</f>
        <v>M4 BPM VERITAS</v>
      </c>
      <c r="D57" s="267" t="str">
        <f aca="false">Data!D57</f>
        <v>V</v>
      </c>
      <c r="E57" s="224" t="str">
        <f aca="false">Data!$E57</f>
        <v>b_m4_bpm_v</v>
      </c>
      <c r="F57" s="225" t="str">
        <f aca="false">Data!$G57</f>
        <v>Y</v>
      </c>
      <c r="G57" s="225" t="str">
        <f aca="false">Data!$H57</f>
        <v>N</v>
      </c>
      <c r="H57" s="225" t="str">
        <f aca="false">Data!$AM57</f>
        <v>2O</v>
      </c>
      <c r="I57" s="222" t="str">
        <f aca="true">INDEX(OFFSET(MOTION1!$A$1,0,0,SystemInfo!$B$1,1),MATCH(CONCATENATE(B57,D57),OFFSET(MOTION1!$J$1,0,0,SystemInfo!$B$1,1),0))</f>
        <v>W050837</v>
      </c>
      <c r="J57" s="222" t="str">
        <f aca="true">INDEX(OFFSET(MOTION3!$A$1,0,0,SystemInfo!$B$1,1),MATCH(CONCATENATE(B57,D57),OFFSET(MOTION3!$J$1,0,0,SystemInfo!$B$1,1),0))</f>
        <v>W050838</v>
      </c>
      <c r="L57" s="222" t="e">
        <f aca="true">INDEX(OFFSET(DISABLE!$A$1,0,0,SystemInfo!$B$1,1),MATCH(CONCATENATE(B57,D57),OFFSET(DISABLE!$J$1,0,0,SystemInfo!$B$1,1),0))</f>
        <v>#N/A</v>
      </c>
      <c r="N57" s="222" t="str">
        <f aca="false">Data!$F57</f>
        <v>Oriental PKP268MD28B-L</v>
      </c>
      <c r="O57" s="222" t="str">
        <f aca="false">Data!$Y57</f>
        <v>Renishaw Resolute 32 bits BISS-C</v>
      </c>
      <c r="P57" s="222" t="n">
        <f aca="false">Data!$O57</f>
        <v>6</v>
      </c>
      <c r="Q57" s="222" t="n">
        <f aca="false">Data!$N57</f>
        <v>1.23</v>
      </c>
      <c r="R57" s="226" t="n">
        <v>5.4</v>
      </c>
      <c r="S57" s="226" t="n">
        <v>1.6</v>
      </c>
      <c r="T57" s="227" t="n">
        <f aca="false">IF(Q57="","-",IF(S57="","-",S57-Q57))</f>
        <v>0.37</v>
      </c>
      <c r="U57" s="227" t="n">
        <f aca="false">Data!$N57*$S57</f>
        <v>1.968</v>
      </c>
      <c r="V57" s="227" t="n">
        <f aca="false">6.28*$R57*Data!$N57/8</f>
        <v>5.21397</v>
      </c>
      <c r="W57" s="269" t="n">
        <v>48</v>
      </c>
      <c r="X57" s="269" t="n">
        <v>12</v>
      </c>
      <c r="Y57" s="269" t="n">
        <v>1.8</v>
      </c>
      <c r="Z57" s="269" t="n">
        <v>50</v>
      </c>
      <c r="AA57" s="269"/>
      <c r="AB57" s="105" t="s">
        <v>248</v>
      </c>
      <c r="AC57" s="105" t="s">
        <v>248</v>
      </c>
      <c r="AD57" s="105" t="s">
        <v>503</v>
      </c>
      <c r="AE57" s="105" t="s">
        <v>248</v>
      </c>
      <c r="AF57" s="225" t="str">
        <f aca="false">Data!$AM57</f>
        <v>2O</v>
      </c>
      <c r="AG57" s="160" t="s">
        <v>513</v>
      </c>
      <c r="AH57" s="222" t="str">
        <f aca="false">Data!$Z57</f>
        <v>absolute</v>
      </c>
      <c r="AI57" s="222" t="n">
        <f aca="false">FATPOSITIONS!$H57</f>
        <v>0</v>
      </c>
      <c r="AJ57" s="270" t="n">
        <v>0</v>
      </c>
      <c r="AK57" s="270" t="n">
        <v>0</v>
      </c>
      <c r="AL57" s="158" t="s">
        <v>504</v>
      </c>
      <c r="AM57" s="229" t="n">
        <f aca="false">Data!$R57</f>
        <v>400</v>
      </c>
      <c r="AN57" s="229" t="n">
        <f aca="false">Data!$W57</f>
        <v>1000000</v>
      </c>
      <c r="AO57" s="222" t="n">
        <f aca="false">Data!$P57</f>
        <v>400</v>
      </c>
      <c r="AP57" s="222" t="n">
        <f aca="false">Data!$L57</f>
        <v>2</v>
      </c>
      <c r="AQ57" s="230" t="n">
        <v>25851</v>
      </c>
      <c r="AR57" s="230" t="n">
        <v>32271641</v>
      </c>
      <c r="AS57" s="230" t="n">
        <v>126545</v>
      </c>
      <c r="AT57" s="230" t="n">
        <v>158192263</v>
      </c>
      <c r="AU57" s="108" t="n">
        <f aca="false">FATPOSITIONS!$I57</f>
        <v>0</v>
      </c>
      <c r="AV57" s="108" t="n">
        <f aca="false">FATPOSITIONS!$J57</f>
        <v>0</v>
      </c>
      <c r="AW57" s="231" t="n">
        <f aca="false">AR57+AJ57</f>
        <v>32271641</v>
      </c>
      <c r="AX57" s="231" t="n">
        <f aca="false">AT57+AJ57</f>
        <v>158192263</v>
      </c>
      <c r="AY57" s="160"/>
      <c r="AZ57" s="271" t="n">
        <v>800</v>
      </c>
      <c r="BA57" s="271" t="n">
        <v>0.3</v>
      </c>
      <c r="BB57" s="232" t="n">
        <f aca="false">(AS57-AQ57)/AZ57</f>
        <v>125.8675</v>
      </c>
      <c r="BC57" s="108" t="n">
        <f aca="false">IF(AM57=0,"",(AN57/AM57)*AO57)</f>
        <v>1000000</v>
      </c>
      <c r="BD57" s="231" t="n">
        <f aca="false">IF(AR57="","",(AT57-AR57)*AO57*AP57/(AS57-AQ57))</f>
        <v>1000422.04699386</v>
      </c>
      <c r="BE57" s="271" t="n">
        <v>1000000</v>
      </c>
      <c r="BF57" s="233" t="str">
        <f aca="false">Data!$S57</f>
        <v>50mm</v>
      </c>
      <c r="BG57" s="236" t="n">
        <f aca="false">IF(AQ57="","",(AS57-AQ57)/(AM57*AP57))</f>
        <v>125.8675</v>
      </c>
      <c r="BH57" s="236" t="n">
        <f aca="false">IF(AR57="","",(AT57-AR57)/AN57)</f>
        <v>125.920622</v>
      </c>
      <c r="BI57" s="235" t="str">
        <f aca="false">Data!$J57</f>
        <v>mm</v>
      </c>
      <c r="BJ57" s="236" t="n">
        <f aca="false">AM57*AP57</f>
        <v>800</v>
      </c>
      <c r="BK57" s="236" t="n">
        <f aca="false">IFERROR(($AO57*$AP57)/($BE57/$AN57),0)</f>
        <v>800</v>
      </c>
      <c r="BL57" s="109" t="n">
        <v>800</v>
      </c>
      <c r="BM57" s="272" t="n">
        <v>-1</v>
      </c>
      <c r="BN57" s="208" t="s">
        <v>505</v>
      </c>
      <c r="BO57" s="208" t="s">
        <v>506</v>
      </c>
      <c r="BP57" s="273" t="s">
        <v>507</v>
      </c>
      <c r="BQ57" s="272" t="n">
        <v>158.19</v>
      </c>
      <c r="BR57" s="236" t="n">
        <f aca="false">IF(BP57="FALSE",($BM57*($AQ57/$BL57)+$BQ57),($BM57*($AR57/$AN57)+$BQ57))</f>
        <v>125.918359</v>
      </c>
      <c r="BS57" s="236" t="n">
        <f aca="false">IF(BP57="FALSE",($BM57*($AS57/$BL57)+$BQ57),($BM57*($AT57/$AN57)+$BQ57))</f>
        <v>-0.00226299999999924</v>
      </c>
      <c r="BT57" s="107" t="n">
        <f aca="false">FATPOSITIONS!$L57</f>
        <v>0</v>
      </c>
      <c r="BU57" s="107" t="n">
        <f aca="false">FATPOSITIONS!$M57</f>
        <v>0</v>
      </c>
      <c r="BV57" s="236" t="n">
        <f aca="false">IFERROR($BM57*FATPOSITIONS!$N57+$BR57,"")</f>
        <v>125.918359</v>
      </c>
      <c r="BW57" s="236" t="n">
        <f aca="false">IFERROR(-$BM57*FATPOSITIONS!$O57+$BS57,"")</f>
        <v>-0.00226299999999924</v>
      </c>
      <c r="BX57" s="221" t="str">
        <f aca="false">Data!$AK57</f>
        <v>-</v>
      </c>
      <c r="BY57" s="221" t="str">
        <f aca="false">Data!$AL57</f>
        <v>-</v>
      </c>
      <c r="CD57" s="160" t="s">
        <v>514</v>
      </c>
      <c r="CO57" s="221"/>
      <c r="CR57" s="160" t="s">
        <v>528</v>
      </c>
      <c r="CS57" s="232" t="str">
        <f aca="false">"Step_per_unit:"&amp;$BL57&amp;";"&amp;"Offset:"&amp;$BQ57&amp;";"&amp;"Sign:"&amp;$BM57&amp;";"&amp;"EncoderSource:"&amp;$BN57&amp;";"&amp;"EncoderSourceFormula:"&amp;$BO57&amp;";"&amp;"UseEncoderSource:"&amp;$BP57</f>
        <v>Step_per_unit:800;Offset:158,19;Sign:-1;EncoderSource:attr://EncAbsEnc;EncoderSourceFormula:VALUE/1000000;UseEncoderSource:TRUE</v>
      </c>
      <c r="CV57" s="222"/>
      <c r="CW57" s="270"/>
      <c r="DC57" s="108"/>
      <c r="DH57" s="221"/>
    </row>
    <row r="58" customFormat="false" ht="10.2" hidden="false" customHeight="false" outlineLevel="0" collapsed="false">
      <c r="A58" s="212" t="n">
        <f aca="false">Data!$A58</f>
        <v>58</v>
      </c>
      <c r="B58" s="212" t="str">
        <f aca="false">Data!$B58</f>
        <v>B316A-EB03-OPT-MIR-04</v>
      </c>
      <c r="C58" s="212" t="str">
        <f aca="false">Data!$C58</f>
        <v>Focusing Mirror M4 VERITAS</v>
      </c>
      <c r="D58" s="267" t="str">
        <f aca="false">Data!D58</f>
        <v>V1</v>
      </c>
      <c r="E58" s="224" t="str">
        <f aca="false">Data!$E58</f>
        <v>b_m4_v1</v>
      </c>
      <c r="F58" s="225" t="str">
        <f aca="false">Data!$G58</f>
        <v>Y</v>
      </c>
      <c r="G58" s="225" t="str">
        <f aca="false">Data!$H58</f>
        <v>N</v>
      </c>
      <c r="H58" s="225" t="str">
        <f aca="false">Data!$AM58</f>
        <v>2O</v>
      </c>
      <c r="I58" s="222" t="str">
        <f aca="true">INDEX(OFFSET(MOTION1!$A$1,0,0,SystemInfo!$B$1,1),MATCH(CONCATENATE(B58,D58),OFFSET(MOTION1!$J$1,0,0,SystemInfo!$B$1,1),0))</f>
        <v>W050839</v>
      </c>
      <c r="J58" s="222" t="str">
        <f aca="true">INDEX(OFFSET(MOTION3!$A$1,0,0,SystemInfo!$B$1,1),MATCH(CONCATENATE(B58,D58),OFFSET(MOTION3!$J$1,0,0,SystemInfo!$B$1,1),0))</f>
        <v>W050840</v>
      </c>
      <c r="L58" s="222" t="e">
        <f aca="true">INDEX(OFFSET(DISABLE!$A$1,0,0,SystemInfo!$B$1,1),MATCH(CONCATENATE(B58,D58),OFFSET(DISABLE!$J$1,0,0,SystemInfo!$B$1,1),0))</f>
        <v>#N/A</v>
      </c>
      <c r="N58" s="222" t="str">
        <f aca="false">Data!$F58</f>
        <v>Oriental PK245M-02B unipolar 1 coil</v>
      </c>
      <c r="O58" s="222" t="str">
        <f aca="false">Data!$Y58</f>
        <v>Renishaw Resolute 32 bits BISS-C</v>
      </c>
      <c r="P58" s="222" t="n">
        <f aca="false">Data!$O58</f>
        <v>9.9</v>
      </c>
      <c r="Q58" s="222" t="n">
        <f aca="false">Data!$N58</f>
        <v>7.5</v>
      </c>
      <c r="R58" s="226" t="n">
        <v>6.83</v>
      </c>
      <c r="S58" s="226" t="n">
        <v>3</v>
      </c>
      <c r="T58" s="227" t="n">
        <f aca="false">IF(Q58="","-",IF(S58="","-",S58-Q58))</f>
        <v>-4.5</v>
      </c>
      <c r="U58" s="227" t="n">
        <f aca="false">Data!$N58*$S58</f>
        <v>22.5</v>
      </c>
      <c r="V58" s="227" t="n">
        <f aca="false">6.28*$R58*Data!$N58/8</f>
        <v>40.211625</v>
      </c>
      <c r="W58" s="269" t="n">
        <v>48</v>
      </c>
      <c r="X58" s="269" t="n">
        <v>12</v>
      </c>
      <c r="Y58" s="269" t="n">
        <v>0.8</v>
      </c>
      <c r="Z58" s="269" t="n">
        <v>50</v>
      </c>
      <c r="AA58" s="269"/>
      <c r="AB58" s="105" t="s">
        <v>248</v>
      </c>
      <c r="AC58" s="105" t="s">
        <v>248</v>
      </c>
      <c r="AD58" s="105" t="s">
        <v>503</v>
      </c>
      <c r="AE58" s="156" t="s">
        <v>248</v>
      </c>
      <c r="AF58" s="225" t="str">
        <f aca="false">Data!$AM58</f>
        <v>2O</v>
      </c>
      <c r="AG58" s="160" t="s">
        <v>513</v>
      </c>
      <c r="AH58" s="222" t="str">
        <f aca="false">Data!$Z58</f>
        <v>absolute</v>
      </c>
      <c r="AI58" s="222" t="n">
        <f aca="false">FATPOSITIONS!$H58</f>
        <v>84095873</v>
      </c>
      <c r="AJ58" s="270" t="n">
        <v>0</v>
      </c>
      <c r="AK58" s="270" t="n">
        <v>0</v>
      </c>
      <c r="AL58" s="158" t="s">
        <v>504</v>
      </c>
      <c r="AM58" s="229" t="n">
        <f aca="false">Data!$R58</f>
        <v>40</v>
      </c>
      <c r="AN58" s="229" t="n">
        <f aca="false">Data!$W58</f>
        <v>1000</v>
      </c>
      <c r="AO58" s="222" t="n">
        <f aca="false">Data!$P58</f>
        <v>400</v>
      </c>
      <c r="AP58" s="222" t="n">
        <f aca="false">Data!$L58</f>
        <v>2</v>
      </c>
      <c r="AQ58" s="230" t="n">
        <v>66956916</v>
      </c>
      <c r="AR58" s="230" t="n">
        <v>79194516</v>
      </c>
      <c r="AS58" s="230" t="n">
        <v>67841065</v>
      </c>
      <c r="AT58" s="230" t="n">
        <v>90254839</v>
      </c>
      <c r="AU58" s="108" t="n">
        <f aca="false">FATPOSITIONS!$I58</f>
        <v>79056547</v>
      </c>
      <c r="AV58" s="108" t="n">
        <f aca="false">FATPOSITIONS!$J58</f>
        <v>89155784</v>
      </c>
      <c r="AW58" s="231" t="n">
        <f aca="false">AR58+AJ58</f>
        <v>79194516</v>
      </c>
      <c r="AX58" s="231" t="n">
        <f aca="false">AT58+AJ58</f>
        <v>90254839</v>
      </c>
      <c r="AZ58" s="230" t="n">
        <v>1600</v>
      </c>
      <c r="BA58" s="271" t="n">
        <v>0.8</v>
      </c>
      <c r="BB58" s="232" t="n">
        <f aca="false">(AS58-AQ58)/AZ58</f>
        <v>552.593125</v>
      </c>
      <c r="BC58" s="108" t="n">
        <f aca="false">IF(AM58=0,"",(AN58/AM58)*AO58)</f>
        <v>10000</v>
      </c>
      <c r="BD58" s="231" t="n">
        <f aca="false">IF(AR58="","",(AT58-AR58)*AO58*AP58/(AS58-AQ58))</f>
        <v>10007.6552707745</v>
      </c>
      <c r="BE58" s="230" t="n">
        <v>10000</v>
      </c>
      <c r="BF58" s="233" t="str">
        <f aca="false">Data!$S58</f>
        <v>10mm (±5mm)</v>
      </c>
      <c r="BG58" s="236" t="n">
        <f aca="false">IF(AQ58="","",(AS58-AQ58)/(AM58*AP58))</f>
        <v>11051.8625</v>
      </c>
      <c r="BH58" s="236" t="n">
        <f aca="false">IF(AR58="","",(AT58-AR58)/AN58)</f>
        <v>11060.323</v>
      </c>
      <c r="BI58" s="235" t="str">
        <f aca="false">Data!$J58</f>
        <v>um</v>
      </c>
      <c r="BJ58" s="236" t="n">
        <f aca="false">AM58*AP58</f>
        <v>80</v>
      </c>
      <c r="BK58" s="236" t="n">
        <f aca="false">IFERROR(($AO58*$AP58)/($BE58/$AN58),0)</f>
        <v>80</v>
      </c>
      <c r="BL58" s="109" t="n">
        <v>80</v>
      </c>
      <c r="BM58" s="272" t="n">
        <v>1</v>
      </c>
      <c r="BN58" s="208" t="s">
        <v>505</v>
      </c>
      <c r="BO58" s="208" t="s">
        <v>516</v>
      </c>
      <c r="BP58" s="273" t="s">
        <v>507</v>
      </c>
      <c r="BQ58" s="272" t="n">
        <v>-84095.873</v>
      </c>
      <c r="BR58" s="236" t="n">
        <f aca="false">IF(BP58="FALSE",($BM58*($AQ58/$BL58)+$BQ58),($BM58*($AR58/$AN58)+$BQ58))</f>
        <v>-4901.357</v>
      </c>
      <c r="BS58" s="236" t="n">
        <f aca="false">IF(BP58="FALSE",($BM58*($AS58/$BL58)+$BQ58),($BM58*($AT58/$AN58)+$BQ58))</f>
        <v>6158.966</v>
      </c>
      <c r="BT58" s="107" t="n">
        <f aca="false">FATPOSITIONS!$L58</f>
        <v>79056.547</v>
      </c>
      <c r="BU58" s="107" t="n">
        <f aca="false">FATPOSITIONS!$M58</f>
        <v>89155.784</v>
      </c>
      <c r="BV58" s="236" t="n">
        <f aca="false">IFERROR($BM58*FATPOSITIONS!$N58+$BR58,"")</f>
        <v>-4901.357</v>
      </c>
      <c r="BW58" s="236" t="n">
        <f aca="false">IFERROR(-$BM58*FATPOSITIONS!$O58+$BS58,"")</f>
        <v>6158.966</v>
      </c>
      <c r="BX58" s="221" t="str">
        <f aca="false">Data!$AK58</f>
        <v>-</v>
      </c>
      <c r="BY58" s="221" t="str">
        <f aca="false">Data!$AL58</f>
        <v>-</v>
      </c>
      <c r="CD58" s="160" t="s">
        <v>514</v>
      </c>
      <c r="CO58" s="221"/>
      <c r="CR58" s="160" t="s">
        <v>529</v>
      </c>
      <c r="CS58" s="232" t="str">
        <f aca="false">"Step_per_unit:"&amp;$BL58&amp;";"&amp;"Offset:"&amp;$BQ58&amp;";"&amp;"Sign:"&amp;$BM58&amp;";"&amp;"EncoderSource:"&amp;$BN58&amp;";"&amp;"EncoderSourceFormula:"&amp;$BO58&amp;";"&amp;"UseEncoderSource:"&amp;$BP58</f>
        <v>Step_per_unit:80;Offset:-84095,873;Sign:1;EncoderSource:attr://EncAbsEnc;EncoderSourceFormula:VALUE/1000;UseEncoderSource:TRUE</v>
      </c>
      <c r="CV58" s="222"/>
      <c r="CW58" s="270"/>
      <c r="DC58" s="108"/>
      <c r="DH58" s="221"/>
    </row>
    <row r="59" s="279" customFormat="true" ht="10.2" hidden="false" customHeight="false" outlineLevel="0" collapsed="false">
      <c r="A59" s="220"/>
      <c r="B59" s="220"/>
      <c r="C59" s="220"/>
      <c r="D59" s="275"/>
      <c r="E59" s="276"/>
      <c r="F59" s="275"/>
      <c r="G59" s="275"/>
      <c r="H59" s="275"/>
      <c r="I59" s="277"/>
      <c r="J59" s="277"/>
      <c r="K59" s="277"/>
      <c r="L59" s="277"/>
      <c r="M59" s="277"/>
      <c r="N59" s="277"/>
      <c r="O59" s="277"/>
      <c r="P59" s="277"/>
      <c r="Q59" s="277"/>
      <c r="R59" s="278"/>
      <c r="S59" s="278"/>
      <c r="T59" s="278"/>
      <c r="U59" s="278"/>
      <c r="V59" s="278"/>
      <c r="W59" s="278"/>
      <c r="X59" s="278"/>
      <c r="Y59" s="278"/>
      <c r="Z59" s="278"/>
      <c r="AA59" s="278"/>
      <c r="AF59" s="275"/>
      <c r="AH59" s="277"/>
      <c r="AI59" s="277"/>
      <c r="AJ59" s="277"/>
      <c r="AK59" s="277"/>
      <c r="AM59" s="278"/>
      <c r="AN59" s="278"/>
      <c r="AO59" s="277"/>
      <c r="AP59" s="277"/>
      <c r="AQ59" s="280"/>
      <c r="AR59" s="280"/>
      <c r="AS59" s="280"/>
      <c r="AT59" s="280"/>
      <c r="AU59" s="277"/>
      <c r="AV59" s="277"/>
      <c r="AW59" s="280"/>
      <c r="AX59" s="280"/>
      <c r="AY59" s="280" t="n">
        <v>-13288610</v>
      </c>
      <c r="AZ59" s="280"/>
      <c r="BA59" s="280"/>
      <c r="BB59" s="281"/>
      <c r="BC59" s="280"/>
      <c r="BD59" s="280"/>
      <c r="BE59" s="280"/>
      <c r="BF59" s="281"/>
      <c r="BG59" s="281"/>
      <c r="BH59" s="281"/>
      <c r="BI59" s="281"/>
      <c r="BJ59" s="282"/>
      <c r="BK59" s="282"/>
      <c r="BL59" s="284"/>
      <c r="BM59" s="284"/>
      <c r="BN59" s="282"/>
      <c r="BO59" s="282"/>
      <c r="BP59" s="282"/>
      <c r="BQ59" s="284"/>
      <c r="BR59" s="283"/>
      <c r="BS59" s="283"/>
      <c r="BT59" s="283"/>
      <c r="BU59" s="283"/>
      <c r="BV59" s="283"/>
      <c r="BW59" s="283"/>
      <c r="BX59" s="277"/>
      <c r="BY59" s="277"/>
      <c r="BZ59" s="277"/>
      <c r="CA59" s="277"/>
      <c r="CB59" s="277"/>
      <c r="CC59" s="277"/>
      <c r="CS59" s="281"/>
      <c r="CT59" s="281"/>
      <c r="CU59" s="281"/>
      <c r="CV59" s="281"/>
      <c r="CW59" s="281"/>
      <c r="CX59" s="281"/>
      <c r="CY59" s="278"/>
      <c r="CZ59" s="281"/>
      <c r="DA59" s="281"/>
      <c r="DB59" s="281"/>
      <c r="DC59" s="281"/>
      <c r="DD59" s="281"/>
      <c r="DE59" s="281"/>
      <c r="DF59" s="281"/>
      <c r="DG59" s="281"/>
      <c r="DH59" s="281"/>
      <c r="DI59" s="281"/>
    </row>
    <row r="60" customFormat="false" ht="10.2" hidden="false" customHeight="false" outlineLevel="0" collapsed="false">
      <c r="A60" s="220"/>
      <c r="B60" s="220"/>
      <c r="C60" s="220"/>
      <c r="D60" s="275"/>
      <c r="E60" s="276"/>
      <c r="F60" s="275"/>
      <c r="G60" s="275"/>
      <c r="H60" s="275"/>
      <c r="I60" s="277"/>
      <c r="J60" s="277"/>
      <c r="K60" s="277"/>
      <c r="L60" s="277"/>
      <c r="M60" s="277"/>
      <c r="N60" s="277"/>
      <c r="O60" s="277"/>
      <c r="P60" s="277"/>
      <c r="Q60" s="277"/>
      <c r="R60" s="278"/>
      <c r="S60" s="278"/>
      <c r="T60" s="278"/>
      <c r="U60" s="278"/>
      <c r="V60" s="278"/>
      <c r="W60" s="278"/>
      <c r="X60" s="278"/>
      <c r="Y60" s="278"/>
      <c r="Z60" s="278"/>
      <c r="AA60" s="278"/>
      <c r="AB60" s="279"/>
      <c r="AC60" s="279"/>
      <c r="AD60" s="279"/>
      <c r="AE60" s="279"/>
      <c r="AF60" s="275"/>
      <c r="AG60" s="279"/>
      <c r="AH60" s="277"/>
      <c r="AI60" s="277"/>
      <c r="AJ60" s="277"/>
      <c r="AK60" s="277"/>
      <c r="AL60" s="279"/>
      <c r="AM60" s="278"/>
      <c r="AN60" s="278"/>
      <c r="AO60" s="277"/>
      <c r="AP60" s="277"/>
      <c r="AQ60" s="280"/>
      <c r="AR60" s="280"/>
      <c r="AS60" s="280"/>
      <c r="AT60" s="280"/>
      <c r="AU60" s="277"/>
      <c r="AV60" s="277"/>
      <c r="AW60" s="280"/>
      <c r="AX60" s="280"/>
      <c r="AY60" s="280" t="n">
        <v>-13288610</v>
      </c>
      <c r="AZ60" s="280"/>
      <c r="BA60" s="280"/>
      <c r="BB60" s="281"/>
      <c r="BC60" s="280"/>
      <c r="BD60" s="280"/>
      <c r="BE60" s="280"/>
      <c r="BF60" s="281"/>
      <c r="BG60" s="283"/>
      <c r="BH60" s="283"/>
      <c r="BI60" s="283"/>
      <c r="BJ60" s="282"/>
      <c r="BK60" s="282"/>
      <c r="BL60" s="284"/>
      <c r="BM60" s="284"/>
      <c r="BN60" s="282"/>
      <c r="BO60" s="282"/>
      <c r="BP60" s="282"/>
      <c r="BQ60" s="284"/>
      <c r="BR60" s="283"/>
      <c r="BS60" s="283"/>
      <c r="BT60" s="283"/>
      <c r="BU60" s="283"/>
      <c r="BV60" s="283"/>
      <c r="BW60" s="283"/>
      <c r="BX60" s="277"/>
      <c r="BY60" s="277"/>
      <c r="BZ60" s="277"/>
      <c r="CA60" s="277"/>
      <c r="CB60" s="277"/>
      <c r="CC60" s="277"/>
      <c r="CS60" s="281"/>
      <c r="CT60" s="281"/>
      <c r="CU60" s="281"/>
      <c r="CV60" s="281"/>
      <c r="CW60" s="281"/>
      <c r="CX60" s="281"/>
      <c r="CY60" s="278"/>
      <c r="CZ60" s="281"/>
      <c r="DA60" s="281"/>
      <c r="DB60" s="281"/>
      <c r="DC60" s="281"/>
      <c r="DD60" s="281"/>
      <c r="DE60" s="281"/>
      <c r="DF60" s="281"/>
      <c r="DG60" s="281"/>
      <c r="DH60" s="281"/>
      <c r="DI60" s="281"/>
    </row>
    <row r="61" customFormat="false" ht="10.2" hidden="false" customHeight="false" outlineLevel="0" collapsed="false">
      <c r="A61" s="212" t="n">
        <f aca="false">Data!$A61</f>
        <v>61</v>
      </c>
      <c r="B61" s="212" t="str">
        <f aca="false">Data!$B61</f>
        <v>B316A-EB03-OPT-MIR-04</v>
      </c>
      <c r="C61" s="212" t="str">
        <f aca="false">Data!$C61</f>
        <v>Focusing Mirror M4 VERITAS</v>
      </c>
      <c r="D61" s="267" t="str">
        <f aca="false">Data!D61</f>
        <v>V2</v>
      </c>
      <c r="E61" s="224" t="str">
        <f aca="false">Data!$E61</f>
        <v>b_m4_v2</v>
      </c>
      <c r="F61" s="225" t="str">
        <f aca="false">Data!$G61</f>
        <v>Y</v>
      </c>
      <c r="G61" s="225" t="str">
        <f aca="false">Data!$H61</f>
        <v>N</v>
      </c>
      <c r="H61" s="225" t="str">
        <f aca="false">Data!$AM61</f>
        <v>2O</v>
      </c>
      <c r="I61" s="222" t="str">
        <f aca="true">INDEX(OFFSET(MOTION1!$A$1,0,0,SystemInfo!$B$1,1),MATCH(CONCATENATE(B61,D61),OFFSET(MOTION1!$J$1,0,0,SystemInfo!$B$1,1),0))</f>
        <v>W050841</v>
      </c>
      <c r="J61" s="222" t="str">
        <f aca="true">INDEX(OFFSET(MOTION3!$A$1,0,0,SystemInfo!$B$1,1),MATCH(CONCATENATE(B61,D61),OFFSET(MOTION3!$J$1,0,0,SystemInfo!$B$1,1),0))</f>
        <v>W050842</v>
      </c>
      <c r="L61" s="222" t="e">
        <f aca="true">INDEX(OFFSET(DISABLE!$A$1,0,0,SystemInfo!$B$1,1),MATCH(CONCATENATE(B61,D61),OFFSET(DISABLE!$J$1,0,0,SystemInfo!$B$1,1),0))</f>
        <v>#N/A</v>
      </c>
      <c r="N61" s="222" t="str">
        <f aca="false">Data!$F61</f>
        <v>Oriental PK245M-02B unipolar 1 coil</v>
      </c>
      <c r="O61" s="222" t="str">
        <f aca="false">Data!$Y61</f>
        <v>Renishaw Resolute 32 bits BISS-C</v>
      </c>
      <c r="P61" s="107" t="n">
        <f aca="false">Data!$O61</f>
        <v>9.9</v>
      </c>
      <c r="Q61" s="107" t="n">
        <f aca="false">Data!$N61</f>
        <v>7.5</v>
      </c>
      <c r="R61" s="226" t="n">
        <v>6.873</v>
      </c>
      <c r="S61" s="226" t="n">
        <v>3.1</v>
      </c>
      <c r="T61" s="227" t="n">
        <f aca="false">IF(Q61="","-",IF(S61="","-",S61-Q61))</f>
        <v>-4.4</v>
      </c>
      <c r="U61" s="227" t="n">
        <f aca="false">Data!$N61*$S61</f>
        <v>23.25</v>
      </c>
      <c r="V61" s="227" t="n">
        <f aca="false">6.28*$R61*Data!$N61/8</f>
        <v>40.4647875</v>
      </c>
      <c r="W61" s="269" t="n">
        <v>48</v>
      </c>
      <c r="X61" s="269" t="n">
        <v>12</v>
      </c>
      <c r="Y61" s="269" t="n">
        <v>0.8</v>
      </c>
      <c r="Z61" s="269" t="n">
        <v>50</v>
      </c>
      <c r="AA61" s="269"/>
      <c r="AB61" s="105" t="s">
        <v>248</v>
      </c>
      <c r="AC61" s="105" t="s">
        <v>248</v>
      </c>
      <c r="AD61" s="105" t="s">
        <v>503</v>
      </c>
      <c r="AE61" s="156" t="s">
        <v>248</v>
      </c>
      <c r="AF61" s="225" t="str">
        <f aca="false">Data!$AM61</f>
        <v>2O</v>
      </c>
      <c r="AG61" s="160" t="s">
        <v>513</v>
      </c>
      <c r="AH61" s="222" t="str">
        <f aca="false">Data!$Z61</f>
        <v>absolute</v>
      </c>
      <c r="AI61" s="222" t="n">
        <f aca="false">FATPOSITIONS!$H61</f>
        <v>78960638</v>
      </c>
      <c r="AJ61" s="270" t="n">
        <v>0</v>
      </c>
      <c r="AK61" s="270" t="n">
        <v>0</v>
      </c>
      <c r="AL61" s="158" t="s">
        <v>504</v>
      </c>
      <c r="AM61" s="229" t="n">
        <f aca="false">Data!$R61</f>
        <v>40</v>
      </c>
      <c r="AN61" s="229" t="n">
        <f aca="false">Data!$W61</f>
        <v>1000</v>
      </c>
      <c r="AO61" s="222" t="n">
        <f aca="false">Data!$P61</f>
        <v>400</v>
      </c>
      <c r="AP61" s="222" t="n">
        <f aca="false">Data!$L61</f>
        <v>2</v>
      </c>
      <c r="AQ61" s="230" t="n">
        <v>66892060</v>
      </c>
      <c r="AR61" s="230" t="n">
        <v>79107633</v>
      </c>
      <c r="AS61" s="230" t="n">
        <v>67766951</v>
      </c>
      <c r="AT61" s="230" t="n">
        <v>90045882</v>
      </c>
      <c r="AU61" s="108" t="n">
        <f aca="false">FATPOSITIONS!$I61</f>
        <v>73779002</v>
      </c>
      <c r="AV61" s="108" t="n">
        <f aca="false">FATPOSITIONS!$J61</f>
        <v>83968939</v>
      </c>
      <c r="AW61" s="231" t="n">
        <f aca="false">AR61+AJ61</f>
        <v>79107633</v>
      </c>
      <c r="AX61" s="231" t="n">
        <f aca="false">AT61+AJ61</f>
        <v>90045882</v>
      </c>
      <c r="AY61" s="160"/>
      <c r="AZ61" s="271" t="n">
        <v>1600</v>
      </c>
      <c r="BA61" s="271" t="n">
        <v>0.8</v>
      </c>
      <c r="BB61" s="232" t="n">
        <f aca="false">(AS61-AQ61)/AZ61</f>
        <v>546.806875</v>
      </c>
      <c r="BC61" s="108" t="n">
        <f aca="false">IF(AM61=0,"",(AN61/AM61)*AO61)</f>
        <v>10000</v>
      </c>
      <c r="BD61" s="231" t="n">
        <f aca="false">IF(AR61="","",(AT61-AR61)*AO61*AP61/(AS61-AQ61))</f>
        <v>10001.9307548026</v>
      </c>
      <c r="BE61" s="271" t="n">
        <v>10000</v>
      </c>
      <c r="BF61" s="233" t="str">
        <f aca="false">Data!$S61</f>
        <v>10mm (±5mm)</v>
      </c>
      <c r="BG61" s="236" t="n">
        <f aca="false">IF(AQ61="","",(AS61-AQ61)/(AM61*AP61))</f>
        <v>10936.1375</v>
      </c>
      <c r="BH61" s="236" t="n">
        <f aca="false">IF(AR61="","",(AT61-AR61)/AN61)</f>
        <v>10938.249</v>
      </c>
      <c r="BI61" s="221" t="str">
        <f aca="false">Data!$J61</f>
        <v>um</v>
      </c>
      <c r="BJ61" s="236" t="n">
        <f aca="false">AM61*AP61</f>
        <v>80</v>
      </c>
      <c r="BK61" s="236" t="n">
        <f aca="false">IFERROR(($AO61*$AP61)/($BE61/$AN61),0)</f>
        <v>80</v>
      </c>
      <c r="BL61" s="109" t="n">
        <v>80</v>
      </c>
      <c r="BM61" s="272" t="n">
        <v>1</v>
      </c>
      <c r="BN61" s="208" t="s">
        <v>505</v>
      </c>
      <c r="BO61" s="208" t="s">
        <v>516</v>
      </c>
      <c r="BP61" s="273" t="s">
        <v>507</v>
      </c>
      <c r="BQ61" s="272" t="n">
        <v>-84209</v>
      </c>
      <c r="BR61" s="236" t="n">
        <f aca="false">IF(BP61="FALSE",($BM61*($AQ61/$BL61)+$BQ61),($BM61*($AR61/$AN61)+$BQ61))</f>
        <v>-5101.367</v>
      </c>
      <c r="BS61" s="236" t="n">
        <f aca="false">IF(BP61="FALSE",($BM61*($AS61/$BL61)+$BQ61),($BM61*($AT61/$AN61)+$BQ61))</f>
        <v>5836.882</v>
      </c>
      <c r="BT61" s="107" t="n">
        <f aca="false">FATPOSITIONS!$L61</f>
        <v>73779.002</v>
      </c>
      <c r="BU61" s="107" t="n">
        <f aca="false">FATPOSITIONS!$M61</f>
        <v>83968.939</v>
      </c>
      <c r="BV61" s="236" t="n">
        <f aca="false">IFERROR($BM61*FATPOSITIONS!$N61+$BR61,"")</f>
        <v>-5101.367</v>
      </c>
      <c r="BW61" s="236" t="n">
        <f aca="false">IFERROR(-$BM61*FATPOSITIONS!$O61+$BS61,"")</f>
        <v>5836.882</v>
      </c>
      <c r="BX61" s="221" t="str">
        <f aca="false">Data!$AK61</f>
        <v>-</v>
      </c>
      <c r="BY61" s="221" t="str">
        <f aca="false">Data!$AL61</f>
        <v>-</v>
      </c>
      <c r="CD61" s="160" t="s">
        <v>514</v>
      </c>
      <c r="CO61" s="221"/>
      <c r="CR61" s="160" t="s">
        <v>530</v>
      </c>
      <c r="CS61" s="232" t="str">
        <f aca="false">"Step_per_unit:"&amp;$BL61&amp;";"&amp;"Offset:"&amp;$BQ61&amp;";"&amp;"Sign:"&amp;$BM61&amp;";"&amp;"EncoderSource:"&amp;$BN61&amp;";"&amp;"EncoderSourceFormula:"&amp;$BO61&amp;";"&amp;"UseEncoderSource:"&amp;$BP61</f>
        <v>Step_per_unit:80;Offset:-84209;Sign:1;EncoderSource:attr://EncAbsEnc;EncoderSourceFormula:VALUE/1000;UseEncoderSource:TRUE</v>
      </c>
      <c r="CV61" s="222"/>
      <c r="CW61" s="270"/>
      <c r="DC61" s="108"/>
      <c r="DH61" s="221"/>
    </row>
    <row r="62" customFormat="false" ht="10.2" hidden="false" customHeight="false" outlineLevel="0" collapsed="false">
      <c r="A62" s="212" t="n">
        <f aca="false">Data!$A62</f>
        <v>62</v>
      </c>
      <c r="B62" s="212" t="str">
        <f aca="false">Data!$B62</f>
        <v>B316A-EB03-OPT-MIR-04</v>
      </c>
      <c r="C62" s="212" t="str">
        <f aca="false">Data!$C62</f>
        <v>Focusing Mirror M4 VERITAS</v>
      </c>
      <c r="D62" s="267" t="str">
        <f aca="false">Data!D62</f>
        <v>V3</v>
      </c>
      <c r="E62" s="224" t="str">
        <f aca="false">Data!$E62</f>
        <v>b_m4_v3</v>
      </c>
      <c r="F62" s="225" t="str">
        <f aca="false">Data!$G62</f>
        <v>Y</v>
      </c>
      <c r="G62" s="225" t="str">
        <f aca="false">Data!$H62</f>
        <v>N</v>
      </c>
      <c r="H62" s="225" t="str">
        <f aca="false">Data!$AM62</f>
        <v>2O</v>
      </c>
      <c r="I62" s="222" t="str">
        <f aca="true">INDEX(OFFSET(MOTION1!$A$1,0,0,SystemInfo!$B$1,1),MATCH(CONCATENATE(B62,D62),OFFSET(MOTION1!$J$1,0,0,SystemInfo!$B$1,1),0))</f>
        <v>W050843</v>
      </c>
      <c r="J62" s="222" t="str">
        <f aca="true">INDEX(OFFSET(MOTION3!$A$1,0,0,SystemInfo!$B$1,1),MATCH(CONCATENATE(B62,D62),OFFSET(MOTION3!$J$1,0,0,SystemInfo!$B$1,1),0))</f>
        <v>W050844</v>
      </c>
      <c r="L62" s="222" t="e">
        <f aca="true">INDEX(OFFSET(DISABLE!$A$1,0,0,SystemInfo!$B$1,1),MATCH(CONCATENATE(B62,D62),OFFSET(DISABLE!$J$1,0,0,SystemInfo!$B$1,1),0))</f>
        <v>#N/A</v>
      </c>
      <c r="N62" s="222" t="str">
        <f aca="false">Data!$F62</f>
        <v>Oriental PK245M-02B unipolar 1 coil</v>
      </c>
      <c r="O62" s="222" t="str">
        <f aca="false">Data!$Y62</f>
        <v>Renishaw Resolute 32 bits BISS-C</v>
      </c>
      <c r="P62" s="222" t="n">
        <f aca="false">Data!$O62</f>
        <v>9.9</v>
      </c>
      <c r="Q62" s="222" t="n">
        <f aca="false">Data!$N62</f>
        <v>7.5</v>
      </c>
      <c r="R62" s="226" t="n">
        <v>6.857</v>
      </c>
      <c r="S62" s="226" t="n">
        <v>3</v>
      </c>
      <c r="T62" s="227" t="n">
        <f aca="false">IF(Q62="","-",IF(S62="","-",S62-Q62))</f>
        <v>-4.5</v>
      </c>
      <c r="U62" s="227" t="n">
        <f aca="false">Data!$N62*$S62</f>
        <v>22.5</v>
      </c>
      <c r="V62" s="227" t="n">
        <f aca="false">6.28*$R62*Data!$N62/8</f>
        <v>40.3705875</v>
      </c>
      <c r="W62" s="269" t="n">
        <v>48</v>
      </c>
      <c r="X62" s="269" t="n">
        <v>12</v>
      </c>
      <c r="Y62" s="269" t="n">
        <v>0.8</v>
      </c>
      <c r="Z62" s="269" t="n">
        <v>50</v>
      </c>
      <c r="AA62" s="269"/>
      <c r="AB62" s="105" t="s">
        <v>248</v>
      </c>
      <c r="AC62" s="105" t="s">
        <v>248</v>
      </c>
      <c r="AD62" s="105" t="s">
        <v>503</v>
      </c>
      <c r="AE62" s="156" t="s">
        <v>248</v>
      </c>
      <c r="AF62" s="225" t="str">
        <f aca="false">Data!$AM62</f>
        <v>2O</v>
      </c>
      <c r="AG62" s="160" t="s">
        <v>513</v>
      </c>
      <c r="AH62" s="222" t="str">
        <f aca="false">Data!$Z62</f>
        <v>absolute</v>
      </c>
      <c r="AI62" s="222" t="n">
        <f aca="false">FATPOSITIONS!$H62</f>
        <v>84128024</v>
      </c>
      <c r="AJ62" s="270" t="n">
        <v>0</v>
      </c>
      <c r="AK62" s="270" t="n">
        <v>0</v>
      </c>
      <c r="AL62" s="158" t="s">
        <v>504</v>
      </c>
      <c r="AM62" s="229" t="n">
        <f aca="false">Data!$R62</f>
        <v>40</v>
      </c>
      <c r="AN62" s="229" t="n">
        <f aca="false">Data!$W62</f>
        <v>1000</v>
      </c>
      <c r="AO62" s="222" t="n">
        <f aca="false">Data!$P62</f>
        <v>400</v>
      </c>
      <c r="AP62" s="222" t="n">
        <f aca="false">Data!$L62</f>
        <v>2</v>
      </c>
      <c r="AQ62" s="230" t="n">
        <v>66880768</v>
      </c>
      <c r="AR62" s="230" t="n">
        <v>79100318</v>
      </c>
      <c r="AS62" s="230" t="n">
        <v>67687061</v>
      </c>
      <c r="AT62" s="230" t="n">
        <v>89167257</v>
      </c>
      <c r="AU62" s="108" t="n">
        <f aca="false">FATPOSITIONS!$I62</f>
        <v>79004220</v>
      </c>
      <c r="AV62" s="108" t="n">
        <f aca="false">FATPOSITIONS!$J62</f>
        <v>89190308</v>
      </c>
      <c r="AW62" s="231" t="n">
        <f aca="false">AR62+AJ62</f>
        <v>79100318</v>
      </c>
      <c r="AX62" s="231" t="n">
        <f aca="false">AT62+AJ62</f>
        <v>89167257</v>
      </c>
      <c r="AY62" s="160"/>
      <c r="AZ62" s="271" t="n">
        <v>1600</v>
      </c>
      <c r="BA62" s="271" t="n">
        <v>0.8</v>
      </c>
      <c r="BB62" s="232" t="n">
        <f aca="false">(AS62-AQ62)/AZ62</f>
        <v>503.933125</v>
      </c>
      <c r="BC62" s="108" t="n">
        <f aca="false">IF(AM62=0,"",(AN62/AM62)*AO62)</f>
        <v>10000</v>
      </c>
      <c r="BD62" s="231" t="n">
        <f aca="false">IF(AR62="","",(AT62-AR62)*AO62*AP62/(AS62-AQ62))</f>
        <v>9988.36800021828</v>
      </c>
      <c r="BE62" s="271" t="n">
        <v>10000</v>
      </c>
      <c r="BF62" s="233" t="str">
        <f aca="false">Data!$S62</f>
        <v>10mm (±5mm)</v>
      </c>
      <c r="BG62" s="236" t="n">
        <f aca="false">IF(AQ62="","",(AS62-AQ62)/(AM62*AP62))</f>
        <v>10078.6625</v>
      </c>
      <c r="BH62" s="236" t="n">
        <f aca="false">IF(AR62="","",(AT62-AR62)/AN62)</f>
        <v>10066.939</v>
      </c>
      <c r="BI62" s="235" t="str">
        <f aca="false">Data!$J62</f>
        <v>um</v>
      </c>
      <c r="BJ62" s="236" t="n">
        <f aca="false">AM62*AP62</f>
        <v>80</v>
      </c>
      <c r="BK62" s="236" t="n">
        <f aca="false">IFERROR(($AO62*$AP62)/($BE62/$AN62),0)</f>
        <v>80</v>
      </c>
      <c r="BL62" s="109" t="n">
        <v>80</v>
      </c>
      <c r="BM62" s="272" t="n">
        <v>1</v>
      </c>
      <c r="BN62" s="208" t="s">
        <v>505</v>
      </c>
      <c r="BO62" s="208" t="s">
        <v>516</v>
      </c>
      <c r="BP62" s="273" t="s">
        <v>507</v>
      </c>
      <c r="BQ62" s="272" t="n">
        <v>-84128.024</v>
      </c>
      <c r="BR62" s="236" t="n">
        <f aca="false">IF(BP62="FALSE",($BM62*($AQ62/$BL62)+$BQ62),($BM62*($AR62/$AN62)+$BQ62))</f>
        <v>-5027.70600000001</v>
      </c>
      <c r="BS62" s="236" t="n">
        <f aca="false">IF(BP62="FALSE",($BM62*($AS62/$BL62)+$BQ62),($BM62*($AT62/$AN62)+$BQ62))</f>
        <v>5039.23299999999</v>
      </c>
      <c r="BT62" s="107" t="n">
        <f aca="false">FATPOSITIONS!$L62</f>
        <v>79004.22</v>
      </c>
      <c r="BU62" s="107" t="n">
        <f aca="false">FATPOSITIONS!$M62</f>
        <v>89190.308</v>
      </c>
      <c r="BV62" s="236" t="n">
        <f aca="false">IFERROR($BM62*FATPOSITIONS!$N62+$BR62,"")</f>
        <v>-5027.70600000001</v>
      </c>
      <c r="BW62" s="236" t="n">
        <f aca="false">IFERROR(-$BM62*FATPOSITIONS!$O62+$BS62,"")</f>
        <v>5039.23299999999</v>
      </c>
      <c r="BX62" s="221" t="str">
        <f aca="false">Data!$AK62</f>
        <v>-</v>
      </c>
      <c r="BY62" s="221" t="str">
        <f aca="false">Data!$AL62</f>
        <v>-</v>
      </c>
      <c r="CD62" s="160" t="s">
        <v>514</v>
      </c>
      <c r="CO62" s="221"/>
      <c r="CR62" s="160" t="s">
        <v>531</v>
      </c>
      <c r="CS62" s="232" t="str">
        <f aca="false">"Step_per_unit:"&amp;$BL62&amp;";"&amp;"Offset:"&amp;$BQ62&amp;";"&amp;"Sign:"&amp;$BM62&amp;";"&amp;"EncoderSource:"&amp;$BN62&amp;";"&amp;"EncoderSourceFormula:"&amp;$BO62&amp;";"&amp;"UseEncoderSource:"&amp;$BP62</f>
        <v>Step_per_unit:80;Offset:-84128,024;Sign:1;EncoderSource:attr://EncAbsEnc;EncoderSourceFormula:VALUE/1000;UseEncoderSource:TRUE</v>
      </c>
      <c r="CV62" s="222"/>
      <c r="CW62" s="270"/>
      <c r="DC62" s="108"/>
      <c r="DH62" s="221"/>
    </row>
    <row r="63" customFormat="false" ht="10.2" hidden="false" customHeight="false" outlineLevel="0" collapsed="false">
      <c r="A63" s="212" t="n">
        <f aca="false">Data!$A63</f>
        <v>63</v>
      </c>
      <c r="B63" s="212" t="str">
        <f aca="false">Data!$B63</f>
        <v>B316A-EB03-OPT-MIR-04</v>
      </c>
      <c r="C63" s="212" t="str">
        <f aca="false">Data!$C63</f>
        <v>Focusing Mirror M4 VERITAS</v>
      </c>
      <c r="D63" s="267" t="str">
        <f aca="false">Data!D63</f>
        <v>H4</v>
      </c>
      <c r="E63" s="224" t="str">
        <f aca="false">Data!$E63</f>
        <v>b_m4_h4</v>
      </c>
      <c r="F63" s="225" t="str">
        <f aca="false">Data!$G63</f>
        <v>Y</v>
      </c>
      <c r="G63" s="225" t="str">
        <f aca="false">Data!$H63</f>
        <v>N</v>
      </c>
      <c r="H63" s="225" t="str">
        <f aca="false">Data!$AM63</f>
        <v>2O</v>
      </c>
      <c r="I63" s="222" t="str">
        <f aca="true">INDEX(OFFSET(MOTION1!$A$1,0,0,SystemInfo!$B$1,1),MATCH(CONCATENATE(B63,D63),OFFSET(MOTION1!$J$1,0,0,SystemInfo!$B$1,1),0))</f>
        <v>W050845</v>
      </c>
      <c r="J63" s="222" t="str">
        <f aca="true">INDEX(OFFSET(MOTION3!$A$1,0,0,SystemInfo!$B$1,1),MATCH(CONCATENATE(B63,D63),OFFSET(MOTION3!$J$1,0,0,SystemInfo!$B$1,1),0))</f>
        <v>W050846</v>
      </c>
      <c r="L63" s="222" t="e">
        <f aca="true">INDEX(OFFSET(DISABLE!$A$1,0,0,SystemInfo!$B$1,1),MATCH(CONCATENATE(B63,D63),OFFSET(DISABLE!$J$1,0,0,SystemInfo!$B$1,1),0))</f>
        <v>#N/A</v>
      </c>
      <c r="N63" s="222" t="str">
        <f aca="false">Data!$F63</f>
        <v>Oriental PK245M-02B unipolar 1 coil</v>
      </c>
      <c r="O63" s="222" t="str">
        <f aca="false">Data!$Y63</f>
        <v>Renishaw Resolute 32 bits BISS-C</v>
      </c>
      <c r="P63" s="222" t="n">
        <f aca="false">Data!$O63</f>
        <v>9.9</v>
      </c>
      <c r="Q63" s="222" t="n">
        <f aca="false">Data!$N63</f>
        <v>7.5</v>
      </c>
      <c r="R63" s="226" t="n">
        <v>6.9</v>
      </c>
      <c r="S63" s="226" t="n">
        <v>3</v>
      </c>
      <c r="T63" s="227" t="n">
        <f aca="false">IF(Q63="","-",IF(S63="","-",S63-Q63))</f>
        <v>-4.5</v>
      </c>
      <c r="U63" s="227" t="n">
        <f aca="false">Data!$N63*$S63</f>
        <v>22.5</v>
      </c>
      <c r="V63" s="227" t="n">
        <f aca="false">6.28*$R63*Data!$N63/8</f>
        <v>40.62375</v>
      </c>
      <c r="W63" s="269" t="n">
        <v>48</v>
      </c>
      <c r="X63" s="269" t="n">
        <v>12</v>
      </c>
      <c r="Y63" s="269" t="n">
        <v>0.8</v>
      </c>
      <c r="Z63" s="269" t="n">
        <v>50</v>
      </c>
      <c r="AA63" s="269"/>
      <c r="AB63" s="105" t="s">
        <v>248</v>
      </c>
      <c r="AC63" s="105" t="s">
        <v>248</v>
      </c>
      <c r="AD63" s="105" t="s">
        <v>503</v>
      </c>
      <c r="AE63" s="156" t="s">
        <v>248</v>
      </c>
      <c r="AF63" s="225" t="str">
        <f aca="false">Data!$AM63</f>
        <v>2O</v>
      </c>
      <c r="AG63" s="160" t="s">
        <v>513</v>
      </c>
      <c r="AH63" s="222" t="str">
        <f aca="false">Data!$Z63</f>
        <v>absolute</v>
      </c>
      <c r="AI63" s="222" t="n">
        <f aca="false">FATPOSITIONS!$H63</f>
        <v>84001007</v>
      </c>
      <c r="AJ63" s="270" t="n">
        <v>0</v>
      </c>
      <c r="AK63" s="270" t="n">
        <v>0</v>
      </c>
      <c r="AL63" s="158" t="s">
        <v>504</v>
      </c>
      <c r="AM63" s="229" t="n">
        <f aca="false">Data!$R63</f>
        <v>40</v>
      </c>
      <c r="AN63" s="229" t="n">
        <f aca="false">Data!$W63</f>
        <v>1000</v>
      </c>
      <c r="AO63" s="222" t="n">
        <f aca="false">Data!$P63</f>
        <v>400</v>
      </c>
      <c r="AP63" s="222" t="n">
        <f aca="false">Data!$L63</f>
        <v>2</v>
      </c>
      <c r="AQ63" s="230" t="n">
        <v>66892052</v>
      </c>
      <c r="AR63" s="230" t="n">
        <v>78792192</v>
      </c>
      <c r="AS63" s="230" t="n">
        <v>67757608</v>
      </c>
      <c r="AT63" s="230" t="n">
        <v>89621535</v>
      </c>
      <c r="AU63" s="108" t="n">
        <f aca="false">FATPOSITIONS!$I63</f>
        <v>78970165</v>
      </c>
      <c r="AV63" s="108" t="n">
        <f aca="false">FATPOSITIONS!$J63</f>
        <v>89093371</v>
      </c>
      <c r="AW63" s="231" t="n">
        <f aca="false">AR63+AJ63</f>
        <v>78792192</v>
      </c>
      <c r="AX63" s="231" t="n">
        <f aca="false">AT63+AJ63</f>
        <v>89621535</v>
      </c>
      <c r="AY63" s="160"/>
      <c r="AZ63" s="271" t="n">
        <v>1600</v>
      </c>
      <c r="BA63" s="271" t="n">
        <v>0.8</v>
      </c>
      <c r="BB63" s="232" t="n">
        <f aca="false">(AS63-AQ63)/AZ63</f>
        <v>540.9725</v>
      </c>
      <c r="BC63" s="108" t="n">
        <f aca="false">IF(AM63=0,"",(AN63/AM63)*AO63)</f>
        <v>10000</v>
      </c>
      <c r="BD63" s="231" t="n">
        <f aca="false">IF(AR63="","",(AT63-AR63)*AO63*AP63/(AS63-AQ63))</f>
        <v>10009.1437180263</v>
      </c>
      <c r="BE63" s="271" t="n">
        <v>10000</v>
      </c>
      <c r="BF63" s="233" t="str">
        <f aca="false">Data!$S63</f>
        <v>10mm (±5mm)</v>
      </c>
      <c r="BG63" s="236" t="n">
        <f aca="false">IF(AQ63="","",(AS63-AQ63)/(AM63*AP63))</f>
        <v>10819.45</v>
      </c>
      <c r="BH63" s="236" t="n">
        <f aca="false">IF(AR63="","",(AT63-AR63)/AN63)</f>
        <v>10829.343</v>
      </c>
      <c r="BI63" s="235" t="str">
        <f aca="false">Data!$J63</f>
        <v>um</v>
      </c>
      <c r="BJ63" s="236" t="n">
        <f aca="false">AM63*AP63</f>
        <v>80</v>
      </c>
      <c r="BK63" s="236" t="n">
        <f aca="false">IFERROR(($AO63*$AP63)/($BE63/$AN63),0)</f>
        <v>80</v>
      </c>
      <c r="BL63" s="109" t="n">
        <v>80</v>
      </c>
      <c r="BM63" s="272" t="n">
        <v>1</v>
      </c>
      <c r="BN63" s="208" t="s">
        <v>505</v>
      </c>
      <c r="BO63" s="208" t="s">
        <v>516</v>
      </c>
      <c r="BP63" s="273" t="s">
        <v>507</v>
      </c>
      <c r="BQ63" s="272" t="n">
        <v>-84001.007</v>
      </c>
      <c r="BR63" s="236" t="n">
        <f aca="false">IF(BP63="FALSE",($BM63*($AQ63/$BL63)+$BQ63),($BM63*($AR63/$AN63)+$BQ63))</f>
        <v>-5208.815</v>
      </c>
      <c r="BS63" s="236" t="n">
        <f aca="false">IF(BP63="FALSE",($BM63*($AS63/$BL63)+$BQ63),($BM63*($AT63/$AN63)+$BQ63))</f>
        <v>5620.52800000001</v>
      </c>
      <c r="BT63" s="107" t="n">
        <f aca="false">FATPOSITIONS!$L63</f>
        <v>78970.165</v>
      </c>
      <c r="BU63" s="107" t="n">
        <f aca="false">FATPOSITIONS!$M63</f>
        <v>89093.371</v>
      </c>
      <c r="BV63" s="236" t="n">
        <f aca="false">IFERROR($BM63*FATPOSITIONS!$N63+$BR63,"")</f>
        <v>-5208.815</v>
      </c>
      <c r="BW63" s="236" t="n">
        <f aca="false">IFERROR(-$BM63*FATPOSITIONS!$O63+$BS63,"")</f>
        <v>5620.52800000001</v>
      </c>
      <c r="BX63" s="221" t="str">
        <f aca="false">Data!$AK63</f>
        <v>-</v>
      </c>
      <c r="BY63" s="221" t="str">
        <f aca="false">Data!$AL63</f>
        <v>-</v>
      </c>
      <c r="CD63" s="160" t="s">
        <v>514</v>
      </c>
      <c r="CO63" s="221"/>
      <c r="CR63" s="160" t="s">
        <v>532</v>
      </c>
      <c r="CS63" s="232" t="str">
        <f aca="false">"Step_per_unit:"&amp;$BL63&amp;";"&amp;"Offset:"&amp;$BQ63&amp;";"&amp;"Sign:"&amp;$BM63&amp;";"&amp;"EncoderSource:"&amp;$BN63&amp;";"&amp;"EncoderSourceFormula:"&amp;$BO63&amp;";"&amp;"UseEncoderSource:"&amp;$BP63</f>
        <v>Step_per_unit:80;Offset:-84001,007;Sign:1;EncoderSource:attr://EncAbsEnc;EncoderSourceFormula:VALUE/1000;UseEncoderSource:TRUE</v>
      </c>
      <c r="CV63" s="222"/>
      <c r="CW63" s="270"/>
      <c r="DC63" s="108"/>
      <c r="DH63" s="221"/>
    </row>
    <row r="64" customFormat="false" ht="10.2" hidden="false" customHeight="false" outlineLevel="0" collapsed="false">
      <c r="A64" s="212" t="n">
        <f aca="false">Data!$A64</f>
        <v>64</v>
      </c>
      <c r="B64" s="212" t="str">
        <f aca="false">Data!$B64</f>
        <v>B316A-EB03-OPT-MIR-04</v>
      </c>
      <c r="C64" s="212" t="str">
        <f aca="false">Data!$C64</f>
        <v>Focusing Mirror M4 VERITAS</v>
      </c>
      <c r="D64" s="267" t="str">
        <f aca="false">Data!D64</f>
        <v>H5</v>
      </c>
      <c r="E64" s="224" t="str">
        <f aca="false">Data!$E64</f>
        <v>b_m4_h5</v>
      </c>
      <c r="F64" s="225" t="str">
        <f aca="false">Data!$G64</f>
        <v>Y</v>
      </c>
      <c r="G64" s="225" t="str">
        <f aca="false">Data!$H64</f>
        <v>N</v>
      </c>
      <c r="H64" s="225" t="str">
        <f aca="false">Data!$AM64</f>
        <v>2O</v>
      </c>
      <c r="I64" s="222" t="str">
        <f aca="true">INDEX(OFFSET(MOTION1!$A$1,0,0,SystemInfo!$B$1,1),MATCH(CONCATENATE(B64,D64),OFFSET(MOTION1!$J$1,0,0,SystemInfo!$B$1,1),0))</f>
        <v>W050847</v>
      </c>
      <c r="J64" s="222" t="str">
        <f aca="true">INDEX(OFFSET(MOTION3!$A$1,0,0,SystemInfo!$B$1,1),MATCH(CONCATENATE(B64,D64),OFFSET(MOTION3!$J$1,0,0,SystemInfo!$B$1,1),0))</f>
        <v>W050848</v>
      </c>
      <c r="L64" s="222" t="e">
        <f aca="true">INDEX(OFFSET(DISABLE!$A$1,0,0,SystemInfo!$B$1,1),MATCH(CONCATENATE(B64,D64),OFFSET(DISABLE!$J$1,0,0,SystemInfo!$B$1,1),0))</f>
        <v>#N/A</v>
      </c>
      <c r="N64" s="222" t="str">
        <f aca="false">Data!$F64</f>
        <v>Oriental PK245M-02B unipolar 1 coil</v>
      </c>
      <c r="O64" s="222" t="str">
        <f aca="false">Data!$Y64</f>
        <v>Renishaw Resolute 32 bits BISS-C</v>
      </c>
      <c r="P64" s="222" t="n">
        <f aca="false">Data!$O64</f>
        <v>9.9</v>
      </c>
      <c r="Q64" s="222" t="n">
        <f aca="false">Data!$N64</f>
        <v>7.5</v>
      </c>
      <c r="R64" s="226" t="n">
        <v>6.9</v>
      </c>
      <c r="S64" s="226" t="n">
        <v>3</v>
      </c>
      <c r="T64" s="227" t="n">
        <f aca="false">IF(Q64="","-",IF(S64="","-",S64-Q64))</f>
        <v>-4.5</v>
      </c>
      <c r="U64" s="227" t="n">
        <f aca="false">Data!$N64*$S64</f>
        <v>22.5</v>
      </c>
      <c r="V64" s="227" t="n">
        <f aca="false">6.28*$R64*Data!$N64/8</f>
        <v>40.62375</v>
      </c>
      <c r="W64" s="269" t="n">
        <v>48</v>
      </c>
      <c r="X64" s="269" t="n">
        <v>12</v>
      </c>
      <c r="Y64" s="269" t="n">
        <v>0.8</v>
      </c>
      <c r="Z64" s="269" t="n">
        <v>50</v>
      </c>
      <c r="AA64" s="269"/>
      <c r="AB64" s="105" t="s">
        <v>248</v>
      </c>
      <c r="AC64" s="105" t="s">
        <v>248</v>
      </c>
      <c r="AD64" s="105" t="s">
        <v>503</v>
      </c>
      <c r="AE64" s="156" t="s">
        <v>248</v>
      </c>
      <c r="AF64" s="225" t="str">
        <f aca="false">Data!$AM64</f>
        <v>2O</v>
      </c>
      <c r="AG64" s="160" t="s">
        <v>513</v>
      </c>
      <c r="AH64" s="222" t="str">
        <f aca="false">Data!$Z64</f>
        <v>absolute</v>
      </c>
      <c r="AI64" s="222" t="n">
        <f aca="false">FATPOSITIONS!$H64</f>
        <v>81975505</v>
      </c>
      <c r="AJ64" s="270" t="n">
        <v>0</v>
      </c>
      <c r="AK64" s="270" t="n">
        <v>0</v>
      </c>
      <c r="AL64" s="158" t="s">
        <v>504</v>
      </c>
      <c r="AM64" s="229" t="n">
        <f aca="false">Data!$R64</f>
        <v>40</v>
      </c>
      <c r="AN64" s="229" t="n">
        <f aca="false">Data!$W64</f>
        <v>1000</v>
      </c>
      <c r="AO64" s="222" t="n">
        <f aca="false">Data!$P64</f>
        <v>400</v>
      </c>
      <c r="AP64" s="222" t="n">
        <f aca="false">Data!$L64</f>
        <v>2</v>
      </c>
      <c r="AQ64" s="230" t="n">
        <v>66892882</v>
      </c>
      <c r="AR64" s="230" t="n">
        <v>79112207</v>
      </c>
      <c r="AS64" s="230" t="n">
        <v>67712667</v>
      </c>
      <c r="AT64" s="230" t="n">
        <v>89362478</v>
      </c>
      <c r="AU64" s="108" t="n">
        <f aca="false">FATPOSITIONS!$I64</f>
        <v>76941717</v>
      </c>
      <c r="AV64" s="108" t="n">
        <f aca="false">FATPOSITIONS!$J64</f>
        <v>87075481</v>
      </c>
      <c r="AW64" s="231" t="n">
        <f aca="false">AR64+AJ64</f>
        <v>79112207</v>
      </c>
      <c r="AX64" s="231" t="n">
        <f aca="false">AT64+AJ64</f>
        <v>89362478</v>
      </c>
      <c r="AY64" s="160"/>
      <c r="AZ64" s="271" t="n">
        <v>1600</v>
      </c>
      <c r="BA64" s="271" t="n">
        <v>0.8</v>
      </c>
      <c r="BB64" s="232" t="n">
        <f aca="false">(AS64-AQ64)/AZ64</f>
        <v>512.365625</v>
      </c>
      <c r="BC64" s="108" t="n">
        <f aca="false">IF(AM64=0,"",(AN64/AM64)*AO64)</f>
        <v>10000</v>
      </c>
      <c r="BD64" s="231" t="n">
        <f aca="false">IF(AR64="","",(AT64-AR64)*AO64*AP64/(AS64-AQ64))</f>
        <v>10002.8870984465</v>
      </c>
      <c r="BE64" s="271" t="n">
        <v>10000</v>
      </c>
      <c r="BF64" s="233" t="str">
        <f aca="false">Data!$S64</f>
        <v>10mm (±5mm)</v>
      </c>
      <c r="BG64" s="236" t="n">
        <f aca="false">IF(AQ64="","",(AS64-AQ64)/(AM64*AP64))</f>
        <v>10247.3125</v>
      </c>
      <c r="BH64" s="236" t="n">
        <f aca="false">IF(AR64="","",(AT64-AR64)/AN64)</f>
        <v>10250.271</v>
      </c>
      <c r="BI64" s="235" t="str">
        <f aca="false">Data!$J64</f>
        <v>um</v>
      </c>
      <c r="BJ64" s="236" t="n">
        <f aca="false">AM64*AP64</f>
        <v>80</v>
      </c>
      <c r="BK64" s="236" t="n">
        <f aca="false">IFERROR(($AO64*$AP64)/($BE64/$AN64),0)</f>
        <v>80</v>
      </c>
      <c r="BL64" s="109" t="n">
        <v>80</v>
      </c>
      <c r="BM64" s="272" t="n">
        <v>1</v>
      </c>
      <c r="BN64" s="208" t="s">
        <v>505</v>
      </c>
      <c r="BO64" s="208" t="s">
        <v>516</v>
      </c>
      <c r="BP64" s="273" t="s">
        <v>507</v>
      </c>
      <c r="BQ64" s="272" t="n">
        <v>-84175.9</v>
      </c>
      <c r="BR64" s="236" t="n">
        <f aca="false">IF(BP64="FALSE",($BM64*($AQ64/$BL64)+$BQ64),($BM64*($AR64/$AN64)+$BQ64))</f>
        <v>-5063.693</v>
      </c>
      <c r="BS64" s="236" t="n">
        <f aca="false">IF(BP64="FALSE",($BM64*($AS64/$BL64)+$BQ64),($BM64*($AT64/$AN64)+$BQ64))</f>
        <v>5186.57800000001</v>
      </c>
      <c r="BT64" s="107" t="n">
        <f aca="false">FATPOSITIONS!$L64</f>
        <v>76941.717</v>
      </c>
      <c r="BU64" s="107" t="n">
        <f aca="false">FATPOSITIONS!$M64</f>
        <v>87075.481</v>
      </c>
      <c r="BV64" s="236" t="n">
        <f aca="false">IFERROR($BM64*FATPOSITIONS!$N64+$BR64,"")</f>
        <v>-5063.693</v>
      </c>
      <c r="BW64" s="236" t="n">
        <f aca="false">IFERROR(-$BM64*FATPOSITIONS!$O64+$BS64,"")</f>
        <v>5186.57800000001</v>
      </c>
      <c r="BX64" s="221" t="str">
        <f aca="false">Data!$AK64</f>
        <v>-</v>
      </c>
      <c r="BY64" s="221" t="str">
        <f aca="false">Data!$AL64</f>
        <v>-</v>
      </c>
      <c r="BZ64" s="289"/>
      <c r="CA64" s="289"/>
      <c r="CB64" s="289"/>
      <c r="CC64" s="289"/>
      <c r="CD64" s="160" t="s">
        <v>514</v>
      </c>
      <c r="CO64" s="221"/>
      <c r="CR64" s="160" t="s">
        <v>533</v>
      </c>
      <c r="CS64" s="232" t="str">
        <f aca="false">"Step_per_unit:"&amp;$BL64&amp;";"&amp;"Offset:"&amp;$BQ64&amp;";"&amp;"Sign:"&amp;$BM64&amp;";"&amp;"EncoderSource:"&amp;$BN64&amp;";"&amp;"EncoderSourceFormula:"&amp;$BO64&amp;";"&amp;"UseEncoderSource:"&amp;$BP64</f>
        <v>Step_per_unit:80;Offset:-84175,9;Sign:1;EncoderSource:attr://EncAbsEnc;EncoderSourceFormula:VALUE/1000;UseEncoderSource:TRUE</v>
      </c>
      <c r="CV64" s="222"/>
      <c r="CW64" s="270"/>
      <c r="DC64" s="108"/>
      <c r="DH64" s="221"/>
    </row>
    <row r="65" customFormat="false" ht="10.2" hidden="false" customHeight="false" outlineLevel="0" collapsed="false">
      <c r="A65" s="212" t="n">
        <f aca="false">Data!$A65</f>
        <v>65</v>
      </c>
      <c r="B65" s="212" t="n">
        <f aca="false">Data!$B65</f>
        <v>0</v>
      </c>
      <c r="C65" s="212" t="n">
        <f aca="false">Data!$C65</f>
        <v>0</v>
      </c>
      <c r="D65" s="267" t="n">
        <f aca="false">Data!D65</f>
        <v>0</v>
      </c>
      <c r="E65" s="224" t="n">
        <f aca="false">Data!$E65</f>
        <v>0</v>
      </c>
      <c r="F65" s="225" t="n">
        <f aca="false">Data!$G65</f>
        <v>0</v>
      </c>
      <c r="G65" s="225" t="n">
        <f aca="false">Data!$H65</f>
        <v>0</v>
      </c>
      <c r="H65" s="225" t="n">
        <f aca="false">Data!$AM65</f>
        <v>0</v>
      </c>
      <c r="I65" s="222" t="e">
        <f aca="true">INDEX(OFFSET(MOTION1!$A$1,0,0,SystemInfo!$B$1,1),MATCH(CONCATENATE(B65,D65),OFFSET(MOTION1!$J$1,0,0,SystemInfo!$B$1,1),0))</f>
        <v>#N/A</v>
      </c>
      <c r="J65" s="222" t="e">
        <f aca="true">INDEX(OFFSET(MOTION3!$A$1,0,0,SystemInfo!$B$1,1),MATCH(CONCATENATE(B65,D65),OFFSET(MOTION3!$J$1,0,0,SystemInfo!$B$1,1),0))</f>
        <v>#N/A</v>
      </c>
      <c r="L65" s="222" t="e">
        <f aca="true">INDEX(OFFSET(DISABLE!$A$1,0,0,SystemInfo!$B$1,1),MATCH(CONCATENATE(B65,D65),OFFSET(DISABLE!$J$1,0,0,SystemInfo!$B$1,1),0))</f>
        <v>#N/A</v>
      </c>
      <c r="N65" s="222" t="n">
        <f aca="false">Data!$F65</f>
        <v>0</v>
      </c>
      <c r="O65" s="222" t="n">
        <f aca="false">Data!$Y65</f>
        <v>0</v>
      </c>
      <c r="P65" s="222" t="e">
        <f aca="false">Data!$O65</f>
        <v>#N/A</v>
      </c>
      <c r="Q65" s="222" t="e">
        <f aca="false">Data!$N65</f>
        <v>#N/A</v>
      </c>
      <c r="T65" s="227" t="e">
        <f aca="false">IF(Q65="","-",IF(S65="","-",S65-Q65))</f>
        <v>#N/A</v>
      </c>
      <c r="U65" s="227" t="e">
        <f aca="false">Data!$M65*$S65</f>
        <v>#N/A</v>
      </c>
      <c r="V65" s="227" t="e">
        <f aca="false">6.28*$R65*Data!$M65/8</f>
        <v>#N/A</v>
      </c>
      <c r="W65" s="269"/>
      <c r="X65" s="269"/>
      <c r="Y65" s="269"/>
      <c r="Z65" s="269"/>
      <c r="AA65" s="269"/>
      <c r="AB65" s="105"/>
      <c r="AC65" s="105"/>
      <c r="AD65" s="105"/>
      <c r="AE65" s="156"/>
      <c r="AF65" s="225" t="n">
        <f aca="false">Data!$AM65</f>
        <v>0</v>
      </c>
      <c r="AH65" s="222" t="n">
        <f aca="false">Data!$Z65</f>
        <v>0</v>
      </c>
      <c r="AI65" s="222" t="n">
        <f aca="false">FATPOSITIONS!$H65</f>
        <v>0</v>
      </c>
      <c r="AJ65" s="270"/>
      <c r="AK65" s="270"/>
      <c r="AM65" s="229" t="n">
        <f aca="false">Data!$R65</f>
        <v>0</v>
      </c>
      <c r="AN65" s="229" t="n">
        <f aca="false">Data!$W65</f>
        <v>0</v>
      </c>
      <c r="AO65" s="222" t="e">
        <f aca="false">Data!$P65</f>
        <v>#N/A</v>
      </c>
      <c r="AP65" s="222" t="n">
        <f aca="false">Data!$L65</f>
        <v>2</v>
      </c>
      <c r="AU65" s="108" t="n">
        <f aca="false">FATPOSITIONS!$I65</f>
        <v>0</v>
      </c>
      <c r="AV65" s="108" t="n">
        <f aca="false">FATPOSITIONS!$J65</f>
        <v>0</v>
      </c>
      <c r="AW65" s="231" t="n">
        <f aca="false">AR65+AJ65</f>
        <v>0</v>
      </c>
      <c r="AX65" s="231" t="n">
        <f aca="false">AT65+AJ65</f>
        <v>0</v>
      </c>
      <c r="AY65" s="160"/>
      <c r="AZ65" s="271"/>
      <c r="BA65" s="271"/>
      <c r="BB65" s="232" t="e">
        <f aca="false">(AS65-AQ65)/AZ65</f>
        <v>#DIV/0!</v>
      </c>
      <c r="BC65" s="108" t="str">
        <f aca="false">IF(AM65=0,"",(AN65/AM65)*AO65)</f>
        <v/>
      </c>
      <c r="BD65" s="231" t="str">
        <f aca="false">IF(AR65="","",(AT65-AR65)*AO65*AP65/(AS65-AQ65))</f>
        <v/>
      </c>
      <c r="BE65" s="271"/>
      <c r="BF65" s="233" t="n">
        <f aca="false">Data!$S65</f>
        <v>0</v>
      </c>
      <c r="BG65" s="236" t="str">
        <f aca="false">IF(AQ65="","",(AS65-AQ65)/(AM65*AP65))</f>
        <v/>
      </c>
      <c r="BH65" s="236" t="str">
        <f aca="false">IF(AR65="","",(AT65-AR65)/AN65)</f>
        <v/>
      </c>
      <c r="BI65" s="235" t="str">
        <f aca="false">Data!$J65</f>
        <v>mm</v>
      </c>
      <c r="BJ65" s="236" t="n">
        <f aca="false">AM65*AP65</f>
        <v>0</v>
      </c>
      <c r="BK65" s="236" t="n">
        <f aca="false">IFERROR(($AO65*$AP65)/($BE65/$AN65),0)</f>
        <v>0</v>
      </c>
      <c r="BM65" s="272"/>
      <c r="BN65" s="208"/>
      <c r="BO65" s="208"/>
      <c r="BP65" s="208"/>
      <c r="BQ65" s="272"/>
      <c r="BR65" s="236" t="e">
        <f aca="false">IF(BP65="FALSE",($BM65*($AQ65/$BL65)+$BQ65),($BM65*($AR65/$AN65)+$BQ65))</f>
        <v>#DIV/0!</v>
      </c>
      <c r="BS65" s="236" t="e">
        <f aca="false">IF(BP65="FALSE",($BM65*($AS65/$BL65)+$BQ65),($BM65*($AT65/$AN65)+$BQ65))</f>
        <v>#DIV/0!</v>
      </c>
      <c r="BT65" s="107" t="n">
        <f aca="false">FATPOSITIONS!$L65</f>
        <v>0</v>
      </c>
      <c r="BU65" s="107" t="n">
        <f aca="false">FATPOSITIONS!$M65</f>
        <v>0</v>
      </c>
      <c r="BV65" s="236" t="str">
        <f aca="false">IFERROR($BM65*FATPOSITIONS!$N65+$BR65,"")</f>
        <v/>
      </c>
      <c r="BW65" s="236" t="str">
        <f aca="false">IFERROR(-$BM65*FATPOSITIONS!$O65+$BS65,"")</f>
        <v/>
      </c>
      <c r="BX65" s="221" t="n">
        <f aca="false">Data!$AK65</f>
        <v>0</v>
      </c>
      <c r="BY65" s="221" t="n">
        <f aca="false">Data!$AL65</f>
        <v>0</v>
      </c>
      <c r="CO65" s="221"/>
      <c r="CS65" s="232" t="str">
        <f aca="false">"Step_per_unit:"&amp;$BL65&amp;";"&amp;"Offset:"&amp;$BQ65&amp;";"&amp;"Sign:"&amp;$BM65&amp;";"&amp;"EncoderSource:"&amp;$BN65&amp;";"&amp;"EncoderSourceFormula:"&amp;$BO65&amp;";"&amp;"UseEncoderSource:"&amp;$BP65</f>
        <v>Step_per_unit:;Offset:;Sign:;EncoderSource:;EncoderSourceFormula:;UseEncoderSource:</v>
      </c>
      <c r="CV65" s="222"/>
      <c r="CW65" s="270"/>
      <c r="DC65" s="108"/>
      <c r="DH65" s="221"/>
    </row>
    <row r="66" customFormat="false" ht="10.2" hidden="false" customHeight="false" outlineLevel="0" collapsed="false">
      <c r="A66" s="212" t="n">
        <f aca="false">Data!$A66</f>
        <v>66</v>
      </c>
      <c r="B66" s="212" t="n">
        <f aca="false">Data!$B66</f>
        <v>0</v>
      </c>
      <c r="C66" s="212" t="n">
        <f aca="false">Data!$C66</f>
        <v>0</v>
      </c>
      <c r="D66" s="267" t="n">
        <f aca="false">Data!D66</f>
        <v>0</v>
      </c>
      <c r="E66" s="224" t="n">
        <f aca="false">Data!$E66</f>
        <v>0</v>
      </c>
      <c r="F66" s="225" t="n">
        <f aca="false">Data!$G66</f>
        <v>0</v>
      </c>
      <c r="G66" s="225" t="n">
        <f aca="false">Data!$H66</f>
        <v>0</v>
      </c>
      <c r="H66" s="225" t="n">
        <f aca="false">Data!$AM66</f>
        <v>0</v>
      </c>
      <c r="I66" s="222" t="e">
        <f aca="true">INDEX(OFFSET(MOTION1!$A$1,0,0,SystemInfo!$B$1,1),MATCH(CONCATENATE(B66,D66),OFFSET(MOTION1!$J$1,0,0,SystemInfo!$B$1,1),0))</f>
        <v>#N/A</v>
      </c>
      <c r="J66" s="222" t="e">
        <f aca="true">INDEX(OFFSET(MOTION3!$A$1,0,0,SystemInfo!$B$1,1),MATCH(CONCATENATE(B66,D66),OFFSET(MOTION3!$J$1,0,0,SystemInfo!$B$1,1),0))</f>
        <v>#N/A</v>
      </c>
      <c r="L66" s="222" t="e">
        <f aca="true">INDEX(OFFSET(DISABLE!$A$1,0,0,SystemInfo!$B$1,1),MATCH(CONCATENATE(B66,D66),OFFSET(DISABLE!$J$1,0,0,SystemInfo!$B$1,1),0))</f>
        <v>#N/A</v>
      </c>
      <c r="N66" s="222" t="n">
        <f aca="false">Data!$F66</f>
        <v>0</v>
      </c>
      <c r="O66" s="222" t="n">
        <f aca="false">Data!$Y66</f>
        <v>0</v>
      </c>
      <c r="P66" s="222" t="e">
        <f aca="false">Data!$O66</f>
        <v>#N/A</v>
      </c>
      <c r="Q66" s="222" t="e">
        <f aca="false">Data!$N66</f>
        <v>#N/A</v>
      </c>
      <c r="T66" s="227" t="e">
        <f aca="false">IF(Q66="","-",IF(S66="","-",S66-Q66))</f>
        <v>#N/A</v>
      </c>
      <c r="U66" s="227" t="e">
        <f aca="false">Data!$M66*$S66</f>
        <v>#N/A</v>
      </c>
      <c r="V66" s="227" t="e">
        <f aca="false">6.28*$R66*Data!$M66/8</f>
        <v>#N/A</v>
      </c>
      <c r="AF66" s="225" t="n">
        <f aca="false">Data!$AM66</f>
        <v>0</v>
      </c>
      <c r="AH66" s="222" t="n">
        <f aca="false">Data!$Z66</f>
        <v>0</v>
      </c>
      <c r="AI66" s="222" t="n">
        <f aca="false">FATPOSITIONS!$H66</f>
        <v>0</v>
      </c>
      <c r="AJ66" s="270"/>
      <c r="AK66" s="270"/>
      <c r="AM66" s="229" t="n">
        <f aca="false">Data!$R66</f>
        <v>0</v>
      </c>
      <c r="AN66" s="229" t="n">
        <f aca="false">Data!$W66</f>
        <v>0</v>
      </c>
      <c r="AO66" s="222" t="e">
        <f aca="false">Data!$P66</f>
        <v>#N/A</v>
      </c>
      <c r="AP66" s="222" t="n">
        <f aca="false">Data!$L66</f>
        <v>2</v>
      </c>
      <c r="AU66" s="108" t="n">
        <f aca="false">FATPOSITIONS!$I66</f>
        <v>0</v>
      </c>
      <c r="AV66" s="108" t="n">
        <f aca="false">FATPOSITIONS!$J66</f>
        <v>0</v>
      </c>
      <c r="AW66" s="231" t="n">
        <f aca="false">AR66+AJ66</f>
        <v>0</v>
      </c>
      <c r="AX66" s="231" t="n">
        <f aca="false">AT66+AJ66</f>
        <v>0</v>
      </c>
      <c r="AY66" s="160"/>
      <c r="AZ66" s="271"/>
      <c r="BA66" s="271"/>
      <c r="BB66" s="232" t="e">
        <f aca="false">(AS66-AQ66)/AZ66</f>
        <v>#DIV/0!</v>
      </c>
      <c r="BC66" s="108" t="str">
        <f aca="false">IF(AM66=0,"",(AN66/AM66)*AO66)</f>
        <v/>
      </c>
      <c r="BD66" s="231" t="str">
        <f aca="false">IF(AR66="","",(AT66-AR66)*AO66*AP66/(AS66-AQ66))</f>
        <v/>
      </c>
      <c r="BE66" s="271"/>
      <c r="BF66" s="233" t="n">
        <f aca="false">Data!$S66</f>
        <v>0</v>
      </c>
      <c r="BG66" s="236" t="str">
        <f aca="false">IF(AQ66="","",(AS66-AQ66)/(AM66*AP66))</f>
        <v/>
      </c>
      <c r="BH66" s="236" t="str">
        <f aca="false">IF(AR66="","",(AT66-AR66)/AN66)</f>
        <v/>
      </c>
      <c r="BI66" s="235" t="str">
        <f aca="false">Data!$J66</f>
        <v>um</v>
      </c>
      <c r="BJ66" s="236" t="n">
        <f aca="false">AM66*AP66</f>
        <v>0</v>
      </c>
      <c r="BK66" s="236" t="n">
        <f aca="false">IFERROR(($AO66*$AP66)/($BE66/$AN66),0)</f>
        <v>0</v>
      </c>
      <c r="BM66" s="272"/>
      <c r="BN66" s="208"/>
      <c r="BO66" s="208"/>
      <c r="BP66" s="208"/>
      <c r="BQ66" s="272"/>
      <c r="BR66" s="236" t="e">
        <f aca="false">IF(BP66="FALSE",($BM66*($AQ66/$BL66)+$BQ66),($BM66*($AR66/$AN66)+$BQ66))</f>
        <v>#DIV/0!</v>
      </c>
      <c r="BS66" s="236" t="e">
        <f aca="false">IF(BP66="FALSE",($BM66*($AS66/$BL66)+$BQ66),($BM66*($AT66/$AN66)+$BQ66))</f>
        <v>#DIV/0!</v>
      </c>
      <c r="BT66" s="107" t="n">
        <f aca="false">FATPOSITIONS!$L66</f>
        <v>0</v>
      </c>
      <c r="BU66" s="107" t="n">
        <f aca="false">FATPOSITIONS!$M66</f>
        <v>0</v>
      </c>
      <c r="BV66" s="236" t="str">
        <f aca="false">IFERROR($BM66*FATPOSITIONS!$N66+$BR66,"")</f>
        <v/>
      </c>
      <c r="BW66" s="236" t="str">
        <f aca="false">IFERROR(-$BM66*FATPOSITIONS!$O66+$BS66,"")</f>
        <v/>
      </c>
      <c r="BX66" s="221" t="n">
        <f aca="false">Data!$AK66</f>
        <v>0</v>
      </c>
      <c r="BY66" s="221" t="n">
        <f aca="false">Data!$AL66</f>
        <v>0</v>
      </c>
      <c r="CO66" s="221"/>
      <c r="CS66" s="232" t="str">
        <f aca="false">"Step_per_unit:"&amp;$BL66&amp;";"&amp;"Offset:"&amp;$BQ66&amp;";"&amp;"Sign:"&amp;$BM66&amp;";"&amp;"EncoderSource:"&amp;$BN66&amp;";"&amp;"EncoderSourceFormula:"&amp;$BO66&amp;";"&amp;"UseEncoderSource:"&amp;$BP66</f>
        <v>Step_per_unit:;Offset:;Sign:;EncoderSource:;EncoderSourceFormula:;UseEncoderSource:</v>
      </c>
      <c r="CV66" s="222"/>
      <c r="CW66" s="270"/>
      <c r="DC66" s="108"/>
      <c r="DH66" s="221"/>
    </row>
    <row r="67" customFormat="false" ht="10.2" hidden="false" customHeight="false" outlineLevel="0" collapsed="false">
      <c r="A67" s="212" t="n">
        <f aca="false">Data!$A67</f>
        <v>67</v>
      </c>
      <c r="B67" s="212" t="n">
        <f aca="false">Data!$B67</f>
        <v>0</v>
      </c>
      <c r="C67" s="212" t="n">
        <f aca="false">Data!$C67</f>
        <v>0</v>
      </c>
      <c r="D67" s="267" t="n">
        <f aca="false">Data!D67</f>
        <v>0</v>
      </c>
      <c r="E67" s="224" t="n">
        <f aca="false">Data!$E67</f>
        <v>0</v>
      </c>
      <c r="F67" s="225" t="n">
        <f aca="false">Data!$G67</f>
        <v>0</v>
      </c>
      <c r="G67" s="225" t="n">
        <f aca="false">Data!$H67</f>
        <v>0</v>
      </c>
      <c r="H67" s="225" t="n">
        <f aca="false">Data!$AM67</f>
        <v>0</v>
      </c>
      <c r="I67" s="222" t="e">
        <f aca="true">INDEX(OFFSET(MOTION1!$A$1,0,0,SystemInfo!$B$1,1),MATCH(CONCATENATE(B67,D67),OFFSET(MOTION1!$J$1,0,0,SystemInfo!$B$1,1),0))</f>
        <v>#N/A</v>
      </c>
      <c r="J67" s="222" t="e">
        <f aca="true">INDEX(OFFSET(MOTION3!$A$1,0,0,SystemInfo!$B$1,1),MATCH(CONCATENATE(B67,D67),OFFSET(MOTION3!$J$1,0,0,SystemInfo!$B$1,1),0))</f>
        <v>#N/A</v>
      </c>
      <c r="L67" s="222" t="e">
        <f aca="true">INDEX(OFFSET(DISABLE!$A$1,0,0,SystemInfo!$B$1,1),MATCH(CONCATENATE(B67,D67),OFFSET(DISABLE!$J$1,0,0,SystemInfo!$B$1,1),0))</f>
        <v>#N/A</v>
      </c>
      <c r="N67" s="222" t="n">
        <f aca="false">Data!$F67</f>
        <v>0</v>
      </c>
      <c r="O67" s="222" t="n">
        <f aca="false">Data!$Y67</f>
        <v>0</v>
      </c>
      <c r="P67" s="222" t="e">
        <f aca="false">Data!$O67</f>
        <v>#N/A</v>
      </c>
      <c r="Q67" s="222" t="e">
        <f aca="false">Data!$N67</f>
        <v>#N/A</v>
      </c>
      <c r="T67" s="227" t="e">
        <f aca="false">IF(Q67="","-",IF(S67="","-",S67-Q67))</f>
        <v>#N/A</v>
      </c>
      <c r="U67" s="227" t="e">
        <f aca="false">Data!$M67*$S67</f>
        <v>#N/A</v>
      </c>
      <c r="V67" s="227" t="e">
        <f aca="false">6.28*$R67*Data!$M67/8</f>
        <v>#N/A</v>
      </c>
      <c r="AF67" s="225" t="n">
        <f aca="false">Data!$AM67</f>
        <v>0</v>
      </c>
      <c r="AH67" s="222" t="n">
        <f aca="false">Data!$Z67</f>
        <v>0</v>
      </c>
      <c r="AI67" s="222" t="n">
        <f aca="false">FATPOSITIONS!$H67</f>
        <v>0</v>
      </c>
      <c r="AJ67" s="270"/>
      <c r="AK67" s="270"/>
      <c r="AM67" s="229" t="n">
        <f aca="false">Data!$R67</f>
        <v>0</v>
      </c>
      <c r="AN67" s="229" t="n">
        <f aca="false">Data!$W67</f>
        <v>0</v>
      </c>
      <c r="AO67" s="222" t="e">
        <f aca="false">Data!$P67</f>
        <v>#N/A</v>
      </c>
      <c r="AP67" s="222" t="n">
        <f aca="false">Data!$L67</f>
        <v>2</v>
      </c>
      <c r="AU67" s="108" t="n">
        <f aca="false">FATPOSITIONS!$I67</f>
        <v>0</v>
      </c>
      <c r="AV67" s="108" t="n">
        <f aca="false">FATPOSITIONS!$J67</f>
        <v>0</v>
      </c>
      <c r="AW67" s="231" t="n">
        <f aca="false">AR67+AJ67</f>
        <v>0</v>
      </c>
      <c r="AX67" s="231" t="n">
        <f aca="false">AT67+AJ67</f>
        <v>0</v>
      </c>
      <c r="AY67" s="160"/>
      <c r="AZ67" s="271"/>
      <c r="BA67" s="271"/>
      <c r="BB67" s="232" t="e">
        <f aca="false">(AS67-AQ67)/AZ67</f>
        <v>#DIV/0!</v>
      </c>
      <c r="BC67" s="108" t="str">
        <f aca="false">IF(AM67=0,"",(AN67/AM67)*AO67)</f>
        <v/>
      </c>
      <c r="BD67" s="231" t="str">
        <f aca="false">IF(AR67="","",(AT67-AR67)*AO67*AP67/(AS67-AQ67))</f>
        <v/>
      </c>
      <c r="BE67" s="271"/>
      <c r="BF67" s="233" t="n">
        <f aca="false">Data!$S67</f>
        <v>0</v>
      </c>
      <c r="BG67" s="236" t="str">
        <f aca="false">IF(AQ67="","",(AS67-AQ67)/(AM67*AP67))</f>
        <v/>
      </c>
      <c r="BH67" s="236" t="str">
        <f aca="false">IF(AR67="","",(AT67-AR67)/AN67)</f>
        <v/>
      </c>
      <c r="BI67" s="235" t="str">
        <f aca="false">Data!$J67</f>
        <v>um</v>
      </c>
      <c r="BJ67" s="236" t="n">
        <f aca="false">AM67*AP67</f>
        <v>0</v>
      </c>
      <c r="BK67" s="236" t="n">
        <f aca="false">IFERROR(($AO67*$AP67)/($BE67/$AN67),0)</f>
        <v>0</v>
      </c>
      <c r="BM67" s="272"/>
      <c r="BN67" s="208"/>
      <c r="BO67" s="208"/>
      <c r="BP67" s="208"/>
      <c r="BQ67" s="272"/>
      <c r="BR67" s="236" t="e">
        <f aca="false">IF(BP67="FALSE",($BM67*($AQ67/$BL67)+$BQ67),($BM67*($AR67/$AN67)+$BQ67))</f>
        <v>#DIV/0!</v>
      </c>
      <c r="BS67" s="236" t="e">
        <f aca="false">IF(BP67="FALSE",($BM67*($AS67/$BL67)+$BQ67),($BM67*($AT67/$AN67)+$BQ67))</f>
        <v>#DIV/0!</v>
      </c>
      <c r="BT67" s="107" t="n">
        <f aca="false">FATPOSITIONS!$L67</f>
        <v>0</v>
      </c>
      <c r="BU67" s="107" t="n">
        <f aca="false">FATPOSITIONS!$M67</f>
        <v>0</v>
      </c>
      <c r="BV67" s="236" t="str">
        <f aca="false">IFERROR($BM67*FATPOSITIONS!$N67+$BR67,"")</f>
        <v/>
      </c>
      <c r="BW67" s="236" t="str">
        <f aca="false">IFERROR(-$BM67*FATPOSITIONS!$O67+$BS67,"")</f>
        <v/>
      </c>
      <c r="BX67" s="221" t="n">
        <f aca="false">Data!$AK67</f>
        <v>0</v>
      </c>
      <c r="BY67" s="221" t="n">
        <f aca="false">Data!$AL67</f>
        <v>0</v>
      </c>
      <c r="CO67" s="221"/>
      <c r="CS67" s="232" t="str">
        <f aca="false">"Step_per_unit:"&amp;$BL67&amp;";"&amp;"Offset:"&amp;$BQ67&amp;";"&amp;"Sign:"&amp;$BM67&amp;";"&amp;"EncoderSource:"&amp;$BN67&amp;";"&amp;"EncoderSourceFormula:"&amp;$BO67&amp;";"&amp;"UseEncoderSource:"&amp;$BP67</f>
        <v>Step_per_unit:;Offset:;Sign:;EncoderSource:;EncoderSourceFormula:;UseEncoderSource:</v>
      </c>
      <c r="CV67" s="222"/>
      <c r="CW67" s="270"/>
      <c r="DC67" s="108"/>
      <c r="DH67" s="221"/>
    </row>
    <row r="68" customFormat="false" ht="10.2" hidden="false" customHeight="false" outlineLevel="0" collapsed="false">
      <c r="A68" s="212" t="n">
        <f aca="false">Data!$A68</f>
        <v>68</v>
      </c>
      <c r="B68" s="212" t="n">
        <f aca="false">Data!$B68</f>
        <v>0</v>
      </c>
      <c r="C68" s="212" t="n">
        <f aca="false">Data!$C68</f>
        <v>0</v>
      </c>
      <c r="D68" s="267" t="n">
        <f aca="false">Data!D68</f>
        <v>0</v>
      </c>
      <c r="E68" s="224" t="n">
        <f aca="false">Data!$E68</f>
        <v>0</v>
      </c>
      <c r="F68" s="225" t="n">
        <f aca="false">Data!$G68</f>
        <v>0</v>
      </c>
      <c r="G68" s="225" t="n">
        <f aca="false">Data!$H68</f>
        <v>0</v>
      </c>
      <c r="H68" s="225" t="n">
        <f aca="false">Data!$AM68</f>
        <v>0</v>
      </c>
      <c r="I68" s="222" t="e">
        <f aca="true">INDEX(OFFSET(MOTION1!$A$1,0,0,SystemInfo!$B$1,1),MATCH(CONCATENATE(B68,D68),OFFSET(MOTION1!$J$1,0,0,SystemInfo!$B$1,1),0))</f>
        <v>#N/A</v>
      </c>
      <c r="J68" s="222" t="e">
        <f aca="true">INDEX(OFFSET(MOTION3!$A$1,0,0,SystemInfo!$B$1,1),MATCH(CONCATENATE(B68,D68),OFFSET(MOTION3!$J$1,0,0,SystemInfo!$B$1,1),0))</f>
        <v>#N/A</v>
      </c>
      <c r="L68" s="222" t="e">
        <f aca="true">INDEX(OFFSET(DISABLE!$A$1,0,0,SystemInfo!$B$1,1),MATCH(CONCATENATE(B68,D68),OFFSET(DISABLE!$J$1,0,0,SystemInfo!$B$1,1),0))</f>
        <v>#N/A</v>
      </c>
      <c r="N68" s="222" t="n">
        <f aca="false">Data!$F68</f>
        <v>0</v>
      </c>
      <c r="O68" s="222" t="n">
        <f aca="false">Data!$Y68</f>
        <v>0</v>
      </c>
      <c r="P68" s="222" t="e">
        <f aca="false">Data!$O68</f>
        <v>#N/A</v>
      </c>
      <c r="Q68" s="222" t="e">
        <f aca="false">Data!$N68</f>
        <v>#N/A</v>
      </c>
      <c r="T68" s="227" t="e">
        <f aca="false">IF(Q68="","-",IF(S68="","-",S68-Q68))</f>
        <v>#N/A</v>
      </c>
      <c r="U68" s="227" t="e">
        <f aca="false">Data!$M68*$S68</f>
        <v>#N/A</v>
      </c>
      <c r="V68" s="227" t="e">
        <f aca="false">6.28*$R68*Data!$M68/8</f>
        <v>#N/A</v>
      </c>
      <c r="AF68" s="225" t="n">
        <f aca="false">Data!$AM68</f>
        <v>0</v>
      </c>
      <c r="AH68" s="222" t="n">
        <f aca="false">Data!$Z68</f>
        <v>0</v>
      </c>
      <c r="AI68" s="222" t="n">
        <f aca="false">FATPOSITIONS!$H68</f>
        <v>0</v>
      </c>
      <c r="AJ68" s="270"/>
      <c r="AK68" s="270"/>
      <c r="AM68" s="229" t="n">
        <f aca="false">Data!$R68</f>
        <v>0</v>
      </c>
      <c r="AN68" s="229" t="n">
        <f aca="false">Data!$W68</f>
        <v>0</v>
      </c>
      <c r="AO68" s="222" t="e">
        <f aca="false">Data!$P68</f>
        <v>#N/A</v>
      </c>
      <c r="AP68" s="222" t="n">
        <f aca="false">Data!$L68</f>
        <v>2</v>
      </c>
      <c r="AU68" s="108" t="n">
        <f aca="false">FATPOSITIONS!$I68</f>
        <v>0</v>
      </c>
      <c r="AV68" s="108" t="n">
        <f aca="false">FATPOSITIONS!$J68</f>
        <v>0</v>
      </c>
      <c r="AW68" s="231" t="n">
        <f aca="false">AR68+AJ68</f>
        <v>0</v>
      </c>
      <c r="AX68" s="231" t="n">
        <f aca="false">AT68+AJ68</f>
        <v>0</v>
      </c>
      <c r="AZ68" s="271"/>
      <c r="BA68" s="271"/>
      <c r="BB68" s="232" t="e">
        <f aca="false">(AS68-AQ68)/AZ68</f>
        <v>#DIV/0!</v>
      </c>
      <c r="BC68" s="108" t="str">
        <f aca="false">IF(AM68=0,"",(AN68/AM68)*AO68)</f>
        <v/>
      </c>
      <c r="BD68" s="231" t="str">
        <f aca="false">IF(AR68="","",(AT68-AR68)*AO68*AP68/(AS68-AQ68))</f>
        <v/>
      </c>
      <c r="BF68" s="233" t="n">
        <f aca="false">Data!$S68</f>
        <v>0</v>
      </c>
      <c r="BG68" s="236" t="str">
        <f aca="false">IF(AQ68="","",(AS68-AQ68)/(AM68*AP68))</f>
        <v/>
      </c>
      <c r="BH68" s="236" t="str">
        <f aca="false">IF(AR68="","",(AT68-AR68)/AN68)</f>
        <v/>
      </c>
      <c r="BI68" s="235" t="str">
        <f aca="false">Data!$J68</f>
        <v>um</v>
      </c>
      <c r="BJ68" s="236" t="n">
        <f aca="false">AM68*AP68</f>
        <v>0</v>
      </c>
      <c r="BK68" s="236" t="n">
        <f aca="false">IFERROR(($AO68*$AP68)/($BE68/$AN68),0)</f>
        <v>0</v>
      </c>
      <c r="BM68" s="272"/>
      <c r="BN68" s="208"/>
      <c r="BO68" s="208"/>
      <c r="BP68" s="208"/>
      <c r="BQ68" s="272"/>
      <c r="BR68" s="236" t="e">
        <f aca="false">IF(BP68="FALSE",($BM68*($AQ68/$BL68)+$BQ68),($BM68*($AR68/$AN68)+$BQ68))</f>
        <v>#DIV/0!</v>
      </c>
      <c r="BS68" s="236" t="e">
        <f aca="false">IF(BP68="FALSE",($BM68*($AS68/$BL68)+$BQ68),($BM68*($AT68/$AN68)+$BQ68))</f>
        <v>#DIV/0!</v>
      </c>
      <c r="BT68" s="107" t="n">
        <f aca="false">FATPOSITIONS!$L68</f>
        <v>0</v>
      </c>
      <c r="BU68" s="107" t="n">
        <f aca="false">FATPOSITIONS!$M68</f>
        <v>0</v>
      </c>
      <c r="BV68" s="236" t="str">
        <f aca="false">IFERROR($BM68*FATPOSITIONS!$N68+$BR68,"")</f>
        <v/>
      </c>
      <c r="BW68" s="236" t="str">
        <f aca="false">IFERROR(-$BM68*FATPOSITIONS!$O68+$BS68,"")</f>
        <v/>
      </c>
      <c r="BX68" s="221" t="n">
        <f aca="false">Data!$AK68</f>
        <v>0</v>
      </c>
      <c r="BY68" s="221" t="n">
        <f aca="false">Data!$AL68</f>
        <v>0</v>
      </c>
      <c r="CO68" s="221"/>
      <c r="CS68" s="232" t="str">
        <f aca="false">"Step_per_unit:"&amp;$BL68&amp;";"&amp;"Offset:"&amp;$BQ68&amp;";"&amp;"Sign:"&amp;$BM68&amp;";"&amp;"EncoderSource:"&amp;$BN68&amp;";"&amp;"EncoderSourceFormula:"&amp;$BO68&amp;";"&amp;"UseEncoderSource:"&amp;$BP68</f>
        <v>Step_per_unit:;Offset:;Sign:;EncoderSource:;EncoderSourceFormula:;UseEncoderSource:</v>
      </c>
      <c r="CV68" s="222"/>
      <c r="CW68" s="270"/>
      <c r="DC68" s="108"/>
      <c r="DH68" s="221"/>
    </row>
    <row r="69" s="279" customFormat="true" ht="10.2" hidden="false" customHeight="false" outlineLevel="0" collapsed="false">
      <c r="A69" s="220"/>
      <c r="B69" s="220"/>
      <c r="C69" s="220"/>
      <c r="D69" s="275"/>
      <c r="E69" s="276"/>
      <c r="F69" s="275"/>
      <c r="G69" s="275"/>
      <c r="H69" s="275"/>
      <c r="I69" s="277"/>
      <c r="J69" s="277"/>
      <c r="K69" s="277"/>
      <c r="L69" s="277"/>
      <c r="M69" s="277"/>
      <c r="N69" s="277"/>
      <c r="O69" s="277"/>
      <c r="P69" s="277"/>
      <c r="Q69" s="277"/>
      <c r="R69" s="278"/>
      <c r="S69" s="278"/>
      <c r="T69" s="278"/>
      <c r="U69" s="278"/>
      <c r="V69" s="278"/>
      <c r="W69" s="278"/>
      <c r="X69" s="278"/>
      <c r="Y69" s="278"/>
      <c r="Z69" s="278"/>
      <c r="AA69" s="278"/>
      <c r="AF69" s="275"/>
      <c r="AH69" s="277"/>
      <c r="AI69" s="277"/>
      <c r="AJ69" s="277"/>
      <c r="AK69" s="277"/>
      <c r="AM69" s="278"/>
      <c r="AN69" s="278"/>
      <c r="AO69" s="277"/>
      <c r="AP69" s="277"/>
      <c r="AQ69" s="280"/>
      <c r="AR69" s="280"/>
      <c r="AS69" s="280"/>
      <c r="AT69" s="280"/>
      <c r="AU69" s="277"/>
      <c r="AV69" s="277"/>
      <c r="AW69" s="280"/>
      <c r="AX69" s="280"/>
      <c r="AY69" s="280" t="n">
        <v>-13288610</v>
      </c>
      <c r="AZ69" s="280"/>
      <c r="BA69" s="280"/>
      <c r="BB69" s="281"/>
      <c r="BC69" s="280"/>
      <c r="BD69" s="280"/>
      <c r="BE69" s="280"/>
      <c r="BF69" s="281"/>
      <c r="BG69" s="281"/>
      <c r="BH69" s="281"/>
      <c r="BI69" s="281"/>
      <c r="BJ69" s="282"/>
      <c r="BK69" s="282"/>
      <c r="BL69" s="284"/>
      <c r="BM69" s="284"/>
      <c r="BN69" s="282"/>
      <c r="BO69" s="282"/>
      <c r="BP69" s="282"/>
      <c r="BQ69" s="284"/>
      <c r="BR69" s="283"/>
      <c r="BS69" s="283"/>
      <c r="BT69" s="283"/>
      <c r="BU69" s="283"/>
      <c r="BV69" s="283"/>
      <c r="BW69" s="283"/>
      <c r="BX69" s="277"/>
      <c r="BY69" s="277"/>
      <c r="BZ69" s="277"/>
      <c r="CA69" s="277"/>
      <c r="CB69" s="277"/>
      <c r="CC69" s="277"/>
      <c r="CS69" s="281"/>
      <c r="CT69" s="281"/>
      <c r="CU69" s="281"/>
      <c r="CV69" s="281"/>
      <c r="CW69" s="281"/>
      <c r="CX69" s="281"/>
      <c r="CY69" s="278"/>
      <c r="CZ69" s="281"/>
      <c r="DA69" s="281"/>
      <c r="DB69" s="281"/>
      <c r="DC69" s="281"/>
      <c r="DD69" s="281"/>
      <c r="DE69" s="281"/>
      <c r="DF69" s="281"/>
      <c r="DG69" s="281"/>
      <c r="DH69" s="281"/>
      <c r="DI69" s="281"/>
    </row>
    <row r="70" customFormat="false" ht="10.2" hidden="false" customHeight="false" outlineLevel="0" collapsed="false">
      <c r="A70" s="220"/>
      <c r="B70" s="220"/>
      <c r="C70" s="220"/>
      <c r="D70" s="275"/>
      <c r="E70" s="276"/>
      <c r="F70" s="275"/>
      <c r="G70" s="275"/>
      <c r="H70" s="275"/>
      <c r="I70" s="277"/>
      <c r="J70" s="277"/>
      <c r="K70" s="277"/>
      <c r="L70" s="277"/>
      <c r="M70" s="277"/>
      <c r="N70" s="277"/>
      <c r="O70" s="277"/>
      <c r="P70" s="277"/>
      <c r="Q70" s="277"/>
      <c r="R70" s="278"/>
      <c r="S70" s="278"/>
      <c r="T70" s="278"/>
      <c r="U70" s="278"/>
      <c r="V70" s="278"/>
      <c r="W70" s="278"/>
      <c r="X70" s="278"/>
      <c r="Y70" s="278"/>
      <c r="Z70" s="278"/>
      <c r="AA70" s="278"/>
      <c r="AB70" s="279"/>
      <c r="AC70" s="279"/>
      <c r="AD70" s="279"/>
      <c r="AE70" s="279"/>
      <c r="AF70" s="275"/>
      <c r="AG70" s="279"/>
      <c r="AH70" s="277"/>
      <c r="AI70" s="277"/>
      <c r="AJ70" s="277"/>
      <c r="AK70" s="277"/>
      <c r="AL70" s="279"/>
      <c r="AM70" s="278"/>
      <c r="AN70" s="278"/>
      <c r="AO70" s="277"/>
      <c r="AP70" s="277"/>
      <c r="AQ70" s="280"/>
      <c r="AR70" s="280"/>
      <c r="AS70" s="280"/>
      <c r="AT70" s="280"/>
      <c r="AU70" s="277"/>
      <c r="AV70" s="277"/>
      <c r="AW70" s="280"/>
      <c r="AX70" s="280"/>
      <c r="AY70" s="280" t="n">
        <v>-13288610</v>
      </c>
      <c r="AZ70" s="280"/>
      <c r="BA70" s="280"/>
      <c r="BB70" s="281"/>
      <c r="BC70" s="280"/>
      <c r="BD70" s="280"/>
      <c r="BE70" s="280"/>
      <c r="BF70" s="281"/>
      <c r="BG70" s="283"/>
      <c r="BH70" s="283"/>
      <c r="BI70" s="283"/>
      <c r="BJ70" s="282"/>
      <c r="BK70" s="282"/>
      <c r="BL70" s="284"/>
      <c r="BM70" s="284"/>
      <c r="BN70" s="282"/>
      <c r="BO70" s="282"/>
      <c r="BP70" s="282"/>
      <c r="BQ70" s="284"/>
      <c r="BR70" s="283"/>
      <c r="BS70" s="283"/>
      <c r="BT70" s="283"/>
      <c r="BU70" s="283"/>
      <c r="BV70" s="283"/>
      <c r="BW70" s="283"/>
      <c r="BX70" s="277"/>
      <c r="BY70" s="277"/>
      <c r="BZ70" s="277"/>
      <c r="CA70" s="277"/>
      <c r="CB70" s="277"/>
      <c r="CC70" s="277"/>
      <c r="CS70" s="281"/>
      <c r="CT70" s="281"/>
      <c r="CU70" s="281"/>
      <c r="CV70" s="281"/>
      <c r="CW70" s="281"/>
      <c r="CX70" s="281"/>
      <c r="CY70" s="278"/>
      <c r="CZ70" s="281"/>
      <c r="DA70" s="281"/>
      <c r="DB70" s="281"/>
      <c r="DC70" s="281"/>
      <c r="DD70" s="281"/>
      <c r="DE70" s="281"/>
      <c r="DF70" s="281"/>
      <c r="DG70" s="281"/>
      <c r="DH70" s="281"/>
      <c r="DI70" s="281"/>
    </row>
    <row r="71" customFormat="false" ht="10.2" hidden="false" customHeight="false" outlineLevel="0" collapsed="false">
      <c r="AH71" s="222"/>
      <c r="AI71" s="222"/>
      <c r="AJ71" s="270"/>
      <c r="AK71" s="270"/>
      <c r="CV71" s="222"/>
      <c r="CW71" s="270"/>
      <c r="DC71" s="108"/>
      <c r="DH71" s="235"/>
    </row>
    <row r="72" customFormat="false" ht="10.2" hidden="false" customHeight="false" outlineLevel="0" collapsed="false">
      <c r="AH72" s="222"/>
      <c r="AI72" s="222"/>
      <c r="AJ72" s="270"/>
      <c r="AK72" s="270"/>
      <c r="CV72" s="222"/>
      <c r="CW72" s="270"/>
      <c r="DC72" s="108"/>
      <c r="DH72" s="235"/>
    </row>
    <row r="73" customFormat="false" ht="10.2" hidden="false" customHeight="false" outlineLevel="0" collapsed="false">
      <c r="AH73" s="222"/>
      <c r="AI73" s="222"/>
      <c r="AJ73" s="270"/>
      <c r="AK73" s="270"/>
      <c r="CV73" s="222"/>
      <c r="CW73" s="270"/>
      <c r="DC73" s="108"/>
      <c r="DH73" s="235"/>
    </row>
    <row r="74" customFormat="false" ht="10.2" hidden="false" customHeight="false" outlineLevel="0" collapsed="false">
      <c r="AH74" s="222"/>
      <c r="AI74" s="222"/>
      <c r="AJ74" s="270"/>
      <c r="AK74" s="270"/>
      <c r="CV74" s="222"/>
      <c r="CW74" s="270"/>
      <c r="DC74" s="108"/>
      <c r="DH74" s="235"/>
    </row>
    <row r="75" customFormat="false" ht="10.2" hidden="false" customHeight="false" outlineLevel="0" collapsed="false">
      <c r="AH75" s="222"/>
      <c r="AI75" s="222"/>
      <c r="AJ75" s="270"/>
      <c r="AK75" s="270"/>
      <c r="CV75" s="222"/>
      <c r="CW75" s="270"/>
      <c r="DC75" s="108"/>
      <c r="DH75" s="235"/>
    </row>
    <row r="76" customFormat="false" ht="10.2" hidden="false" customHeight="false" outlineLevel="0" collapsed="false">
      <c r="AH76" s="222"/>
      <c r="AI76" s="222"/>
      <c r="AJ76" s="270"/>
      <c r="AK76" s="270"/>
      <c r="CV76" s="222"/>
      <c r="CW76" s="270"/>
      <c r="DC76" s="108"/>
      <c r="DH76" s="235"/>
    </row>
    <row r="77" customFormat="false" ht="10.2" hidden="false" customHeight="false" outlineLevel="0" collapsed="false">
      <c r="AH77" s="222"/>
      <c r="AI77" s="222"/>
      <c r="AJ77" s="270"/>
      <c r="AK77" s="270"/>
      <c r="CV77" s="222"/>
      <c r="CW77" s="270"/>
      <c r="DC77" s="108"/>
      <c r="DH77" s="235"/>
    </row>
    <row r="78" customFormat="false" ht="10.2" hidden="false" customHeight="false" outlineLevel="0" collapsed="false">
      <c r="AH78" s="222"/>
      <c r="AI78" s="222"/>
      <c r="AJ78" s="270"/>
      <c r="AK78" s="270"/>
      <c r="CV78" s="222"/>
      <c r="CW78" s="270"/>
      <c r="DC78" s="108"/>
      <c r="DH78" s="235"/>
    </row>
    <row r="79" customFormat="false" ht="10.2" hidden="false" customHeight="false" outlineLevel="0" collapsed="false">
      <c r="AH79" s="222"/>
      <c r="AI79" s="222"/>
      <c r="AJ79" s="270"/>
      <c r="AK79" s="270"/>
      <c r="CV79" s="222"/>
      <c r="CW79" s="270"/>
      <c r="DC79" s="108"/>
      <c r="DH79" s="235"/>
    </row>
    <row r="80" customFormat="false" ht="10.2" hidden="false" customHeight="false" outlineLevel="0" collapsed="false">
      <c r="AH80" s="222"/>
      <c r="AI80" s="222"/>
      <c r="AJ80" s="270"/>
      <c r="AK80" s="270"/>
      <c r="CV80" s="222"/>
      <c r="CW80" s="270"/>
      <c r="DC80" s="108"/>
      <c r="DH80" s="235"/>
    </row>
    <row r="81" customFormat="false" ht="10.2" hidden="false" customHeight="false" outlineLevel="0" collapsed="false">
      <c r="AH81" s="222"/>
      <c r="AI81" s="222"/>
      <c r="AJ81" s="270"/>
      <c r="AK81" s="270"/>
      <c r="CV81" s="222"/>
      <c r="CW81" s="270"/>
      <c r="DC81" s="108"/>
      <c r="DH81" s="235"/>
    </row>
    <row r="82" customFormat="false" ht="10.2" hidden="false" customHeight="false" outlineLevel="0" collapsed="false">
      <c r="AH82" s="222"/>
      <c r="AI82" s="222"/>
      <c r="AJ82" s="270"/>
      <c r="AK82" s="270"/>
      <c r="CV82" s="222"/>
      <c r="CW82" s="270"/>
      <c r="DC82" s="108"/>
      <c r="DH82" s="235"/>
    </row>
    <row r="83" customFormat="false" ht="10.2" hidden="false" customHeight="false" outlineLevel="0" collapsed="false">
      <c r="AH83" s="222"/>
      <c r="AI83" s="222"/>
      <c r="AJ83" s="270"/>
      <c r="AK83" s="270"/>
      <c r="CV83" s="222"/>
      <c r="CW83" s="270"/>
      <c r="DC83" s="108"/>
      <c r="DH83" s="235"/>
    </row>
    <row r="84" customFormat="false" ht="10.2" hidden="false" customHeight="false" outlineLevel="0" collapsed="false">
      <c r="AH84" s="222"/>
      <c r="AI84" s="222"/>
      <c r="AJ84" s="270"/>
      <c r="AK84" s="270"/>
      <c r="CV84" s="222"/>
      <c r="CW84" s="270"/>
      <c r="DC84" s="108"/>
      <c r="DH84" s="235"/>
    </row>
    <row r="85" customFormat="false" ht="10.2" hidden="false" customHeight="false" outlineLevel="0" collapsed="false">
      <c r="AH85" s="222"/>
      <c r="AI85" s="222"/>
      <c r="AJ85" s="270"/>
      <c r="AK85" s="270"/>
      <c r="CV85" s="222"/>
      <c r="CW85" s="270"/>
      <c r="DC85" s="108"/>
      <c r="DH85" s="235"/>
    </row>
    <row r="86" customFormat="false" ht="10.2" hidden="false" customHeight="false" outlineLevel="0" collapsed="false">
      <c r="AH86" s="222"/>
      <c r="AI86" s="222"/>
      <c r="AJ86" s="270"/>
      <c r="AK86" s="270"/>
      <c r="CV86" s="222"/>
      <c r="CW86" s="270"/>
      <c r="DC86" s="108"/>
      <c r="DH86" s="235"/>
    </row>
    <row r="87" customFormat="false" ht="10.2" hidden="false" customHeight="false" outlineLevel="0" collapsed="false">
      <c r="AH87" s="222"/>
      <c r="AI87" s="222"/>
      <c r="AJ87" s="270"/>
      <c r="AK87" s="270"/>
      <c r="CV87" s="222"/>
      <c r="CW87" s="270"/>
      <c r="DC87" s="108"/>
      <c r="DH87" s="235"/>
    </row>
    <row r="88" customFormat="false" ht="10.2" hidden="false" customHeight="false" outlineLevel="0" collapsed="false">
      <c r="AH88" s="222"/>
      <c r="AI88" s="222"/>
      <c r="AJ88" s="270"/>
      <c r="AK88" s="270"/>
      <c r="CV88" s="222"/>
      <c r="CW88" s="270"/>
      <c r="DC88" s="108"/>
      <c r="DH88" s="235"/>
    </row>
    <row r="89" customFormat="false" ht="10.2" hidden="false" customHeight="false" outlineLevel="0" collapsed="false">
      <c r="AH89" s="222"/>
      <c r="AI89" s="222"/>
      <c r="AJ89" s="270"/>
      <c r="AK89" s="270"/>
      <c r="CV89" s="222"/>
      <c r="CW89" s="270"/>
      <c r="DC89" s="108"/>
      <c r="DH89" s="235"/>
    </row>
    <row r="90" customFormat="false" ht="10.2" hidden="false" customHeight="false" outlineLevel="0" collapsed="false">
      <c r="AH90" s="222"/>
      <c r="AI90" s="222"/>
      <c r="AJ90" s="270"/>
      <c r="AK90" s="270"/>
      <c r="CV90" s="222"/>
      <c r="CW90" s="270"/>
      <c r="DC90" s="108"/>
      <c r="DH90" s="235"/>
    </row>
    <row r="91" customFormat="false" ht="10.2" hidden="false" customHeight="false" outlineLevel="0" collapsed="false">
      <c r="AH91" s="222"/>
      <c r="AI91" s="222"/>
      <c r="AJ91" s="270"/>
      <c r="AK91" s="270"/>
      <c r="CV91" s="222"/>
      <c r="CW91" s="270"/>
      <c r="DC91" s="108"/>
      <c r="DH91" s="235"/>
    </row>
    <row r="92" customFormat="false" ht="10.2" hidden="false" customHeight="false" outlineLevel="0" collapsed="false">
      <c r="AH92" s="222"/>
      <c r="AI92" s="222"/>
      <c r="AJ92" s="270"/>
      <c r="AK92" s="270"/>
      <c r="CV92" s="222"/>
      <c r="CW92" s="270"/>
      <c r="DC92" s="108"/>
      <c r="DH92" s="235"/>
    </row>
    <row r="93" customFormat="false" ht="10.2" hidden="false" customHeight="false" outlineLevel="0" collapsed="false">
      <c r="AH93" s="222"/>
      <c r="AI93" s="222"/>
      <c r="AJ93" s="270"/>
      <c r="AK93" s="270"/>
      <c r="CV93" s="222"/>
      <c r="CW93" s="270"/>
      <c r="DC93" s="108"/>
      <c r="DH93" s="235"/>
    </row>
    <row r="94" customFormat="false" ht="10.2" hidden="false" customHeight="false" outlineLevel="0" collapsed="false">
      <c r="AH94" s="222"/>
      <c r="AI94" s="222"/>
      <c r="AJ94" s="270"/>
      <c r="AK94" s="270"/>
      <c r="CV94" s="222"/>
      <c r="CW94" s="270"/>
      <c r="DC94" s="108"/>
      <c r="DH94" s="235"/>
    </row>
    <row r="95" customFormat="false" ht="10.2" hidden="false" customHeight="false" outlineLevel="0" collapsed="false">
      <c r="AH95" s="222"/>
      <c r="AI95" s="222"/>
      <c r="AJ95" s="270"/>
      <c r="AK95" s="270"/>
      <c r="CV95" s="222"/>
      <c r="CW95" s="270"/>
      <c r="DC95" s="108"/>
      <c r="DH95" s="235"/>
    </row>
    <row r="96" customFormat="false" ht="10.2" hidden="false" customHeight="false" outlineLevel="0" collapsed="false">
      <c r="AH96" s="222"/>
      <c r="AI96" s="222"/>
      <c r="AJ96" s="270"/>
      <c r="AK96" s="270"/>
      <c r="CV96" s="222"/>
      <c r="CW96" s="270"/>
      <c r="DC96" s="108"/>
      <c r="DH96" s="235"/>
    </row>
    <row r="97" customFormat="false" ht="10.2" hidden="false" customHeight="false" outlineLevel="0" collapsed="false">
      <c r="AH97" s="222"/>
      <c r="AI97" s="222"/>
      <c r="AJ97" s="270"/>
      <c r="AK97" s="270"/>
      <c r="CV97" s="222"/>
      <c r="CW97" s="270"/>
      <c r="DC97" s="108"/>
      <c r="DH97" s="235"/>
    </row>
    <row r="98" customFormat="false" ht="10.2" hidden="false" customHeight="false" outlineLevel="0" collapsed="false">
      <c r="AH98" s="222"/>
      <c r="AI98" s="222"/>
      <c r="AJ98" s="270"/>
      <c r="AK98" s="270"/>
      <c r="CV98" s="222"/>
      <c r="CW98" s="270"/>
      <c r="DC98" s="108"/>
      <c r="DH98" s="235"/>
    </row>
    <row r="99" customFormat="false" ht="10.2" hidden="false" customHeight="false" outlineLevel="0" collapsed="false">
      <c r="AH99" s="222"/>
      <c r="AI99" s="222"/>
      <c r="AJ99" s="270"/>
      <c r="AK99" s="270"/>
      <c r="CV99" s="222"/>
      <c r="CW99" s="270"/>
      <c r="DC99" s="108"/>
      <c r="DH99" s="235"/>
    </row>
    <row r="100" customFormat="false" ht="10.2" hidden="false" customHeight="false" outlineLevel="0" collapsed="false">
      <c r="AH100" s="222"/>
      <c r="AI100" s="222"/>
      <c r="AJ100" s="270"/>
      <c r="AK100" s="270"/>
      <c r="CV100" s="222"/>
      <c r="CW100" s="270"/>
      <c r="DC100" s="108"/>
      <c r="DH100" s="235"/>
    </row>
    <row r="101" customFormat="false" ht="10.2" hidden="false" customHeight="false" outlineLevel="0" collapsed="false">
      <c r="AH101" s="222"/>
      <c r="AI101" s="222"/>
      <c r="AJ101" s="270"/>
      <c r="AK101" s="270"/>
      <c r="CV101" s="222"/>
      <c r="CW101" s="270"/>
      <c r="DC101" s="108"/>
      <c r="DH101" s="235"/>
    </row>
    <row r="102" customFormat="false" ht="10.2" hidden="false" customHeight="false" outlineLevel="0" collapsed="false">
      <c r="AH102" s="222"/>
      <c r="AI102" s="222"/>
      <c r="AJ102" s="270"/>
      <c r="AK102" s="270"/>
      <c r="CV102" s="222"/>
      <c r="CW102" s="270"/>
      <c r="DC102" s="108"/>
      <c r="DH102" s="235"/>
    </row>
    <row r="103" customFormat="false" ht="10.2" hidden="false" customHeight="false" outlineLevel="0" collapsed="false">
      <c r="AH103" s="222"/>
      <c r="AI103" s="222"/>
      <c r="AJ103" s="270"/>
      <c r="AK103" s="270"/>
      <c r="CV103" s="222"/>
      <c r="CW103" s="270"/>
      <c r="DC103" s="108"/>
      <c r="DH103" s="235"/>
    </row>
    <row r="104" customFormat="false" ht="10.2" hidden="false" customHeight="false" outlineLevel="0" collapsed="false">
      <c r="AH104" s="222"/>
      <c r="AI104" s="222"/>
      <c r="AJ104" s="270"/>
      <c r="AK104" s="270"/>
      <c r="CV104" s="222"/>
      <c r="CW104" s="270"/>
      <c r="DC104" s="108"/>
      <c r="DH104" s="235"/>
    </row>
    <row r="105" customFormat="false" ht="10.2" hidden="false" customHeight="false" outlineLevel="0" collapsed="false">
      <c r="AH105" s="222"/>
      <c r="AI105" s="222"/>
      <c r="AJ105" s="270"/>
      <c r="AK105" s="270"/>
      <c r="CV105" s="222"/>
      <c r="CW105" s="270"/>
      <c r="DC105" s="108"/>
      <c r="DH105" s="235"/>
    </row>
    <row r="106" customFormat="false" ht="10.2" hidden="false" customHeight="false" outlineLevel="0" collapsed="false">
      <c r="AH106" s="222"/>
      <c r="AI106" s="222"/>
      <c r="AJ106" s="270"/>
      <c r="AK106" s="270"/>
      <c r="CV106" s="222"/>
      <c r="CW106" s="270"/>
      <c r="DC106" s="108"/>
      <c r="DH106" s="235"/>
    </row>
    <row r="107" customFormat="false" ht="10.2" hidden="false" customHeight="false" outlineLevel="0" collapsed="false">
      <c r="AH107" s="222"/>
      <c r="AI107" s="222"/>
      <c r="AJ107" s="270"/>
      <c r="AK107" s="270"/>
      <c r="CV107" s="222"/>
      <c r="CW107" s="270"/>
      <c r="DC107" s="108"/>
      <c r="DH107" s="235"/>
    </row>
    <row r="108" customFormat="false" ht="10.2" hidden="false" customHeight="false" outlineLevel="0" collapsed="false">
      <c r="AH108" s="222"/>
      <c r="AI108" s="222"/>
      <c r="AJ108" s="270"/>
      <c r="AK108" s="270"/>
      <c r="CV108" s="222"/>
      <c r="CW108" s="270"/>
      <c r="DC108" s="108"/>
      <c r="DH108" s="235"/>
    </row>
    <row r="109" customFormat="false" ht="10.2" hidden="false" customHeight="false" outlineLevel="0" collapsed="false">
      <c r="AH109" s="222"/>
      <c r="AI109" s="222"/>
      <c r="AJ109" s="270"/>
      <c r="AK109" s="270"/>
      <c r="CV109" s="222"/>
      <c r="CW109" s="270"/>
      <c r="DC109" s="108"/>
      <c r="DH109" s="235"/>
    </row>
    <row r="110" customFormat="false" ht="10.2" hidden="false" customHeight="false" outlineLevel="0" collapsed="false">
      <c r="AH110" s="222"/>
      <c r="AI110" s="222"/>
      <c r="AJ110" s="270"/>
      <c r="AK110" s="270"/>
      <c r="CV110" s="222"/>
      <c r="CW110" s="270"/>
      <c r="DC110" s="108"/>
      <c r="DH110" s="235"/>
    </row>
    <row r="111" customFormat="false" ht="10.2" hidden="false" customHeight="false" outlineLevel="0" collapsed="false">
      <c r="AH111" s="222"/>
      <c r="AI111" s="222"/>
      <c r="AJ111" s="270"/>
      <c r="AK111" s="270"/>
      <c r="CV111" s="222"/>
      <c r="CW111" s="270"/>
      <c r="DC111" s="108"/>
      <c r="DH111" s="235"/>
    </row>
    <row r="112" customFormat="false" ht="10.2" hidden="false" customHeight="false" outlineLevel="0" collapsed="false">
      <c r="AH112" s="222"/>
      <c r="AI112" s="222"/>
      <c r="AJ112" s="270"/>
      <c r="AK112" s="270"/>
      <c r="CV112" s="222"/>
      <c r="CW112" s="270"/>
      <c r="DC112" s="108"/>
      <c r="DH112" s="235"/>
    </row>
    <row r="113" customFormat="false" ht="10.2" hidden="false" customHeight="false" outlineLevel="0" collapsed="false">
      <c r="AH113" s="222"/>
      <c r="AI113" s="222"/>
      <c r="AJ113" s="270"/>
      <c r="AK113" s="270"/>
      <c r="CV113" s="222"/>
      <c r="CW113" s="270"/>
      <c r="DC113" s="108"/>
      <c r="DH113" s="235"/>
    </row>
    <row r="114" customFormat="false" ht="10.2" hidden="false" customHeight="false" outlineLevel="0" collapsed="false">
      <c r="AH114" s="222"/>
      <c r="AI114" s="222"/>
      <c r="AJ114" s="270"/>
      <c r="AK114" s="270"/>
      <c r="CV114" s="222"/>
      <c r="CW114" s="270"/>
      <c r="DC114" s="108"/>
      <c r="DH114" s="235"/>
    </row>
    <row r="115" customFormat="false" ht="10.2" hidden="false" customHeight="false" outlineLevel="0" collapsed="false">
      <c r="AH115" s="222"/>
      <c r="AI115" s="222"/>
      <c r="AJ115" s="270"/>
      <c r="AK115" s="270"/>
      <c r="CV115" s="222"/>
      <c r="CW115" s="270"/>
      <c r="DC115" s="108"/>
      <c r="DH115" s="235"/>
    </row>
    <row r="116" customFormat="false" ht="10.2" hidden="false" customHeight="false" outlineLevel="0" collapsed="false">
      <c r="AH116" s="222"/>
      <c r="AI116" s="222"/>
      <c r="AJ116" s="270"/>
      <c r="AK116" s="270"/>
      <c r="CV116" s="222"/>
      <c r="CW116" s="270"/>
      <c r="DC116" s="108"/>
      <c r="DH116" s="235"/>
    </row>
    <row r="117" customFormat="false" ht="10.2" hidden="false" customHeight="false" outlineLevel="0" collapsed="false">
      <c r="AH117" s="222"/>
      <c r="AI117" s="222"/>
      <c r="AJ117" s="270"/>
      <c r="AK117" s="270"/>
      <c r="CV117" s="222"/>
      <c r="CW117" s="270"/>
      <c r="DC117" s="108"/>
      <c r="DH117" s="235"/>
    </row>
    <row r="118" customFormat="false" ht="10.2" hidden="false" customHeight="false" outlineLevel="0" collapsed="false">
      <c r="AH118" s="222"/>
      <c r="AI118" s="222"/>
      <c r="AJ118" s="270"/>
      <c r="AK118" s="270"/>
      <c r="CV118" s="222"/>
      <c r="CW118" s="270"/>
      <c r="DC118" s="108"/>
      <c r="DH118" s="235"/>
    </row>
    <row r="119" customFormat="false" ht="10.2" hidden="false" customHeight="false" outlineLevel="0" collapsed="false">
      <c r="AH119" s="222"/>
      <c r="AI119" s="222"/>
      <c r="AJ119" s="270"/>
      <c r="AK119" s="270"/>
      <c r="CV119" s="222"/>
      <c r="CW119" s="270"/>
      <c r="DC119" s="108"/>
      <c r="DH119" s="235"/>
    </row>
    <row r="120" customFormat="false" ht="10.2" hidden="false" customHeight="false" outlineLevel="0" collapsed="false">
      <c r="AH120" s="222"/>
      <c r="AI120" s="222"/>
      <c r="AJ120" s="270"/>
      <c r="AK120" s="270"/>
      <c r="CV120" s="222"/>
      <c r="CW120" s="270"/>
      <c r="DC120" s="108"/>
      <c r="DH120" s="235"/>
    </row>
    <row r="121" customFormat="false" ht="10.2" hidden="false" customHeight="false" outlineLevel="0" collapsed="false">
      <c r="AH121" s="222"/>
      <c r="AI121" s="222"/>
      <c r="AJ121" s="270"/>
      <c r="AK121" s="270"/>
      <c r="CV121" s="222"/>
      <c r="CW121" s="270"/>
      <c r="DC121" s="108"/>
      <c r="DH121" s="235"/>
    </row>
  </sheetData>
  <printOptions headings="false" gridLines="false" gridLinesSet="true" horizontalCentered="false" verticalCentered="false"/>
  <pageMargins left="0.236111111111111" right="0.236111111111111"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O70"/>
  <sheetViews>
    <sheetView showFormulas="false" showGridLines="true" showRowColHeaders="true" showZeros="true" rightToLeft="false" tabSelected="true" showOutlineSymbols="true" defaultGridColor="true" view="normal" topLeftCell="H28" colorId="64" zoomScale="115" zoomScaleNormal="115" zoomScalePageLayoutView="100" workbookViewId="0">
      <selection pane="topLeft" activeCell="O62" activeCellId="0" sqref="O61:O64"/>
    </sheetView>
  </sheetViews>
  <sheetFormatPr defaultRowHeight="10.2" outlineLevelRow="0" outlineLevelCol="0"/>
  <cols>
    <col collapsed="false" customWidth="true" hidden="false" outlineLevel="0" max="1" min="1" style="195" width="5.44"/>
    <col collapsed="false" customWidth="true" hidden="false" outlineLevel="0" max="2" min="2" style="195" width="22.44"/>
    <col collapsed="false" customWidth="true" hidden="false" outlineLevel="0" max="3" min="3" style="195" width="30.55"/>
    <col collapsed="false" customWidth="true" hidden="false" outlineLevel="0" max="4" min="4" style="290" width="8.56"/>
    <col collapsed="false" customWidth="true" hidden="false" outlineLevel="0" max="5" min="5" style="78" width="27.33"/>
    <col collapsed="false" customWidth="true" hidden="false" outlineLevel="0" max="6" min="6" style="78" width="11.11"/>
    <col collapsed="false" customWidth="true" hidden="false" outlineLevel="0" max="7" min="7" style="78" width="8.56"/>
    <col collapsed="false" customWidth="true" hidden="false" outlineLevel="0" max="8" min="8" style="78" width="23.66"/>
    <col collapsed="false" customWidth="true" hidden="false" outlineLevel="0" max="9" min="9" style="83" width="14.34"/>
    <col collapsed="false" customWidth="true" hidden="false" outlineLevel="0" max="10" min="10" style="83" width="9.11"/>
    <col collapsed="false" customWidth="true" hidden="false" outlineLevel="0" max="11" min="11" style="291" width="95.45"/>
    <col collapsed="false" customWidth="true" hidden="false" outlineLevel="0" max="12" min="12" style="83" width="9.11"/>
    <col collapsed="false" customWidth="true" hidden="false" outlineLevel="0" max="1025" min="13" style="78" width="9.11"/>
  </cols>
  <sheetData>
    <row r="1" customFormat="false" ht="20.4" hidden="false" customHeight="false" outlineLevel="0" collapsed="false">
      <c r="A1" s="200" t="s">
        <v>534</v>
      </c>
      <c r="B1" s="200" t="s">
        <v>201</v>
      </c>
      <c r="C1" s="200" t="s">
        <v>202</v>
      </c>
      <c r="D1" s="292" t="s">
        <v>535</v>
      </c>
      <c r="E1" s="293" t="s">
        <v>536</v>
      </c>
      <c r="F1" s="293" t="s">
        <v>537</v>
      </c>
      <c r="G1" s="293" t="s">
        <v>538</v>
      </c>
      <c r="H1" s="253" t="s">
        <v>539</v>
      </c>
      <c r="I1" s="294" t="s">
        <v>540</v>
      </c>
      <c r="J1" s="295" t="s">
        <v>541</v>
      </c>
      <c r="K1" s="296" t="s">
        <v>542</v>
      </c>
      <c r="L1" s="297" t="s">
        <v>543</v>
      </c>
      <c r="M1" s="298" t="s">
        <v>544</v>
      </c>
      <c r="N1" s="298" t="s">
        <v>545</v>
      </c>
      <c r="O1" s="166" t="s">
        <v>546</v>
      </c>
    </row>
    <row r="2" customFormat="false" ht="12.8" hidden="false" customHeight="false" outlineLevel="0" collapsed="false">
      <c r="A2" s="195" t="n">
        <f aca="false">Data!$A2</f>
        <v>1</v>
      </c>
      <c r="B2" s="195" t="str">
        <f aca="false">Data!$B2</f>
        <v>B316A-EA03-OPT-BAFF-01</v>
      </c>
      <c r="C2" s="195" t="str">
        <f aca="false">Data!$C2</f>
        <v>M4 Baffles VERITAS</v>
      </c>
      <c r="D2" s="290" t="str">
        <f aca="false">Data!$D2</f>
        <v>VT</v>
      </c>
      <c r="E2" s="78" t="s">
        <v>547</v>
      </c>
      <c r="F2" s="78" t="s">
        <v>548</v>
      </c>
      <c r="G2" s="78" t="s">
        <v>549</v>
      </c>
      <c r="H2" s="299" t="s">
        <v>550</v>
      </c>
      <c r="I2" s="300" t="str">
        <f aca="false">Data!$E2</f>
        <v>a_m4_baff_vt</v>
      </c>
      <c r="J2" s="301" t="n">
        <f aca="false">Tests!$BL2</f>
        <v>400</v>
      </c>
      <c r="K2" s="302" t="str">
        <f aca="false">Tests!$CS2</f>
        <v>Step_per_unit:400;Offset:-1137.23;Sign:1;EncoderSource:attr://EncAbsEnc;EncoderSourceFormula:VALUE/1000000;UseEncoderSource:TRUE</v>
      </c>
      <c r="L2" s="303" t="str">
        <f aca="false">Data!$J2</f>
        <v>mm</v>
      </c>
      <c r="M2" s="304" t="n">
        <f aca="false">MIN(Tests!$BV2,Tests!$BW2)</f>
        <v>0</v>
      </c>
      <c r="N2" s="304" t="n">
        <f aca="false">MAX(Tests!$BV2,Tests!$BW2)</f>
        <v>0</v>
      </c>
      <c r="O2" s="78" t="s">
        <v>551</v>
      </c>
    </row>
    <row r="3" customFormat="false" ht="12.8" hidden="false" customHeight="false" outlineLevel="0" collapsed="false">
      <c r="A3" s="195" t="n">
        <f aca="false">Data!$A3</f>
        <v>2</v>
      </c>
      <c r="B3" s="195" t="str">
        <f aca="false">Data!$B3</f>
        <v>B316A-EA03-OPT-BAFF-01</v>
      </c>
      <c r="C3" s="195" t="str">
        <f aca="false">Data!$C3</f>
        <v>M4 Baffles VERITAS</v>
      </c>
      <c r="D3" s="290" t="str">
        <f aca="false">Data!$D3</f>
        <v>VB</v>
      </c>
      <c r="E3" s="78" t="s">
        <v>547</v>
      </c>
      <c r="F3" s="78" t="s">
        <v>548</v>
      </c>
      <c r="G3" s="78" t="s">
        <v>549</v>
      </c>
      <c r="H3" s="299" t="s">
        <v>552</v>
      </c>
      <c r="I3" s="300" t="str">
        <f aca="false">Data!$E3</f>
        <v>a_m4_baff_vb</v>
      </c>
      <c r="J3" s="301" t="n">
        <f aca="false">Tests!$BL3</f>
        <v>400</v>
      </c>
      <c r="K3" s="302" t="str">
        <f aca="false">Tests!$CS3</f>
        <v>Step_per_unit:400;Offset:289.59;Sign:-1;EncoderSource:attr://EncAbsEnc;EncoderSourceFormula:VALUE/1000000;UseEncoderSource:TRUE</v>
      </c>
      <c r="L3" s="303" t="str">
        <f aca="false">Data!$J3</f>
        <v>mm</v>
      </c>
      <c r="M3" s="304" t="n">
        <f aca="false">MIN(Tests!$BV3,Tests!$BW3)</f>
        <v>0</v>
      </c>
      <c r="N3" s="304" t="n">
        <f aca="false">MAX(Tests!$BV3,Tests!$BW3)</f>
        <v>0</v>
      </c>
      <c r="O3" s="78" t="s">
        <v>551</v>
      </c>
    </row>
    <row r="4" customFormat="false" ht="12.8" hidden="false" customHeight="false" outlineLevel="0" collapsed="false">
      <c r="A4" s="195" t="n">
        <f aca="false">Data!$A4</f>
        <v>3</v>
      </c>
      <c r="B4" s="195" t="str">
        <f aca="false">Data!$B4</f>
        <v>B316A-EA03-OPT-BAFF-01</v>
      </c>
      <c r="C4" s="195" t="str">
        <f aca="false">Data!$C4</f>
        <v>M4 Baffles VERITAS</v>
      </c>
      <c r="D4" s="290" t="str">
        <f aca="false">Data!$D4</f>
        <v>HL</v>
      </c>
      <c r="E4" s="78" t="s">
        <v>547</v>
      </c>
      <c r="F4" s="78" t="s">
        <v>548</v>
      </c>
      <c r="G4" s="78" t="s">
        <v>549</v>
      </c>
      <c r="H4" s="299" t="s">
        <v>553</v>
      </c>
      <c r="I4" s="300" t="str">
        <f aca="false">Data!$E4</f>
        <v>a_m4_baff_hl</v>
      </c>
      <c r="J4" s="301" t="n">
        <f aca="false">Tests!$BL4</f>
        <v>400</v>
      </c>
      <c r="K4" s="302" t="str">
        <f aca="false">Tests!$CS4</f>
        <v>Step_per_unit:400;Offset:-1488.73;Sign:1;EncoderSource:attr://EncAbsEnc;EncoderSourceFormula:VALUE/1000000;UseEncoderSource:TRUE</v>
      </c>
      <c r="L4" s="303" t="str">
        <f aca="false">Data!$J4</f>
        <v>mm</v>
      </c>
      <c r="M4" s="304" t="n">
        <f aca="false">MIN(Tests!$BV4,Tests!$BW4)</f>
        <v>0</v>
      </c>
      <c r="N4" s="304" t="n">
        <f aca="false">MAX(Tests!$BV4,Tests!$BW4)</f>
        <v>0</v>
      </c>
      <c r="O4" s="78" t="s">
        <v>551</v>
      </c>
    </row>
    <row r="5" customFormat="false" ht="12.8" hidden="false" customHeight="false" outlineLevel="0" collapsed="false">
      <c r="A5" s="195" t="n">
        <f aca="false">Data!$A5</f>
        <v>4</v>
      </c>
      <c r="B5" s="195" t="str">
        <f aca="false">Data!$B5</f>
        <v>B316A-EA03-OPT-BAFF-01</v>
      </c>
      <c r="C5" s="195" t="str">
        <f aca="false">Data!$C5</f>
        <v>M4 Baffles VERITAS</v>
      </c>
      <c r="D5" s="290" t="str">
        <f aca="false">Data!$D5</f>
        <v>HR</v>
      </c>
      <c r="E5" s="78" t="s">
        <v>547</v>
      </c>
      <c r="F5" s="78" t="s">
        <v>548</v>
      </c>
      <c r="G5" s="78" t="s">
        <v>549</v>
      </c>
      <c r="H5" s="299" t="s">
        <v>554</v>
      </c>
      <c r="I5" s="300" t="str">
        <f aca="false">Data!$E5</f>
        <v>a_m4_baff_hr</v>
      </c>
      <c r="J5" s="301" t="n">
        <f aca="false">Tests!$BL5</f>
        <v>400</v>
      </c>
      <c r="K5" s="302" t="str">
        <f aca="false">Tests!$CS5</f>
        <v>Step_per_unit:400;Offset:-1726.09;Sign:1;EncoderSource:attr://EncAbsEnc;EncoderSourceFormula:VALUE/1000000;UseEncoderSource:TRUE</v>
      </c>
      <c r="L5" s="303" t="str">
        <f aca="false">Data!$J5</f>
        <v>mm</v>
      </c>
      <c r="M5" s="304" t="n">
        <f aca="false">MIN(Tests!$BV5,Tests!$BW5)</f>
        <v>0</v>
      </c>
      <c r="N5" s="304" t="n">
        <f aca="false">MAX(Tests!$BV5,Tests!$BW5)</f>
        <v>0</v>
      </c>
      <c r="O5" s="78" t="s">
        <v>551</v>
      </c>
    </row>
    <row r="6" customFormat="false" ht="12.8" hidden="false" customHeight="false" outlineLevel="0" collapsed="false">
      <c r="A6" s="195" t="n">
        <f aca="false">Data!$A6</f>
        <v>5</v>
      </c>
      <c r="B6" s="195" t="str">
        <f aca="false">Data!$B6</f>
        <v>B316A-EA03-DIA-BPM-01</v>
      </c>
      <c r="C6" s="195" t="str">
        <f aca="false">Data!$C6</f>
        <v>M4 BPM VERITAS</v>
      </c>
      <c r="D6" s="290" t="str">
        <f aca="false">Data!$D6</f>
        <v>V</v>
      </c>
      <c r="E6" s="78" t="s">
        <v>547</v>
      </c>
      <c r="F6" s="78" t="s">
        <v>548</v>
      </c>
      <c r="G6" s="78" t="s">
        <v>549</v>
      </c>
      <c r="H6" s="299" t="s">
        <v>555</v>
      </c>
      <c r="I6" s="300" t="str">
        <f aca="false">Data!$E6</f>
        <v>a_m4_bpm_v</v>
      </c>
      <c r="J6" s="301" t="n">
        <f aca="false">Tests!$BL6</f>
        <v>800</v>
      </c>
      <c r="K6" s="302" t="str">
        <f aca="false">Tests!$CS6</f>
        <v>Step_per_unit:800;Offset:0;Sign:-1;EncoderSource:attr://EncAbsEnc;EncoderSourceFormula:VALUE/1000000;UseEncoderSource:TRUE</v>
      </c>
      <c r="L6" s="303" t="str">
        <f aca="false">Data!$J6</f>
        <v>mm</v>
      </c>
      <c r="M6" s="304" t="n">
        <f aca="false">MIN(Tests!$BV6,Tests!$BW6)</f>
        <v>0</v>
      </c>
      <c r="N6" s="304" t="n">
        <f aca="false">MAX(Tests!$BV6,Tests!$BW6)</f>
        <v>0</v>
      </c>
      <c r="O6" s="78" t="s">
        <v>551</v>
      </c>
    </row>
    <row r="7" customFormat="false" ht="12.8" hidden="false" customHeight="false" outlineLevel="0" collapsed="false">
      <c r="A7" s="195" t="n">
        <f aca="false">Data!$A7</f>
        <v>6</v>
      </c>
      <c r="B7" s="195" t="str">
        <f aca="false">Data!$B7</f>
        <v>B316A-EA03-OPT-MIR-04</v>
      </c>
      <c r="C7" s="195" t="str">
        <f aca="false">Data!$C7</f>
        <v>Focusing Mirror M4 VERITAS</v>
      </c>
      <c r="D7" s="290" t="str">
        <f aca="false">Data!$D7</f>
        <v>V1</v>
      </c>
      <c r="E7" s="78" t="s">
        <v>547</v>
      </c>
      <c r="F7" s="78" t="s">
        <v>548</v>
      </c>
      <c r="G7" s="78" t="s">
        <v>549</v>
      </c>
      <c r="H7" s="299" t="s">
        <v>556</v>
      </c>
      <c r="I7" s="300" t="str">
        <f aca="false">Data!$E7</f>
        <v>a_m4_v1</v>
      </c>
      <c r="J7" s="301" t="n">
        <f aca="false">Tests!$BL7</f>
        <v>80</v>
      </c>
      <c r="K7" s="302" t="str">
        <f aca="false">Tests!$CS7</f>
        <v>Step_per_unit:80;Offset:-84229.529;Sign:1;EncoderSource:attr://EncAbsEnc;EncoderSourceFormula:VALUE/1000;UseEncoderSource:TRUE</v>
      </c>
      <c r="L7" s="303" t="str">
        <f aca="false">Data!$J7</f>
        <v>um</v>
      </c>
      <c r="M7" s="304" t="n">
        <f aca="false">MIN(Tests!$BV7,Tests!$BW7)</f>
        <v>0</v>
      </c>
      <c r="N7" s="304" t="n">
        <f aca="false">MAX(Tests!$BV7,Tests!$BW7)</f>
        <v>0</v>
      </c>
      <c r="O7" s="78" t="s">
        <v>551</v>
      </c>
    </row>
    <row r="8" customFormat="false" ht="12.8" hidden="false" customHeight="false" outlineLevel="0" collapsed="false">
      <c r="A8" s="195" t="n">
        <f aca="false">Data!$A8</f>
        <v>7</v>
      </c>
      <c r="B8" s="195" t="str">
        <f aca="false">Data!$B8</f>
        <v>B316A-EA03-OPT-MIR-04</v>
      </c>
      <c r="C8" s="195" t="str">
        <f aca="false">Data!$C8</f>
        <v>Focusing Mirror M4 VERITAS</v>
      </c>
      <c r="D8" s="290" t="str">
        <f aca="false">Data!$D8</f>
        <v>V2</v>
      </c>
      <c r="E8" s="78" t="s">
        <v>547</v>
      </c>
      <c r="F8" s="78" t="s">
        <v>548</v>
      </c>
      <c r="G8" s="78" t="s">
        <v>549</v>
      </c>
      <c r="H8" s="299" t="s">
        <v>557</v>
      </c>
      <c r="I8" s="300" t="str">
        <f aca="false">Data!$E8</f>
        <v>a_m4_v2</v>
      </c>
      <c r="J8" s="301" t="n">
        <f aca="false">Tests!$BL8</f>
        <v>80</v>
      </c>
      <c r="K8" s="302" t="str">
        <f aca="false">Tests!$CS8</f>
        <v>Step_per_unit:80;Offset:-84265.053;Sign:1;EncoderSource:attr://EncAbsEnc;EncoderSourceFormula:VALUE/1000;UseEncoderSource:TRUE</v>
      </c>
      <c r="L8" s="303" t="str">
        <f aca="false">Data!$J8</f>
        <v>um</v>
      </c>
      <c r="M8" s="304" t="n">
        <f aca="false">MIN(Tests!$BV8,Tests!$BW8)</f>
        <v>0</v>
      </c>
      <c r="N8" s="304" t="n">
        <f aca="false">MAX(Tests!$BV8,Tests!$BW8)</f>
        <v>0</v>
      </c>
      <c r="O8" s="78" t="s">
        <v>551</v>
      </c>
    </row>
    <row r="9" customFormat="false" ht="12.8" hidden="false" customHeight="false" outlineLevel="0" collapsed="false">
      <c r="A9" s="195" t="n">
        <f aca="false">Data!$A9</f>
        <v>8</v>
      </c>
      <c r="B9" s="195" t="str">
        <f aca="false">Data!$B9</f>
        <v>B316A-EA03-OPT-MIR-04</v>
      </c>
      <c r="C9" s="195" t="str">
        <f aca="false">Data!$C9</f>
        <v>Focusing Mirror M4 VERITAS</v>
      </c>
      <c r="D9" s="290" t="str">
        <f aca="false">Data!$D9</f>
        <v>V3</v>
      </c>
      <c r="E9" s="78" t="s">
        <v>547</v>
      </c>
      <c r="F9" s="78" t="s">
        <v>548</v>
      </c>
      <c r="G9" s="78" t="s">
        <v>549</v>
      </c>
      <c r="H9" s="299" t="s">
        <v>558</v>
      </c>
      <c r="I9" s="300" t="str">
        <f aca="false">Data!$E9</f>
        <v>a_m4_v3</v>
      </c>
      <c r="J9" s="301" t="n">
        <f aca="false">Tests!$BL9</f>
        <v>80</v>
      </c>
      <c r="K9" s="302" t="str">
        <f aca="false">Tests!$CS9</f>
        <v>Step_per_unit:80;Offset:-84179.513;Sign:1;EncoderSource:attr://EncAbsEnc;EncoderSourceFormula:VALUE/1000;UseEncoderSource:TRUE</v>
      </c>
      <c r="L9" s="303" t="str">
        <f aca="false">Data!$J9</f>
        <v>um</v>
      </c>
      <c r="M9" s="304" t="n">
        <f aca="false">MIN(Tests!$BV9,Tests!$BW9)</f>
        <v>0</v>
      </c>
      <c r="N9" s="304" t="n">
        <f aca="false">MAX(Tests!$BV9,Tests!$BW9)</f>
        <v>0</v>
      </c>
      <c r="O9" s="78" t="s">
        <v>551</v>
      </c>
    </row>
    <row r="10" s="306" customFormat="true" ht="12.8" hidden="false" customHeight="false" outlineLevel="0" collapsed="false">
      <c r="A10" s="209" t="n">
        <f aca="false">Data!$A10</f>
        <v>0</v>
      </c>
      <c r="B10" s="209" t="n">
        <f aca="false">Data!$B10</f>
        <v>0</v>
      </c>
      <c r="C10" s="209" t="n">
        <f aca="false">Data!$C10</f>
        <v>0</v>
      </c>
      <c r="D10" s="305" t="n">
        <f aca="false">Data!$D10</f>
        <v>0</v>
      </c>
      <c r="I10" s="307" t="n">
        <f aca="false">Data!$E10</f>
        <v>0</v>
      </c>
      <c r="J10" s="308" t="n">
        <f aca="false">Tests!$BL10</f>
        <v>0</v>
      </c>
      <c r="K10" s="209" t="n">
        <f aca="false">Tests!$CS10</f>
        <v>0</v>
      </c>
      <c r="L10" s="309" t="n">
        <f aca="false">Data!$J10</f>
        <v>0</v>
      </c>
      <c r="M10" s="310" t="n">
        <f aca="false">MIN(Tests!$BV10,Tests!$BW10)</f>
        <v>0</v>
      </c>
      <c r="N10" s="310" t="n">
        <f aca="false">MAX(Tests!$BV10,Tests!$BW10)</f>
        <v>0</v>
      </c>
    </row>
    <row r="11" customFormat="false" ht="12.8" hidden="false" customHeight="false" outlineLevel="0" collapsed="false">
      <c r="A11" s="195" t="n">
        <f aca="false">Data!$A11</f>
        <v>11</v>
      </c>
      <c r="B11" s="195" t="str">
        <f aca="false">Data!$B11</f>
        <v>B316A-EA03-OPT-MIR-04</v>
      </c>
      <c r="C11" s="195" t="str">
        <f aca="false">Data!$C11</f>
        <v>Focusing Mirror M4 VERITAS</v>
      </c>
      <c r="D11" s="290" t="str">
        <f aca="false">Data!$D11</f>
        <v>H4</v>
      </c>
      <c r="E11" s="78" t="s">
        <v>547</v>
      </c>
      <c r="F11" s="78" t="s">
        <v>548</v>
      </c>
      <c r="G11" s="78" t="s">
        <v>549</v>
      </c>
      <c r="H11" s="299" t="s">
        <v>559</v>
      </c>
      <c r="I11" s="300" t="str">
        <f aca="false">Data!$E11</f>
        <v>a_m4_h4</v>
      </c>
      <c r="J11" s="301" t="n">
        <f aca="false">Tests!$BL11</f>
        <v>80</v>
      </c>
      <c r="K11" s="302" t="str">
        <f aca="false">Tests!$CS11</f>
        <v>Step_per_unit:80;Offset:-84516.617;Sign:1;EncoderSource:attr://EncAbsEnc;EncoderSourceFormula:VALUE/1000;UseEncoderSource:TRUE</v>
      </c>
      <c r="L11" s="303" t="str">
        <f aca="false">Data!$J11</f>
        <v>um</v>
      </c>
      <c r="M11" s="304" t="n">
        <f aca="false">MIN(Tests!$BV11,Tests!$BW11)</f>
        <v>0</v>
      </c>
      <c r="N11" s="304" t="n">
        <f aca="false">MAX(Tests!$BV11,Tests!$BW11)</f>
        <v>0</v>
      </c>
      <c r="O11" s="78" t="s">
        <v>551</v>
      </c>
    </row>
    <row r="12" customFormat="false" ht="12.8" hidden="false" customHeight="false" outlineLevel="0" collapsed="false">
      <c r="A12" s="195" t="n">
        <f aca="false">Data!$A12</f>
        <v>12</v>
      </c>
      <c r="B12" s="195" t="str">
        <f aca="false">Data!$B12</f>
        <v>B316A-EA03-OPT-MIR-04</v>
      </c>
      <c r="C12" s="195" t="str">
        <f aca="false">Data!$C12</f>
        <v>Focusing Mirror M4 VERITAS</v>
      </c>
      <c r="D12" s="290" t="str">
        <f aca="false">Data!$D12</f>
        <v>H5</v>
      </c>
      <c r="E12" s="78" t="s">
        <v>547</v>
      </c>
      <c r="F12" s="78" t="s">
        <v>548</v>
      </c>
      <c r="G12" s="78" t="s">
        <v>549</v>
      </c>
      <c r="H12" s="299" t="s">
        <v>560</v>
      </c>
      <c r="I12" s="300" t="str">
        <f aca="false">Data!$E12</f>
        <v>a_m4_h5</v>
      </c>
      <c r="J12" s="301" t="n">
        <f aca="false">Tests!$BL12</f>
        <v>80</v>
      </c>
      <c r="K12" s="302" t="str">
        <f aca="false">Tests!$CS12</f>
        <v>Step_per_unit:80;Offset:-84135.33;Sign:1;EncoderSource:attr://EncAbsEnc;EncoderSourceFormula:VALUE/1000;UseEncoderSource:TRUE</v>
      </c>
      <c r="L12" s="303" t="str">
        <f aca="false">Data!$J12</f>
        <v>um</v>
      </c>
      <c r="M12" s="304" t="n">
        <f aca="false">MIN(Tests!$BV12,Tests!$BW12)</f>
        <v>0</v>
      </c>
      <c r="N12" s="304" t="n">
        <f aca="false">MAX(Tests!$BV12,Tests!$BW12)</f>
        <v>0</v>
      </c>
      <c r="O12" s="78" t="s">
        <v>551</v>
      </c>
    </row>
    <row r="13" customFormat="false" ht="12.8" hidden="false" customHeight="false" outlineLevel="0" collapsed="false">
      <c r="A13" s="195" t="n">
        <f aca="false">Data!$A13</f>
        <v>13</v>
      </c>
      <c r="B13" s="195" t="str">
        <f aca="false">Data!$B13</f>
        <v>B316A-EA04-DIA-MP-01</v>
      </c>
      <c r="C13" s="195" t="str">
        <f aca="false">Data!$C13</f>
        <v>Manipulator VERITAS</v>
      </c>
      <c r="D13" s="290" t="str">
        <f aca="false">Data!$D13</f>
        <v>X</v>
      </c>
      <c r="E13" s="78" t="s">
        <v>547</v>
      </c>
      <c r="F13" s="78" t="s">
        <v>548</v>
      </c>
      <c r="G13" s="78" t="s">
        <v>561</v>
      </c>
      <c r="H13" s="299" t="s">
        <v>562</v>
      </c>
      <c r="I13" s="300" t="str">
        <f aca="false">Data!$E13</f>
        <v>a_mp1_x</v>
      </c>
      <c r="J13" s="301" t="n">
        <f aca="false">Tests!$BL13</f>
        <v>400</v>
      </c>
      <c r="K13" s="302" t="str">
        <f aca="false">Tests!$CS13</f>
        <v>Step_per_unit:400;Offset:;Sign:1;EncoderSource:attr://EncAbsEnc;EncoderSourceFormula:VALUE/1000000;UseEncoderSource:TRUE</v>
      </c>
      <c r="L13" s="303" t="str">
        <f aca="false">Data!$J13</f>
        <v>mm</v>
      </c>
      <c r="M13" s="304" t="n">
        <f aca="false">MIN(Tests!$BV13,Tests!$BW13)</f>
        <v>63.546787</v>
      </c>
      <c r="N13" s="304" t="n">
        <f aca="false">MAX(Tests!$BV13,Tests!$BW13)</f>
        <v>93.644801</v>
      </c>
      <c r="O13" s="78" t="s">
        <v>551</v>
      </c>
    </row>
    <row r="14" customFormat="false" ht="12.8" hidden="false" customHeight="false" outlineLevel="0" collapsed="false">
      <c r="A14" s="195" t="n">
        <f aca="false">Data!$A14</f>
        <v>14</v>
      </c>
      <c r="B14" s="195" t="str">
        <f aca="false">Data!$B14</f>
        <v>B316A-EA04-DIA-MP-01</v>
      </c>
      <c r="C14" s="195" t="str">
        <f aca="false">Data!$C14</f>
        <v>Manipulator VERITAS</v>
      </c>
      <c r="D14" s="290" t="str">
        <f aca="false">Data!$D14</f>
        <v>Z</v>
      </c>
      <c r="E14" s="78" t="s">
        <v>547</v>
      </c>
      <c r="F14" s="78" t="s">
        <v>548</v>
      </c>
      <c r="G14" s="78" t="s">
        <v>561</v>
      </c>
      <c r="H14" s="299" t="s">
        <v>563</v>
      </c>
      <c r="I14" s="300" t="str">
        <f aca="false">Data!$E14</f>
        <v>a_mp1_z</v>
      </c>
      <c r="J14" s="301" t="n">
        <f aca="false">Tests!$BL14</f>
        <v>400</v>
      </c>
      <c r="K14" s="302" t="str">
        <f aca="false">Tests!$CS14</f>
        <v>Step_per_unit:400;Offset:;Sign:1;EncoderSource:attr://EncAbsEnc;EncoderSourceFormula:VALUE/1000000;UseEncoderSource:TRUE</v>
      </c>
      <c r="L14" s="303" t="str">
        <f aca="false">Data!$J14</f>
        <v>mm</v>
      </c>
      <c r="M14" s="304" t="n">
        <f aca="false">MIN(Tests!$BV14,Tests!$BW14)</f>
        <v>6.504094</v>
      </c>
      <c r="N14" s="304" t="n">
        <f aca="false">MAX(Tests!$BV14,Tests!$BW14)</f>
        <v>36.322435</v>
      </c>
      <c r="O14" s="78" t="s">
        <v>551</v>
      </c>
    </row>
    <row r="15" customFormat="false" ht="12.8" hidden="false" customHeight="false" outlineLevel="0" collapsed="false">
      <c r="A15" s="195" t="n">
        <f aca="false">Data!$A15</f>
        <v>15</v>
      </c>
      <c r="B15" s="195" t="str">
        <f aca="false">Data!$B15</f>
        <v>B316A-EA04-DIA-MP-01</v>
      </c>
      <c r="C15" s="195" t="str">
        <f aca="false">Data!$C15</f>
        <v>Manipulator VERITAS</v>
      </c>
      <c r="D15" s="290" t="str">
        <f aca="false">Data!$D15</f>
        <v>Y</v>
      </c>
      <c r="E15" s="78" t="s">
        <v>547</v>
      </c>
      <c r="F15" s="78" t="s">
        <v>548</v>
      </c>
      <c r="G15" s="78" t="s">
        <v>561</v>
      </c>
      <c r="H15" s="299" t="s">
        <v>564</v>
      </c>
      <c r="I15" s="300" t="str">
        <f aca="false">Data!$E15</f>
        <v>a_mp1_y</v>
      </c>
      <c r="J15" s="301" t="n">
        <f aca="false">Tests!$BL15</f>
        <v>400</v>
      </c>
      <c r="K15" s="302" t="str">
        <f aca="false">Tests!$CS15</f>
        <v>Step_per_unit:400;Offset:;Sign:1;EncoderSource:attr://EncAbsEnc;EncoderSourceFormula:VALUE/1000000;UseEncoderSource:TRUE</v>
      </c>
      <c r="L15" s="303" t="str">
        <f aca="false">Data!$J15</f>
        <v>mm</v>
      </c>
      <c r="M15" s="304" t="n">
        <f aca="false">MIN(Tests!$BV15,Tests!$BW15)</f>
        <v>58.251519</v>
      </c>
      <c r="N15" s="304" t="n">
        <f aca="false">MAX(Tests!$BV15,Tests!$BW15)</f>
        <v>419.605289</v>
      </c>
      <c r="O15" s="78" t="s">
        <v>551</v>
      </c>
    </row>
    <row r="16" customFormat="false" ht="12.8" hidden="false" customHeight="false" outlineLevel="0" collapsed="false">
      <c r="A16" s="195" t="n">
        <f aca="false">Data!$A16</f>
        <v>16</v>
      </c>
      <c r="B16" s="195" t="str">
        <f aca="false">Data!$B16</f>
        <v>B316A-EA04-DIA-MP-01</v>
      </c>
      <c r="C16" s="195" t="str">
        <f aca="false">Data!$C16</f>
        <v>Manipulator VERITAS</v>
      </c>
      <c r="D16" s="290" t="str">
        <f aca="false">Data!$D16</f>
        <v>YAW</v>
      </c>
      <c r="E16" s="78" t="s">
        <v>547</v>
      </c>
      <c r="F16" s="78" t="s">
        <v>548</v>
      </c>
      <c r="G16" s="78" t="s">
        <v>561</v>
      </c>
      <c r="H16" s="299" t="s">
        <v>565</v>
      </c>
      <c r="I16" s="300" t="str">
        <f aca="false">Data!$E16</f>
        <v>a_mp1_yaw</v>
      </c>
      <c r="J16" s="301" t="n">
        <f aca="false">Tests!$BL16</f>
        <v>400</v>
      </c>
      <c r="K16" s="302" t="str">
        <f aca="false">Tests!$CS16</f>
        <v>Step_per_unit:400;Offset:;Sign:1;EncoderSource:attr://EncAbsEnc;EncoderSourceFormula:VALUE/11930445,5027191;UseEncoderSource:TRUE</v>
      </c>
      <c r="L16" s="303" t="str">
        <f aca="false">Data!$J16</f>
        <v>deg</v>
      </c>
      <c r="M16" s="304" t="n">
        <f aca="false">MIN(Tests!$BV16,Tests!$BW16)</f>
        <v>-78.6626115333333</v>
      </c>
      <c r="N16" s="304" t="n">
        <f aca="false">MAX(Tests!$BV16,Tests!$BW16)</f>
        <v>99.235690715</v>
      </c>
      <c r="O16" s="78" t="s">
        <v>551</v>
      </c>
    </row>
    <row r="17" customFormat="false" ht="12.8" hidden="false" customHeight="false" outlineLevel="0" collapsed="false">
      <c r="A17" s="195" t="n">
        <f aca="false">Data!$A17</f>
        <v>17</v>
      </c>
      <c r="B17" s="195" t="str">
        <f aca="false">Data!$B17</f>
        <v>B316A-EA05-DIA-SPC-01</v>
      </c>
      <c r="C17" s="195" t="str">
        <f aca="false">Data!$C17</f>
        <v>Q-Chamber VERITAS</v>
      </c>
      <c r="D17" s="290" t="str">
        <f aca="false">Data!$D17</f>
        <v>YAW</v>
      </c>
      <c r="E17" s="78" t="s">
        <v>547</v>
      </c>
      <c r="F17" s="78" t="s">
        <v>548</v>
      </c>
      <c r="G17" s="78" t="s">
        <v>566</v>
      </c>
      <c r="H17" s="299"/>
      <c r="I17" s="300" t="str">
        <f aca="false">Data!$E17</f>
        <v>a_spc1_yaw</v>
      </c>
      <c r="J17" s="301" t="n">
        <f aca="false">Tests!$BL17</f>
        <v>0</v>
      </c>
      <c r="K17" s="302" t="str">
        <f aca="false">Tests!$CS17</f>
        <v>Step_per_unit:;Offset:;Sign:;EncoderSource:;EncoderSourceFormula:;UseEncoderSource:</v>
      </c>
      <c r="L17" s="303" t="str">
        <f aca="false">Data!$J17</f>
        <v>deg</v>
      </c>
      <c r="M17" s="304" t="n">
        <f aca="false">MIN(Tests!$BV17,Tests!$BW17)</f>
        <v>0</v>
      </c>
      <c r="N17" s="304" t="n">
        <f aca="false">MAX(Tests!$BV17,Tests!$BW17)</f>
        <v>0</v>
      </c>
    </row>
    <row r="18" customFormat="false" ht="12.8" hidden="false" customHeight="false" outlineLevel="0" collapsed="false">
      <c r="A18" s="195" t="n">
        <f aca="false">Data!$A18</f>
        <v>18</v>
      </c>
      <c r="B18" s="195" t="str">
        <f aca="false">Data!$B18</f>
        <v>B316A-EA07-OPT-BAFF-01</v>
      </c>
      <c r="C18" s="195" t="str">
        <f aca="false">Data!$C18</f>
        <v>Grating Baffles VERITAS</v>
      </c>
      <c r="D18" s="290" t="str">
        <f aca="false">Data!$D18</f>
        <v>VT</v>
      </c>
      <c r="E18" s="78" t="s">
        <v>547</v>
      </c>
      <c r="F18" s="78" t="s">
        <v>548</v>
      </c>
      <c r="G18" s="78" t="s">
        <v>567</v>
      </c>
      <c r="H18" s="299"/>
      <c r="I18" s="300" t="str">
        <f aca="false">Data!$E18</f>
        <v>a_gr_baff_vt</v>
      </c>
      <c r="J18" s="301" t="n">
        <f aca="false">Tests!$BL18</f>
        <v>0</v>
      </c>
      <c r="K18" s="302" t="str">
        <f aca="false">Tests!$CS18</f>
        <v>Step_per_unit:;Offset:;Sign:;EncoderSource:;EncoderSourceFormula:;UseEncoderSource:</v>
      </c>
      <c r="L18" s="303" t="str">
        <f aca="false">Data!$J18</f>
        <v>mm</v>
      </c>
      <c r="M18" s="304" t="n">
        <f aca="false">MIN(Tests!$BV18,Tests!$BW18)</f>
        <v>0</v>
      </c>
      <c r="N18" s="304" t="n">
        <f aca="false">MAX(Tests!$BV18,Tests!$BW18)</f>
        <v>0</v>
      </c>
    </row>
    <row r="19" s="306" customFormat="true" ht="12.8" hidden="false" customHeight="false" outlineLevel="0" collapsed="false">
      <c r="A19" s="209" t="n">
        <f aca="false">Data!$A19</f>
        <v>0</v>
      </c>
      <c r="B19" s="209"/>
      <c r="C19" s="209"/>
      <c r="D19" s="305"/>
      <c r="H19" s="311"/>
      <c r="I19" s="307"/>
      <c r="J19" s="308"/>
      <c r="K19" s="209"/>
      <c r="L19" s="309"/>
      <c r="M19" s="310"/>
      <c r="N19" s="310"/>
    </row>
    <row r="20" s="306" customFormat="true" ht="12.8" hidden="false" customHeight="false" outlineLevel="0" collapsed="false">
      <c r="A20" s="209" t="n">
        <f aca="false">Data!$A20</f>
        <v>0</v>
      </c>
      <c r="B20" s="209"/>
      <c r="C20" s="209"/>
      <c r="D20" s="305"/>
      <c r="H20" s="311"/>
      <c r="I20" s="307"/>
      <c r="J20" s="308"/>
      <c r="K20" s="209"/>
      <c r="L20" s="309"/>
      <c r="M20" s="310"/>
      <c r="N20" s="310"/>
    </row>
    <row r="21" customFormat="false" ht="12.8" hidden="false" customHeight="false" outlineLevel="0" collapsed="false">
      <c r="A21" s="195" t="n">
        <f aca="false">Data!$A21</f>
        <v>21</v>
      </c>
      <c r="B21" s="195" t="str">
        <f aca="false">Data!$B21</f>
        <v>B316A-EA07-OPT-BAFF-01</v>
      </c>
      <c r="C21" s="195" t="str">
        <f aca="false">Data!$C21</f>
        <v>Grating Baffles VERITAS</v>
      </c>
      <c r="D21" s="290" t="str">
        <f aca="false">Data!$D21</f>
        <v>VB</v>
      </c>
      <c r="E21" s="78" t="s">
        <v>547</v>
      </c>
      <c r="F21" s="78" t="s">
        <v>548</v>
      </c>
      <c r="G21" s="78" t="s">
        <v>567</v>
      </c>
      <c r="H21" s="299"/>
      <c r="I21" s="300" t="str">
        <f aca="false">Data!$E21</f>
        <v>a_gr_baff_vb</v>
      </c>
      <c r="J21" s="301" t="n">
        <f aca="false">Tests!$BL21</f>
        <v>0</v>
      </c>
      <c r="K21" s="302" t="str">
        <f aca="false">Tests!$CS21</f>
        <v>Step_per_unit:;Offset:;Sign:;EncoderSource:;EncoderSourceFormula:;UseEncoderSource:</v>
      </c>
      <c r="L21" s="303" t="str">
        <f aca="false">Data!$J21</f>
        <v>mm</v>
      </c>
      <c r="M21" s="304" t="n">
        <f aca="false">MIN(Tests!$BV21,Tests!$BW21)</f>
        <v>0</v>
      </c>
      <c r="N21" s="304" t="n">
        <f aca="false">MAX(Tests!$BV21,Tests!$BW21)</f>
        <v>0</v>
      </c>
    </row>
    <row r="22" customFormat="false" ht="12.8" hidden="false" customHeight="false" outlineLevel="0" collapsed="false">
      <c r="A22" s="195" t="n">
        <f aca="false">Data!$A22</f>
        <v>22</v>
      </c>
      <c r="B22" s="195" t="str">
        <f aca="false">Data!$B22</f>
        <v>B316A-EA07-OPT-BAFF-01</v>
      </c>
      <c r="C22" s="195" t="str">
        <f aca="false">Data!$C22</f>
        <v>Grating Baffles VERITAS</v>
      </c>
      <c r="D22" s="290" t="str">
        <f aca="false">Data!$D22</f>
        <v>HR</v>
      </c>
      <c r="E22" s="78" t="s">
        <v>547</v>
      </c>
      <c r="F22" s="78" t="s">
        <v>548</v>
      </c>
      <c r="G22" s="78" t="s">
        <v>567</v>
      </c>
      <c r="H22" s="299"/>
      <c r="I22" s="300" t="str">
        <f aca="false">Data!$E22</f>
        <v>a_gr_baff_hr</v>
      </c>
      <c r="J22" s="301" t="n">
        <f aca="false">Tests!$BL22</f>
        <v>0</v>
      </c>
      <c r="K22" s="302" t="str">
        <f aca="false">Tests!$CS22</f>
        <v>Step_per_unit:;Offset:;Sign:;EncoderSource:;EncoderSourceFormula:;UseEncoderSource:</v>
      </c>
      <c r="L22" s="303" t="str">
        <f aca="false">Data!$J22</f>
        <v>mm</v>
      </c>
      <c r="M22" s="304" t="n">
        <f aca="false">MIN(Tests!$BV22,Tests!$BW22)</f>
        <v>0</v>
      </c>
      <c r="N22" s="304" t="n">
        <f aca="false">MAX(Tests!$BV22,Tests!$BW22)</f>
        <v>0</v>
      </c>
    </row>
    <row r="23" customFormat="false" ht="12.8" hidden="false" customHeight="false" outlineLevel="0" collapsed="false">
      <c r="A23" s="195" t="n">
        <f aca="false">Data!$A23</f>
        <v>23</v>
      </c>
      <c r="B23" s="195" t="str">
        <f aca="false">Data!$B23</f>
        <v>B316A-EA07-OPT-BAFF-01</v>
      </c>
      <c r="C23" s="195" t="str">
        <f aca="false">Data!$C23</f>
        <v>Grating Baffles VERITAS</v>
      </c>
      <c r="D23" s="290" t="str">
        <f aca="false">Data!$D23</f>
        <v>HL</v>
      </c>
      <c r="E23" s="78" t="s">
        <v>547</v>
      </c>
      <c r="F23" s="78" t="s">
        <v>548</v>
      </c>
      <c r="G23" s="78" t="s">
        <v>567</v>
      </c>
      <c r="H23" s="299"/>
      <c r="I23" s="300" t="str">
        <f aca="false">Data!$E23</f>
        <v>a_gr_baff_hl</v>
      </c>
      <c r="J23" s="301" t="n">
        <f aca="false">Tests!$BL23</f>
        <v>0</v>
      </c>
      <c r="K23" s="302" t="str">
        <f aca="false">Tests!$CS23</f>
        <v>Step_per_unit:;Offset:;Sign:;EncoderSource:;EncoderSourceFormula:;UseEncoderSource:</v>
      </c>
      <c r="L23" s="303" t="str">
        <f aca="false">Data!$J23</f>
        <v>mm</v>
      </c>
      <c r="M23" s="304" t="n">
        <f aca="false">MIN(Tests!$BV23,Tests!$BW23)</f>
        <v>0</v>
      </c>
      <c r="N23" s="304" t="n">
        <f aca="false">MAX(Tests!$BV23,Tests!$BW23)</f>
        <v>0</v>
      </c>
    </row>
    <row r="24" customFormat="false" ht="12.8" hidden="false" customHeight="false" outlineLevel="0" collapsed="false">
      <c r="A24" s="195" t="n">
        <f aca="false">Data!$A24</f>
        <v>24</v>
      </c>
      <c r="B24" s="195" t="str">
        <f aca="false">Data!$B24</f>
        <v>B316A-EA07-OPT-GRA-01</v>
      </c>
      <c r="C24" s="195" t="str">
        <f aca="false">Data!$C24</f>
        <v>Grating VERITAS</v>
      </c>
      <c r="D24" s="290" t="str">
        <f aca="false">Data!$D24</f>
        <v>Y1</v>
      </c>
      <c r="E24" s="78" t="s">
        <v>547</v>
      </c>
      <c r="F24" s="78" t="s">
        <v>548</v>
      </c>
      <c r="G24" s="78" t="s">
        <v>567</v>
      </c>
      <c r="H24" s="299"/>
      <c r="I24" s="300" t="str">
        <f aca="false">Data!$E24</f>
        <v>a_gra1_y1</v>
      </c>
      <c r="J24" s="301" t="n">
        <f aca="false">Tests!$BL24</f>
        <v>0</v>
      </c>
      <c r="K24" s="302" t="str">
        <f aca="false">Tests!$CS24</f>
        <v>Step_per_unit:;Offset:;Sign:;EncoderSource:;EncoderSourceFormula:;UseEncoderSource:</v>
      </c>
      <c r="L24" s="303" t="str">
        <f aca="false">Data!$J24</f>
        <v>mm</v>
      </c>
      <c r="M24" s="304" t="n">
        <f aca="false">MIN(Tests!$BV24,Tests!$BW24)</f>
        <v>0</v>
      </c>
      <c r="N24" s="304" t="n">
        <f aca="false">MAX(Tests!$BV24,Tests!$BW24)</f>
        <v>0</v>
      </c>
    </row>
    <row r="25" customFormat="false" ht="12.8" hidden="false" customHeight="false" outlineLevel="0" collapsed="false">
      <c r="A25" s="195" t="n">
        <f aca="false">Data!$A25</f>
        <v>25</v>
      </c>
      <c r="B25" s="195" t="str">
        <f aca="false">Data!$B25</f>
        <v>B316A-EA07-OPT-GRA-01</v>
      </c>
      <c r="C25" s="195" t="str">
        <f aca="false">Data!$C25</f>
        <v>Grating VERITAS</v>
      </c>
      <c r="D25" s="290" t="str">
        <f aca="false">Data!$D25</f>
        <v>Y2</v>
      </c>
      <c r="E25" s="78" t="s">
        <v>547</v>
      </c>
      <c r="F25" s="78" t="s">
        <v>548</v>
      </c>
      <c r="G25" s="78" t="s">
        <v>567</v>
      </c>
      <c r="H25" s="299"/>
      <c r="I25" s="300" t="str">
        <f aca="false">Data!$E25</f>
        <v>a_gra1_y2</v>
      </c>
      <c r="J25" s="301" t="n">
        <f aca="false">Tests!$BL25</f>
        <v>0</v>
      </c>
      <c r="K25" s="302" t="str">
        <f aca="false">Tests!$CS25</f>
        <v>Step_per_unit:;Offset:;Sign:;EncoderSource:;EncoderSourceFormula:;UseEncoderSource:</v>
      </c>
      <c r="L25" s="303" t="str">
        <f aca="false">Data!$J25</f>
        <v>mm</v>
      </c>
      <c r="M25" s="304" t="n">
        <f aca="false">MIN(Tests!$BV25,Tests!$BW25)</f>
        <v>0</v>
      </c>
      <c r="N25" s="304" t="n">
        <f aca="false">MAX(Tests!$BV25,Tests!$BW25)</f>
        <v>0</v>
      </c>
    </row>
    <row r="26" customFormat="false" ht="12.8" hidden="false" customHeight="false" outlineLevel="0" collapsed="false">
      <c r="A26" s="195" t="n">
        <f aca="false">Data!$A26</f>
        <v>26</v>
      </c>
      <c r="B26" s="195" t="str">
        <f aca="false">Data!$B26</f>
        <v>B316A-EA07-OPT-GRA-01</v>
      </c>
      <c r="C26" s="195" t="str">
        <f aca="false">Data!$C26</f>
        <v>Grating VERITAS</v>
      </c>
      <c r="D26" s="290" t="str">
        <f aca="false">Data!$D26</f>
        <v>Y3</v>
      </c>
      <c r="E26" s="78" t="s">
        <v>547</v>
      </c>
      <c r="F26" s="78" t="s">
        <v>548</v>
      </c>
      <c r="G26" s="78" t="s">
        <v>567</v>
      </c>
      <c r="H26" s="299"/>
      <c r="I26" s="300" t="str">
        <f aca="false">Data!$E26</f>
        <v>a_gra1_y3</v>
      </c>
      <c r="J26" s="301" t="n">
        <f aca="false">Tests!$BL26</f>
        <v>0</v>
      </c>
      <c r="K26" s="302" t="str">
        <f aca="false">Tests!$CS26</f>
        <v>Step_per_unit:;Offset:;Sign:;EncoderSource:;EncoderSourceFormula:;UseEncoderSource:</v>
      </c>
      <c r="L26" s="303" t="str">
        <f aca="false">Data!$J26</f>
        <v>mm</v>
      </c>
      <c r="M26" s="304" t="n">
        <f aca="false">MIN(Tests!$BV26,Tests!$BW26)</f>
        <v>0</v>
      </c>
      <c r="N26" s="304" t="n">
        <f aca="false">MAX(Tests!$BV26,Tests!$BW26)</f>
        <v>0</v>
      </c>
    </row>
    <row r="27" customFormat="false" ht="12.8" hidden="false" customHeight="false" outlineLevel="0" collapsed="false">
      <c r="A27" s="195" t="n">
        <f aca="false">Data!$A27</f>
        <v>27</v>
      </c>
      <c r="B27" s="195" t="str">
        <f aca="false">Data!$B27</f>
        <v>B316A-EA07-OPT-GRA-02</v>
      </c>
      <c r="C27" s="195" t="str">
        <f aca="false">Data!$C27</f>
        <v>Grating VERITAS</v>
      </c>
      <c r="D27" s="290" t="str">
        <f aca="false">Data!$D27</f>
        <v>Y1</v>
      </c>
      <c r="E27" s="78" t="s">
        <v>547</v>
      </c>
      <c r="F27" s="78" t="s">
        <v>548</v>
      </c>
      <c r="G27" s="78" t="s">
        <v>567</v>
      </c>
      <c r="H27" s="299"/>
      <c r="I27" s="300" t="str">
        <f aca="false">Data!$E27</f>
        <v>a_gra2_y1</v>
      </c>
      <c r="J27" s="301" t="n">
        <f aca="false">Tests!$BL27</f>
        <v>0</v>
      </c>
      <c r="K27" s="302" t="str">
        <f aca="false">Tests!$CS27</f>
        <v>Step_per_unit:;Offset:;Sign:;EncoderSource:;EncoderSourceFormula:;UseEncoderSource:</v>
      </c>
      <c r="L27" s="303" t="str">
        <f aca="false">Data!$J27</f>
        <v>mm</v>
      </c>
      <c r="M27" s="304" t="n">
        <f aca="false">MIN(Tests!$BV27,Tests!$BW27)</f>
        <v>0</v>
      </c>
      <c r="N27" s="304" t="n">
        <f aca="false">MAX(Tests!$BV27,Tests!$BW27)</f>
        <v>0</v>
      </c>
    </row>
    <row r="28" customFormat="false" ht="12.8" hidden="false" customHeight="false" outlineLevel="0" collapsed="false">
      <c r="A28" s="195" t="n">
        <f aca="false">Data!$A28</f>
        <v>28</v>
      </c>
      <c r="B28" s="195" t="str">
        <f aca="false">Data!$B28</f>
        <v>B316A-EA07-OPT-GRA-02</v>
      </c>
      <c r="C28" s="195" t="str">
        <f aca="false">Data!$C28</f>
        <v>Grating VERITAS</v>
      </c>
      <c r="D28" s="290" t="str">
        <f aca="false">Data!$D28</f>
        <v>Y2</v>
      </c>
      <c r="E28" s="78" t="s">
        <v>547</v>
      </c>
      <c r="F28" s="78" t="s">
        <v>548</v>
      </c>
      <c r="G28" s="78" t="s">
        <v>567</v>
      </c>
      <c r="H28" s="299"/>
      <c r="I28" s="300" t="str">
        <f aca="false">Data!$E28</f>
        <v>a_gra2_y2</v>
      </c>
      <c r="J28" s="301" t="n">
        <f aca="false">Tests!$BL28</f>
        <v>0</v>
      </c>
      <c r="K28" s="302" t="str">
        <f aca="false">Tests!$CS28</f>
        <v>Step_per_unit:;Offset:;Sign:;EncoderSource:;EncoderSourceFormula:;UseEncoderSource:</v>
      </c>
      <c r="L28" s="303" t="str">
        <f aca="false">Data!$J28</f>
        <v>mm</v>
      </c>
      <c r="M28" s="304" t="n">
        <f aca="false">MIN(Tests!$BV28,Tests!$BW28)</f>
        <v>0</v>
      </c>
      <c r="N28" s="304" t="n">
        <f aca="false">MAX(Tests!$BV28,Tests!$BW28)</f>
        <v>0</v>
      </c>
    </row>
    <row r="29" s="306" customFormat="true" ht="12.8" hidden="false" customHeight="false" outlineLevel="0" collapsed="false">
      <c r="A29" s="209" t="n">
        <f aca="false">Data!$A29</f>
        <v>0</v>
      </c>
      <c r="B29" s="209"/>
      <c r="C29" s="209"/>
      <c r="D29" s="305"/>
      <c r="H29" s="311"/>
      <c r="I29" s="307"/>
      <c r="J29" s="308"/>
      <c r="K29" s="209"/>
      <c r="L29" s="309"/>
      <c r="M29" s="310"/>
      <c r="N29" s="310"/>
    </row>
    <row r="30" s="306" customFormat="true" ht="12.8" hidden="false" customHeight="false" outlineLevel="0" collapsed="false">
      <c r="A30" s="209" t="n">
        <f aca="false">Data!$A30</f>
        <v>0</v>
      </c>
      <c r="B30" s="209"/>
      <c r="C30" s="209"/>
      <c r="D30" s="305"/>
      <c r="H30" s="311"/>
      <c r="I30" s="307"/>
      <c r="J30" s="308"/>
      <c r="K30" s="209"/>
      <c r="L30" s="309"/>
      <c r="M30" s="310"/>
      <c r="N30" s="310"/>
    </row>
    <row r="31" customFormat="false" ht="12.8" hidden="false" customHeight="false" outlineLevel="0" collapsed="false">
      <c r="A31" s="195" t="n">
        <f aca="false">Data!$A31</f>
        <v>31</v>
      </c>
      <c r="B31" s="195" t="str">
        <f aca="false">Data!$B31</f>
        <v>B316A-EA07-OPT-GRA-02</v>
      </c>
      <c r="C31" s="195" t="str">
        <f aca="false">Data!$C31</f>
        <v>Grating VERITAS</v>
      </c>
      <c r="D31" s="290" t="str">
        <f aca="false">Data!$D31</f>
        <v>Y3</v>
      </c>
      <c r="E31" s="78" t="s">
        <v>547</v>
      </c>
      <c r="F31" s="78" t="s">
        <v>548</v>
      </c>
      <c r="G31" s="78" t="s">
        <v>567</v>
      </c>
      <c r="H31" s="299"/>
      <c r="I31" s="300" t="str">
        <f aca="false">Data!$E31</f>
        <v>a_gra2_y3</v>
      </c>
      <c r="J31" s="301" t="n">
        <f aca="false">Tests!$BL31</f>
        <v>0</v>
      </c>
      <c r="K31" s="302" t="str">
        <f aca="false">Tests!$CS31</f>
        <v>Step_per_unit:;Offset:;Sign:;EncoderSource:;EncoderSourceFormula:;UseEncoderSource:</v>
      </c>
      <c r="L31" s="303" t="str">
        <f aca="false">Data!$J31</f>
        <v>mm</v>
      </c>
      <c r="M31" s="304" t="n">
        <f aca="false">MIN(Tests!$BV31,Tests!$BW31)</f>
        <v>0</v>
      </c>
      <c r="N31" s="304" t="n">
        <f aca="false">MAX(Tests!$BV31,Tests!$BW31)</f>
        <v>0</v>
      </c>
    </row>
    <row r="32" customFormat="false" ht="12.8" hidden="false" customHeight="false" outlineLevel="0" collapsed="false">
      <c r="A32" s="195" t="n">
        <f aca="false">Data!$A32</f>
        <v>32</v>
      </c>
      <c r="B32" s="195" t="str">
        <f aca="false">Data!$B32</f>
        <v>B316A-EA08-OPT-FLT-01</v>
      </c>
      <c r="C32" s="195" t="str">
        <f aca="false">Data!$C32</f>
        <v>Filter Unit VERITAS</v>
      </c>
      <c r="D32" s="290" t="str">
        <f aca="false">Data!$D32</f>
        <v>X</v>
      </c>
      <c r="E32" s="78" t="s">
        <v>547</v>
      </c>
      <c r="F32" s="78" t="s">
        <v>548</v>
      </c>
      <c r="G32" s="78" t="s">
        <v>568</v>
      </c>
      <c r="H32" s="299"/>
      <c r="I32" s="300" t="str">
        <f aca="false">Data!$E32</f>
        <v>a_flt1_x</v>
      </c>
      <c r="J32" s="301" t="n">
        <f aca="false">Tests!$BL32</f>
        <v>0</v>
      </c>
      <c r="K32" s="302" t="str">
        <f aca="false">Tests!$CS32</f>
        <v>Step_per_unit:;Offset:;Sign:;EncoderSource:;EncoderSourceFormula:;UseEncoderSource:</v>
      </c>
      <c r="L32" s="303" t="str">
        <f aca="false">Data!$J32</f>
        <v>mm</v>
      </c>
      <c r="M32" s="304" t="n">
        <f aca="false">MIN(Tests!$BV32,Tests!$BW32)</f>
        <v>0</v>
      </c>
      <c r="N32" s="304" t="n">
        <f aca="false">MAX(Tests!$BV32,Tests!$BW32)</f>
        <v>0</v>
      </c>
    </row>
    <row r="33" customFormat="false" ht="12.8" hidden="false" customHeight="false" outlineLevel="0" collapsed="false">
      <c r="A33" s="195" t="n">
        <f aca="false">Data!$A33</f>
        <v>33</v>
      </c>
      <c r="B33" s="195" t="str">
        <f aca="false">Data!$B33</f>
        <v>B316A-EA08-DIA-DETMC-01</v>
      </c>
      <c r="C33" s="195" t="str">
        <f aca="false">Data!$C33</f>
        <v>Detector VERITAS</v>
      </c>
      <c r="D33" s="290" t="str">
        <f aca="false">Data!$D33</f>
        <v>Y</v>
      </c>
      <c r="E33" s="78" t="s">
        <v>547</v>
      </c>
      <c r="F33" s="78" t="s">
        <v>548</v>
      </c>
      <c r="G33" s="78" t="s">
        <v>568</v>
      </c>
      <c r="H33" s="299"/>
      <c r="I33" s="300" t="str">
        <f aca="false">Data!$E33</f>
        <v>a_detmc1_y</v>
      </c>
      <c r="J33" s="301" t="n">
        <f aca="false">Tests!$BL33</f>
        <v>0</v>
      </c>
      <c r="K33" s="302" t="str">
        <f aca="false">Tests!$CS33</f>
        <v>Step_per_unit:;Offset:;Sign:;EncoderSource:;EncoderSourceFormula:;UseEncoderSource:</v>
      </c>
      <c r="L33" s="303" t="str">
        <f aca="false">Data!$J33</f>
        <v>mm</v>
      </c>
      <c r="M33" s="304" t="n">
        <f aca="false">MIN(Tests!$BV33,Tests!$BW33)</f>
        <v>0</v>
      </c>
      <c r="N33" s="304" t="n">
        <f aca="false">MAX(Tests!$BV33,Tests!$BW33)</f>
        <v>0</v>
      </c>
    </row>
    <row r="34" customFormat="false" ht="12.8" hidden="false" customHeight="false" outlineLevel="0" collapsed="false">
      <c r="A34" s="195" t="n">
        <f aca="false">Data!$A34</f>
        <v>34</v>
      </c>
      <c r="B34" s="195" t="str">
        <f aca="false">Data!$B34</f>
        <v>B316A-EA08-DIA-DETMC-02</v>
      </c>
      <c r="C34" s="195" t="str">
        <f aca="false">Data!$C34</f>
        <v>Detector VERITAS</v>
      </c>
      <c r="D34" s="290" t="str">
        <f aca="false">Data!$D34</f>
        <v>Y</v>
      </c>
      <c r="E34" s="78" t="s">
        <v>547</v>
      </c>
      <c r="F34" s="78" t="s">
        <v>548</v>
      </c>
      <c r="G34" s="78" t="s">
        <v>568</v>
      </c>
      <c r="H34" s="299"/>
      <c r="I34" s="300" t="str">
        <f aca="false">Data!$E34</f>
        <v>a_detmc2_y</v>
      </c>
      <c r="J34" s="301" t="n">
        <f aca="false">Tests!$BL34</f>
        <v>0</v>
      </c>
      <c r="K34" s="302" t="str">
        <f aca="false">Tests!$CS34</f>
        <v>Step_per_unit:;Offset:;Sign:;EncoderSource:;EncoderSourceFormula:;UseEncoderSource:</v>
      </c>
      <c r="L34" s="303" t="str">
        <f aca="false">Data!$J34</f>
        <v>mm</v>
      </c>
      <c r="M34" s="304" t="n">
        <f aca="false">MIN(Tests!$BV34,Tests!$BW34)</f>
        <v>0</v>
      </c>
      <c r="N34" s="304" t="n">
        <f aca="false">MAX(Tests!$BV34,Tests!$BW34)</f>
        <v>0</v>
      </c>
    </row>
    <row r="35" customFormat="false" ht="12.8" hidden="false" customHeight="false" outlineLevel="0" collapsed="false">
      <c r="A35" s="195" t="n">
        <f aca="false">Data!$A35</f>
        <v>35</v>
      </c>
      <c r="B35" s="195" t="str">
        <f aca="false">Data!$B35</f>
        <v>B316A-EA09-OPT-MM-01</v>
      </c>
      <c r="C35" s="195" t="str">
        <f aca="false">Data!$C35</f>
        <v>Movable Mask VERITAS</v>
      </c>
      <c r="D35" s="290" t="str">
        <f aca="false">Data!$D35</f>
        <v>Y</v>
      </c>
      <c r="E35" s="78" t="s">
        <v>547</v>
      </c>
      <c r="F35" s="78" t="s">
        <v>548</v>
      </c>
      <c r="G35" s="78" t="s">
        <v>569</v>
      </c>
      <c r="H35" s="299"/>
      <c r="I35" s="300" t="str">
        <f aca="false">Data!$E35</f>
        <v>a_mm1_y</v>
      </c>
      <c r="J35" s="301" t="n">
        <f aca="false">Tests!$BL35</f>
        <v>0</v>
      </c>
      <c r="K35" s="302" t="str">
        <f aca="false">Tests!$CS35</f>
        <v>Step_per_unit:;Offset:;Sign:;EncoderSource:;EncoderSourceFormula:;UseEncoderSource:</v>
      </c>
      <c r="L35" s="303" t="str">
        <f aca="false">Data!$J35</f>
        <v>mm</v>
      </c>
      <c r="M35" s="304" t="n">
        <f aca="false">MIN(Tests!$BV35,Tests!$BW35)</f>
        <v>0</v>
      </c>
      <c r="N35" s="304" t="n">
        <f aca="false">MAX(Tests!$BV35,Tests!$BW35)</f>
        <v>0</v>
      </c>
    </row>
    <row r="36" customFormat="false" ht="12.8" hidden="false" customHeight="false" outlineLevel="0" collapsed="false">
      <c r="A36" s="195" t="n">
        <f aca="false">Data!$A36</f>
        <v>36</v>
      </c>
      <c r="B36" s="195" t="str">
        <f aca="false">Data!$B36</f>
        <v>B316A-EA09-OPT-MM-02</v>
      </c>
      <c r="C36" s="195" t="str">
        <f aca="false">Data!$C36</f>
        <v>Movable Mask VERITAS</v>
      </c>
      <c r="D36" s="290" t="str">
        <f aca="false">Data!$D36</f>
        <v>Y</v>
      </c>
      <c r="E36" s="78" t="s">
        <v>547</v>
      </c>
      <c r="F36" s="78" t="s">
        <v>548</v>
      </c>
      <c r="G36" s="78" t="s">
        <v>569</v>
      </c>
      <c r="H36" s="299"/>
      <c r="I36" s="300" t="str">
        <f aca="false">Data!$E36</f>
        <v>a_mm2_y</v>
      </c>
      <c r="J36" s="301" t="n">
        <f aca="false">Tests!$BL36</f>
        <v>0</v>
      </c>
      <c r="K36" s="302" t="str">
        <f aca="false">Tests!$CS36</f>
        <v>Step_per_unit:;Offset:;Sign:;EncoderSource:;EncoderSourceFormula:;UseEncoderSource:</v>
      </c>
      <c r="L36" s="303" t="str">
        <f aca="false">Data!$J36</f>
        <v>mm</v>
      </c>
      <c r="M36" s="304" t="n">
        <f aca="false">MIN(Tests!$BV36,Tests!$BW36)</f>
        <v>0</v>
      </c>
      <c r="N36" s="304" t="n">
        <f aca="false">MAX(Tests!$BV36,Tests!$BW36)</f>
        <v>0</v>
      </c>
    </row>
    <row r="37" customFormat="false" ht="12.8" hidden="false" customHeight="false" outlineLevel="0" collapsed="false">
      <c r="A37" s="195" t="n">
        <f aca="false">Data!$A37</f>
        <v>37</v>
      </c>
      <c r="B37" s="195" t="str">
        <f aca="false">Data!$B37</f>
        <v>B316A-EA09-OPT-POL-01</v>
      </c>
      <c r="C37" s="195" t="str">
        <f aca="false">Data!$C37</f>
        <v>Multilayer Mirror VERITAS</v>
      </c>
      <c r="D37" s="290" t="str">
        <f aca="false">Data!$D37</f>
        <v>Y</v>
      </c>
      <c r="E37" s="78" t="s">
        <v>547</v>
      </c>
      <c r="F37" s="78" t="s">
        <v>548</v>
      </c>
      <c r="G37" s="78" t="s">
        <v>569</v>
      </c>
      <c r="H37" s="299"/>
      <c r="I37" s="300" t="str">
        <f aca="false">Data!$E37</f>
        <v>a_pol1_y</v>
      </c>
      <c r="J37" s="301" t="n">
        <f aca="false">Tests!$BL37</f>
        <v>0</v>
      </c>
      <c r="K37" s="302" t="str">
        <f aca="false">Tests!$CS37</f>
        <v>Step_per_unit:;Offset:;Sign:;EncoderSource:;EncoderSourceFormula:;UseEncoderSource:</v>
      </c>
      <c r="L37" s="303" t="str">
        <f aca="false">Data!$J37</f>
        <v>mm</v>
      </c>
      <c r="M37" s="304" t="n">
        <f aca="false">MIN(Tests!$BV37,Tests!$BW37)</f>
        <v>0</v>
      </c>
      <c r="N37" s="304" t="n">
        <f aca="false">MAX(Tests!$BV37,Tests!$BW37)</f>
        <v>0</v>
      </c>
    </row>
    <row r="38" customFormat="false" ht="12.8" hidden="false" customHeight="false" outlineLevel="0" collapsed="false">
      <c r="A38" s="195" t="n">
        <f aca="false">Data!$A38</f>
        <v>38</v>
      </c>
      <c r="B38" s="195" t="str">
        <f aca="false">Data!$B38</f>
        <v>B316A-EA09-OPT-POL-02</v>
      </c>
      <c r="C38" s="195" t="str">
        <f aca="false">Data!$C38</f>
        <v>Multilayer Mirror VERITAS</v>
      </c>
      <c r="D38" s="290" t="str">
        <f aca="false">Data!$D38</f>
        <v>PIT</v>
      </c>
      <c r="E38" s="78" t="s">
        <v>547</v>
      </c>
      <c r="F38" s="78" t="s">
        <v>548</v>
      </c>
      <c r="G38" s="78" t="s">
        <v>569</v>
      </c>
      <c r="H38" s="299"/>
      <c r="I38" s="300" t="str">
        <f aca="false">Data!$E38</f>
        <v>a_pol2_pit</v>
      </c>
      <c r="J38" s="301" t="n">
        <f aca="false">Tests!$BL38</f>
        <v>0</v>
      </c>
      <c r="K38" s="302" t="str">
        <f aca="false">Tests!$CS38</f>
        <v>Step_per_unit:;Offset:;Sign:;EncoderSource:;EncoderSourceFormula:;UseEncoderSource:</v>
      </c>
      <c r="L38" s="303" t="str">
        <f aca="false">Data!$J38</f>
        <v>deg</v>
      </c>
      <c r="M38" s="304" t="n">
        <f aca="false">MIN(Tests!$BV38,Tests!$BW38)</f>
        <v>0</v>
      </c>
      <c r="N38" s="304" t="n">
        <f aca="false">MAX(Tests!$BV38,Tests!$BW38)</f>
        <v>0</v>
      </c>
    </row>
    <row r="39" s="306" customFormat="true" ht="12.8" hidden="false" customHeight="false" outlineLevel="0" collapsed="false">
      <c r="A39" s="209"/>
      <c r="B39" s="209"/>
      <c r="C39" s="209"/>
      <c r="D39" s="305"/>
      <c r="I39" s="307"/>
      <c r="J39" s="307"/>
      <c r="K39" s="312"/>
      <c r="L39" s="307"/>
    </row>
    <row r="40" s="306" customFormat="true" ht="12.8" hidden="false" customHeight="false" outlineLevel="0" collapsed="false">
      <c r="A40" s="209"/>
      <c r="B40" s="209"/>
      <c r="C40" s="209"/>
      <c r="D40" s="305"/>
      <c r="I40" s="307"/>
      <c r="J40" s="307"/>
      <c r="K40" s="312"/>
      <c r="L40" s="307"/>
    </row>
    <row r="41" customFormat="false" ht="12.8" hidden="false" customHeight="false" outlineLevel="0" collapsed="false">
      <c r="A41" s="195" t="n">
        <f aca="false">Data!$A41</f>
        <v>41</v>
      </c>
      <c r="B41" s="195" t="str">
        <f aca="false">Data!$B41</f>
        <v>B316A-EA09-OPT-POL-02</v>
      </c>
      <c r="C41" s="195" t="str">
        <f aca="false">Data!$C41</f>
        <v>Multilayer Mirror VERITAS</v>
      </c>
      <c r="D41" s="290" t="str">
        <f aca="false">Data!$D41</f>
        <v>X</v>
      </c>
      <c r="E41" s="78" t="s">
        <v>547</v>
      </c>
      <c r="F41" s="78" t="s">
        <v>548</v>
      </c>
      <c r="G41" s="78" t="s">
        <v>569</v>
      </c>
      <c r="H41" s="299"/>
      <c r="I41" s="300" t="str">
        <f aca="false">Data!$E41</f>
        <v>a_pol2_x</v>
      </c>
      <c r="J41" s="301" t="n">
        <f aca="false">Tests!$BL41</f>
        <v>0</v>
      </c>
      <c r="K41" s="302" t="str">
        <f aca="false">Tests!$CS41</f>
        <v>Step_per_unit:;Offset:;Sign:;EncoderSource:;EncoderSourceFormula:;UseEncoderSource:</v>
      </c>
      <c r="L41" s="303" t="str">
        <f aca="false">Data!$J41</f>
        <v>mm</v>
      </c>
      <c r="M41" s="304" t="n">
        <f aca="false">MIN(Tests!$BV41,Tests!$BW41)</f>
        <v>0</v>
      </c>
      <c r="N41" s="304" t="n">
        <f aca="false">MAX(Tests!$BV41,Tests!$BW41)</f>
        <v>0</v>
      </c>
    </row>
    <row r="42" customFormat="false" ht="12.8" hidden="false" customHeight="false" outlineLevel="0" collapsed="false">
      <c r="A42" s="195" t="n">
        <f aca="false">Data!$A42</f>
        <v>42</v>
      </c>
      <c r="B42" s="195" t="str">
        <f aca="false">Data!$B42</f>
        <v>B316A-EA09-DIA-TABLED-01</v>
      </c>
      <c r="C42" s="195" t="str">
        <f aca="false">Data!$C42</f>
        <v>Detector Table VERITAS</v>
      </c>
      <c r="D42" s="290" t="str">
        <f aca="false">Data!$D42</f>
        <v>Z</v>
      </c>
      <c r="E42" s="78" t="s">
        <v>547</v>
      </c>
      <c r="F42" s="78" t="s">
        <v>548</v>
      </c>
      <c r="G42" s="78" t="s">
        <v>569</v>
      </c>
      <c r="H42" s="299"/>
      <c r="I42" s="300" t="str">
        <f aca="false">Data!$E42</f>
        <v>a_tabled_z</v>
      </c>
      <c r="J42" s="301" t="n">
        <f aca="false">Tests!$BL42</f>
        <v>0</v>
      </c>
      <c r="K42" s="302" t="str">
        <f aca="false">Tests!$CS42</f>
        <v>Step_per_unit:;Offset:;Sign:;EncoderSource:;EncoderSourceFormula:;UseEncoderSource:</v>
      </c>
      <c r="L42" s="303" t="str">
        <f aca="false">Data!$J42</f>
        <v>mm</v>
      </c>
      <c r="M42" s="304" t="n">
        <f aca="false">MIN(Tests!$BV42,Tests!$BW42)</f>
        <v>0</v>
      </c>
      <c r="N42" s="304" t="n">
        <f aca="false">MAX(Tests!$BV42,Tests!$BW42)</f>
        <v>0</v>
      </c>
    </row>
    <row r="43" customFormat="false" ht="12.8" hidden="false" customHeight="false" outlineLevel="0" collapsed="false">
      <c r="A43" s="195" t="n">
        <f aca="false">Data!$A43</f>
        <v>43</v>
      </c>
      <c r="B43" s="195" t="str">
        <f aca="false">Data!$B43</f>
        <v>B316A-EA10-DIA-DETMC-01</v>
      </c>
      <c r="C43" s="195" t="str">
        <f aca="false">Data!$C43</f>
        <v>Detector VERITAS</v>
      </c>
      <c r="D43" s="290" t="str">
        <f aca="false">Data!$D43</f>
        <v>PIT</v>
      </c>
      <c r="E43" s="78" t="s">
        <v>547</v>
      </c>
      <c r="F43" s="78" t="s">
        <v>548</v>
      </c>
      <c r="G43" s="78" t="s">
        <v>570</v>
      </c>
      <c r="H43" s="299"/>
      <c r="I43" s="300" t="str">
        <f aca="false">Data!$E43</f>
        <v>a10_detmc1_pit</v>
      </c>
      <c r="J43" s="301" t="n">
        <f aca="false">Tests!$BL43</f>
        <v>0</v>
      </c>
      <c r="K43" s="302" t="str">
        <f aca="false">Tests!$CS43</f>
        <v>Step_per_unit:;Offset:;Sign:;EncoderSource:;EncoderSourceFormula:;UseEncoderSource:</v>
      </c>
      <c r="L43" s="303" t="str">
        <f aca="false">Data!$J43</f>
        <v>deg</v>
      </c>
      <c r="M43" s="304" t="n">
        <f aca="false">MIN(Tests!$BV43,Tests!$BW43)</f>
        <v>0</v>
      </c>
      <c r="N43" s="304" t="n">
        <f aca="false">MAX(Tests!$BV43,Tests!$BW43)</f>
        <v>0</v>
      </c>
    </row>
    <row r="44" customFormat="false" ht="12.8" hidden="false" customHeight="false" outlineLevel="0" collapsed="false">
      <c r="A44" s="195" t="n">
        <f aca="false">Data!$A44</f>
        <v>44</v>
      </c>
      <c r="B44" s="195" t="str">
        <f aca="false">Data!$B44</f>
        <v>B316A-EA10-DIA-DETMC-01</v>
      </c>
      <c r="C44" s="195" t="str">
        <f aca="false">Data!$C44</f>
        <v>Detector VERITAS</v>
      </c>
      <c r="D44" s="290" t="str">
        <f aca="false">Data!$D44</f>
        <v>Y</v>
      </c>
      <c r="E44" s="78" t="s">
        <v>547</v>
      </c>
      <c r="F44" s="78" t="s">
        <v>548</v>
      </c>
      <c r="G44" s="78" t="s">
        <v>570</v>
      </c>
      <c r="H44" s="299"/>
      <c r="I44" s="300" t="str">
        <f aca="false">Data!$E44</f>
        <v>a10_detmc1_y</v>
      </c>
      <c r="J44" s="301" t="n">
        <f aca="false">Tests!$BL44</f>
        <v>0</v>
      </c>
      <c r="K44" s="302" t="str">
        <f aca="false">Tests!$CS44</f>
        <v>Step_per_unit:;Offset:;Sign:;EncoderSource:;EncoderSourceFormula:;UseEncoderSource:</v>
      </c>
      <c r="L44" s="303" t="str">
        <f aca="false">Data!$J44</f>
        <v>mm</v>
      </c>
      <c r="M44" s="304" t="n">
        <f aca="false">MIN(Tests!$BV44,Tests!$BW44)</f>
        <v>0</v>
      </c>
      <c r="N44" s="304" t="n">
        <f aca="false">MAX(Tests!$BV44,Tests!$BW44)</f>
        <v>0</v>
      </c>
    </row>
    <row r="45" customFormat="false" ht="12.8" hidden="false" customHeight="false" outlineLevel="0" collapsed="false">
      <c r="A45" s="195" t="n">
        <f aca="false">Data!$A45</f>
        <v>45</v>
      </c>
      <c r="B45" s="195" t="str">
        <f aca="false">Data!$B45</f>
        <v>B316A-EA10-DIA-DETMC-02</v>
      </c>
      <c r="C45" s="195" t="str">
        <f aca="false">Data!$C45</f>
        <v>Detector VERITAS</v>
      </c>
      <c r="D45" s="290" t="str">
        <f aca="false">Data!$D45</f>
        <v>PIT1</v>
      </c>
      <c r="E45" s="78" t="s">
        <v>547</v>
      </c>
      <c r="F45" s="78" t="s">
        <v>548</v>
      </c>
      <c r="G45" s="78" t="s">
        <v>570</v>
      </c>
      <c r="H45" s="299"/>
      <c r="I45" s="300" t="str">
        <f aca="false">Data!$E45</f>
        <v>a_detmc2_pit1</v>
      </c>
      <c r="J45" s="301" t="n">
        <f aca="false">Tests!$BL45</f>
        <v>0</v>
      </c>
      <c r="K45" s="302" t="str">
        <f aca="false">Tests!$CS45</f>
        <v>Step_per_unit:;Offset:;Sign:;EncoderSource:;EncoderSourceFormula:;UseEncoderSource:</v>
      </c>
      <c r="L45" s="303" t="str">
        <f aca="false">Data!$J45</f>
        <v>deg</v>
      </c>
      <c r="M45" s="304" t="n">
        <f aca="false">MIN(Tests!$BV45,Tests!$BW45)</f>
        <v>0</v>
      </c>
      <c r="N45" s="304" t="n">
        <f aca="false">MAX(Tests!$BV45,Tests!$BW45)</f>
        <v>0</v>
      </c>
    </row>
    <row r="46" customFormat="false" ht="12.8" hidden="false" customHeight="false" outlineLevel="0" collapsed="false">
      <c r="A46" s="195" t="n">
        <f aca="false">Data!$A46</f>
        <v>46</v>
      </c>
      <c r="B46" s="195" t="str">
        <f aca="false">Data!$B46</f>
        <v>B316A-EA10-DIA-DETMC-02</v>
      </c>
      <c r="C46" s="195" t="str">
        <f aca="false">Data!$C46</f>
        <v>Detector VERITAS</v>
      </c>
      <c r="D46" s="290" t="str">
        <f aca="false">Data!$D46</f>
        <v>PIT2</v>
      </c>
      <c r="E46" s="78" t="s">
        <v>547</v>
      </c>
      <c r="F46" s="78" t="s">
        <v>548</v>
      </c>
      <c r="G46" s="78" t="s">
        <v>570</v>
      </c>
      <c r="H46" s="299"/>
      <c r="I46" s="300" t="str">
        <f aca="false">Data!$E46</f>
        <v>a_detmc2_pit2</v>
      </c>
      <c r="J46" s="301" t="n">
        <f aca="false">Tests!$BL46</f>
        <v>0</v>
      </c>
      <c r="K46" s="302" t="str">
        <f aca="false">Tests!$CS46</f>
        <v>Step_per_unit:;Offset:;Sign:;EncoderSource:;EncoderSourceFormula:;UseEncoderSource:</v>
      </c>
      <c r="L46" s="303" t="str">
        <f aca="false">Data!$J46</f>
        <v>deg</v>
      </c>
      <c r="M46" s="304" t="n">
        <f aca="false">MIN(Tests!$BV46,Tests!$BW46)</f>
        <v>0</v>
      </c>
      <c r="N46" s="304" t="n">
        <f aca="false">MAX(Tests!$BV46,Tests!$BW46)</f>
        <v>0</v>
      </c>
    </row>
    <row r="47" customFormat="false" ht="12.8" hidden="false" customHeight="false" outlineLevel="0" collapsed="false">
      <c r="A47" s="195" t="n">
        <f aca="false">Data!$A47</f>
        <v>47</v>
      </c>
      <c r="B47" s="195" t="str">
        <f aca="false">Data!$B47</f>
        <v>B316A-EA11-DIA-SPC-01</v>
      </c>
      <c r="C47" s="195" t="str">
        <f aca="false">Data!$C47</f>
        <v>Spectrometer VERITAS</v>
      </c>
      <c r="D47" s="290" t="str">
        <f aca="false">Data!$D47</f>
        <v>YAW</v>
      </c>
      <c r="E47" s="78" t="s">
        <v>547</v>
      </c>
      <c r="F47" s="78" t="s">
        <v>548</v>
      </c>
      <c r="G47" s="78" t="s">
        <v>571</v>
      </c>
      <c r="H47" s="299"/>
      <c r="I47" s="300" t="str">
        <f aca="false">Data!$E47</f>
        <v>a11_spc1_yaw</v>
      </c>
      <c r="J47" s="301" t="n">
        <f aca="false">Tests!$BL47</f>
        <v>0</v>
      </c>
      <c r="K47" s="302" t="str">
        <f aca="false">Tests!$CS47</f>
        <v>Step_per_unit:;Offset:;Sign:;EncoderSource:;EncoderSourceFormula:;UseEncoderSource:</v>
      </c>
      <c r="L47" s="303" t="str">
        <f aca="false">Data!$J47</f>
        <v>deg</v>
      </c>
      <c r="M47" s="304" t="n">
        <f aca="false">MIN(Tests!$BV47,Tests!$BW47)</f>
        <v>0</v>
      </c>
      <c r="N47" s="304" t="n">
        <f aca="false">MAX(Tests!$BV47,Tests!$BW47)</f>
        <v>0</v>
      </c>
    </row>
    <row r="48" customFormat="false" ht="12.8" hidden="false" customHeight="false" outlineLevel="0" collapsed="false">
      <c r="A48" s="195" t="n">
        <f aca="false">Data!$A48</f>
        <v>48</v>
      </c>
      <c r="B48" s="195" t="str">
        <f aca="false">Data!$B48</f>
        <v>B316A-EA04-DIA-MP-02</v>
      </c>
      <c r="C48" s="195" t="str">
        <f aca="false">Data!$C48</f>
        <v>Manipulator VERITAS</v>
      </c>
      <c r="D48" s="290" t="str">
        <f aca="false">Data!$D48</f>
        <v>X</v>
      </c>
      <c r="E48" s="78" t="s">
        <v>547</v>
      </c>
      <c r="F48" s="78" t="s">
        <v>548</v>
      </c>
      <c r="G48" s="78" t="s">
        <v>561</v>
      </c>
      <c r="H48" s="299"/>
      <c r="I48" s="300" t="str">
        <f aca="false">Data!$E48</f>
        <v>a_mp2_x</v>
      </c>
      <c r="J48" s="301" t="n">
        <f aca="false">Tests!$BL48</f>
        <v>0</v>
      </c>
      <c r="K48" s="302" t="str">
        <f aca="false">Tests!$CS48</f>
        <v>Step_per_unit:;Offset:;Sign:;EncoderSource:;EncoderSourceFormula:;UseEncoderSource:</v>
      </c>
      <c r="L48" s="303" t="str">
        <f aca="false">Data!$J48</f>
        <v>mm</v>
      </c>
      <c r="M48" s="304" t="n">
        <f aca="false">MIN(Tests!$BV48,Tests!$BW48)</f>
        <v>0</v>
      </c>
      <c r="N48" s="304" t="n">
        <f aca="false">MAX(Tests!$BV48,Tests!$BW48)</f>
        <v>0</v>
      </c>
    </row>
    <row r="49" s="306" customFormat="true" ht="12.8" hidden="false" customHeight="false" outlineLevel="0" collapsed="false">
      <c r="A49" s="209"/>
      <c r="B49" s="209"/>
      <c r="C49" s="209"/>
      <c r="D49" s="305"/>
      <c r="I49" s="307"/>
      <c r="J49" s="307"/>
      <c r="K49" s="312"/>
      <c r="L49" s="307"/>
    </row>
    <row r="50" s="306" customFormat="true" ht="12.8" hidden="false" customHeight="false" outlineLevel="0" collapsed="false">
      <c r="A50" s="209"/>
      <c r="B50" s="209"/>
      <c r="C50" s="209"/>
      <c r="D50" s="305"/>
      <c r="I50" s="307"/>
      <c r="J50" s="307"/>
      <c r="K50" s="312"/>
      <c r="L50" s="307"/>
    </row>
    <row r="51" customFormat="false" ht="12.8" hidden="false" customHeight="false" outlineLevel="0" collapsed="false">
      <c r="A51" s="195" t="n">
        <f aca="false">Data!$A51</f>
        <v>51</v>
      </c>
      <c r="B51" s="195" t="str">
        <f aca="false">Data!$B51</f>
        <v>B316A-EA04-DIA-MP-02</v>
      </c>
      <c r="C51" s="195" t="str">
        <f aca="false">Data!$C51</f>
        <v>Manipulator VERITAS</v>
      </c>
      <c r="D51" s="290" t="str">
        <f aca="false">Data!$D51</f>
        <v>Z</v>
      </c>
      <c r="E51" s="78" t="s">
        <v>547</v>
      </c>
      <c r="F51" s="78" t="s">
        <v>548</v>
      </c>
      <c r="G51" s="78" t="s">
        <v>561</v>
      </c>
      <c r="H51" s="299"/>
      <c r="I51" s="300" t="str">
        <f aca="false">Data!$E51</f>
        <v>a_mp2_z</v>
      </c>
      <c r="J51" s="301" t="n">
        <f aca="false">Tests!$BL51</f>
        <v>0</v>
      </c>
      <c r="K51" s="302" t="str">
        <f aca="false">Tests!$CS51</f>
        <v>Step_per_unit:;Offset:;Sign:;EncoderSource:;EncoderSourceFormula:;UseEncoderSource:</v>
      </c>
      <c r="L51" s="303" t="str">
        <f aca="false">Data!$J51</f>
        <v>mm</v>
      </c>
      <c r="M51" s="304" t="n">
        <f aca="false">MIN(Tests!$BV51,Tests!$BW51)</f>
        <v>0</v>
      </c>
      <c r="N51" s="304" t="n">
        <f aca="false">MAX(Tests!$BV51,Tests!$BW51)</f>
        <v>0</v>
      </c>
    </row>
    <row r="52" customFormat="false" ht="12.8" hidden="false" customHeight="false" outlineLevel="0" collapsed="false">
      <c r="A52" s="195" t="n">
        <f aca="false">Data!$A52</f>
        <v>52</v>
      </c>
      <c r="B52" s="195" t="str">
        <f aca="false">Data!$B52</f>
        <v>B316A-EA04-DIA-MP-02</v>
      </c>
      <c r="C52" s="195" t="str">
        <f aca="false">Data!$C52</f>
        <v>Manipulator VERITAS</v>
      </c>
      <c r="D52" s="290" t="str">
        <f aca="false">Data!$D52</f>
        <v>Y</v>
      </c>
      <c r="E52" s="78" t="s">
        <v>547</v>
      </c>
      <c r="F52" s="78" t="s">
        <v>548</v>
      </c>
      <c r="G52" s="78" t="s">
        <v>561</v>
      </c>
      <c r="H52" s="299"/>
      <c r="I52" s="300" t="str">
        <f aca="false">Data!$E52</f>
        <v>a_mp2_y</v>
      </c>
      <c r="J52" s="301" t="n">
        <f aca="false">Tests!$BL52</f>
        <v>0</v>
      </c>
      <c r="K52" s="302" t="str">
        <f aca="false">Tests!$CS52</f>
        <v>Step_per_unit:;Offset:;Sign:;EncoderSource:;EncoderSourceFormula:;UseEncoderSource:</v>
      </c>
      <c r="L52" s="303" t="str">
        <f aca="false">Data!$J52</f>
        <v>mm</v>
      </c>
      <c r="M52" s="304" t="n">
        <f aca="false">MIN(Tests!$BV52,Tests!$BW52)</f>
        <v>0</v>
      </c>
      <c r="N52" s="304" t="n">
        <f aca="false">MAX(Tests!$BV52,Tests!$BW52)</f>
        <v>0</v>
      </c>
    </row>
    <row r="53" customFormat="false" ht="12.8" hidden="false" customHeight="false" outlineLevel="0" collapsed="false">
      <c r="A53" s="195" t="n">
        <v>53</v>
      </c>
      <c r="B53" s="313" t="str">
        <f aca="false">Data!$B53</f>
        <v>B316A-EB03-OPT-BAFF-01</v>
      </c>
      <c r="C53" s="195" t="str">
        <f aca="false">Data!$C53</f>
        <v>M4 Baffles VERITAS</v>
      </c>
      <c r="D53" s="290" t="str">
        <f aca="false">Data!$D53</f>
        <v>VT</v>
      </c>
      <c r="E53" s="78" t="s">
        <v>547</v>
      </c>
      <c r="F53" s="78" t="s">
        <v>548</v>
      </c>
      <c r="G53" s="78" t="s">
        <v>572</v>
      </c>
      <c r="H53" s="299" t="s">
        <v>573</v>
      </c>
      <c r="I53" s="300" t="str">
        <f aca="false">Data!$E53</f>
        <v>b_m4_baff_vt</v>
      </c>
      <c r="J53" s="301" t="n">
        <f aca="false">Tests!$BL53</f>
        <v>400</v>
      </c>
      <c r="K53" s="302" t="str">
        <f aca="false">Tests!$CS53</f>
        <v>Step_per_unit:400;Offset:-566.46;Sign:1;EncoderSource:attr://EncAbsEnc;EncoderSourceFormula:VALUE/1000000;UseEncoderSource:TRUE</v>
      </c>
      <c r="L53" s="303" t="str">
        <f aca="false">Data!$J53</f>
        <v>mm</v>
      </c>
      <c r="M53" s="304" t="n">
        <f aca="false">MIN(Tests!$BV53,Tests!$BW53)</f>
        <v>-3.99754400000006</v>
      </c>
      <c r="N53" s="304" t="n">
        <f aca="false">MAX(Tests!$BV53,Tests!$BW53)</f>
        <v>16.39323</v>
      </c>
      <c r="O53" s="78" t="s">
        <v>551</v>
      </c>
    </row>
    <row r="54" customFormat="false" ht="12.8" hidden="false" customHeight="false" outlineLevel="0" collapsed="false">
      <c r="A54" s="195" t="n">
        <v>54</v>
      </c>
      <c r="B54" s="195" t="str">
        <f aca="false">Data!$B54</f>
        <v>B316A-EB03-OPT-BAFF-01</v>
      </c>
      <c r="C54" s="195" t="str">
        <f aca="false">Data!$C54</f>
        <v>M4 Baffles VERITAS</v>
      </c>
      <c r="D54" s="290" t="str">
        <f aca="false">Data!$D54</f>
        <v>VB</v>
      </c>
      <c r="E54" s="78" t="s">
        <v>547</v>
      </c>
      <c r="F54" s="78" t="s">
        <v>548</v>
      </c>
      <c r="G54" s="78" t="s">
        <v>572</v>
      </c>
      <c r="H54" s="299" t="s">
        <v>574</v>
      </c>
      <c r="I54" s="300" t="str">
        <f aca="false">Data!$E54</f>
        <v>b_m4_baff_vb</v>
      </c>
      <c r="J54" s="301" t="n">
        <f aca="false">Tests!$BL54</f>
        <v>400</v>
      </c>
      <c r="K54" s="302" t="str">
        <f aca="false">Tests!$CS54</f>
        <v>Step_per_unit:400;Offset:1067.65;Sign:-1;EncoderSource:attr://EncAbsEnc;EncoderSourceFormula:VALUE/1000000;UseEncoderSource:TRUE</v>
      </c>
      <c r="L54" s="303" t="str">
        <f aca="false">Data!$J54</f>
        <v>mm</v>
      </c>
      <c r="M54" s="304" t="n">
        <f aca="false">MIN(Tests!$BV54,Tests!$BW54)</f>
        <v>-4.000857</v>
      </c>
      <c r="N54" s="304" t="n">
        <f aca="false">MAX(Tests!$BV54,Tests!$BW54)</f>
        <v>16.5033120000001</v>
      </c>
      <c r="O54" s="78" t="s">
        <v>551</v>
      </c>
    </row>
    <row r="55" customFormat="false" ht="12.8" hidden="false" customHeight="false" outlineLevel="0" collapsed="false">
      <c r="A55" s="195" t="n">
        <f aca="false">Data!$A55</f>
        <v>55</v>
      </c>
      <c r="B55" s="195" t="str">
        <f aca="false">Data!$B55</f>
        <v>B316A-EB03-OPT-BAFF-01</v>
      </c>
      <c r="C55" s="195" t="str">
        <f aca="false">Data!$C55</f>
        <v>M4 Baffles VERITAS</v>
      </c>
      <c r="D55" s="290" t="str">
        <f aca="false">Data!$D55</f>
        <v>HL</v>
      </c>
      <c r="E55" s="78" t="s">
        <v>547</v>
      </c>
      <c r="F55" s="78" t="s">
        <v>548</v>
      </c>
      <c r="G55" s="78" t="s">
        <v>572</v>
      </c>
      <c r="H55" s="299" t="s">
        <v>575</v>
      </c>
      <c r="I55" s="300" t="str">
        <f aca="false">Data!$E55</f>
        <v>b_m4_baff_hl</v>
      </c>
      <c r="J55" s="301" t="n">
        <f aca="false">Tests!$BL55</f>
        <v>400</v>
      </c>
      <c r="K55" s="302" t="str">
        <f aca="false">Tests!$CS55</f>
        <v>Step_per_unit:400;Offset:-747.73;Sign:1;EncoderSource:attr://EncAbsEnc;EncoderSourceFormula:VALUE/1000000;UseEncoderSource:TRUE</v>
      </c>
      <c r="L55" s="303" t="str">
        <f aca="false">Data!$J55</f>
        <v>mm</v>
      </c>
      <c r="M55" s="304" t="n">
        <f aca="false">MIN(Tests!$BV55,Tests!$BW55)</f>
        <v>-4.99874</v>
      </c>
      <c r="N55" s="304" t="n">
        <f aca="false">MAX(Tests!$BV55,Tests!$BW55)</f>
        <v>11.9554459999999</v>
      </c>
      <c r="O55" s="78" t="s">
        <v>551</v>
      </c>
    </row>
    <row r="56" customFormat="false" ht="12.8" hidden="false" customHeight="false" outlineLevel="0" collapsed="false">
      <c r="A56" s="195" t="n">
        <f aca="false">Data!$A56</f>
        <v>56</v>
      </c>
      <c r="B56" s="195" t="str">
        <f aca="false">Data!$B56</f>
        <v>B316A-EB03-OPT-BAFF-01</v>
      </c>
      <c r="C56" s="195" t="str">
        <f aca="false">Data!$C56</f>
        <v>M4 Baffles VERITAS</v>
      </c>
      <c r="D56" s="290" t="str">
        <f aca="false">Data!$D56</f>
        <v>HR</v>
      </c>
      <c r="E56" s="78" t="s">
        <v>547</v>
      </c>
      <c r="F56" s="78" t="s">
        <v>548</v>
      </c>
      <c r="G56" s="78" t="s">
        <v>572</v>
      </c>
      <c r="H56" s="299" t="s">
        <v>576</v>
      </c>
      <c r="I56" s="300" t="str">
        <f aca="false">Data!$E56</f>
        <v>b_m4_baff_hr</v>
      </c>
      <c r="J56" s="301" t="n">
        <f aca="false">Tests!$BL56</f>
        <v>400</v>
      </c>
      <c r="K56" s="302" t="str">
        <f aca="false">Tests!$CS56</f>
        <v>Step_per_unit:400;Offset:-689.24;Sign:1;EncoderSource:attr://EncAbsEnc;EncoderSourceFormula:VALUE/1000000;UseEncoderSource:TRUE</v>
      </c>
      <c r="L56" s="303" t="str">
        <f aca="false">Data!$J56</f>
        <v>mm</v>
      </c>
      <c r="M56" s="304" t="n">
        <f aca="false">MIN(Tests!$BV56,Tests!$BW56)</f>
        <v>-4.99760200000003</v>
      </c>
      <c r="N56" s="304" t="n">
        <f aca="false">MAX(Tests!$BV56,Tests!$BW56)</f>
        <v>11.700813</v>
      </c>
      <c r="O56" s="78" t="s">
        <v>551</v>
      </c>
    </row>
    <row r="57" customFormat="false" ht="12.8" hidden="false" customHeight="false" outlineLevel="0" collapsed="false">
      <c r="A57" s="195" t="n">
        <f aca="false">Data!$A57</f>
        <v>57</v>
      </c>
      <c r="B57" s="195" t="str">
        <f aca="false">Data!$B57</f>
        <v>B316A-EB03-DIA-BPM-01</v>
      </c>
      <c r="C57" s="195" t="str">
        <f aca="false">Data!$C57</f>
        <v>M4 BPM VERITAS</v>
      </c>
      <c r="D57" s="290" t="str">
        <f aca="false">Data!$D57</f>
        <v>V</v>
      </c>
      <c r="E57" s="78" t="s">
        <v>547</v>
      </c>
      <c r="F57" s="78" t="s">
        <v>548</v>
      </c>
      <c r="G57" s="78" t="s">
        <v>572</v>
      </c>
      <c r="H57" s="299" t="s">
        <v>577</v>
      </c>
      <c r="I57" s="300" t="str">
        <f aca="false">Data!$E57</f>
        <v>b_m4_bpm_v</v>
      </c>
      <c r="J57" s="301" t="n">
        <f aca="false">Tests!$BL57</f>
        <v>800</v>
      </c>
      <c r="K57" s="302" t="str">
        <f aca="false">Tests!$CS57</f>
        <v>Step_per_unit:800;Offset:158.19;Sign:-1;EncoderSource:attr://EncAbsEnc;EncoderSourceFormula:VALUE/1000000;UseEncoderSource:TRUE</v>
      </c>
      <c r="L57" s="303" t="str">
        <f aca="false">Data!$J57</f>
        <v>mm</v>
      </c>
      <c r="M57" s="304" t="n">
        <f aca="false">MIN(Tests!$BV57,Tests!$BW57)</f>
        <v>-0.00226299999999924</v>
      </c>
      <c r="N57" s="304" t="n">
        <f aca="false">MAX(Tests!$BV57,Tests!$BW57)</f>
        <v>125.918359</v>
      </c>
      <c r="O57" s="78" t="s">
        <v>551</v>
      </c>
    </row>
    <row r="58" customFormat="false" ht="12.8" hidden="false" customHeight="false" outlineLevel="0" collapsed="false">
      <c r="A58" s="195" t="n">
        <f aca="false">Data!$A58</f>
        <v>58</v>
      </c>
      <c r="B58" s="195" t="str">
        <f aca="false">Data!$B58</f>
        <v>B316A-EB03-OPT-MIR-04</v>
      </c>
      <c r="C58" s="195" t="str">
        <f aca="false">Data!$C58</f>
        <v>Focusing Mirror M4 VERITAS</v>
      </c>
      <c r="D58" s="290" t="str">
        <f aca="false">Data!$D58</f>
        <v>V1</v>
      </c>
      <c r="E58" s="78" t="s">
        <v>547</v>
      </c>
      <c r="F58" s="78" t="s">
        <v>548</v>
      </c>
      <c r="G58" s="78" t="s">
        <v>572</v>
      </c>
      <c r="H58" s="299" t="s">
        <v>578</v>
      </c>
      <c r="I58" s="300" t="str">
        <f aca="false">Data!$E58</f>
        <v>b_m4_v1</v>
      </c>
      <c r="J58" s="301" t="n">
        <f aca="false">Tests!$BL58</f>
        <v>80</v>
      </c>
      <c r="K58" s="302" t="str">
        <f aca="false">Tests!$CS58</f>
        <v>Step_per_unit:80;Offset:-84095.873;Sign:1;EncoderSource:attr://EncAbsEnc;EncoderSourceFormula:VALUE/1000;UseEncoderSource:TRUE</v>
      </c>
      <c r="L58" s="303" t="str">
        <f aca="false">Data!$J58</f>
        <v>um</v>
      </c>
      <c r="M58" s="304" t="n">
        <f aca="false">MIN(Tests!$BV58,Tests!$BW58)</f>
        <v>-4901.357</v>
      </c>
      <c r="N58" s="304" t="n">
        <f aca="false">MAX(Tests!$BV58,Tests!$BW58)</f>
        <v>6158.966</v>
      </c>
      <c r="O58" s="78" t="s">
        <v>551</v>
      </c>
    </row>
    <row r="59" s="306" customFormat="true" ht="12.8" hidden="false" customHeight="false" outlineLevel="0" collapsed="false">
      <c r="A59" s="209"/>
      <c r="B59" s="209"/>
      <c r="C59" s="209"/>
      <c r="D59" s="305"/>
      <c r="I59" s="307"/>
      <c r="J59" s="307"/>
      <c r="K59" s="312"/>
      <c r="L59" s="307"/>
    </row>
    <row r="60" s="306" customFormat="true" ht="12.8" hidden="false" customHeight="false" outlineLevel="0" collapsed="false">
      <c r="A60" s="209"/>
      <c r="B60" s="209"/>
      <c r="C60" s="209"/>
      <c r="D60" s="305"/>
      <c r="I60" s="307"/>
      <c r="J60" s="307"/>
      <c r="K60" s="312"/>
      <c r="L60" s="307"/>
    </row>
    <row r="61" customFormat="false" ht="12.8" hidden="false" customHeight="false" outlineLevel="0" collapsed="false">
      <c r="A61" s="195" t="n">
        <f aca="false">Data!$A61</f>
        <v>61</v>
      </c>
      <c r="B61" s="195" t="str">
        <f aca="false">Data!$B61</f>
        <v>B316A-EB03-OPT-MIR-04</v>
      </c>
      <c r="C61" s="195" t="str">
        <f aca="false">Data!$C61</f>
        <v>Focusing Mirror M4 VERITAS</v>
      </c>
      <c r="D61" s="290" t="str">
        <f aca="false">Data!$D61</f>
        <v>V2</v>
      </c>
      <c r="E61" s="78" t="s">
        <v>547</v>
      </c>
      <c r="F61" s="78" t="s">
        <v>548</v>
      </c>
      <c r="G61" s="78" t="s">
        <v>572</v>
      </c>
      <c r="H61" s="299" t="s">
        <v>579</v>
      </c>
      <c r="I61" s="300" t="str">
        <f aca="false">Data!$E61</f>
        <v>b_m4_v2</v>
      </c>
      <c r="J61" s="301" t="n">
        <f aca="false">Tests!$BL61</f>
        <v>80</v>
      </c>
      <c r="K61" s="302" t="str">
        <f aca="false">Tests!$CS61</f>
        <v>Step_per_unit:80;Offset:-84209;Sign:1;EncoderSource:attr://EncAbsEnc;EncoderSourceFormula:VALUE/1000;UseEncoderSource:TRUE</v>
      </c>
      <c r="L61" s="303" t="str">
        <f aca="false">Data!$J61</f>
        <v>um</v>
      </c>
      <c r="M61" s="304" t="n">
        <f aca="false">MIN(Tests!$BV61,Tests!$BW61)</f>
        <v>-5101.367</v>
      </c>
      <c r="N61" s="304" t="n">
        <f aca="false">MAX(Tests!$BV61,Tests!$BW61)</f>
        <v>5836.882</v>
      </c>
      <c r="O61" s="78" t="s">
        <v>551</v>
      </c>
    </row>
    <row r="62" customFormat="false" ht="12.8" hidden="false" customHeight="false" outlineLevel="0" collapsed="false">
      <c r="A62" s="195" t="n">
        <f aca="false">Data!$A62</f>
        <v>62</v>
      </c>
      <c r="B62" s="195" t="str">
        <f aca="false">Data!$B62</f>
        <v>B316A-EB03-OPT-MIR-04</v>
      </c>
      <c r="C62" s="195" t="str">
        <f aca="false">Data!$C62</f>
        <v>Focusing Mirror M4 VERITAS</v>
      </c>
      <c r="D62" s="290" t="str">
        <f aca="false">Data!$D62</f>
        <v>V3</v>
      </c>
      <c r="E62" s="78" t="s">
        <v>547</v>
      </c>
      <c r="F62" s="78" t="s">
        <v>548</v>
      </c>
      <c r="G62" s="78" t="s">
        <v>572</v>
      </c>
      <c r="H62" s="299" t="s">
        <v>580</v>
      </c>
      <c r="I62" s="300" t="str">
        <f aca="false">Data!$E62</f>
        <v>b_m4_v3</v>
      </c>
      <c r="J62" s="301" t="n">
        <f aca="false">Tests!$BL62</f>
        <v>80</v>
      </c>
      <c r="K62" s="302" t="str">
        <f aca="false">Tests!$CS62</f>
        <v>Step_per_unit:80;Offset:-84128.024;Sign:1;EncoderSource:attr://EncAbsEnc;EncoderSourceFormula:VALUE/1000;UseEncoderSource:TRUE</v>
      </c>
      <c r="L62" s="303" t="str">
        <f aca="false">Data!$J62</f>
        <v>um</v>
      </c>
      <c r="M62" s="304" t="n">
        <f aca="false">MIN(Tests!$BV62,Tests!$BW62)</f>
        <v>-5027.70600000001</v>
      </c>
      <c r="N62" s="304" t="n">
        <f aca="false">MAX(Tests!$BV62,Tests!$BW62)</f>
        <v>5039.23299999999</v>
      </c>
      <c r="O62" s="78" t="s">
        <v>551</v>
      </c>
    </row>
    <row r="63" customFormat="false" ht="12.8" hidden="false" customHeight="false" outlineLevel="0" collapsed="false">
      <c r="A63" s="195" t="n">
        <f aca="false">Data!$A63</f>
        <v>63</v>
      </c>
      <c r="B63" s="195" t="str">
        <f aca="false">Data!$B63</f>
        <v>B316A-EB03-OPT-MIR-04</v>
      </c>
      <c r="C63" s="195" t="str">
        <f aca="false">Data!$C63</f>
        <v>Focusing Mirror M4 VERITAS</v>
      </c>
      <c r="D63" s="290" t="str">
        <f aca="false">Data!$D63</f>
        <v>H4</v>
      </c>
      <c r="E63" s="78" t="s">
        <v>547</v>
      </c>
      <c r="F63" s="78" t="s">
        <v>548</v>
      </c>
      <c r="G63" s="78" t="s">
        <v>572</v>
      </c>
      <c r="H63" s="299" t="s">
        <v>581</v>
      </c>
      <c r="I63" s="300" t="str">
        <f aca="false">Data!$E63</f>
        <v>b_m4_h4</v>
      </c>
      <c r="J63" s="301" t="n">
        <f aca="false">Tests!$BL63</f>
        <v>80</v>
      </c>
      <c r="K63" s="302" t="str">
        <f aca="false">Tests!$CS63</f>
        <v>Step_per_unit:80;Offset:-84001.007;Sign:1;EncoderSource:attr://EncAbsEnc;EncoderSourceFormula:VALUE/1000;UseEncoderSource:TRUE</v>
      </c>
      <c r="L63" s="303" t="str">
        <f aca="false">Data!$J63</f>
        <v>um</v>
      </c>
      <c r="M63" s="304" t="n">
        <f aca="false">MIN(Tests!$BV63,Tests!$BW63)</f>
        <v>-5208.815</v>
      </c>
      <c r="N63" s="304" t="n">
        <f aca="false">MAX(Tests!$BV63,Tests!$BW63)</f>
        <v>5620.52800000001</v>
      </c>
      <c r="O63" s="78" t="s">
        <v>551</v>
      </c>
    </row>
    <row r="64" customFormat="false" ht="12.8" hidden="false" customHeight="false" outlineLevel="0" collapsed="false">
      <c r="A64" s="195" t="n">
        <f aca="false">Data!$A64</f>
        <v>64</v>
      </c>
      <c r="B64" s="195" t="str">
        <f aca="false">Data!$B64</f>
        <v>B316A-EB03-OPT-MIR-04</v>
      </c>
      <c r="C64" s="195" t="str">
        <f aca="false">Data!$C64</f>
        <v>Focusing Mirror M4 VERITAS</v>
      </c>
      <c r="D64" s="290" t="str">
        <f aca="false">Data!$D64</f>
        <v>H5</v>
      </c>
      <c r="E64" s="78" t="s">
        <v>547</v>
      </c>
      <c r="F64" s="78" t="s">
        <v>548</v>
      </c>
      <c r="G64" s="78" t="s">
        <v>572</v>
      </c>
      <c r="H64" s="299" t="s">
        <v>582</v>
      </c>
      <c r="I64" s="300" t="str">
        <f aca="false">Data!$E64</f>
        <v>b_m4_h5</v>
      </c>
      <c r="J64" s="301" t="n">
        <f aca="false">Tests!$BL64</f>
        <v>80</v>
      </c>
      <c r="K64" s="302" t="str">
        <f aca="false">Tests!$CS64</f>
        <v>Step_per_unit:80;Offset:-84175.9;Sign:1;EncoderSource:attr://EncAbsEnc;EncoderSourceFormula:VALUE/1000;UseEncoderSource:TRUE</v>
      </c>
      <c r="L64" s="303" t="str">
        <f aca="false">Data!$J64</f>
        <v>um</v>
      </c>
      <c r="M64" s="304" t="n">
        <f aca="false">MIN(Tests!$BV64,Tests!$BW64)</f>
        <v>-5063.693</v>
      </c>
      <c r="N64" s="304" t="n">
        <f aca="false">MAX(Tests!$BV64,Tests!$BW64)</f>
        <v>5186.57800000001</v>
      </c>
      <c r="O64" s="78" t="s">
        <v>551</v>
      </c>
    </row>
    <row r="65" customFormat="false" ht="12.8" hidden="false" customHeight="false" outlineLevel="0" collapsed="false">
      <c r="A65" s="195" t="n">
        <f aca="false">Data!$A65</f>
        <v>65</v>
      </c>
      <c r="B65" s="195" t="n">
        <f aca="false">Data!$B65</f>
        <v>0</v>
      </c>
      <c r="C65" s="195" t="n">
        <f aca="false">Data!$C65</f>
        <v>0</v>
      </c>
      <c r="D65" s="290" t="n">
        <f aca="false">Data!$D65</f>
        <v>0</v>
      </c>
      <c r="H65" s="299"/>
      <c r="I65" s="300" t="n">
        <f aca="false">Data!$E65</f>
        <v>0</v>
      </c>
      <c r="J65" s="301" t="n">
        <f aca="false">Tests!$BL65</f>
        <v>0</v>
      </c>
      <c r="K65" s="302" t="str">
        <f aca="false">Tests!$CS65</f>
        <v>Step_per_unit:;Offset:;Sign:;EncoderSource:;EncoderSourceFormula:;UseEncoderSource:</v>
      </c>
      <c r="L65" s="303" t="str">
        <f aca="false">Data!$J65</f>
        <v>mm</v>
      </c>
      <c r="M65" s="304" t="n">
        <f aca="false">MIN(Tests!$BV65,Tests!$BW65)</f>
        <v>0</v>
      </c>
      <c r="N65" s="304" t="n">
        <f aca="false">MAX(Tests!$BV65,Tests!$BW65)</f>
        <v>0</v>
      </c>
    </row>
    <row r="66" customFormat="false" ht="12.8" hidden="false" customHeight="false" outlineLevel="0" collapsed="false">
      <c r="A66" s="195" t="n">
        <f aca="false">Data!$A66</f>
        <v>66</v>
      </c>
      <c r="B66" s="195" t="n">
        <f aca="false">Data!$B66</f>
        <v>0</v>
      </c>
      <c r="C66" s="195" t="n">
        <f aca="false">Data!$C66</f>
        <v>0</v>
      </c>
      <c r="D66" s="290" t="n">
        <f aca="false">Data!$D66</f>
        <v>0</v>
      </c>
      <c r="H66" s="299"/>
      <c r="I66" s="300" t="n">
        <f aca="false">Data!$E66</f>
        <v>0</v>
      </c>
      <c r="J66" s="301" t="n">
        <f aca="false">Tests!$BL66</f>
        <v>0</v>
      </c>
      <c r="K66" s="302" t="str">
        <f aca="false">Tests!$CS66</f>
        <v>Step_per_unit:;Offset:;Sign:;EncoderSource:;EncoderSourceFormula:;UseEncoderSource:</v>
      </c>
      <c r="L66" s="303" t="str">
        <f aca="false">Data!$J66</f>
        <v>um</v>
      </c>
      <c r="M66" s="304" t="n">
        <f aca="false">MIN(Tests!$BV66,Tests!$BW66)</f>
        <v>0</v>
      </c>
      <c r="N66" s="304" t="n">
        <f aca="false">MAX(Tests!$BV66,Tests!$BW66)</f>
        <v>0</v>
      </c>
    </row>
    <row r="67" customFormat="false" ht="12.8" hidden="false" customHeight="false" outlineLevel="0" collapsed="false">
      <c r="A67" s="195" t="n">
        <f aca="false">Data!$A67</f>
        <v>67</v>
      </c>
      <c r="B67" s="195" t="n">
        <f aca="false">Data!$B67</f>
        <v>0</v>
      </c>
      <c r="C67" s="195" t="n">
        <f aca="false">Data!$C67</f>
        <v>0</v>
      </c>
      <c r="D67" s="290" t="n">
        <f aca="false">Data!$D67</f>
        <v>0</v>
      </c>
      <c r="H67" s="299"/>
      <c r="I67" s="300" t="n">
        <f aca="false">Data!$E67</f>
        <v>0</v>
      </c>
      <c r="J67" s="301" t="n">
        <f aca="false">Tests!$BL67</f>
        <v>0</v>
      </c>
      <c r="K67" s="302" t="str">
        <f aca="false">Tests!$CS67</f>
        <v>Step_per_unit:;Offset:;Sign:;EncoderSource:;EncoderSourceFormula:;UseEncoderSource:</v>
      </c>
      <c r="L67" s="303" t="str">
        <f aca="false">Data!$J67</f>
        <v>um</v>
      </c>
      <c r="M67" s="304" t="n">
        <f aca="false">MIN(Tests!$BV67,Tests!$BW67)</f>
        <v>0</v>
      </c>
      <c r="N67" s="304" t="n">
        <f aca="false">MAX(Tests!$BV67,Tests!$BW67)</f>
        <v>0</v>
      </c>
    </row>
    <row r="68" customFormat="false" ht="12.8" hidden="false" customHeight="false" outlineLevel="0" collapsed="false">
      <c r="A68" s="195" t="n">
        <f aca="false">Data!$A68</f>
        <v>68</v>
      </c>
      <c r="B68" s="195" t="n">
        <f aca="false">Data!$B68</f>
        <v>0</v>
      </c>
      <c r="C68" s="195" t="n">
        <f aca="false">Data!$C68</f>
        <v>0</v>
      </c>
      <c r="D68" s="290" t="n">
        <f aca="false">Data!$D68</f>
        <v>0</v>
      </c>
      <c r="H68" s="299"/>
      <c r="I68" s="300" t="n">
        <f aca="false">Data!$E68</f>
        <v>0</v>
      </c>
      <c r="J68" s="301" t="n">
        <f aca="false">Tests!$BL68</f>
        <v>0</v>
      </c>
      <c r="K68" s="302" t="str">
        <f aca="false">Tests!$CS68</f>
        <v>Step_per_unit:;Offset:;Sign:;EncoderSource:;EncoderSourceFormula:;UseEncoderSource:</v>
      </c>
      <c r="L68" s="303" t="str">
        <f aca="false">Data!$J68</f>
        <v>um</v>
      </c>
      <c r="M68" s="304" t="n">
        <f aca="false">MIN(Tests!$BV68,Tests!$BW68)</f>
        <v>0</v>
      </c>
      <c r="N68" s="304" t="n">
        <f aca="false">MAX(Tests!$BV68,Tests!$BW68)</f>
        <v>0</v>
      </c>
    </row>
    <row r="69" s="306" customFormat="true" ht="10.2" hidden="false" customHeight="false" outlineLevel="0" collapsed="false">
      <c r="A69" s="209"/>
      <c r="B69" s="209"/>
      <c r="C69" s="209"/>
      <c r="D69" s="305"/>
      <c r="I69" s="307"/>
      <c r="J69" s="307"/>
      <c r="K69" s="312"/>
      <c r="L69" s="307"/>
    </row>
    <row r="70" s="306" customFormat="true" ht="10.2" hidden="false" customHeight="false" outlineLevel="0" collapsed="false">
      <c r="A70" s="209"/>
      <c r="B70" s="209"/>
      <c r="C70" s="209"/>
      <c r="D70" s="305"/>
      <c r="I70" s="307"/>
      <c r="J70" s="307"/>
      <c r="K70" s="312"/>
      <c r="L70" s="30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J41"/>
  <sheetViews>
    <sheetView showFormulas="false" showGridLines="true" showRowColHeaders="true" showZeros="true" rightToLeft="false" tabSelected="false" showOutlineSymbols="true" defaultGridColor="true" view="normal" topLeftCell="A8" colorId="64" zoomScale="85" zoomScaleNormal="85" zoomScalePageLayoutView="100" workbookViewId="0">
      <selection pane="topLeft" activeCell="G29" activeCellId="1" sqref="O61:O64 G29"/>
    </sheetView>
  </sheetViews>
  <sheetFormatPr defaultRowHeight="14.4" outlineLevelRow="0" outlineLevelCol="0"/>
  <cols>
    <col collapsed="false" customWidth="true" hidden="false" outlineLevel="0" max="1" min="1" style="0" width="8.89"/>
    <col collapsed="false" customWidth="true" hidden="false" outlineLevel="0" max="2" min="2" style="0" width="10.33"/>
    <col collapsed="false" customWidth="true" hidden="false" outlineLevel="0" max="3" min="3" style="0" width="32.88"/>
    <col collapsed="false" customWidth="true" hidden="false" outlineLevel="0" max="4" min="4" style="0" width="21.56"/>
    <col collapsed="false" customWidth="true" hidden="false" outlineLevel="0" max="5" min="5" style="0" width="7"/>
    <col collapsed="false" customWidth="true" hidden="false" outlineLevel="0" max="6" min="6" style="0" width="24.67"/>
    <col collapsed="false" customWidth="true" hidden="false" outlineLevel="0" max="7" min="7" style="0" width="32.44"/>
    <col collapsed="false" customWidth="true" hidden="false" outlineLevel="0" max="8" min="8" style="0" width="8.44"/>
    <col collapsed="false" customWidth="true" hidden="false" outlineLevel="0" max="9" min="9" style="314" width="13.89"/>
    <col collapsed="false" customWidth="true" hidden="false" outlineLevel="0" max="10" min="10" style="314" width="27.56"/>
    <col collapsed="false" customWidth="true" hidden="false" outlineLevel="0" max="1025" min="11" style="0" width="8.67"/>
  </cols>
  <sheetData>
    <row r="1" customFormat="false" ht="14.4" hidden="false" customHeight="false" outlineLevel="0" collapsed="false">
      <c r="A1" s="315" t="s">
        <v>583</v>
      </c>
      <c r="B1" s="315" t="s">
        <v>584</v>
      </c>
      <c r="C1" s="315" t="s">
        <v>585</v>
      </c>
      <c r="D1" s="315" t="s">
        <v>586</v>
      </c>
      <c r="E1" s="315" t="s">
        <v>587</v>
      </c>
      <c r="F1" s="315" t="s">
        <v>588</v>
      </c>
      <c r="G1" s="315" t="s">
        <v>589</v>
      </c>
      <c r="H1" s="315" t="s">
        <v>590</v>
      </c>
      <c r="I1" s="316" t="s">
        <v>591</v>
      </c>
      <c r="J1" s="316" t="s">
        <v>592</v>
      </c>
    </row>
    <row r="2" customFormat="false" ht="14.4" hidden="false" customHeight="false" outlineLevel="0" collapsed="false">
      <c r="A2" s="317" t="s">
        <v>593</v>
      </c>
      <c r="B2" s="317" t="s">
        <v>594</v>
      </c>
      <c r="C2" s="317" t="s">
        <v>595</v>
      </c>
      <c r="D2" s="317" t="s">
        <v>596</v>
      </c>
      <c r="E2" s="317" t="s">
        <v>597</v>
      </c>
      <c r="F2" s="317" t="s">
        <v>242</v>
      </c>
      <c r="G2" s="317" t="s">
        <v>598</v>
      </c>
      <c r="H2" s="317" t="s">
        <v>599</v>
      </c>
      <c r="I2" s="314" t="str">
        <f aca="false">IF(RIGHT($H2,2)="ML", LEFT($H2,LEN($H2)-2), $H2)</f>
        <v>VT</v>
      </c>
      <c r="J2" s="316" t="str">
        <f aca="false">CONCATENATE(F2,I2)</f>
        <v>B316A-EA03-OPT-BAFF-01VT</v>
      </c>
    </row>
    <row r="3" customFormat="false" ht="14.4" hidden="false" customHeight="false" outlineLevel="0" collapsed="false">
      <c r="A3" s="317" t="s">
        <v>600</v>
      </c>
      <c r="B3" s="317" t="s">
        <v>594</v>
      </c>
      <c r="C3" s="317" t="s">
        <v>595</v>
      </c>
      <c r="D3" s="317" t="s">
        <v>596</v>
      </c>
      <c r="E3" s="317" t="s">
        <v>601</v>
      </c>
      <c r="F3" s="317" t="s">
        <v>242</v>
      </c>
      <c r="G3" s="317" t="s">
        <v>598</v>
      </c>
      <c r="H3" s="317" t="s">
        <v>602</v>
      </c>
      <c r="I3" s="314" t="str">
        <f aca="false">IF(RIGHT($H3,2)="ML", LEFT($H3,LEN($H3)-2), $H3)</f>
        <v>VB</v>
      </c>
      <c r="J3" s="316" t="str">
        <f aca="false">CONCATENATE(F3,I3)</f>
        <v>B316A-EA03-OPT-BAFF-01VB</v>
      </c>
    </row>
    <row r="4" customFormat="false" ht="14.4" hidden="false" customHeight="false" outlineLevel="0" collapsed="false">
      <c r="A4" s="317" t="s">
        <v>603</v>
      </c>
      <c r="B4" s="317" t="s">
        <v>594</v>
      </c>
      <c r="C4" s="317" t="s">
        <v>595</v>
      </c>
      <c r="D4" s="317" t="s">
        <v>596</v>
      </c>
      <c r="E4" s="317" t="s">
        <v>604</v>
      </c>
      <c r="F4" s="317" t="s">
        <v>242</v>
      </c>
      <c r="G4" s="317" t="s">
        <v>598</v>
      </c>
      <c r="H4" s="317" t="s">
        <v>605</v>
      </c>
      <c r="I4" s="314" t="str">
        <f aca="false">IF(RIGHT($H4,2)="ML", LEFT($H4,LEN($H4)-2), $H4)</f>
        <v>HL</v>
      </c>
      <c r="J4" s="316" t="str">
        <f aca="false">CONCATENATE(F4,I4)</f>
        <v>B316A-EA03-OPT-BAFF-01HL</v>
      </c>
    </row>
    <row r="5" customFormat="false" ht="14.4" hidden="false" customHeight="false" outlineLevel="0" collapsed="false">
      <c r="A5" s="317" t="s">
        <v>606</v>
      </c>
      <c r="B5" s="317" t="s">
        <v>594</v>
      </c>
      <c r="C5" s="317" t="s">
        <v>595</v>
      </c>
      <c r="D5" s="317" t="s">
        <v>596</v>
      </c>
      <c r="E5" s="317" t="s">
        <v>607</v>
      </c>
      <c r="F5" s="317" t="s">
        <v>242</v>
      </c>
      <c r="G5" s="317" t="s">
        <v>598</v>
      </c>
      <c r="H5" s="317" t="s">
        <v>608</v>
      </c>
      <c r="I5" s="314" t="str">
        <f aca="false">IF(RIGHT($H5,2)="ML", LEFT($H5,LEN($H5)-2), $H5)</f>
        <v>HR</v>
      </c>
      <c r="J5" s="316" t="str">
        <f aca="false">CONCATENATE(F5,I5)</f>
        <v>B316A-EA03-OPT-BAFF-01HR</v>
      </c>
    </row>
    <row r="6" customFormat="false" ht="14.4" hidden="false" customHeight="false" outlineLevel="0" collapsed="false">
      <c r="A6" s="317" t="s">
        <v>609</v>
      </c>
      <c r="B6" s="317" t="s">
        <v>594</v>
      </c>
      <c r="C6" s="317" t="s">
        <v>595</v>
      </c>
      <c r="D6" s="317" t="s">
        <v>596</v>
      </c>
      <c r="E6" s="317" t="s">
        <v>610</v>
      </c>
      <c r="F6" s="317" t="s">
        <v>266</v>
      </c>
      <c r="G6" s="317" t="s">
        <v>611</v>
      </c>
      <c r="H6" s="317" t="s">
        <v>612</v>
      </c>
      <c r="I6" s="314" t="str">
        <f aca="false">IF(RIGHT($H6,2)="ML", LEFT($H6,LEN($H6)-2), $H6)</f>
        <v>V</v>
      </c>
      <c r="J6" s="316" t="str">
        <f aca="false">CONCATENATE(F6,I6)</f>
        <v>B316A-EA03-DIA-BPM-01V</v>
      </c>
    </row>
    <row r="7" customFormat="false" ht="14.4" hidden="false" customHeight="false" outlineLevel="0" collapsed="false">
      <c r="A7" s="317" t="s">
        <v>613</v>
      </c>
      <c r="B7" s="317" t="s">
        <v>594</v>
      </c>
      <c r="C7" s="317" t="s">
        <v>595</v>
      </c>
      <c r="D7" s="317" t="s">
        <v>596</v>
      </c>
      <c r="E7" s="317" t="s">
        <v>614</v>
      </c>
      <c r="F7" s="317" t="s">
        <v>276</v>
      </c>
      <c r="G7" s="317" t="s">
        <v>615</v>
      </c>
      <c r="H7" s="317" t="s">
        <v>616</v>
      </c>
      <c r="I7" s="314" t="str">
        <f aca="false">IF(RIGHT($H7,2)="ML", LEFT($H7,LEN($H7)-2), $H7)</f>
        <v>V1</v>
      </c>
      <c r="J7" s="316" t="str">
        <f aca="false">CONCATENATE(F7,I7)</f>
        <v>B316A-EA03-OPT-MIR-04V1</v>
      </c>
    </row>
    <row r="8" customFormat="false" ht="14.4" hidden="false" customHeight="false" outlineLevel="0" collapsed="false">
      <c r="A8" s="317" t="s">
        <v>617</v>
      </c>
      <c r="B8" s="317" t="s">
        <v>594</v>
      </c>
      <c r="C8" s="317" t="s">
        <v>595</v>
      </c>
      <c r="D8" s="317" t="s">
        <v>596</v>
      </c>
      <c r="E8" s="317" t="s">
        <v>618</v>
      </c>
      <c r="F8" s="317" t="s">
        <v>276</v>
      </c>
      <c r="G8" s="317" t="s">
        <v>615</v>
      </c>
      <c r="H8" s="317" t="s">
        <v>619</v>
      </c>
      <c r="I8" s="314" t="str">
        <f aca="false">IF(RIGHT($H8,2)="ML", LEFT($H8,LEN($H8)-2), $H8)</f>
        <v>V2</v>
      </c>
      <c r="J8" s="316" t="str">
        <f aca="false">CONCATENATE(F8,I8)</f>
        <v>B316A-EA03-OPT-MIR-04V2</v>
      </c>
    </row>
    <row r="9" customFormat="false" ht="14.4" hidden="false" customHeight="false" outlineLevel="0" collapsed="false">
      <c r="A9" s="317" t="s">
        <v>620</v>
      </c>
      <c r="B9" s="317" t="s">
        <v>594</v>
      </c>
      <c r="C9" s="317" t="s">
        <v>595</v>
      </c>
      <c r="D9" s="317" t="s">
        <v>596</v>
      </c>
      <c r="E9" s="317" t="s">
        <v>621</v>
      </c>
      <c r="F9" s="317" t="s">
        <v>276</v>
      </c>
      <c r="G9" s="317" t="s">
        <v>615</v>
      </c>
      <c r="H9" s="317" t="s">
        <v>622</v>
      </c>
      <c r="I9" s="314" t="str">
        <f aca="false">IF(RIGHT($H9,2)="ML", LEFT($H9,LEN($H9)-2), $H9)</f>
        <v>V3</v>
      </c>
      <c r="J9" s="316" t="str">
        <f aca="false">CONCATENATE(F9,I9)</f>
        <v>B316A-EA03-OPT-MIR-04V3</v>
      </c>
    </row>
    <row r="10" customFormat="false" ht="14.4" hidden="false" customHeight="false" outlineLevel="0" collapsed="false">
      <c r="A10" s="317" t="s">
        <v>623</v>
      </c>
      <c r="B10" s="317" t="s">
        <v>594</v>
      </c>
      <c r="C10" s="317" t="s">
        <v>624</v>
      </c>
      <c r="D10" s="317" t="s">
        <v>625</v>
      </c>
      <c r="E10" s="317" t="s">
        <v>597</v>
      </c>
      <c r="F10" s="317" t="s">
        <v>276</v>
      </c>
      <c r="G10" s="317" t="s">
        <v>615</v>
      </c>
      <c r="H10" s="317" t="s">
        <v>626</v>
      </c>
      <c r="I10" s="314" t="str">
        <f aca="false">IF(RIGHT($H10,2)="ML", LEFT($H10,LEN($H10)-2), $H10)</f>
        <v>H4</v>
      </c>
      <c r="J10" s="316" t="str">
        <f aca="false">CONCATENATE(F10,I10)</f>
        <v>B316A-EA03-OPT-MIR-04H4</v>
      </c>
    </row>
    <row r="11" customFormat="false" ht="14.4" hidden="false" customHeight="false" outlineLevel="0" collapsed="false">
      <c r="A11" s="317" t="s">
        <v>627</v>
      </c>
      <c r="B11" s="317" t="s">
        <v>594</v>
      </c>
      <c r="C11" s="317" t="s">
        <v>624</v>
      </c>
      <c r="D11" s="317" t="s">
        <v>625</v>
      </c>
      <c r="E11" s="317" t="s">
        <v>601</v>
      </c>
      <c r="F11" s="317" t="s">
        <v>276</v>
      </c>
      <c r="G11" s="317" t="s">
        <v>615</v>
      </c>
      <c r="H11" s="317" t="s">
        <v>628</v>
      </c>
      <c r="I11" s="314" t="str">
        <f aca="false">IF(RIGHT($H11,2)="ML", LEFT($H11,LEN($H11)-2), $H11)</f>
        <v>H5</v>
      </c>
      <c r="J11" s="316" t="str">
        <f aca="false">CONCATENATE(F11,I11)</f>
        <v>B316A-EA03-OPT-MIR-04H5</v>
      </c>
    </row>
    <row r="12" customFormat="false" ht="14.4" hidden="false" customHeight="false" outlineLevel="0" collapsed="false">
      <c r="A12" s="318" t="s">
        <v>253</v>
      </c>
      <c r="B12" s="315" t="s">
        <v>594</v>
      </c>
      <c r="C12" s="315" t="s">
        <v>624</v>
      </c>
      <c r="D12" s="315" t="s">
        <v>625</v>
      </c>
      <c r="E12" s="315" t="s">
        <v>604</v>
      </c>
      <c r="F12" s="315"/>
      <c r="G12" s="315"/>
      <c r="H12" s="315"/>
      <c r="I12" s="314" t="n">
        <f aca="false">IF(RIGHT($H12,2)="ML", LEFT($H12,LEN($H12)-2), $H12)</f>
        <v>0</v>
      </c>
      <c r="J12" s="316" t="str">
        <f aca="false">CONCATENATE(F12,I12)</f>
        <v>0</v>
      </c>
    </row>
    <row r="13" customFormat="false" ht="14.4" hidden="false" customHeight="false" outlineLevel="0" collapsed="false">
      <c r="A13" s="318" t="s">
        <v>253</v>
      </c>
      <c r="B13" s="315" t="s">
        <v>594</v>
      </c>
      <c r="C13" s="315" t="s">
        <v>624</v>
      </c>
      <c r="D13" s="315" t="s">
        <v>625</v>
      </c>
      <c r="E13" s="315" t="s">
        <v>607</v>
      </c>
      <c r="F13" s="315"/>
      <c r="G13" s="315"/>
      <c r="H13" s="315"/>
      <c r="I13" s="314" t="n">
        <f aca="false">IF(RIGHT($H13,2)="ML", LEFT($H13,LEN($H13)-2), $H13)</f>
        <v>0</v>
      </c>
      <c r="J13" s="316" t="str">
        <f aca="false">CONCATENATE(F13,I13)</f>
        <v>0</v>
      </c>
    </row>
    <row r="14" customFormat="false" ht="14.4" hidden="false" customHeight="false" outlineLevel="0" collapsed="false">
      <c r="A14" s="318" t="s">
        <v>253</v>
      </c>
      <c r="B14" s="315" t="s">
        <v>594</v>
      </c>
      <c r="C14" s="315" t="s">
        <v>624</v>
      </c>
      <c r="D14" s="315" t="s">
        <v>625</v>
      </c>
      <c r="E14" s="315" t="s">
        <v>610</v>
      </c>
      <c r="F14" s="315"/>
      <c r="G14" s="315"/>
      <c r="H14" s="315"/>
      <c r="I14" s="314" t="n">
        <f aca="false">IF(RIGHT($H14,2)="ML", LEFT($H14,LEN($H14)-2), $H14)</f>
        <v>0</v>
      </c>
      <c r="J14" s="316" t="str">
        <f aca="false">CONCATENATE(F14,I14)</f>
        <v>0</v>
      </c>
    </row>
    <row r="15" customFormat="false" ht="14.4" hidden="false" customHeight="false" outlineLevel="0" collapsed="false">
      <c r="A15" s="318" t="s">
        <v>253</v>
      </c>
      <c r="B15" s="315" t="s">
        <v>594</v>
      </c>
      <c r="C15" s="315" t="s">
        <v>624</v>
      </c>
      <c r="D15" s="315" t="s">
        <v>625</v>
      </c>
      <c r="E15" s="315" t="s">
        <v>614</v>
      </c>
      <c r="F15" s="315"/>
      <c r="G15" s="315"/>
      <c r="H15" s="315"/>
      <c r="I15" s="314" t="n">
        <f aca="false">IF(RIGHT($H15,2)="ML", LEFT($H15,LEN($H15)-2), $H15)</f>
        <v>0</v>
      </c>
      <c r="J15" s="316" t="str">
        <f aca="false">CONCATENATE(F15,I15)</f>
        <v>0</v>
      </c>
    </row>
    <row r="16" customFormat="false" ht="14.4" hidden="false" customHeight="false" outlineLevel="0" collapsed="false">
      <c r="A16" s="318" t="s">
        <v>253</v>
      </c>
      <c r="B16" s="315" t="s">
        <v>594</v>
      </c>
      <c r="C16" s="315" t="s">
        <v>624</v>
      </c>
      <c r="D16" s="315" t="s">
        <v>625</v>
      </c>
      <c r="E16" s="315" t="s">
        <v>618</v>
      </c>
      <c r="F16" s="315"/>
      <c r="G16" s="315"/>
      <c r="H16" s="315"/>
      <c r="I16" s="314" t="n">
        <f aca="false">IF(RIGHT($H16,2)="ML", LEFT($H16,LEN($H16)-2), $H16)</f>
        <v>0</v>
      </c>
      <c r="J16" s="316" t="str">
        <f aca="false">CONCATENATE(F16,I16)</f>
        <v>0</v>
      </c>
    </row>
    <row r="17" customFormat="false" ht="14.4" hidden="false" customHeight="false" outlineLevel="0" collapsed="false">
      <c r="A17" s="318" t="s">
        <v>253</v>
      </c>
      <c r="B17" s="315" t="s">
        <v>594</v>
      </c>
      <c r="C17" s="315" t="s">
        <v>624</v>
      </c>
      <c r="D17" s="315" t="s">
        <v>625</v>
      </c>
      <c r="E17" s="315" t="s">
        <v>621</v>
      </c>
      <c r="F17" s="315"/>
      <c r="G17" s="315"/>
      <c r="H17" s="315"/>
      <c r="I17" s="314" t="n">
        <f aca="false">IF(RIGHT($H17,2)="ML", LEFT($H17,LEN($H17)-2), $H17)</f>
        <v>0</v>
      </c>
      <c r="J17" s="316" t="str">
        <f aca="false">CONCATENATE(F17,I17)</f>
        <v>0</v>
      </c>
    </row>
    <row r="18" customFormat="false" ht="14.4" hidden="false" customHeight="false" outlineLevel="0" collapsed="false">
      <c r="A18" s="319" t="s">
        <v>593</v>
      </c>
      <c r="B18" s="319" t="n">
        <v>8</v>
      </c>
      <c r="C18" s="319" t="s">
        <v>595</v>
      </c>
      <c r="D18" s="319" t="s">
        <v>596</v>
      </c>
      <c r="E18" s="319" t="s">
        <v>597</v>
      </c>
      <c r="F18" s="319" t="s">
        <v>242</v>
      </c>
      <c r="G18" s="319" t="s">
        <v>598</v>
      </c>
      <c r="H18" s="319" t="s">
        <v>599</v>
      </c>
      <c r="I18" s="314" t="str">
        <f aca="false">IF(RIGHT($H18,2)="ML", LEFT($H18,LEN($H18)-2), $H18)</f>
        <v>VT</v>
      </c>
      <c r="J18" s="316" t="str">
        <f aca="false">CONCATENATE(F18,I18)</f>
        <v>B316A-EA03-OPT-BAFF-01VT</v>
      </c>
    </row>
    <row r="19" customFormat="false" ht="14.4" hidden="false" customHeight="false" outlineLevel="0" collapsed="false">
      <c r="A19" s="319" t="s">
        <v>600</v>
      </c>
      <c r="B19" s="319" t="s">
        <v>594</v>
      </c>
      <c r="C19" s="319" t="s">
        <v>595</v>
      </c>
      <c r="D19" s="319" t="s">
        <v>596</v>
      </c>
      <c r="E19" s="319" t="s">
        <v>601</v>
      </c>
      <c r="F19" s="319" t="s">
        <v>242</v>
      </c>
      <c r="G19" s="319" t="s">
        <v>598</v>
      </c>
      <c r="H19" s="319" t="s">
        <v>602</v>
      </c>
      <c r="I19" s="314" t="str">
        <f aca="false">IF(RIGHT($H19,2)="ML", LEFT($H19,LEN($H19)-2), $H19)</f>
        <v>VB</v>
      </c>
      <c r="J19" s="316" t="str">
        <f aca="false">CONCATENATE(F19,I19)</f>
        <v>B316A-EA03-OPT-BAFF-01VB</v>
      </c>
    </row>
    <row r="20" customFormat="false" ht="14.4" hidden="false" customHeight="false" outlineLevel="0" collapsed="false">
      <c r="A20" s="319" t="s">
        <v>603</v>
      </c>
      <c r="B20" s="319" t="s">
        <v>594</v>
      </c>
      <c r="C20" s="319" t="s">
        <v>595</v>
      </c>
      <c r="D20" s="319" t="s">
        <v>596</v>
      </c>
      <c r="E20" s="319" t="s">
        <v>604</v>
      </c>
      <c r="F20" s="319" t="s">
        <v>242</v>
      </c>
      <c r="G20" s="319" t="s">
        <v>598</v>
      </c>
      <c r="H20" s="319" t="s">
        <v>605</v>
      </c>
      <c r="I20" s="314" t="str">
        <f aca="false">IF(RIGHT($H20,2)="ML", LEFT($H20,LEN($H20)-2), $H20)</f>
        <v>HL</v>
      </c>
      <c r="J20" s="316" t="str">
        <f aca="false">CONCATENATE(F20,I20)</f>
        <v>B316A-EA03-OPT-BAFF-01HL</v>
      </c>
    </row>
    <row r="21" customFormat="false" ht="14.4" hidden="false" customHeight="false" outlineLevel="0" collapsed="false">
      <c r="A21" s="319" t="s">
        <v>606</v>
      </c>
      <c r="B21" s="319" t="s">
        <v>594</v>
      </c>
      <c r="C21" s="319" t="s">
        <v>595</v>
      </c>
      <c r="D21" s="319" t="s">
        <v>596</v>
      </c>
      <c r="E21" s="319" t="s">
        <v>607</v>
      </c>
      <c r="F21" s="319" t="s">
        <v>242</v>
      </c>
      <c r="G21" s="319" t="s">
        <v>598</v>
      </c>
      <c r="H21" s="319" t="s">
        <v>608</v>
      </c>
      <c r="I21" s="314" t="str">
        <f aca="false">IF(RIGHT($H21,2)="ML", LEFT($H21,LEN($H21)-2), $H21)</f>
        <v>HR</v>
      </c>
      <c r="J21" s="316" t="str">
        <f aca="false">CONCATENATE(F21,I21)</f>
        <v>B316A-EA03-OPT-BAFF-01HR</v>
      </c>
    </row>
    <row r="22" customFormat="false" ht="14.4" hidden="false" customHeight="false" outlineLevel="0" collapsed="false">
      <c r="A22" s="319" t="s">
        <v>609</v>
      </c>
      <c r="B22" s="319" t="s">
        <v>594</v>
      </c>
      <c r="C22" s="319" t="s">
        <v>595</v>
      </c>
      <c r="D22" s="319" t="s">
        <v>596</v>
      </c>
      <c r="E22" s="319" t="s">
        <v>610</v>
      </c>
      <c r="F22" s="319" t="s">
        <v>266</v>
      </c>
      <c r="G22" s="319" t="s">
        <v>611</v>
      </c>
      <c r="H22" s="319" t="s">
        <v>612</v>
      </c>
      <c r="I22" s="314" t="str">
        <f aca="false">IF(RIGHT($H22,2)="ML", LEFT($H22,LEN($H22)-2), $H22)</f>
        <v>V</v>
      </c>
      <c r="J22" s="316" t="str">
        <f aca="false">CONCATENATE(F22,I22)</f>
        <v>B316A-EA03-DIA-BPM-01V</v>
      </c>
    </row>
    <row r="23" customFormat="false" ht="14.4" hidden="false" customHeight="false" outlineLevel="0" collapsed="false">
      <c r="A23" s="319" t="s">
        <v>613</v>
      </c>
      <c r="B23" s="319" t="s">
        <v>594</v>
      </c>
      <c r="C23" s="319" t="s">
        <v>595</v>
      </c>
      <c r="D23" s="319" t="s">
        <v>596</v>
      </c>
      <c r="E23" s="319" t="s">
        <v>614</v>
      </c>
      <c r="F23" s="319" t="s">
        <v>276</v>
      </c>
      <c r="G23" s="319" t="s">
        <v>615</v>
      </c>
      <c r="H23" s="319" t="s">
        <v>616</v>
      </c>
      <c r="I23" s="314" t="str">
        <f aca="false">IF(RIGHT($H23,2)="ML", LEFT($H23,LEN($H23)-2), $H23)</f>
        <v>V1</v>
      </c>
      <c r="J23" s="316" t="str">
        <f aca="false">CONCATENATE(F23,I23)</f>
        <v>B316A-EA03-OPT-MIR-04V1</v>
      </c>
    </row>
    <row r="24" customFormat="false" ht="14.4" hidden="false" customHeight="false" outlineLevel="0" collapsed="false">
      <c r="A24" s="319" t="s">
        <v>617</v>
      </c>
      <c r="B24" s="319" t="s">
        <v>594</v>
      </c>
      <c r="C24" s="319" t="s">
        <v>595</v>
      </c>
      <c r="D24" s="319" t="s">
        <v>596</v>
      </c>
      <c r="E24" s="319" t="s">
        <v>618</v>
      </c>
      <c r="F24" s="319" t="s">
        <v>276</v>
      </c>
      <c r="G24" s="319" t="s">
        <v>615</v>
      </c>
      <c r="H24" s="319" t="s">
        <v>619</v>
      </c>
      <c r="I24" s="314" t="str">
        <f aca="false">IF(RIGHT($H24,2)="ML", LEFT($H24,LEN($H24)-2), $H24)</f>
        <v>V2</v>
      </c>
      <c r="J24" s="316" t="str">
        <f aca="false">CONCATENATE(F24,I24)</f>
        <v>B316A-EA03-OPT-MIR-04V2</v>
      </c>
    </row>
    <row r="25" customFormat="false" ht="14.4" hidden="false" customHeight="false" outlineLevel="0" collapsed="false">
      <c r="A25" s="319" t="s">
        <v>620</v>
      </c>
      <c r="B25" s="319" t="s">
        <v>594</v>
      </c>
      <c r="C25" s="319" t="s">
        <v>595</v>
      </c>
      <c r="D25" s="319" t="s">
        <v>596</v>
      </c>
      <c r="E25" s="319" t="s">
        <v>621</v>
      </c>
      <c r="F25" s="319" t="s">
        <v>276</v>
      </c>
      <c r="G25" s="319" t="s">
        <v>615</v>
      </c>
      <c r="H25" s="319" t="s">
        <v>622</v>
      </c>
      <c r="I25" s="314" t="str">
        <f aca="false">IF(RIGHT($H25,2)="ML", LEFT($H25,LEN($H25)-2), $H25)</f>
        <v>V3</v>
      </c>
      <c r="J25" s="316" t="str">
        <f aca="false">CONCATENATE(F25,I25)</f>
        <v>B316A-EA03-OPT-MIR-04V3</v>
      </c>
    </row>
    <row r="26" customFormat="false" ht="14.4" hidden="false" customHeight="false" outlineLevel="0" collapsed="false">
      <c r="A26" s="319" t="s">
        <v>623</v>
      </c>
      <c r="B26" s="319" t="s">
        <v>594</v>
      </c>
      <c r="C26" s="319" t="s">
        <v>624</v>
      </c>
      <c r="D26" s="319" t="s">
        <v>625</v>
      </c>
      <c r="E26" s="319" t="s">
        <v>597</v>
      </c>
      <c r="F26" s="319" t="s">
        <v>276</v>
      </c>
      <c r="G26" s="319" t="s">
        <v>615</v>
      </c>
      <c r="H26" s="319" t="s">
        <v>626</v>
      </c>
      <c r="I26" s="314" t="str">
        <f aca="false">IF(RIGHT($H26,2)="ML", LEFT($H26,LEN($H26)-2), $H26)</f>
        <v>H4</v>
      </c>
      <c r="J26" s="316" t="str">
        <f aca="false">CONCATENATE(F26,I26)</f>
        <v>B316A-EA03-OPT-MIR-04H4</v>
      </c>
    </row>
    <row r="27" customFormat="false" ht="14.4" hidden="false" customHeight="false" outlineLevel="0" collapsed="false">
      <c r="A27" s="319" t="s">
        <v>627</v>
      </c>
      <c r="B27" s="319" t="s">
        <v>594</v>
      </c>
      <c r="C27" s="319" t="s">
        <v>624</v>
      </c>
      <c r="D27" s="319" t="s">
        <v>625</v>
      </c>
      <c r="E27" s="319" t="s">
        <v>601</v>
      </c>
      <c r="F27" s="319" t="s">
        <v>276</v>
      </c>
      <c r="G27" s="319" t="s">
        <v>615</v>
      </c>
      <c r="H27" s="319" t="s">
        <v>628</v>
      </c>
      <c r="I27" s="314" t="str">
        <f aca="false">IF(RIGHT($H27,2)="ML", LEFT($H27,LEN($H27)-2), $H27)</f>
        <v>H5</v>
      </c>
      <c r="J27" s="316" t="str">
        <f aca="false">CONCATENATE(F27,I27)</f>
        <v>B316A-EA03-OPT-MIR-04H5</v>
      </c>
    </row>
    <row r="28" customFormat="false" ht="14.4" hidden="false" customHeight="false" outlineLevel="0" collapsed="false">
      <c r="A28" s="319" t="s">
        <v>629</v>
      </c>
      <c r="B28" s="319" t="s">
        <v>594</v>
      </c>
      <c r="C28" s="319" t="s">
        <v>624</v>
      </c>
      <c r="D28" s="319" t="s">
        <v>625</v>
      </c>
      <c r="E28" s="319" t="s">
        <v>604</v>
      </c>
      <c r="F28" s="319" t="s">
        <v>292</v>
      </c>
      <c r="G28" s="319" t="s">
        <v>630</v>
      </c>
      <c r="H28" s="319" t="s">
        <v>631</v>
      </c>
      <c r="I28" s="314" t="str">
        <f aca="false">IF(RIGHT($H28,2)="ML", LEFT($H28,LEN($H28)-2), $H28)</f>
        <v>X</v>
      </c>
      <c r="J28" s="316" t="str">
        <f aca="false">CONCATENATE(F28,I28)</f>
        <v>B316A-EA04-DIA-MP-01X</v>
      </c>
    </row>
    <row r="29" customFormat="false" ht="14.4" hidden="false" customHeight="false" outlineLevel="0" collapsed="false">
      <c r="A29" s="319" t="s">
        <v>632</v>
      </c>
      <c r="B29" s="319" t="s">
        <v>594</v>
      </c>
      <c r="C29" s="319" t="s">
        <v>624</v>
      </c>
      <c r="D29" s="319" t="s">
        <v>625</v>
      </c>
      <c r="E29" s="319" t="s">
        <v>607</v>
      </c>
      <c r="F29" s="319" t="s">
        <v>292</v>
      </c>
      <c r="G29" s="319" t="s">
        <v>630</v>
      </c>
      <c r="H29" s="319" t="s">
        <v>633</v>
      </c>
      <c r="I29" s="314" t="str">
        <f aca="false">IF(RIGHT($H29,2)="ML", LEFT($H29,LEN($H29)-2), $H29)</f>
        <v>Z</v>
      </c>
      <c r="J29" s="316" t="str">
        <f aca="false">CONCATENATE(F29,I29)</f>
        <v>B316A-EA04-DIA-MP-01Z</v>
      </c>
    </row>
    <row r="30" customFormat="false" ht="14.4" hidden="false" customHeight="false" outlineLevel="0" collapsed="false">
      <c r="A30" s="319" t="s">
        <v>634</v>
      </c>
      <c r="B30" s="319" t="s">
        <v>594</v>
      </c>
      <c r="C30" s="319" t="s">
        <v>624</v>
      </c>
      <c r="D30" s="319" t="s">
        <v>625</v>
      </c>
      <c r="E30" s="319" t="s">
        <v>610</v>
      </c>
      <c r="F30" s="319" t="s">
        <v>292</v>
      </c>
      <c r="G30" s="319" t="s">
        <v>630</v>
      </c>
      <c r="H30" s="319" t="s">
        <v>635</v>
      </c>
      <c r="I30" s="314" t="str">
        <f aca="false">IF(RIGHT($H30,2)="ML", LEFT($H30,LEN($H30)-2), $H30)</f>
        <v>Y</v>
      </c>
      <c r="J30" s="316" t="str">
        <f aca="false">CONCATENATE(F30,I30)</f>
        <v>B316A-EA04-DIA-MP-01Y</v>
      </c>
    </row>
    <row r="31" customFormat="false" ht="14.4" hidden="false" customHeight="false" outlineLevel="0" collapsed="false">
      <c r="A31" s="319" t="s">
        <v>636</v>
      </c>
      <c r="B31" s="319" t="s">
        <v>594</v>
      </c>
      <c r="C31" s="319" t="s">
        <v>624</v>
      </c>
      <c r="D31" s="319" t="s">
        <v>625</v>
      </c>
      <c r="E31" s="319" t="s">
        <v>614</v>
      </c>
      <c r="F31" s="319" t="s">
        <v>292</v>
      </c>
      <c r="G31" s="319" t="s">
        <v>630</v>
      </c>
      <c r="H31" s="319" t="s">
        <v>637</v>
      </c>
      <c r="I31" s="314" t="str">
        <f aca="false">IF(RIGHT($H31,2)="ML", LEFT($H31,LEN($H31)-2), $H31)</f>
        <v>YAW</v>
      </c>
      <c r="J31" s="316" t="str">
        <f aca="false">CONCATENATE(F31,I31)</f>
        <v>B316A-EA04-DIA-MP-01YAW</v>
      </c>
    </row>
    <row r="32" customFormat="false" ht="14.4" hidden="false" customHeight="false" outlineLevel="0" collapsed="false">
      <c r="A32" s="319" t="s">
        <v>638</v>
      </c>
      <c r="B32" s="319" t="s">
        <v>594</v>
      </c>
      <c r="C32" s="319" t="s">
        <v>639</v>
      </c>
      <c r="D32" s="319" t="s">
        <v>625</v>
      </c>
      <c r="E32" s="319" t="s">
        <v>604</v>
      </c>
      <c r="F32" s="319" t="s">
        <v>378</v>
      </c>
      <c r="G32" s="319" t="s">
        <v>598</v>
      </c>
      <c r="H32" s="319" t="s">
        <v>599</v>
      </c>
      <c r="I32" s="314" t="str">
        <f aca="false">IF(RIGHT($H32,2)="ML", LEFT($H32,LEN($H32)-2), $H32)</f>
        <v>VT</v>
      </c>
      <c r="J32" s="316" t="str">
        <f aca="false">CONCATENATE(F32,I32)</f>
        <v>B316A-EB03-OPT-BAFF-01VT</v>
      </c>
    </row>
    <row r="33" customFormat="false" ht="14.4" hidden="false" customHeight="false" outlineLevel="0" collapsed="false">
      <c r="A33" s="319" t="s">
        <v>640</v>
      </c>
      <c r="B33" s="319" t="s">
        <v>594</v>
      </c>
      <c r="C33" s="319" t="s">
        <v>639</v>
      </c>
      <c r="D33" s="319" t="s">
        <v>625</v>
      </c>
      <c r="E33" s="319" t="s">
        <v>607</v>
      </c>
      <c r="F33" s="319" t="s">
        <v>378</v>
      </c>
      <c r="G33" s="319" t="s">
        <v>598</v>
      </c>
      <c r="H33" s="319" t="s">
        <v>602</v>
      </c>
      <c r="I33" s="314" t="str">
        <f aca="false">IF(RIGHT($H33,2)="ML", LEFT($H33,LEN($H33)-2), $H33)</f>
        <v>VB</v>
      </c>
      <c r="J33" s="316" t="str">
        <f aca="false">CONCATENATE(F33,I33)</f>
        <v>B316A-EB03-OPT-BAFF-01VB</v>
      </c>
    </row>
    <row r="34" customFormat="false" ht="14.4" hidden="false" customHeight="false" outlineLevel="0" collapsed="false">
      <c r="A34" s="319" t="s">
        <v>641</v>
      </c>
      <c r="B34" s="319" t="s">
        <v>594</v>
      </c>
      <c r="C34" s="319" t="s">
        <v>639</v>
      </c>
      <c r="D34" s="319" t="s">
        <v>625</v>
      </c>
      <c r="E34" s="319" t="s">
        <v>610</v>
      </c>
      <c r="F34" s="319" t="s">
        <v>378</v>
      </c>
      <c r="G34" s="319" t="s">
        <v>598</v>
      </c>
      <c r="H34" s="319" t="s">
        <v>605</v>
      </c>
      <c r="I34" s="314" t="str">
        <f aca="false">IF(RIGHT($H34,2)="ML", LEFT($H34,LEN($H34)-2), $H34)</f>
        <v>HL</v>
      </c>
      <c r="J34" s="316" t="str">
        <f aca="false">CONCATENATE(F34,I34)</f>
        <v>B316A-EB03-OPT-BAFF-01HL</v>
      </c>
    </row>
    <row r="35" customFormat="false" ht="14.4" hidden="false" customHeight="false" outlineLevel="0" collapsed="false">
      <c r="A35" s="319" t="s">
        <v>642</v>
      </c>
      <c r="B35" s="319" t="s">
        <v>594</v>
      </c>
      <c r="C35" s="319" t="s">
        <v>639</v>
      </c>
      <c r="D35" s="319" t="s">
        <v>625</v>
      </c>
      <c r="E35" s="319" t="s">
        <v>614</v>
      </c>
      <c r="F35" s="319" t="s">
        <v>378</v>
      </c>
      <c r="G35" s="319" t="s">
        <v>598</v>
      </c>
      <c r="H35" s="319" t="s">
        <v>608</v>
      </c>
      <c r="I35" s="314" t="str">
        <f aca="false">IF(RIGHT($H35,2)="ML", LEFT($H35,LEN($H35)-2), $H35)</f>
        <v>HR</v>
      </c>
      <c r="J35" s="316" t="str">
        <f aca="false">CONCATENATE(F35,I35)</f>
        <v>B316A-EB03-OPT-BAFF-01HR</v>
      </c>
    </row>
    <row r="36" customFormat="false" ht="14.4" hidden="false" customHeight="false" outlineLevel="0" collapsed="false">
      <c r="A36" s="319" t="s">
        <v>643</v>
      </c>
      <c r="B36" s="319" t="s">
        <v>594</v>
      </c>
      <c r="C36" s="319" t="s">
        <v>639</v>
      </c>
      <c r="D36" s="319" t="s">
        <v>625</v>
      </c>
      <c r="E36" s="319" t="s">
        <v>618</v>
      </c>
      <c r="F36" s="319" t="s">
        <v>383</v>
      </c>
      <c r="G36" s="319" t="s">
        <v>611</v>
      </c>
      <c r="H36" s="319" t="s">
        <v>612</v>
      </c>
      <c r="I36" s="314" t="str">
        <f aca="false">IF(RIGHT($H36,2)="ML", LEFT($H36,LEN($H36)-2), $H36)</f>
        <v>V</v>
      </c>
      <c r="J36" s="316" t="str">
        <f aca="false">CONCATENATE(F36,I36)</f>
        <v>B316A-EB03-DIA-BPM-01V</v>
      </c>
    </row>
    <row r="37" customFormat="false" ht="14.4" hidden="false" customHeight="false" outlineLevel="0" collapsed="false">
      <c r="A37" s="319" t="s">
        <v>644</v>
      </c>
      <c r="B37" s="319" t="s">
        <v>594</v>
      </c>
      <c r="C37" s="319" t="s">
        <v>639</v>
      </c>
      <c r="D37" s="319" t="s">
        <v>625</v>
      </c>
      <c r="E37" s="319" t="s">
        <v>621</v>
      </c>
      <c r="F37" s="319" t="s">
        <v>385</v>
      </c>
      <c r="G37" s="319" t="s">
        <v>615</v>
      </c>
      <c r="H37" s="319" t="s">
        <v>616</v>
      </c>
      <c r="I37" s="314" t="str">
        <f aca="false">IF(RIGHT($H37,2)="ML", LEFT($H37,LEN($H37)-2), $H37)</f>
        <v>V1</v>
      </c>
      <c r="J37" s="316" t="str">
        <f aca="false">CONCATENATE(F37,I37)</f>
        <v>B316A-EB03-OPT-MIR-04V1</v>
      </c>
    </row>
    <row r="38" customFormat="false" ht="14.4" hidden="false" customHeight="false" outlineLevel="0" collapsed="false">
      <c r="A38" s="319" t="s">
        <v>645</v>
      </c>
      <c r="B38" s="319" t="s">
        <v>594</v>
      </c>
      <c r="C38" s="319" t="s">
        <v>646</v>
      </c>
      <c r="D38" s="319" t="s">
        <v>625</v>
      </c>
      <c r="E38" s="319" t="s">
        <v>597</v>
      </c>
      <c r="F38" s="319" t="s">
        <v>385</v>
      </c>
      <c r="G38" s="319" t="s">
        <v>615</v>
      </c>
      <c r="H38" s="319" t="s">
        <v>619</v>
      </c>
      <c r="I38" s="314" t="str">
        <f aca="false">IF(RIGHT($H38,2)="ML", LEFT($H38,LEN($H38)-2), $H38)</f>
        <v>V2</v>
      </c>
      <c r="J38" s="316" t="str">
        <f aca="false">CONCATENATE(F38,I38)</f>
        <v>B316A-EB03-OPT-MIR-04V2</v>
      </c>
    </row>
    <row r="39" customFormat="false" ht="14.4" hidden="false" customHeight="false" outlineLevel="0" collapsed="false">
      <c r="A39" s="319" t="s">
        <v>647</v>
      </c>
      <c r="B39" s="319" t="s">
        <v>594</v>
      </c>
      <c r="C39" s="319" t="s">
        <v>646</v>
      </c>
      <c r="D39" s="319" t="s">
        <v>625</v>
      </c>
      <c r="E39" s="319" t="s">
        <v>601</v>
      </c>
      <c r="F39" s="319" t="s">
        <v>385</v>
      </c>
      <c r="G39" s="319" t="s">
        <v>615</v>
      </c>
      <c r="H39" s="319" t="s">
        <v>622</v>
      </c>
      <c r="I39" s="314" t="str">
        <f aca="false">IF(RIGHT($H39,2)="ML", LEFT($H39,LEN($H39)-2), $H39)</f>
        <v>V3</v>
      </c>
      <c r="J39" s="316" t="str">
        <f aca="false">CONCATENATE(F39,I39)</f>
        <v>B316A-EB03-OPT-MIR-04V3</v>
      </c>
    </row>
    <row r="40" customFormat="false" ht="14.4" hidden="false" customHeight="false" outlineLevel="0" collapsed="false">
      <c r="A40" s="319" t="s">
        <v>648</v>
      </c>
      <c r="B40" s="319" t="s">
        <v>594</v>
      </c>
      <c r="C40" s="319" t="s">
        <v>646</v>
      </c>
      <c r="D40" s="319" t="s">
        <v>625</v>
      </c>
      <c r="E40" s="319" t="s">
        <v>604</v>
      </c>
      <c r="F40" s="319" t="s">
        <v>385</v>
      </c>
      <c r="G40" s="319" t="s">
        <v>615</v>
      </c>
      <c r="H40" s="319" t="s">
        <v>626</v>
      </c>
      <c r="I40" s="314" t="str">
        <f aca="false">IF(RIGHT($H40,2)="ML", LEFT($H40,LEN($H40)-2), $H40)</f>
        <v>H4</v>
      </c>
      <c r="J40" s="316" t="str">
        <f aca="false">CONCATENATE(F40,I40)</f>
        <v>B316A-EB03-OPT-MIR-04H4</v>
      </c>
    </row>
    <row r="41" customFormat="false" ht="14.4" hidden="false" customHeight="false" outlineLevel="0" collapsed="false">
      <c r="A41" s="319" t="s">
        <v>649</v>
      </c>
      <c r="B41" s="319" t="s">
        <v>594</v>
      </c>
      <c r="C41" s="319" t="s">
        <v>646</v>
      </c>
      <c r="D41" s="319" t="s">
        <v>625</v>
      </c>
      <c r="E41" s="319" t="s">
        <v>607</v>
      </c>
      <c r="F41" s="319" t="s">
        <v>385</v>
      </c>
      <c r="G41" s="319" t="s">
        <v>615</v>
      </c>
      <c r="H41" s="319" t="s">
        <v>628</v>
      </c>
      <c r="I41" s="314" t="str">
        <f aca="false">IF(RIGHT($H41,2)="ML", LEFT($H41,LEN($H41)-2), $H41)</f>
        <v>H5</v>
      </c>
      <c r="J41" s="316" t="str">
        <f aca="false">CONCATENATE(F41,I41)</f>
        <v>B316A-EB03-OPT-MIR-04H5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2015-01-20T05:37:09Z</dcterms:created>
  <dc:creator>jullid</dc:creator>
  <dc:description/>
  <dc:language>sv-SE</dc:language>
  <cp:lastModifiedBy/>
  <cp:lastPrinted>2015-03-27T08:05:34Z</cp:lastPrinted>
  <dcterms:modified xsi:type="dcterms:W3CDTF">2018-12-17T14:26:02Z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