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ora\Desktop\thesis-Isolpharm-Analysis\calibrazione\analysis data\"/>
    </mc:Choice>
  </mc:AlternateContent>
  <xr:revisionPtr revIDLastSave="0" documentId="13_ncr:1_{27A34517-7936-4793-A753-434E4830BA96}" xr6:coauthVersionLast="47" xr6:coauthVersionMax="47" xr10:uidLastSave="{00000000-0000-0000-0000-000000000000}"/>
  <bookViews>
    <workbookView xWindow="-96" yWindow="-96" windowWidth="19392" windowHeight="10392" firstSheet="4" activeTab="4" xr2:uid="{BB1832FC-2C75-4D04-80EE-175843CB4754}"/>
  </bookViews>
  <sheets>
    <sheet name="calibrazione HPGe" sheetId="1" r:id="rId1"/>
    <sheet name="calibrazione LaBr3" sheetId="3" r:id="rId2"/>
    <sheet name="risoluzione HPGe" sheetId="2" r:id="rId3"/>
    <sheet name="risoluzione LaBr3" sheetId="4" r:id="rId4"/>
    <sheet name="efficiency HPGe" sheetId="5" r:id="rId5"/>
    <sheet name="efficiency LaB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5" l="1"/>
  <c r="E2" i="5" s="1"/>
  <c r="K2" i="5" s="1"/>
  <c r="N2" i="5" s="1"/>
  <c r="C7" i="5"/>
  <c r="B7" i="5"/>
  <c r="L18" i="5"/>
  <c r="L12" i="6"/>
  <c r="D6" i="6"/>
  <c r="D10" i="6"/>
  <c r="L16" i="5"/>
  <c r="L13" i="5"/>
  <c r="L11" i="5"/>
  <c r="L10" i="5"/>
  <c r="L8" i="5"/>
  <c r="L7" i="5"/>
  <c r="L6" i="5"/>
  <c r="L4" i="5"/>
  <c r="L3" i="5"/>
  <c r="L2" i="5"/>
  <c r="L3" i="6"/>
  <c r="L4" i="6"/>
  <c r="L5" i="6"/>
  <c r="L6" i="6"/>
  <c r="L7" i="6"/>
  <c r="L8" i="6"/>
  <c r="L9" i="6"/>
  <c r="L10" i="6"/>
  <c r="L11" i="6"/>
  <c r="L2" i="6"/>
  <c r="B14" i="6"/>
  <c r="B20" i="5"/>
  <c r="D18" i="5" s="1"/>
  <c r="I18" i="5" s="1"/>
  <c r="F41" i="5" s="1"/>
  <c r="F4" i="4"/>
  <c r="F8" i="4"/>
  <c r="D4" i="4"/>
  <c r="E4" i="3"/>
  <c r="K2" i="1"/>
  <c r="E3" i="2"/>
  <c r="C4" i="4"/>
  <c r="C5" i="4"/>
  <c r="F5" i="4" s="1"/>
  <c r="C6" i="4"/>
  <c r="C7" i="4"/>
  <c r="F7" i="4" s="1"/>
  <c r="C8" i="4"/>
  <c r="C3" i="4"/>
  <c r="F3" i="4" s="1"/>
  <c r="I8" i="4"/>
  <c r="I7" i="4"/>
  <c r="I5" i="4"/>
  <c r="O5" i="4" s="1"/>
  <c r="E6" i="3"/>
  <c r="E5" i="3"/>
  <c r="E3" i="3"/>
  <c r="E7" i="3"/>
  <c r="E8" i="3"/>
  <c r="E9" i="3"/>
  <c r="E10" i="3"/>
  <c r="I12" i="2"/>
  <c r="I11" i="2"/>
  <c r="I6" i="2"/>
  <c r="I5" i="2"/>
  <c r="O8" i="2" s="1"/>
  <c r="I4" i="2"/>
  <c r="I3" i="2"/>
  <c r="N6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F11" i="2" l="1"/>
  <c r="Q8" i="2"/>
  <c r="F8" i="2"/>
  <c r="N8" i="4"/>
  <c r="O4" i="2"/>
  <c r="O15" i="2"/>
  <c r="O11" i="2"/>
  <c r="O7" i="2"/>
  <c r="O3" i="4"/>
  <c r="O4" i="4"/>
  <c r="F7" i="2"/>
  <c r="D8" i="6"/>
  <c r="D4" i="6"/>
  <c r="D12" i="6"/>
  <c r="I12" i="6" s="1"/>
  <c r="N7" i="4"/>
  <c r="O5" i="2"/>
  <c r="O14" i="2"/>
  <c r="O10" i="2"/>
  <c r="O17" i="2"/>
  <c r="O3" i="2"/>
  <c r="O7" i="4"/>
  <c r="O8" i="4"/>
  <c r="F5" i="2"/>
  <c r="D7" i="6"/>
  <c r="D3" i="6"/>
  <c r="I3" i="6" s="1"/>
  <c r="D2" i="6"/>
  <c r="N3" i="2"/>
  <c r="N14" i="2"/>
  <c r="N10" i="2"/>
  <c r="N5" i="2"/>
  <c r="N17" i="2"/>
  <c r="N13" i="2"/>
  <c r="N9" i="2"/>
  <c r="N4" i="2"/>
  <c r="N16" i="2"/>
  <c r="N12" i="2"/>
  <c r="N8" i="2"/>
  <c r="N7" i="2"/>
  <c r="N15" i="2"/>
  <c r="N11" i="2"/>
  <c r="N3" i="4"/>
  <c r="N6" i="4"/>
  <c r="O6" i="2"/>
  <c r="O13" i="2"/>
  <c r="O9" i="2"/>
  <c r="O6" i="4"/>
  <c r="D6" i="4" s="1"/>
  <c r="F6" i="4" s="1"/>
  <c r="N4" i="4"/>
  <c r="N5" i="4"/>
  <c r="O16" i="2"/>
  <c r="O12" i="2"/>
  <c r="D9" i="6"/>
  <c r="D5" i="6"/>
  <c r="D11" i="6"/>
  <c r="D9" i="5"/>
  <c r="D14" i="5"/>
  <c r="D17" i="5"/>
  <c r="D4" i="5"/>
  <c r="D12" i="5"/>
  <c r="D15" i="5"/>
  <c r="D5" i="5"/>
  <c r="D11" i="5"/>
  <c r="D6" i="5"/>
  <c r="D16" i="5"/>
  <c r="D8" i="5"/>
  <c r="I8" i="5" s="1"/>
  <c r="F32" i="5" s="1"/>
  <c r="D3" i="5"/>
  <c r="D10" i="5"/>
  <c r="D13" i="5"/>
  <c r="D7" i="5"/>
  <c r="D2" i="5"/>
  <c r="F14" i="6"/>
  <c r="E12" i="6" s="1"/>
  <c r="F12" i="6" s="1"/>
  <c r="E3" i="6"/>
  <c r="E11" i="6"/>
  <c r="I2" i="5"/>
  <c r="F26" i="5" s="1"/>
  <c r="F9" i="2" l="1"/>
  <c r="Q6" i="2"/>
  <c r="Q17" i="2"/>
  <c r="F20" i="2"/>
  <c r="Q7" i="2"/>
  <c r="F10" i="2"/>
  <c r="F15" i="2"/>
  <c r="Q12" i="2"/>
  <c r="E2" i="6"/>
  <c r="K2" i="6" s="1"/>
  <c r="N2" i="6" s="1"/>
  <c r="I2" i="6"/>
  <c r="Q10" i="2"/>
  <c r="F13" i="2"/>
  <c r="Q11" i="2"/>
  <c r="F14" i="2"/>
  <c r="F19" i="2"/>
  <c r="Q16" i="2"/>
  <c r="Q9" i="2"/>
  <c r="F12" i="2"/>
  <c r="Q14" i="2"/>
  <c r="F17" i="2"/>
  <c r="Q15" i="2"/>
  <c r="F18" i="2"/>
  <c r="Q13" i="2"/>
  <c r="F16" i="2"/>
  <c r="F3" i="2"/>
  <c r="Q3" i="2"/>
  <c r="Q5" i="2"/>
  <c r="F6" i="2"/>
  <c r="Q4" i="2"/>
  <c r="F4" i="2"/>
  <c r="I13" i="5"/>
  <c r="F37" i="5" s="1"/>
  <c r="I16" i="5"/>
  <c r="F40" i="5" s="1"/>
  <c r="I5" i="5"/>
  <c r="F29" i="5" s="1"/>
  <c r="E5" i="5"/>
  <c r="F5" i="5" s="1"/>
  <c r="E13" i="5"/>
  <c r="F13" i="5" s="1"/>
  <c r="I10" i="5"/>
  <c r="F34" i="5" s="1"/>
  <c r="I6" i="5"/>
  <c r="F30" i="5" s="1"/>
  <c r="E15" i="5"/>
  <c r="F15" i="5" s="1"/>
  <c r="I15" i="5"/>
  <c r="F39" i="5" s="1"/>
  <c r="E17" i="5"/>
  <c r="F17" i="5" s="1"/>
  <c r="I17" i="5"/>
  <c r="I3" i="5"/>
  <c r="F27" i="5" s="1"/>
  <c r="I11" i="5"/>
  <c r="F35" i="5" s="1"/>
  <c r="E12" i="5"/>
  <c r="F12" i="5" s="1"/>
  <c r="I12" i="5"/>
  <c r="F36" i="5" s="1"/>
  <c r="I14" i="5"/>
  <c r="F38" i="5" s="1"/>
  <c r="E14" i="5"/>
  <c r="F14" i="5" s="1"/>
  <c r="I4" i="5"/>
  <c r="F28" i="5" s="1"/>
  <c r="E9" i="5"/>
  <c r="F9" i="5" s="1"/>
  <c r="I9" i="5"/>
  <c r="F33" i="5" s="1"/>
  <c r="I7" i="5"/>
  <c r="F31" i="5" s="1"/>
  <c r="E7" i="5"/>
  <c r="F7" i="5" s="1"/>
  <c r="K12" i="6"/>
  <c r="N12" i="6" s="1"/>
  <c r="F2" i="5"/>
  <c r="E18" i="5"/>
  <c r="F3" i="6"/>
  <c r="K3" i="6"/>
  <c r="N3" i="6" s="1"/>
  <c r="F11" i="6"/>
  <c r="K11" i="6"/>
  <c r="N11" i="6" s="1"/>
  <c r="E4" i="5"/>
  <c r="K4" i="5" s="1"/>
  <c r="H28" i="5" s="1"/>
  <c r="E16" i="5"/>
  <c r="K16" i="5" s="1"/>
  <c r="H40" i="5" s="1"/>
  <c r="E10" i="5"/>
  <c r="K10" i="5" s="1"/>
  <c r="H34" i="5" s="1"/>
  <c r="E6" i="5"/>
  <c r="K6" i="5" s="1"/>
  <c r="H30" i="5" s="1"/>
  <c r="E3" i="5"/>
  <c r="K3" i="5" s="1"/>
  <c r="H27" i="5" s="1"/>
  <c r="E11" i="5"/>
  <c r="K11" i="5" s="1"/>
  <c r="H35" i="5" s="1"/>
  <c r="E8" i="5"/>
  <c r="K8" i="5" s="1"/>
  <c r="H32" i="5" s="1"/>
  <c r="F2" i="6"/>
  <c r="I6" i="6"/>
  <c r="E6" i="6"/>
  <c r="I9" i="6"/>
  <c r="E9" i="6"/>
  <c r="I5" i="6"/>
  <c r="E5" i="6"/>
  <c r="I11" i="6"/>
  <c r="I4" i="6"/>
  <c r="E4" i="6"/>
  <c r="I10" i="6"/>
  <c r="E10" i="6"/>
  <c r="I8" i="6"/>
  <c r="E8" i="6"/>
  <c r="I7" i="6"/>
  <c r="E7" i="6"/>
  <c r="K9" i="5" l="1"/>
  <c r="H33" i="5" s="1"/>
  <c r="K14" i="5"/>
  <c r="H38" i="5" s="1"/>
  <c r="K12" i="5"/>
  <c r="H36" i="5" s="1"/>
  <c r="F18" i="5"/>
  <c r="K18" i="5"/>
  <c r="H41" i="5" s="1"/>
  <c r="K15" i="5"/>
  <c r="H39" i="5" s="1"/>
  <c r="K5" i="5"/>
  <c r="H29" i="5" s="1"/>
  <c r="K13" i="5"/>
  <c r="K17" i="5"/>
  <c r="K7" i="5"/>
  <c r="H31" i="5" s="1"/>
  <c r="F8" i="6"/>
  <c r="K8" i="6"/>
  <c r="N8" i="6" s="1"/>
  <c r="K9" i="6"/>
  <c r="N9" i="6" s="1"/>
  <c r="F9" i="6"/>
  <c r="F7" i="6"/>
  <c r="K7" i="6"/>
  <c r="N7" i="6" s="1"/>
  <c r="F4" i="6"/>
  <c r="K4" i="6"/>
  <c r="N4" i="6" s="1"/>
  <c r="F10" i="6"/>
  <c r="K10" i="6"/>
  <c r="N10" i="6" s="1"/>
  <c r="K5" i="6"/>
  <c r="N5" i="6" s="1"/>
  <c r="F5" i="6"/>
  <c r="F6" i="6"/>
  <c r="K6" i="6"/>
  <c r="N6" i="6" s="1"/>
  <c r="F3" i="5"/>
  <c r="N3" i="5"/>
  <c r="F16" i="5"/>
  <c r="N16" i="5"/>
  <c r="F8" i="5"/>
  <c r="N8" i="5"/>
  <c r="N6" i="5"/>
  <c r="F6" i="5"/>
  <c r="N11" i="5"/>
  <c r="F11" i="5"/>
  <c r="N10" i="5"/>
  <c r="F10" i="5"/>
  <c r="N4" i="5"/>
  <c r="F4" i="5"/>
  <c r="N18" i="5" l="1"/>
  <c r="H37" i="5"/>
  <c r="N13" i="5"/>
  <c r="H26" i="5"/>
  <c r="N7" i="5"/>
</calcChain>
</file>

<file path=xl/sharedStrings.xml><?xml version="1.0" encoding="utf-8"?>
<sst xmlns="http://schemas.openxmlformats.org/spreadsheetml/2006/main" count="101" uniqueCount="55">
  <si>
    <t>erry</t>
  </si>
  <si>
    <t>errx</t>
  </si>
  <si>
    <t>errytot</t>
  </si>
  <si>
    <t>b</t>
  </si>
  <si>
    <t>y</t>
  </si>
  <si>
    <t>HPGe</t>
  </si>
  <si>
    <t>LaBr3</t>
  </si>
  <si>
    <t>c</t>
  </si>
  <si>
    <t>err Energia</t>
  </si>
  <si>
    <t>Energia</t>
  </si>
  <si>
    <t>funzione calib</t>
  </si>
  <si>
    <t>a</t>
  </si>
  <si>
    <t>erra</t>
  </si>
  <si>
    <t>errb</t>
  </si>
  <si>
    <t>fwhm</t>
  </si>
  <si>
    <t>convertito</t>
  </si>
  <si>
    <t xml:space="preserve"> a+bx</t>
  </si>
  <si>
    <t>fit parametri no err</t>
  </si>
  <si>
    <t>correzione</t>
  </si>
  <si>
    <t>x</t>
  </si>
  <si>
    <t>sa</t>
  </si>
  <si>
    <t>sb</t>
  </si>
  <si>
    <t>a+bx+cx^2</t>
  </si>
  <si>
    <t>sc</t>
  </si>
  <si>
    <t>err</t>
  </si>
  <si>
    <t>errore conversione</t>
  </si>
  <si>
    <t>errx=err energy</t>
  </si>
  <si>
    <t>erry=err FWHM</t>
  </si>
  <si>
    <t xml:space="preserve">errytot </t>
  </si>
  <si>
    <t>peak</t>
  </si>
  <si>
    <t>number of gamma every 100</t>
  </si>
  <si>
    <t>gamma emitted</t>
  </si>
  <si>
    <t>ACTIVITY</t>
  </si>
  <si>
    <t>detecting time</t>
  </si>
  <si>
    <t>(s)</t>
  </si>
  <si>
    <t>(Bq)</t>
  </si>
  <si>
    <t>Area</t>
  </si>
  <si>
    <t>efficiency</t>
  </si>
  <si>
    <t>b first fit</t>
  </si>
  <si>
    <t>error on y (E=y, eff=x)</t>
  </si>
  <si>
    <t>E err</t>
  </si>
  <si>
    <t>eff err</t>
  </si>
  <si>
    <t>error on N emmitted</t>
  </si>
  <si>
    <t>error</t>
  </si>
  <si>
    <t>err Area</t>
  </si>
  <si>
    <t>no err</t>
  </si>
  <si>
    <t>rel error gamma emitted %</t>
  </si>
  <si>
    <t>tot error y=E</t>
  </si>
  <si>
    <t>tot error y=eff</t>
  </si>
  <si>
    <t>relative err</t>
  </si>
  <si>
    <t>LABr</t>
  </si>
  <si>
    <t>Am</t>
  </si>
  <si>
    <t>data for plot</t>
  </si>
  <si>
    <t>x=Energy</t>
  </si>
  <si>
    <t>y=efficiency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</si>
</sst>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C739-6DFA-40E7-B7A2-C494AFA60681}">
  <dimension ref="A1:K20"/>
  <sheetViews>
    <sheetView workbookViewId="0">
      <selection activeCell="B16" activeCellId="1" sqref="B14 B16"/>
    </sheetView>
  </sheetViews>
  <sheetFormatPr defaultRowHeight="14.4" x14ac:dyDescent="0.55000000000000004"/>
  <sheetData>
    <row r="1" spans="1:11" x14ac:dyDescent="0.55000000000000004">
      <c r="A1" t="s">
        <v>5</v>
      </c>
    </row>
    <row r="2" spans="1:11" x14ac:dyDescent="0.55000000000000004">
      <c r="A2" t="s">
        <v>4</v>
      </c>
      <c r="B2" t="s">
        <v>0</v>
      </c>
      <c r="C2" t="s">
        <v>1</v>
      </c>
      <c r="D2" t="s">
        <v>2</v>
      </c>
      <c r="E2" t="s">
        <v>3</v>
      </c>
      <c r="H2" t="s">
        <v>11</v>
      </c>
      <c r="I2">
        <v>5.5E-2</v>
      </c>
      <c r="K2">
        <f>I2+I3*4995</f>
        <v>1212.8409999999999</v>
      </c>
    </row>
    <row r="3" spans="1:11" x14ac:dyDescent="0.55000000000000004">
      <c r="A3">
        <v>121</v>
      </c>
      <c r="B3">
        <v>2.9999999999999997E-4</v>
      </c>
      <c r="C3">
        <v>6.4000000000000003E-3</v>
      </c>
      <c r="D3">
        <f>SQRT(B3^2+C3^2*$E$3^2)</f>
        <v>1.5826517964892214E-3</v>
      </c>
      <c r="E3">
        <v>0.24280599999999999</v>
      </c>
      <c r="H3" s="1" t="s">
        <v>3</v>
      </c>
      <c r="I3">
        <v>0.24279999999999999</v>
      </c>
    </row>
    <row r="4" spans="1:11" x14ac:dyDescent="0.55000000000000004">
      <c r="A4">
        <v>344</v>
      </c>
      <c r="B4">
        <v>1.1999999999999999E-3</v>
      </c>
      <c r="C4">
        <v>8.9999999999999993E-3</v>
      </c>
      <c r="D4">
        <f t="shared" ref="D4:D20" si="0">SQRT(B4^2+C4^2*$E$3^2)</f>
        <v>2.4930573688778201E-3</v>
      </c>
    </row>
    <row r="5" spans="1:11" x14ac:dyDescent="0.55000000000000004">
      <c r="A5">
        <v>411</v>
      </c>
      <c r="B5">
        <v>1.1999999999999999E-3</v>
      </c>
      <c r="C5">
        <v>4.4299999999999999E-2</v>
      </c>
      <c r="D5">
        <f t="shared" si="0"/>
        <v>1.0823036286694858E-2</v>
      </c>
    </row>
    <row r="6" spans="1:11" x14ac:dyDescent="0.55000000000000004">
      <c r="A6">
        <v>443</v>
      </c>
      <c r="B6">
        <v>3.0000000000000001E-3</v>
      </c>
      <c r="C6">
        <v>3.73E-2</v>
      </c>
      <c r="D6">
        <f t="shared" si="0"/>
        <v>9.5406058081355834E-3</v>
      </c>
    </row>
    <row r="7" spans="1:11" x14ac:dyDescent="0.55000000000000004">
      <c r="A7">
        <v>244</v>
      </c>
      <c r="B7">
        <v>8.0000000000000004E-4</v>
      </c>
      <c r="C7">
        <v>1.67E-2</v>
      </c>
      <c r="D7">
        <f t="shared" si="0"/>
        <v>4.1330244666036081E-3</v>
      </c>
    </row>
    <row r="8" spans="1:11" x14ac:dyDescent="0.55000000000000004">
      <c r="A8">
        <v>295</v>
      </c>
      <c r="B8">
        <v>1.6999999999999999E-3</v>
      </c>
      <c r="C8">
        <v>0.1043</v>
      </c>
      <c r="D8">
        <f t="shared" si="0"/>
        <v>2.5381660660439252E-2</v>
      </c>
    </row>
    <row r="9" spans="1:11" x14ac:dyDescent="0.55000000000000004">
      <c r="A9">
        <v>351</v>
      </c>
      <c r="B9">
        <v>0.04</v>
      </c>
      <c r="C9">
        <v>0.1036</v>
      </c>
      <c r="D9">
        <f t="shared" si="0"/>
        <v>4.7252079452496501E-2</v>
      </c>
    </row>
    <row r="10" spans="1:11" x14ac:dyDescent="0.55000000000000004">
      <c r="A10">
        <v>367</v>
      </c>
      <c r="B10">
        <v>2E-3</v>
      </c>
      <c r="C10">
        <v>9.1899999999999996E-2</v>
      </c>
      <c r="D10">
        <f t="shared" si="0"/>
        <v>2.2403322451273557E-2</v>
      </c>
    </row>
    <row r="11" spans="1:11" x14ac:dyDescent="0.55000000000000004">
      <c r="A11">
        <v>778</v>
      </c>
      <c r="B11">
        <v>2.3999999999999998E-3</v>
      </c>
      <c r="C11">
        <v>2.12E-2</v>
      </c>
      <c r="D11">
        <f t="shared" si="0"/>
        <v>5.6794915682800194E-3</v>
      </c>
    </row>
    <row r="12" spans="1:11" x14ac:dyDescent="0.55000000000000004">
      <c r="A12">
        <v>867</v>
      </c>
      <c r="B12">
        <v>3.0000000000000001E-3</v>
      </c>
      <c r="C12">
        <v>4.5600000000000002E-2</v>
      </c>
      <c r="D12">
        <f t="shared" si="0"/>
        <v>1.147118810413956E-2</v>
      </c>
    </row>
    <row r="13" spans="1:11" x14ac:dyDescent="0.55000000000000004">
      <c r="A13">
        <v>964</v>
      </c>
      <c r="B13">
        <v>1.7999999999999999E-2</v>
      </c>
      <c r="C13">
        <v>2.1700000000000001E-2</v>
      </c>
      <c r="D13">
        <f t="shared" si="0"/>
        <v>1.8755298023216158E-2</v>
      </c>
    </row>
    <row r="14" spans="1:11" x14ac:dyDescent="0.55000000000000004">
      <c r="A14">
        <v>1112</v>
      </c>
      <c r="B14">
        <v>3.0000000000000001E-3</v>
      </c>
      <c r="C14">
        <v>2.53E-2</v>
      </c>
      <c r="D14">
        <f t="shared" si="0"/>
        <v>6.8363987782214131E-3</v>
      </c>
    </row>
    <row r="15" spans="1:11" x14ac:dyDescent="0.55000000000000004">
      <c r="A15">
        <v>1085</v>
      </c>
      <c r="B15">
        <v>0.01</v>
      </c>
      <c r="C15">
        <v>3.0300000000000001E-2</v>
      </c>
      <c r="D15">
        <f t="shared" si="0"/>
        <v>1.2414740020059834E-2</v>
      </c>
    </row>
    <row r="16" spans="1:11" x14ac:dyDescent="0.55000000000000004">
      <c r="A16">
        <v>1408</v>
      </c>
      <c r="B16">
        <v>3.0000000000000001E-3</v>
      </c>
      <c r="C16">
        <v>2.1999999999999999E-2</v>
      </c>
      <c r="D16">
        <f t="shared" si="0"/>
        <v>6.1265080396441162E-3</v>
      </c>
    </row>
    <row r="17" spans="1:4" x14ac:dyDescent="0.55000000000000004">
      <c r="A17">
        <v>1212</v>
      </c>
      <c r="B17">
        <v>1.0999999999999999E-2</v>
      </c>
      <c r="C17">
        <v>0.115</v>
      </c>
      <c r="D17">
        <f t="shared" si="0"/>
        <v>3.0011274828572344E-2</v>
      </c>
    </row>
    <row r="18" spans="1:4" x14ac:dyDescent="0.55000000000000004">
      <c r="A18">
        <v>1299</v>
      </c>
      <c r="B18">
        <v>8.0000000000000002E-3</v>
      </c>
      <c r="C18">
        <v>9.0999999999999998E-2</v>
      </c>
      <c r="D18">
        <f t="shared" si="0"/>
        <v>2.3499027955635014E-2</v>
      </c>
    </row>
    <row r="19" spans="1:4" x14ac:dyDescent="0.55000000000000004">
      <c r="A19">
        <v>586</v>
      </c>
      <c r="B19">
        <v>3.0000000000000001E-3</v>
      </c>
      <c r="C19">
        <v>0.1164</v>
      </c>
      <c r="D19">
        <f t="shared" si="0"/>
        <v>2.8421393330095881E-2</v>
      </c>
    </row>
    <row r="20" spans="1:4" x14ac:dyDescent="0.55000000000000004">
      <c r="A20">
        <v>59</v>
      </c>
      <c r="B20">
        <v>1E-4</v>
      </c>
      <c r="C20">
        <v>3.5000000000000001E-3</v>
      </c>
      <c r="D20">
        <f t="shared" si="0"/>
        <v>8.5568436472860713E-4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BCFB-CAC6-4E57-A2BE-F4D91D25472C}">
  <dimension ref="A1:F10"/>
  <sheetViews>
    <sheetView workbookViewId="0">
      <selection activeCell="E12" sqref="E12"/>
    </sheetView>
  </sheetViews>
  <sheetFormatPr defaultRowHeight="14.4" x14ac:dyDescent="0.55000000000000004"/>
  <sheetData>
    <row r="1" spans="1:6" x14ac:dyDescent="0.55000000000000004">
      <c r="A1" t="s">
        <v>6</v>
      </c>
    </row>
    <row r="2" spans="1:6" x14ac:dyDescent="0.55000000000000004">
      <c r="A2" t="s">
        <v>4</v>
      </c>
      <c r="B2" t="s">
        <v>19</v>
      </c>
      <c r="C2" t="s">
        <v>0</v>
      </c>
      <c r="D2" t="s">
        <v>1</v>
      </c>
      <c r="E2" t="s">
        <v>2</v>
      </c>
      <c r="F2" t="s">
        <v>3</v>
      </c>
    </row>
    <row r="3" spans="1:6" x14ac:dyDescent="0.55000000000000004">
      <c r="A3">
        <v>121</v>
      </c>
      <c r="B3">
        <v>343</v>
      </c>
      <c r="C3">
        <v>2.9999999999999997E-4</v>
      </c>
      <c r="D3">
        <v>7.7000000000000002E-3</v>
      </c>
      <c r="E3">
        <f>SQRT(C3^2+$F$3^2*D3^2)</f>
        <v>2.6736766669540955E-3</v>
      </c>
      <c r="F3">
        <v>0.34503800000000001</v>
      </c>
    </row>
    <row r="4" spans="1:6" x14ac:dyDescent="0.55000000000000004">
      <c r="A4">
        <v>244</v>
      </c>
      <c r="B4">
        <v>699</v>
      </c>
      <c r="C4">
        <v>8.0000000000000004E-4</v>
      </c>
      <c r="D4">
        <v>4.9099999999999998E-2</v>
      </c>
      <c r="E4">
        <f>SQRT(C4^2+$F$3^2*D4^2)</f>
        <v>1.6960243959607706E-2</v>
      </c>
    </row>
    <row r="5" spans="1:6" x14ac:dyDescent="0.55000000000000004">
      <c r="A5">
        <v>344</v>
      </c>
      <c r="B5">
        <v>983</v>
      </c>
      <c r="C5">
        <v>1.1999999999999999E-3</v>
      </c>
      <c r="D5">
        <v>2.6200000000000001E-2</v>
      </c>
      <c r="E5">
        <f>SQRT(C5^2+$F$3^2*D5^2)</f>
        <v>9.1192938568739716E-3</v>
      </c>
    </row>
    <row r="6" spans="1:6" x14ac:dyDescent="0.55000000000000004">
      <c r="A6">
        <v>411</v>
      </c>
      <c r="B6">
        <v>1175</v>
      </c>
      <c r="C6">
        <v>1.1999999999999999E-3</v>
      </c>
      <c r="D6">
        <v>0.15759999999999999</v>
      </c>
      <c r="E6">
        <f>SQRT(C6^2+$F$3^2*D6^2)</f>
        <v>5.4391227839909309E-2</v>
      </c>
    </row>
    <row r="7" spans="1:6" x14ac:dyDescent="0.55000000000000004">
      <c r="A7">
        <v>443</v>
      </c>
      <c r="B7">
        <v>1268</v>
      </c>
      <c r="C7">
        <v>3.0000000000000001E-3</v>
      </c>
      <c r="D7">
        <v>0.13070000000000001</v>
      </c>
      <c r="E7">
        <f t="shared" ref="E7:E10" si="0">SQRT(C7^2+$F$3^2*D7^2)</f>
        <v>4.5196142532354634E-2</v>
      </c>
    </row>
    <row r="8" spans="1:6" x14ac:dyDescent="0.55000000000000004">
      <c r="A8">
        <v>778</v>
      </c>
      <c r="B8">
        <v>2222</v>
      </c>
      <c r="C8">
        <v>2.3999999999999998E-3</v>
      </c>
      <c r="D8">
        <v>8.3099999999999993E-2</v>
      </c>
      <c r="E8">
        <f t="shared" si="0"/>
        <v>2.8772926603248074E-2</v>
      </c>
    </row>
    <row r="9" spans="1:6" x14ac:dyDescent="0.55000000000000004">
      <c r="A9">
        <v>867</v>
      </c>
      <c r="B9">
        <v>2473</v>
      </c>
      <c r="C9">
        <v>3.0000000000000001E-3</v>
      </c>
      <c r="D9">
        <v>0.20549999999999999</v>
      </c>
      <c r="E9">
        <f t="shared" si="0"/>
        <v>7.0968745546088674E-2</v>
      </c>
    </row>
    <row r="10" spans="1:6" x14ac:dyDescent="0.55000000000000004">
      <c r="A10">
        <v>964</v>
      </c>
      <c r="B10">
        <v>2747</v>
      </c>
      <c r="C10">
        <v>1.7999999999999999E-2</v>
      </c>
      <c r="D10">
        <v>9.11E-2</v>
      </c>
      <c r="E10">
        <f t="shared" si="0"/>
        <v>3.6221969680295674E-2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2D84-175E-4802-96EB-62C2C08E65BD}">
  <dimension ref="A1:Q20"/>
  <sheetViews>
    <sheetView workbookViewId="0">
      <selection activeCell="E3" sqref="E3"/>
    </sheetView>
  </sheetViews>
  <sheetFormatPr defaultRowHeight="14.4" x14ac:dyDescent="0.55000000000000004"/>
  <cols>
    <col min="3" max="3" width="11.578125" bestFit="1" customWidth="1"/>
    <col min="8" max="8" width="16.05078125" customWidth="1"/>
    <col min="9" max="9" width="10.578125" bestFit="1" customWidth="1"/>
    <col min="14" max="14" width="12.62890625" customWidth="1"/>
  </cols>
  <sheetData>
    <row r="1" spans="1:17" x14ac:dyDescent="0.55000000000000004">
      <c r="A1" t="s">
        <v>5</v>
      </c>
    </row>
    <row r="2" spans="1:17" x14ac:dyDescent="0.55000000000000004">
      <c r="A2" t="s">
        <v>8</v>
      </c>
      <c r="B2" t="s">
        <v>9</v>
      </c>
      <c r="C2" t="s">
        <v>1</v>
      </c>
      <c r="D2" t="s">
        <v>0</v>
      </c>
      <c r="E2" t="s">
        <v>3</v>
      </c>
      <c r="F2" t="s">
        <v>28</v>
      </c>
      <c r="H2" t="s">
        <v>10</v>
      </c>
      <c r="I2" t="s">
        <v>16</v>
      </c>
      <c r="M2" t="s">
        <v>14</v>
      </c>
      <c r="N2" t="s">
        <v>15</v>
      </c>
      <c r="O2" t="s">
        <v>25</v>
      </c>
    </row>
    <row r="3" spans="1:17" x14ac:dyDescent="0.55000000000000004">
      <c r="A3">
        <v>2.9999999999999997E-4</v>
      </c>
      <c r="B3" s="2">
        <v>121.7817</v>
      </c>
      <c r="C3">
        <f>1/SQRT(B3)/2*A3</f>
        <v>1.3592528207418805E-5</v>
      </c>
      <c r="D3">
        <v>1.26E-2</v>
      </c>
      <c r="E3">
        <f>1.787</f>
        <v>1.7869999999999999</v>
      </c>
      <c r="F3">
        <f>SQRT(O3^2+$E$3^2*A3^2)</f>
        <v>3.2037459299163037E-3</v>
      </c>
      <c r="H3" t="s">
        <v>11</v>
      </c>
      <c r="I3">
        <f>0.0549097</f>
        <v>5.4909699999999999E-2</v>
      </c>
      <c r="M3">
        <v>7.5446999999999997</v>
      </c>
      <c r="N3">
        <f>$I$3+$I$4*M3</f>
        <v>1.8869590221999999</v>
      </c>
      <c r="O3">
        <f>SQRT($I$5^2+$I$4^2*D3^2+$I$6^2*M3)</f>
        <v>3.1585732179981647E-3</v>
      </c>
      <c r="Q3">
        <f>SQRT(O3^2+I4^2*A3^2)</f>
        <v>3.1594131694699444E-3</v>
      </c>
    </row>
    <row r="4" spans="1:17" x14ac:dyDescent="0.55000000000000004">
      <c r="A4">
        <v>1.1999999999999999E-3</v>
      </c>
      <c r="B4" s="2">
        <v>244.69739999999999</v>
      </c>
      <c r="C4">
        <f t="shared" ref="C4:C20" si="0">1/SQRT(B4)/2*A4</f>
        <v>3.8356288183378009E-5</v>
      </c>
      <c r="D4">
        <v>3.3500000000000002E-2</v>
      </c>
      <c r="F4">
        <f>SQRT(O4^2+$E$3^2*A4^2)</f>
        <v>8.4490656195056139E-3</v>
      </c>
      <c r="H4" t="s">
        <v>3</v>
      </c>
      <c r="I4">
        <f>0.242826</f>
        <v>0.24282599999999999</v>
      </c>
      <c r="M4">
        <v>7.7319000000000004</v>
      </c>
      <c r="N4">
        <f t="shared" ref="N4:N17" si="1">$I$3+$I$4*M4</f>
        <v>1.9324160494</v>
      </c>
      <c r="O4">
        <f>SQRT($I$5^2+$I$4^2*D4^2+$I$6^2*M4)</f>
        <v>8.1724083649014866E-3</v>
      </c>
      <c r="Q4">
        <f>SQRT(O4^2+I5^2*A4^2)</f>
        <v>8.1724084191174742E-3</v>
      </c>
    </row>
    <row r="5" spans="1:17" x14ac:dyDescent="0.55000000000000004">
      <c r="A5">
        <v>1.1999999999999999E-3</v>
      </c>
      <c r="B5">
        <v>295.93869999999998</v>
      </c>
      <c r="C5">
        <f t="shared" si="0"/>
        <v>3.4877903322770804E-5</v>
      </c>
      <c r="D5">
        <v>0.23250000000000001</v>
      </c>
      <c r="F5">
        <f t="shared" ref="F5:F8" si="2">SQRT(A5^2+$E$3^2*O5^2)</f>
        <v>7.6883312080135748E-3</v>
      </c>
      <c r="H5" t="s">
        <v>12</v>
      </c>
      <c r="I5">
        <f>0.000784463</f>
        <v>7.84463E-4</v>
      </c>
      <c r="J5" s="1"/>
      <c r="M5">
        <v>7.9531999999999998</v>
      </c>
      <c r="N5">
        <f t="shared" si="1"/>
        <v>1.9861534431999999</v>
      </c>
      <c r="O5">
        <f>SQRT($I$5^2+$I$4^2*D6^2+$I$6^2*M5)</f>
        <v>4.2496392814242497E-3</v>
      </c>
      <c r="Q5">
        <f>SQRT(O5^2+I6^2*A6^2)</f>
        <v>4.2496392814247988E-3</v>
      </c>
    </row>
    <row r="6" spans="1:17" x14ac:dyDescent="0.55000000000000004">
      <c r="A6">
        <v>3.0000000000000001E-3</v>
      </c>
      <c r="B6" s="2">
        <v>344.27850000000001</v>
      </c>
      <c r="C6">
        <f t="shared" si="0"/>
        <v>8.0841862019542506E-5</v>
      </c>
      <c r="D6">
        <v>1.72E-2</v>
      </c>
      <c r="F6">
        <f>SQRT(O5^2+$E$3^2*A6^2)</f>
        <v>6.8410346455944817E-3</v>
      </c>
      <c r="H6" t="s">
        <v>13</v>
      </c>
      <c r="I6">
        <f>0.00000071981</f>
        <v>7.1981000000000004E-7</v>
      </c>
      <c r="M6">
        <v>8.2234999999999996</v>
      </c>
      <c r="N6">
        <f t="shared" si="1"/>
        <v>2.0517893109999998</v>
      </c>
      <c r="O6">
        <f>SQRT($I$5^2+$I$4^2*D9^2+$I$6^2*M6)</f>
        <v>2.3251685126099243E-2</v>
      </c>
      <c r="Q6">
        <f>SQRT(O6^2+I7^2*A6^2)</f>
        <v>2.3251685126099243E-2</v>
      </c>
    </row>
    <row r="7" spans="1:17" x14ac:dyDescent="0.55000000000000004">
      <c r="A7">
        <v>8.0000000000000004E-4</v>
      </c>
      <c r="B7">
        <v>351.66</v>
      </c>
      <c r="C7">
        <f t="shared" si="0"/>
        <v>2.1330375726279161E-5</v>
      </c>
      <c r="D7">
        <v>0.23050000000000001</v>
      </c>
      <c r="F7">
        <f t="shared" si="2"/>
        <v>3.3711633808344889E-2</v>
      </c>
      <c r="M7">
        <v>8.2491000000000003</v>
      </c>
      <c r="N7">
        <f>$I$3+$I$4*M7</f>
        <v>2.0580056566000002</v>
      </c>
      <c r="O7">
        <f t="shared" ref="O7:O16" si="3">SQRT($I$5^2+$I$4^2*D10^2+$I$6^2*M7)</f>
        <v>1.8859619585628221E-2</v>
      </c>
      <c r="Q7">
        <f>SQRT(O7^2+I8^2*A9^2)</f>
        <v>1.8859619585628221E-2</v>
      </c>
    </row>
    <row r="8" spans="1:17" x14ac:dyDescent="0.55000000000000004">
      <c r="A8">
        <v>1.6999999999999999E-3</v>
      </c>
      <c r="B8">
        <v>367.78910000000002</v>
      </c>
      <c r="C8">
        <f t="shared" si="0"/>
        <v>4.4322015232585315E-5</v>
      </c>
      <c r="D8">
        <v>0.20480000000000001</v>
      </c>
      <c r="F8">
        <f t="shared" si="2"/>
        <v>1.7539551885956708E-2</v>
      </c>
      <c r="M8">
        <v>8.8544999999999998</v>
      </c>
      <c r="N8">
        <f t="shared" si="1"/>
        <v>2.2050125170000001</v>
      </c>
      <c r="O8">
        <f t="shared" si="3"/>
        <v>9.7688708765440377E-3</v>
      </c>
      <c r="Q8">
        <f t="shared" ref="Q8:Q17" si="4">SQRT(O8^2+I9^2*A10^2)</f>
        <v>9.7688708765440377E-3</v>
      </c>
    </row>
    <row r="9" spans="1:17" x14ac:dyDescent="0.55000000000000004">
      <c r="A9">
        <v>0.04</v>
      </c>
      <c r="B9" s="2">
        <v>411.11649999999997</v>
      </c>
      <c r="C9">
        <f t="shared" si="0"/>
        <v>9.8638745901660448E-4</v>
      </c>
      <c r="D9">
        <v>9.5699999999999993E-2</v>
      </c>
      <c r="F9">
        <f>SQRT(O6^2+$E$3^2*A9^2)</f>
        <v>7.5166689838007797E-2</v>
      </c>
      <c r="M9">
        <v>9.0367999999999995</v>
      </c>
      <c r="N9">
        <f t="shared" si="1"/>
        <v>2.2492796968</v>
      </c>
      <c r="O9">
        <f t="shared" si="3"/>
        <v>2.2814851929696671E-2</v>
      </c>
      <c r="Q9">
        <f t="shared" si="4"/>
        <v>2.2814851929696671E-2</v>
      </c>
    </row>
    <row r="10" spans="1:17" x14ac:dyDescent="0.55000000000000004">
      <c r="A10">
        <v>2E-3</v>
      </c>
      <c r="B10" s="2">
        <v>443.96499999999997</v>
      </c>
      <c r="C10">
        <f t="shared" si="0"/>
        <v>4.7459770423550172E-5</v>
      </c>
      <c r="D10">
        <v>7.7600000000000002E-2</v>
      </c>
      <c r="F10">
        <f t="shared" ref="F10:F19" si="5">SQRT(O7^2+$E$3^2*A10^2)</f>
        <v>1.9195278766264676E-2</v>
      </c>
      <c r="H10" t="s">
        <v>17</v>
      </c>
      <c r="M10">
        <v>9.4892000000000003</v>
      </c>
      <c r="N10">
        <f t="shared" si="1"/>
        <v>2.3591341791999998</v>
      </c>
      <c r="O10">
        <f t="shared" si="3"/>
        <v>9.8898965993422655E-3</v>
      </c>
      <c r="Q10">
        <f t="shared" si="4"/>
        <v>1.1247431625632657E-2</v>
      </c>
    </row>
    <row r="11" spans="1:17" x14ac:dyDescent="0.55000000000000004">
      <c r="A11">
        <v>2.3999999999999998E-3</v>
      </c>
      <c r="B11" s="2">
        <v>778.90449999999998</v>
      </c>
      <c r="C11">
        <f t="shared" si="0"/>
        <v>4.2997097487830642E-5</v>
      </c>
      <c r="D11">
        <v>4.0099999999999997E-2</v>
      </c>
      <c r="F11">
        <f t="shared" si="5"/>
        <v>1.0668863277903147E-2</v>
      </c>
      <c r="H11" t="s">
        <v>3</v>
      </c>
      <c r="I11">
        <f>1.78558</f>
        <v>1.7855799999999999</v>
      </c>
      <c r="M11">
        <v>9.9961000000000002</v>
      </c>
      <c r="N11">
        <f t="shared" si="1"/>
        <v>2.4822226785999999</v>
      </c>
      <c r="O11">
        <f t="shared" si="3"/>
        <v>1.1851616868585445E-2</v>
      </c>
      <c r="Q11">
        <f t="shared" si="4"/>
        <v>1.1885117545080615E-2</v>
      </c>
    </row>
    <row r="12" spans="1:17" x14ac:dyDescent="0.55000000000000004">
      <c r="A12">
        <v>3.0000000000000001E-3</v>
      </c>
      <c r="B12" s="2">
        <v>867.38</v>
      </c>
      <c r="C12">
        <f t="shared" si="0"/>
        <v>5.0931510572207814E-5</v>
      </c>
      <c r="D12">
        <v>9.3899999999999997E-2</v>
      </c>
      <c r="F12">
        <f t="shared" si="5"/>
        <v>2.3436249477550453E-2</v>
      </c>
      <c r="H12" t="s">
        <v>18</v>
      </c>
      <c r="I12">
        <f>0.049541</f>
        <v>4.9541000000000002E-2</v>
      </c>
      <c r="M12">
        <v>9.7712000000000003</v>
      </c>
      <c r="N12">
        <f t="shared" si="1"/>
        <v>2.4276111112000001</v>
      </c>
      <c r="O12">
        <f t="shared" si="3"/>
        <v>1.3305727231566219E-2</v>
      </c>
      <c r="Q12">
        <f t="shared" si="4"/>
        <v>1.3305727231566219E-2</v>
      </c>
    </row>
    <row r="13" spans="1:17" x14ac:dyDescent="0.55000000000000004">
      <c r="A13">
        <v>1.7999999999999999E-2</v>
      </c>
      <c r="B13" s="2">
        <v>964.07899999999995</v>
      </c>
      <c r="C13">
        <f t="shared" si="0"/>
        <v>2.898586051372805E-4</v>
      </c>
      <c r="D13">
        <v>4.0599999999999997E-2</v>
      </c>
      <c r="F13">
        <f t="shared" si="5"/>
        <v>3.3652066960971082E-2</v>
      </c>
      <c r="M13">
        <v>10.527900000000001</v>
      </c>
      <c r="N13">
        <f t="shared" si="1"/>
        <v>2.6113575454000002</v>
      </c>
      <c r="O13">
        <f t="shared" si="3"/>
        <v>9.7204633433395065E-3</v>
      </c>
      <c r="Q13">
        <f t="shared" si="4"/>
        <v>9.7204633433395065E-3</v>
      </c>
    </row>
    <row r="14" spans="1:17" x14ac:dyDescent="0.55000000000000004">
      <c r="A14">
        <v>3.0000000000000001E-3</v>
      </c>
      <c r="B14" s="2">
        <v>1112.076</v>
      </c>
      <c r="C14">
        <f t="shared" si="0"/>
        <v>4.4980473716548491E-5</v>
      </c>
      <c r="D14">
        <v>4.87E-2</v>
      </c>
      <c r="F14">
        <f t="shared" si="5"/>
        <v>1.3007733984047301E-2</v>
      </c>
      <c r="M14">
        <v>10.335100000000001</v>
      </c>
      <c r="N14">
        <f t="shared" si="1"/>
        <v>2.5645406926000001</v>
      </c>
      <c r="O14">
        <f t="shared" si="3"/>
        <v>5.745798695846014E-2</v>
      </c>
      <c r="Q14">
        <f t="shared" si="4"/>
        <v>5.745798695846014E-2</v>
      </c>
    </row>
    <row r="15" spans="1:17" x14ac:dyDescent="0.55000000000000004">
      <c r="A15">
        <v>0.01</v>
      </c>
      <c r="B15" s="2">
        <v>1085.8367000000001</v>
      </c>
      <c r="C15">
        <f t="shared" si="0"/>
        <v>1.5173569080825677E-4</v>
      </c>
      <c r="D15">
        <v>5.4699999999999999E-2</v>
      </c>
      <c r="F15">
        <f t="shared" si="5"/>
        <v>2.2279570847770897E-2</v>
      </c>
      <c r="M15">
        <v>9.8543000000000003</v>
      </c>
      <c r="N15">
        <f t="shared" si="1"/>
        <v>2.4477899517999999</v>
      </c>
      <c r="O15">
        <f t="shared" si="3"/>
        <v>4.4346966467537607E-2</v>
      </c>
      <c r="Q15">
        <f t="shared" si="4"/>
        <v>4.4346966467537607E-2</v>
      </c>
    </row>
    <row r="16" spans="1:17" x14ac:dyDescent="0.55000000000000004">
      <c r="A16">
        <v>3.0000000000000001E-3</v>
      </c>
      <c r="B16" s="2">
        <v>1408.0129999999999</v>
      </c>
      <c r="C16">
        <f t="shared" si="0"/>
        <v>3.9974949773655814E-5</v>
      </c>
      <c r="D16">
        <v>3.9899999999999998E-2</v>
      </c>
      <c r="F16">
        <f t="shared" si="5"/>
        <v>1.1100798557275375E-2</v>
      </c>
      <c r="M16">
        <v>8.4524000000000008</v>
      </c>
      <c r="N16">
        <f t="shared" si="1"/>
        <v>2.1073721824000002</v>
      </c>
      <c r="O16">
        <f t="shared" si="3"/>
        <v>4.8668653017486983E-2</v>
      </c>
      <c r="Q16">
        <f t="shared" si="4"/>
        <v>4.8668653017486983E-2</v>
      </c>
    </row>
    <row r="17" spans="1:17" x14ac:dyDescent="0.55000000000000004">
      <c r="A17">
        <v>1.0999999999999999E-2</v>
      </c>
      <c r="B17" s="2">
        <v>1212.9480000000001</v>
      </c>
      <c r="C17">
        <f t="shared" si="0"/>
        <v>1.579216227915466E-4</v>
      </c>
      <c r="D17">
        <v>0.2366</v>
      </c>
      <c r="F17">
        <f t="shared" si="5"/>
        <v>6.0727406616111763E-2</v>
      </c>
      <c r="M17">
        <v>7.2859999999999996</v>
      </c>
      <c r="N17">
        <f t="shared" si="1"/>
        <v>1.8241399359999999</v>
      </c>
      <c r="O17">
        <f>SQRT($I$5^2+$I$4^2*D20^2+$I$6^2*M17)</f>
        <v>1.8061840616525916E-3</v>
      </c>
      <c r="Q17">
        <f t="shared" si="4"/>
        <v>1.8061840616525916E-3</v>
      </c>
    </row>
    <row r="18" spans="1:17" x14ac:dyDescent="0.55000000000000004">
      <c r="A18">
        <v>8.0000000000000002E-3</v>
      </c>
      <c r="B18" s="2">
        <v>1299.1420000000001</v>
      </c>
      <c r="C18">
        <f t="shared" si="0"/>
        <v>1.1097666759002498E-4</v>
      </c>
      <c r="D18">
        <v>0.18260000000000001</v>
      </c>
      <c r="F18">
        <f t="shared" si="5"/>
        <v>4.6594302772687834E-2</v>
      </c>
    </row>
    <row r="19" spans="1:17" x14ac:dyDescent="0.55000000000000004">
      <c r="A19">
        <v>3.0000000000000001E-3</v>
      </c>
      <c r="B19" s="2">
        <v>586.26499999999999</v>
      </c>
      <c r="C19">
        <f t="shared" si="0"/>
        <v>6.195042287967617E-5</v>
      </c>
      <c r="D19">
        <v>0.20039999999999999</v>
      </c>
      <c r="F19">
        <f t="shared" si="5"/>
        <v>4.8963027965359181E-2</v>
      </c>
    </row>
    <row r="20" spans="1:17" x14ac:dyDescent="0.55000000000000004">
      <c r="A20">
        <v>1E-4</v>
      </c>
      <c r="B20" s="2">
        <v>59.540900000000001</v>
      </c>
      <c r="C20">
        <f t="shared" si="0"/>
        <v>6.4798105235722533E-6</v>
      </c>
      <c r="D20">
        <v>6.7000000000000002E-3</v>
      </c>
      <c r="F20">
        <f>SQRT(O17^2+$E$3^2*A20^2)</f>
        <v>1.8150026321104476E-3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2420-8E81-4481-99B2-F65516CA0873}">
  <dimension ref="A1:O8"/>
  <sheetViews>
    <sheetView workbookViewId="0">
      <selection activeCell="I5" sqref="I5"/>
    </sheetView>
  </sheetViews>
  <sheetFormatPr defaultRowHeight="14.4" x14ac:dyDescent="0.55000000000000004"/>
  <cols>
    <col min="9" max="9" width="11.68359375" bestFit="1" customWidth="1"/>
  </cols>
  <sheetData>
    <row r="1" spans="1:15" x14ac:dyDescent="0.55000000000000004">
      <c r="A1" t="s">
        <v>5</v>
      </c>
    </row>
    <row r="2" spans="1:15" x14ac:dyDescent="0.55000000000000004">
      <c r="A2" t="s">
        <v>8</v>
      </c>
      <c r="B2" t="s">
        <v>9</v>
      </c>
      <c r="C2" t="s">
        <v>26</v>
      </c>
      <c r="D2" t="s">
        <v>27</v>
      </c>
      <c r="E2" t="s">
        <v>3</v>
      </c>
      <c r="F2" t="s">
        <v>2</v>
      </c>
      <c r="H2" t="s">
        <v>10</v>
      </c>
      <c r="I2" t="s">
        <v>22</v>
      </c>
      <c r="L2" t="s">
        <v>24</v>
      </c>
      <c r="M2" t="s">
        <v>14</v>
      </c>
      <c r="N2" t="s">
        <v>15</v>
      </c>
      <c r="O2" t="s">
        <v>25</v>
      </c>
    </row>
    <row r="3" spans="1:15" x14ac:dyDescent="0.55000000000000004">
      <c r="A3">
        <v>2.9999999999999997E-4</v>
      </c>
      <c r="B3">
        <v>121.7817</v>
      </c>
      <c r="C3">
        <f t="shared" ref="C3:C8" si="0">A3</f>
        <v>2.9999999999999997E-4</v>
      </c>
      <c r="D3">
        <v>1.2999999999999999E-2</v>
      </c>
      <c r="E3">
        <v>4.5077499999999997</v>
      </c>
      <c r="F3">
        <f>SQRT(D3^2+E3^2*C3^2)</f>
        <v>1.3070148541834749E-2</v>
      </c>
      <c r="H3" t="s">
        <v>11</v>
      </c>
      <c r="I3">
        <v>2.609</v>
      </c>
      <c r="L3">
        <v>0.03</v>
      </c>
      <c r="M3">
        <v>27.371300000000002</v>
      </c>
      <c r="N3">
        <f t="shared" ref="N3:N8" si="1">$I$3+M3*$I$4+M3*M3*$I$5</f>
        <v>12.080554624316223</v>
      </c>
      <c r="O3">
        <f t="shared" ref="O3:O8" si="2">SQRT($I$6^2+($I$4*L3+2*$I$5*M3*L3)^2+M3^4*$I$8^2+$I$7^2*M3^2)</f>
        <v>1.3628657258902815E-2</v>
      </c>
    </row>
    <row r="4" spans="1:15" x14ac:dyDescent="0.55000000000000004">
      <c r="A4">
        <v>3.0000000000000001E-3</v>
      </c>
      <c r="B4">
        <v>344.27850000000001</v>
      </c>
      <c r="C4">
        <f t="shared" si="0"/>
        <v>3.0000000000000001E-3</v>
      </c>
      <c r="D4">
        <f>0.022</f>
        <v>2.1999999999999999E-2</v>
      </c>
      <c r="F4">
        <f t="shared" ref="F4:F8" si="3">SQRT(D4^2+E4^2*C4^2)</f>
        <v>2.1999999999999999E-2</v>
      </c>
      <c r="H4" t="s">
        <v>3</v>
      </c>
      <c r="I4">
        <v>0.34599999999999997</v>
      </c>
      <c r="L4">
        <v>0.05</v>
      </c>
      <c r="M4">
        <v>43.390799999999999</v>
      </c>
      <c r="N4">
        <f t="shared" si="1"/>
        <v>17.624943038687675</v>
      </c>
      <c r="O4">
        <f t="shared" si="2"/>
        <v>1.9447895681653095E-2</v>
      </c>
    </row>
    <row r="5" spans="1:15" x14ac:dyDescent="0.55000000000000004">
      <c r="A5">
        <v>2E-3</v>
      </c>
      <c r="B5">
        <v>443.96499999999997</v>
      </c>
      <c r="C5">
        <f t="shared" si="0"/>
        <v>2E-3</v>
      </c>
      <c r="D5">
        <v>9.6000000000000002E-2</v>
      </c>
      <c r="F5">
        <f t="shared" si="3"/>
        <v>9.6000000000000002E-2</v>
      </c>
      <c r="H5" t="s">
        <v>7</v>
      </c>
      <c r="I5">
        <f>1.448*10^(-6)</f>
        <v>1.4479999999999999E-6</v>
      </c>
      <c r="L5">
        <v>0.20119999999999999</v>
      </c>
      <c r="M5">
        <v>47.663699999999999</v>
      </c>
      <c r="N5">
        <f t="shared" si="1"/>
        <v>19.103929807375057</v>
      </c>
      <c r="O5">
        <f t="shared" si="2"/>
        <v>7.0207692249467213E-2</v>
      </c>
    </row>
    <row r="6" spans="1:15" x14ac:dyDescent="0.55000000000000004">
      <c r="A6">
        <v>2.3999999999999998E-3</v>
      </c>
      <c r="B6">
        <v>778.90449999999998</v>
      </c>
      <c r="C6">
        <f t="shared" si="0"/>
        <v>2.3999999999999998E-3</v>
      </c>
      <c r="D6">
        <f t="shared" ref="D6" si="4">O6</f>
        <v>6.2511848608946083E-2</v>
      </c>
      <c r="F6">
        <f t="shared" si="3"/>
        <v>6.2511848608946083E-2</v>
      </c>
      <c r="H6" t="s">
        <v>20</v>
      </c>
      <c r="I6">
        <v>8.8000000000000005E-3</v>
      </c>
      <c r="L6">
        <v>0.1787</v>
      </c>
      <c r="M6">
        <v>66.944500000000005</v>
      </c>
      <c r="N6">
        <f t="shared" si="1"/>
        <v>25.778286307684201</v>
      </c>
      <c r="O6">
        <f t="shared" si="2"/>
        <v>6.2511848608946083E-2</v>
      </c>
    </row>
    <row r="7" spans="1:15" x14ac:dyDescent="0.55000000000000004">
      <c r="A7">
        <v>3.0000000000000001E-3</v>
      </c>
      <c r="B7">
        <v>867.38</v>
      </c>
      <c r="C7">
        <f t="shared" si="0"/>
        <v>3.0000000000000001E-3</v>
      </c>
      <c r="D7">
        <v>0.16</v>
      </c>
      <c r="F7">
        <f t="shared" si="3"/>
        <v>0.16</v>
      </c>
      <c r="H7" t="s">
        <v>21</v>
      </c>
      <c r="I7">
        <f>2.6*10^-5</f>
        <v>2.6000000000000002E-5</v>
      </c>
      <c r="L7">
        <v>0.47</v>
      </c>
      <c r="M7">
        <v>68.786100000000005</v>
      </c>
      <c r="N7">
        <f t="shared" si="1"/>
        <v>26.415841851897049</v>
      </c>
      <c r="O7">
        <f t="shared" si="2"/>
        <v>0.16296123957499822</v>
      </c>
    </row>
    <row r="8" spans="1:15" x14ac:dyDescent="0.55000000000000004">
      <c r="A8">
        <v>1.7999999999999999E-2</v>
      </c>
      <c r="B8">
        <v>964.07899999999995</v>
      </c>
      <c r="C8">
        <f t="shared" si="0"/>
        <v>1.7999999999999999E-2</v>
      </c>
      <c r="D8">
        <v>0.23</v>
      </c>
      <c r="F8">
        <f t="shared" si="3"/>
        <v>0.23</v>
      </c>
      <c r="G8" s="1"/>
      <c r="H8" t="s">
        <v>23</v>
      </c>
      <c r="I8">
        <f>1.15*10^-8</f>
        <v>1.1499999999999999E-8</v>
      </c>
      <c r="L8">
        <v>0.1946</v>
      </c>
      <c r="M8">
        <v>71.372500000000002</v>
      </c>
      <c r="N8">
        <f t="shared" si="1"/>
        <v>27.311261160879052</v>
      </c>
      <c r="O8">
        <f t="shared" si="2"/>
        <v>6.7969474810629149E-2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1C3C-B6FC-40A6-9D9D-E1B1D875EABE}">
  <dimension ref="A1:N41"/>
  <sheetViews>
    <sheetView tabSelected="1" topLeftCell="A26" workbookViewId="0">
      <selection activeCell="E26" sqref="E26:H41"/>
    </sheetView>
  </sheetViews>
  <sheetFormatPr defaultRowHeight="14.4" x14ac:dyDescent="0.55000000000000004"/>
  <cols>
    <col min="1" max="1" width="17.5234375" customWidth="1"/>
    <col min="2" max="2" width="24.68359375" customWidth="1"/>
    <col min="4" max="6" width="16" customWidth="1"/>
    <col min="8" max="8" width="11.578125" bestFit="1" customWidth="1"/>
    <col min="11" max="11" width="16" customWidth="1"/>
    <col min="14" max="14" width="11.578125" bestFit="1" customWidth="1"/>
  </cols>
  <sheetData>
    <row r="1" spans="1:14" x14ac:dyDescent="0.55000000000000004">
      <c r="A1" t="s">
        <v>29</v>
      </c>
      <c r="B1" t="s">
        <v>30</v>
      </c>
      <c r="C1" t="s">
        <v>24</v>
      </c>
      <c r="D1" t="s">
        <v>31</v>
      </c>
      <c r="E1" t="s">
        <v>42</v>
      </c>
      <c r="F1" t="s">
        <v>49</v>
      </c>
      <c r="G1" t="s">
        <v>36</v>
      </c>
      <c r="H1" t="s">
        <v>44</v>
      </c>
      <c r="I1" t="s">
        <v>37</v>
      </c>
      <c r="J1" t="s">
        <v>40</v>
      </c>
      <c r="K1" t="s">
        <v>41</v>
      </c>
      <c r="L1" t="s">
        <v>39</v>
      </c>
      <c r="M1" t="s">
        <v>47</v>
      </c>
      <c r="N1" t="s">
        <v>48</v>
      </c>
    </row>
    <row r="2" spans="1:14" x14ac:dyDescent="0.55000000000000004">
      <c r="A2">
        <v>121</v>
      </c>
      <c r="B2">
        <v>28.41</v>
      </c>
      <c r="C2">
        <v>0.13</v>
      </c>
      <c r="D2">
        <f>$B$20*B2/100*$B$22</f>
        <v>355622577.74015999</v>
      </c>
      <c r="E2">
        <f>SQRT((D2/$B$20*$E$20)^2+(D2/B2*C2)^2)</f>
        <v>6260759.8314546645</v>
      </c>
      <c r="F2">
        <f>E2/D2*100</f>
        <v>1.7605068472421808</v>
      </c>
      <c r="G2">
        <v>346111.5</v>
      </c>
      <c r="H2" s="3">
        <v>661</v>
      </c>
      <c r="I2">
        <f>G2/D2</f>
        <v>9.7325513525997392E-4</v>
      </c>
      <c r="J2">
        <v>2.9999999999999997E-4</v>
      </c>
      <c r="K2">
        <f>SQRT((1/D2*H2)^2+(G2/D2^2*E2)^2)</f>
        <v>1.7234744523721975E-5</v>
      </c>
      <c r="L2">
        <f>J2</f>
        <v>2.9999999999999997E-4</v>
      </c>
      <c r="N2">
        <f>SQRT(K2^2+$B$23^2*J2^2)</f>
        <v>1.7241065774680654E-5</v>
      </c>
    </row>
    <row r="3" spans="1:14" x14ac:dyDescent="0.55000000000000004">
      <c r="A3">
        <v>244</v>
      </c>
      <c r="B3">
        <v>7.55</v>
      </c>
      <c r="C3">
        <v>0.04</v>
      </c>
      <c r="D3">
        <f t="shared" ref="D3:D17" si="0">$B$20*B3/100*$B$22</f>
        <v>94507232.028800011</v>
      </c>
      <c r="E3">
        <f t="shared" ref="E3:E18" si="1">SQRT((D3/$B$20*$E$20)^2+(D3/B3*C3)^2)</f>
        <v>1682836.3983449521</v>
      </c>
      <c r="F3">
        <f t="shared" ref="F3:F18" si="2">E3/D3*100</f>
        <v>1.7806429859591344</v>
      </c>
      <c r="G3">
        <v>63706.8</v>
      </c>
      <c r="H3">
        <v>304.8</v>
      </c>
      <c r="I3">
        <f t="shared" ref="I3:I18" si="3">G3/D3</f>
        <v>6.7409444369914543E-4</v>
      </c>
      <c r="J3">
        <v>8.0000000000000004E-4</v>
      </c>
      <c r="K3">
        <f t="shared" ref="K3:K18" si="4">SQRT((1/D3*H3)^2+(G3/D3^2*E3)^2)</f>
        <v>1.2428948999622828E-5</v>
      </c>
      <c r="L3">
        <f t="shared" ref="L3:L16" si="5">J3</f>
        <v>8.0000000000000004E-4</v>
      </c>
      <c r="N3">
        <f t="shared" ref="N3:N13" si="6">SQRT(K3^2+$B$23^2*J3^2)</f>
        <v>1.2491136835757797E-5</v>
      </c>
    </row>
    <row r="4" spans="1:14" x14ac:dyDescent="0.55000000000000004">
      <c r="A4">
        <v>344</v>
      </c>
      <c r="B4">
        <v>26.59</v>
      </c>
      <c r="C4">
        <v>0.12</v>
      </c>
      <c r="D4">
        <f>$B$20*B4/100*$B$22</f>
        <v>332840701.93984002</v>
      </c>
      <c r="E4">
        <f t="shared" si="1"/>
        <v>5854278.5310662622</v>
      </c>
      <c r="F4">
        <f t="shared" si="2"/>
        <v>1.758883002273083</v>
      </c>
      <c r="G4">
        <v>173350</v>
      </c>
      <c r="H4">
        <v>437.6</v>
      </c>
      <c r="I4">
        <f t="shared" si="3"/>
        <v>5.2081971642798817E-4</v>
      </c>
      <c r="J4">
        <v>1.1999999999999999E-3</v>
      </c>
      <c r="K4">
        <f t="shared" si="4"/>
        <v>9.2544754068443928E-6</v>
      </c>
      <c r="L4">
        <f t="shared" si="5"/>
        <v>1.1999999999999999E-3</v>
      </c>
      <c r="N4">
        <f t="shared" si="6"/>
        <v>9.4409850671573296E-6</v>
      </c>
    </row>
    <row r="5" spans="1:14" x14ac:dyDescent="0.55000000000000004">
      <c r="A5">
        <v>367</v>
      </c>
      <c r="B5">
        <v>0.86199999999999999</v>
      </c>
      <c r="C5">
        <v>5.0000000000000001E-3</v>
      </c>
      <c r="D5">
        <f>$B$20*B5/100*$B$22</f>
        <v>10790097.219712</v>
      </c>
      <c r="E5">
        <f t="shared" si="1"/>
        <v>193815.3122273646</v>
      </c>
      <c r="F5">
        <f t="shared" si="2"/>
        <v>1.796233233870137</v>
      </c>
      <c r="G5">
        <v>5410.4</v>
      </c>
      <c r="H5">
        <v>133.6</v>
      </c>
      <c r="I5">
        <f t="shared" si="3"/>
        <v>5.0142272954834498E-4</v>
      </c>
      <c r="K5">
        <f t="shared" si="4"/>
        <v>1.5311045427413089E-5</v>
      </c>
    </row>
    <row r="6" spans="1:14" x14ac:dyDescent="0.55000000000000004">
      <c r="A6">
        <v>411</v>
      </c>
      <c r="B6">
        <v>2.238</v>
      </c>
      <c r="C6">
        <v>0.01</v>
      </c>
      <c r="D6">
        <f t="shared" si="0"/>
        <v>28014196.725888003</v>
      </c>
      <c r="E6">
        <f t="shared" si="1"/>
        <v>492417.13432160142</v>
      </c>
      <c r="F6">
        <f t="shared" si="2"/>
        <v>1.7577414021175817</v>
      </c>
      <c r="G6">
        <v>12562.4</v>
      </c>
      <c r="H6">
        <v>154.19999999999999</v>
      </c>
      <c r="I6">
        <f t="shared" si="3"/>
        <v>4.4842977733468433E-4</v>
      </c>
      <c r="J6">
        <v>1.1999999999999999E-3</v>
      </c>
      <c r="K6">
        <f t="shared" si="4"/>
        <v>9.6139239185456172E-6</v>
      </c>
      <c r="L6">
        <f t="shared" si="5"/>
        <v>1.1999999999999999E-3</v>
      </c>
      <c r="N6">
        <f t="shared" si="6"/>
        <v>9.7935906129459748E-6</v>
      </c>
    </row>
    <row r="7" spans="1:14" x14ac:dyDescent="0.55000000000000004">
      <c r="A7">
        <v>443</v>
      </c>
      <c r="B7">
        <f>2.8+0.32</f>
        <v>3.1199999999999997</v>
      </c>
      <c r="C7">
        <f>SQRT(2)*0.02</f>
        <v>2.8284271247461905E-2</v>
      </c>
      <c r="D7">
        <f t="shared" si="0"/>
        <v>39054644.229119994</v>
      </c>
      <c r="E7">
        <f t="shared" si="1"/>
        <v>752430.84870407521</v>
      </c>
      <c r="F7">
        <f t="shared" si="2"/>
        <v>1.926610428941115</v>
      </c>
      <c r="G7">
        <v>16495.3</v>
      </c>
      <c r="H7">
        <v>162.4</v>
      </c>
      <c r="I7">
        <f t="shared" si="3"/>
        <v>4.2236462079203231E-4</v>
      </c>
      <c r="J7">
        <v>3.0000000000000001E-3</v>
      </c>
      <c r="K7">
        <f t="shared" si="4"/>
        <v>9.1382302332285404E-6</v>
      </c>
      <c r="L7">
        <f t="shared" si="5"/>
        <v>3.0000000000000001E-3</v>
      </c>
      <c r="N7">
        <f t="shared" si="6"/>
        <v>1.0261592307507258E-5</v>
      </c>
    </row>
    <row r="8" spans="1:14" x14ac:dyDescent="0.55000000000000004">
      <c r="A8">
        <v>778</v>
      </c>
      <c r="B8">
        <v>12.97</v>
      </c>
      <c r="C8">
        <v>0.06</v>
      </c>
      <c r="D8">
        <f t="shared" si="0"/>
        <v>162352158.86272001</v>
      </c>
      <c r="E8">
        <f t="shared" si="1"/>
        <v>2860350.3225971148</v>
      </c>
      <c r="F8">
        <f t="shared" si="2"/>
        <v>1.7618184708068707</v>
      </c>
      <c r="G8">
        <v>43563.5</v>
      </c>
      <c r="H8">
        <v>225.2</v>
      </c>
      <c r="I8">
        <f t="shared" si="3"/>
        <v>2.6832719875832361E-4</v>
      </c>
      <c r="J8">
        <v>2.3999999999999998E-3</v>
      </c>
      <c r="K8">
        <f t="shared" si="4"/>
        <v>4.9267373011473942E-6</v>
      </c>
      <c r="L8">
        <f t="shared" si="5"/>
        <v>2.3999999999999998E-3</v>
      </c>
      <c r="N8">
        <f t="shared" si="6"/>
        <v>6.1822549578707203E-6</v>
      </c>
    </row>
    <row r="9" spans="1:14" x14ac:dyDescent="0.55000000000000004">
      <c r="A9">
        <v>867</v>
      </c>
      <c r="B9">
        <v>4.2430000000000003</v>
      </c>
      <c r="C9">
        <v>2.3E-2</v>
      </c>
      <c r="D9">
        <f t="shared" si="0"/>
        <v>53111812.648768008</v>
      </c>
      <c r="E9">
        <f t="shared" si="1"/>
        <v>947690.83514960657</v>
      </c>
      <c r="F9">
        <f t="shared" si="2"/>
        <v>1.7843315599427003</v>
      </c>
      <c r="G9">
        <v>12970</v>
      </c>
      <c r="H9">
        <v>138.30000000000001</v>
      </c>
      <c r="I9">
        <f t="shared" si="3"/>
        <v>2.4420179529121861E-4</v>
      </c>
      <c r="K9">
        <f t="shared" si="4"/>
        <v>5.0761379867509463E-6</v>
      </c>
    </row>
    <row r="10" spans="1:14" x14ac:dyDescent="0.55000000000000004">
      <c r="A10">
        <v>964</v>
      </c>
      <c r="B10">
        <v>14.5</v>
      </c>
      <c r="C10">
        <v>0.06</v>
      </c>
      <c r="D10">
        <f t="shared" si="0"/>
        <v>181503955.55200002</v>
      </c>
      <c r="E10">
        <f t="shared" si="1"/>
        <v>3175657.8215768733</v>
      </c>
      <c r="F10">
        <f t="shared" si="2"/>
        <v>1.7496355999068365</v>
      </c>
      <c r="G10">
        <v>41938.400000000001</v>
      </c>
      <c r="H10">
        <v>219.3</v>
      </c>
      <c r="I10">
        <f t="shared" si="3"/>
        <v>2.310605290802318E-4</v>
      </c>
      <c r="J10">
        <v>1.7999999999999999E-2</v>
      </c>
      <c r="K10">
        <f t="shared" si="4"/>
        <v>4.21940781856187E-6</v>
      </c>
      <c r="L10">
        <f t="shared" si="5"/>
        <v>1.7999999999999999E-2</v>
      </c>
      <c r="N10">
        <f t="shared" si="6"/>
        <v>2.8325823878209454E-5</v>
      </c>
    </row>
    <row r="11" spans="1:14" x14ac:dyDescent="0.55000000000000004">
      <c r="A11">
        <v>1085</v>
      </c>
      <c r="B11">
        <v>10.130000000000001</v>
      </c>
      <c r="C11">
        <v>0.06</v>
      </c>
      <c r="D11">
        <f t="shared" si="0"/>
        <v>126802418.60288002</v>
      </c>
      <c r="E11">
        <f t="shared" si="1"/>
        <v>2282732.1354442709</v>
      </c>
      <c r="F11">
        <f t="shared" si="2"/>
        <v>1.8002275986496241</v>
      </c>
      <c r="G11">
        <v>26190</v>
      </c>
      <c r="H11">
        <v>175.7</v>
      </c>
      <c r="I11">
        <f t="shared" si="3"/>
        <v>2.0654180171453889E-4</v>
      </c>
      <c r="J11">
        <v>0.01</v>
      </c>
      <c r="K11">
        <f t="shared" si="4"/>
        <v>3.9680123723772688E-6</v>
      </c>
      <c r="L11">
        <f t="shared" si="5"/>
        <v>0.01</v>
      </c>
      <c r="N11">
        <f t="shared" si="6"/>
        <v>1.6058949006312307E-5</v>
      </c>
    </row>
    <row r="12" spans="1:14" x14ac:dyDescent="0.55000000000000004">
      <c r="A12">
        <v>1089</v>
      </c>
      <c r="B12">
        <v>1.73</v>
      </c>
      <c r="C12">
        <v>0.01</v>
      </c>
      <c r="D12">
        <f t="shared" si="0"/>
        <v>21655299.52448</v>
      </c>
      <c r="E12">
        <f t="shared" si="1"/>
        <v>388839.22563274764</v>
      </c>
      <c r="F12">
        <f t="shared" si="2"/>
        <v>1.7955846105623638</v>
      </c>
      <c r="G12">
        <v>4425.8999999999996</v>
      </c>
      <c r="H12">
        <v>86.6</v>
      </c>
      <c r="I12">
        <f t="shared" si="3"/>
        <v>2.0437953282506153E-4</v>
      </c>
      <c r="K12">
        <f t="shared" si="4"/>
        <v>5.4276750543617213E-6</v>
      </c>
    </row>
    <row r="13" spans="1:14" x14ac:dyDescent="0.55000000000000004">
      <c r="A13">
        <v>1112</v>
      </c>
      <c r="B13">
        <v>13.41</v>
      </c>
      <c r="C13">
        <v>0.06</v>
      </c>
      <c r="D13">
        <f t="shared" si="0"/>
        <v>167859865.10016</v>
      </c>
      <c r="E13">
        <f t="shared" si="1"/>
        <v>2950798.4336674358</v>
      </c>
      <c r="F13">
        <f t="shared" si="2"/>
        <v>1.7578939622683061</v>
      </c>
      <c r="G13">
        <v>34648.1</v>
      </c>
      <c r="H13">
        <v>197.7</v>
      </c>
      <c r="I13">
        <f t="shared" si="3"/>
        <v>2.0641086527339866E-4</v>
      </c>
      <c r="J13">
        <v>3.0000000000000001E-3</v>
      </c>
      <c r="K13">
        <f t="shared" si="4"/>
        <v>3.814844022586069E-6</v>
      </c>
      <c r="L13">
        <f t="shared" si="5"/>
        <v>3.0000000000000001E-3</v>
      </c>
      <c r="N13">
        <f t="shared" si="6"/>
        <v>6.0287693442908114E-6</v>
      </c>
    </row>
    <row r="14" spans="1:14" x14ac:dyDescent="0.55000000000000004">
      <c r="A14">
        <v>1212</v>
      </c>
      <c r="B14">
        <v>1.4159999999999999</v>
      </c>
      <c r="C14">
        <v>8.9999999999999993E-3</v>
      </c>
      <c r="D14">
        <f t="shared" si="0"/>
        <v>17724800.073215999</v>
      </c>
      <c r="E14">
        <f t="shared" si="1"/>
        <v>321693.09664571349</v>
      </c>
      <c r="F14">
        <f t="shared" si="2"/>
        <v>1.8149321589913159</v>
      </c>
      <c r="G14">
        <v>3302.9</v>
      </c>
      <c r="H14">
        <v>79.8</v>
      </c>
      <c r="I14">
        <f t="shared" si="3"/>
        <v>1.8634342764695116E-4</v>
      </c>
      <c r="K14">
        <f t="shared" si="4"/>
        <v>5.6309388727532191E-6</v>
      </c>
    </row>
    <row r="15" spans="1:14" x14ac:dyDescent="0.55000000000000004">
      <c r="A15">
        <v>1299</v>
      </c>
      <c r="B15">
        <v>1.633</v>
      </c>
      <c r="C15">
        <v>8.9999999999999993E-3</v>
      </c>
      <c r="D15">
        <f t="shared" si="0"/>
        <v>20441100.649408001</v>
      </c>
      <c r="E15">
        <f t="shared" si="1"/>
        <v>365304.11334567831</v>
      </c>
      <c r="F15">
        <f t="shared" si="2"/>
        <v>1.7871058883331605</v>
      </c>
      <c r="G15">
        <v>3495.6</v>
      </c>
      <c r="H15">
        <v>72.099999999999994</v>
      </c>
      <c r="I15">
        <f t="shared" si="3"/>
        <v>1.7100840409497404E-4</v>
      </c>
      <c r="K15">
        <f t="shared" si="4"/>
        <v>4.6670061538099491E-6</v>
      </c>
    </row>
    <row r="16" spans="1:14" x14ac:dyDescent="0.55000000000000004">
      <c r="A16">
        <v>1408</v>
      </c>
      <c r="B16">
        <v>20.85</v>
      </c>
      <c r="C16">
        <v>0.08</v>
      </c>
      <c r="D16">
        <f t="shared" si="0"/>
        <v>260990170.56960002</v>
      </c>
      <c r="E16">
        <f t="shared" si="1"/>
        <v>4548438.2386757703</v>
      </c>
      <c r="F16">
        <f t="shared" si="2"/>
        <v>1.7427622767359385</v>
      </c>
      <c r="G16">
        <v>44297.5</v>
      </c>
      <c r="H16" s="3">
        <v>215.7</v>
      </c>
      <c r="I16">
        <f t="shared" si="3"/>
        <v>1.6972861431264856E-4</v>
      </c>
      <c r="J16">
        <v>3.0000000000000001E-3</v>
      </c>
      <c r="K16">
        <f t="shared" si="4"/>
        <v>3.0712560320870118E-6</v>
      </c>
      <c r="L16">
        <f t="shared" si="5"/>
        <v>3.0000000000000001E-3</v>
      </c>
      <c r="N16">
        <f>SQRT(K16^2+$B$23^2*J16^2)</f>
        <v>5.5879905605352318E-6</v>
      </c>
    </row>
    <row r="17" spans="1:14" x14ac:dyDescent="0.55000000000000004">
      <c r="A17">
        <v>1460</v>
      </c>
      <c r="B17">
        <v>0.498</v>
      </c>
      <c r="C17">
        <v>4.0000000000000001E-3</v>
      </c>
      <c r="D17">
        <f t="shared" si="0"/>
        <v>6233722.0596479997</v>
      </c>
      <c r="E17">
        <f t="shared" si="1"/>
        <v>117206.42301315248</v>
      </c>
      <c r="F17">
        <f t="shared" si="2"/>
        <v>1.8801996927622209</v>
      </c>
      <c r="H17" s="3"/>
      <c r="I17">
        <f t="shared" si="3"/>
        <v>0</v>
      </c>
      <c r="K17">
        <f t="shared" si="4"/>
        <v>0</v>
      </c>
    </row>
    <row r="18" spans="1:14" x14ac:dyDescent="0.55000000000000004">
      <c r="A18">
        <v>59</v>
      </c>
      <c r="B18">
        <v>35.92</v>
      </c>
      <c r="C18">
        <v>0.17</v>
      </c>
      <c r="D18">
        <f>$B$20*B18/100*C22</f>
        <v>736312186.20192802</v>
      </c>
      <c r="E18">
        <f t="shared" si="1"/>
        <v>12993330.076696288</v>
      </c>
      <c r="F18">
        <f t="shared" si="2"/>
        <v>1.7646496038207584</v>
      </c>
      <c r="G18" s="3">
        <v>488052.3</v>
      </c>
      <c r="H18" s="3">
        <v>16133.5</v>
      </c>
      <c r="I18">
        <f t="shared" si="3"/>
        <v>6.628333866338528E-4</v>
      </c>
      <c r="J18">
        <v>1E-4</v>
      </c>
      <c r="K18">
        <f t="shared" si="4"/>
        <v>2.483775641078356E-5</v>
      </c>
      <c r="L18">
        <f>J18</f>
        <v>1E-4</v>
      </c>
      <c r="N18">
        <f>SQRT(K18^2+$B$23^2*J18^2)</f>
        <v>2.4838243858886638E-5</v>
      </c>
    </row>
    <row r="20" spans="1:14" x14ac:dyDescent="0.55000000000000004">
      <c r="A20" t="s">
        <v>32</v>
      </c>
      <c r="B20">
        <f>302297</f>
        <v>302297</v>
      </c>
      <c r="C20" t="s">
        <v>35</v>
      </c>
      <c r="D20" t="s">
        <v>43</v>
      </c>
      <c r="E20">
        <f>1.7/100*B20</f>
        <v>5139.049</v>
      </c>
    </row>
    <row r="21" spans="1:14" x14ac:dyDescent="0.55000000000000004">
      <c r="B21" t="s">
        <v>5</v>
      </c>
      <c r="C21" t="s">
        <v>50</v>
      </c>
    </row>
    <row r="22" spans="1:14" x14ac:dyDescent="0.55000000000000004">
      <c r="A22" t="s">
        <v>33</v>
      </c>
      <c r="B22">
        <v>4140.8</v>
      </c>
      <c r="C22" s="3">
        <v>6780.97</v>
      </c>
      <c r="G22" s="1"/>
      <c r="H22" s="1"/>
    </row>
    <row r="23" spans="1:14" x14ac:dyDescent="0.55000000000000004">
      <c r="A23" t="s">
        <v>38</v>
      </c>
      <c r="B23">
        <v>-1.5560999999999999E-3</v>
      </c>
    </row>
    <row r="25" spans="1:14" x14ac:dyDescent="0.55000000000000004">
      <c r="D25" t="s">
        <v>52</v>
      </c>
      <c r="E25" t="s">
        <v>53</v>
      </c>
      <c r="F25" t="s">
        <v>54</v>
      </c>
      <c r="G25" t="s">
        <v>1</v>
      </c>
      <c r="H25" t="s">
        <v>0</v>
      </c>
    </row>
    <row r="26" spans="1:14" x14ac:dyDescent="0.55000000000000004">
      <c r="D26">
        <v>121</v>
      </c>
      <c r="E26">
        <v>121.7817</v>
      </c>
      <c r="F26">
        <f>I2</f>
        <v>9.7325513525997392E-4</v>
      </c>
      <c r="G26">
        <v>2.9999999999999997E-4</v>
      </c>
      <c r="H26">
        <f>K2</f>
        <v>1.7234744523721975E-5</v>
      </c>
    </row>
    <row r="27" spans="1:14" x14ac:dyDescent="0.55000000000000004">
      <c r="D27">
        <v>244</v>
      </c>
      <c r="E27">
        <v>244.69739999999999</v>
      </c>
      <c r="F27">
        <f t="shared" ref="F27:F39" si="7">I3</f>
        <v>6.7409444369914543E-4</v>
      </c>
      <c r="G27">
        <v>8.0000000000000004E-4</v>
      </c>
      <c r="H27">
        <f t="shared" ref="H27:H40" si="8">K3</f>
        <v>1.2428948999622828E-5</v>
      </c>
    </row>
    <row r="28" spans="1:14" x14ac:dyDescent="0.55000000000000004">
      <c r="D28">
        <v>344</v>
      </c>
      <c r="E28">
        <v>344.27850000000001</v>
      </c>
      <c r="F28">
        <f t="shared" si="7"/>
        <v>5.2081971642798817E-4</v>
      </c>
      <c r="G28">
        <v>1.1999999999999999E-3</v>
      </c>
      <c r="H28">
        <f t="shared" si="8"/>
        <v>9.2544754068443928E-6</v>
      </c>
    </row>
    <row r="29" spans="1:14" x14ac:dyDescent="0.55000000000000004">
      <c r="D29">
        <v>367</v>
      </c>
      <c r="E29">
        <v>367.78910000000002</v>
      </c>
      <c r="F29">
        <f t="shared" si="7"/>
        <v>5.0142272954834498E-4</v>
      </c>
      <c r="G29">
        <v>2E-3</v>
      </c>
      <c r="H29">
        <f t="shared" si="8"/>
        <v>1.5311045427413089E-5</v>
      </c>
    </row>
    <row r="30" spans="1:14" x14ac:dyDescent="0.55000000000000004">
      <c r="D30">
        <v>411</v>
      </c>
      <c r="E30">
        <v>411.11649999999997</v>
      </c>
      <c r="F30">
        <f t="shared" si="7"/>
        <v>4.4842977733468433E-4</v>
      </c>
      <c r="G30">
        <v>1.1999999999999999E-3</v>
      </c>
      <c r="H30">
        <f t="shared" si="8"/>
        <v>9.6139239185456172E-6</v>
      </c>
    </row>
    <row r="31" spans="1:14" x14ac:dyDescent="0.55000000000000004">
      <c r="D31">
        <v>443</v>
      </c>
      <c r="E31">
        <v>443.96499999999997</v>
      </c>
      <c r="F31">
        <f t="shared" si="7"/>
        <v>4.2236462079203231E-4</v>
      </c>
      <c r="G31">
        <v>3.0000000000000001E-3</v>
      </c>
      <c r="H31">
        <f t="shared" si="8"/>
        <v>9.1382302332285404E-6</v>
      </c>
    </row>
    <row r="32" spans="1:14" x14ac:dyDescent="0.55000000000000004">
      <c r="D32">
        <v>778</v>
      </c>
      <c r="E32">
        <v>778.90449999999998</v>
      </c>
      <c r="F32">
        <f t="shared" si="7"/>
        <v>2.6832719875832361E-4</v>
      </c>
      <c r="G32">
        <v>2.4E-2</v>
      </c>
      <c r="H32">
        <f t="shared" si="8"/>
        <v>4.9267373011473942E-6</v>
      </c>
    </row>
    <row r="33" spans="4:8" x14ac:dyDescent="0.55000000000000004">
      <c r="D33">
        <v>867</v>
      </c>
      <c r="E33">
        <v>867.38</v>
      </c>
      <c r="F33">
        <f t="shared" si="7"/>
        <v>2.4420179529121861E-4</v>
      </c>
      <c r="G33">
        <v>3.0000000000000001E-3</v>
      </c>
      <c r="H33">
        <f t="shared" si="8"/>
        <v>5.0761379867509463E-6</v>
      </c>
    </row>
    <row r="34" spans="4:8" x14ac:dyDescent="0.55000000000000004">
      <c r="D34">
        <v>964</v>
      </c>
      <c r="E34">
        <v>964.07899999999995</v>
      </c>
      <c r="F34">
        <f t="shared" si="7"/>
        <v>2.310605290802318E-4</v>
      </c>
      <c r="G34">
        <v>1.7999999999999999E-2</v>
      </c>
      <c r="H34">
        <f t="shared" si="8"/>
        <v>4.21940781856187E-6</v>
      </c>
    </row>
    <row r="35" spans="4:8" x14ac:dyDescent="0.55000000000000004">
      <c r="D35">
        <v>1085</v>
      </c>
      <c r="E35">
        <v>1085.837</v>
      </c>
      <c r="F35">
        <f t="shared" si="7"/>
        <v>2.0654180171453889E-4</v>
      </c>
      <c r="G35">
        <v>0.01</v>
      </c>
      <c r="H35">
        <f t="shared" si="8"/>
        <v>3.9680123723772688E-6</v>
      </c>
    </row>
    <row r="36" spans="4:8" x14ac:dyDescent="0.55000000000000004">
      <c r="D36">
        <v>1089</v>
      </c>
      <c r="E36">
        <v>1089.7370000000001</v>
      </c>
      <c r="F36">
        <f t="shared" si="7"/>
        <v>2.0437953282506153E-4</v>
      </c>
      <c r="G36">
        <v>5.0000000000000001E-3</v>
      </c>
      <c r="H36">
        <f t="shared" si="8"/>
        <v>5.4276750543617213E-6</v>
      </c>
    </row>
    <row r="37" spans="4:8" x14ac:dyDescent="0.55000000000000004">
      <c r="D37">
        <v>1112</v>
      </c>
      <c r="E37">
        <v>1112.076</v>
      </c>
      <c r="F37">
        <f t="shared" si="7"/>
        <v>2.0641086527339866E-4</v>
      </c>
      <c r="G37">
        <v>3.0000000000000001E-3</v>
      </c>
      <c r="H37">
        <f t="shared" si="8"/>
        <v>3.814844022586069E-6</v>
      </c>
    </row>
    <row r="38" spans="4:8" x14ac:dyDescent="0.55000000000000004">
      <c r="D38">
        <v>1212</v>
      </c>
      <c r="E38">
        <v>1212.9480000000001</v>
      </c>
      <c r="F38">
        <f t="shared" si="7"/>
        <v>1.8634342764695116E-4</v>
      </c>
      <c r="G38">
        <v>1.0999999999999999E-2</v>
      </c>
      <c r="H38">
        <f t="shared" si="8"/>
        <v>5.6309388727532191E-6</v>
      </c>
    </row>
    <row r="39" spans="4:8" x14ac:dyDescent="0.55000000000000004">
      <c r="D39">
        <v>1299</v>
      </c>
      <c r="E39">
        <v>1299.1420000000001</v>
      </c>
      <c r="F39">
        <f t="shared" si="7"/>
        <v>1.7100840409497404E-4</v>
      </c>
      <c r="G39">
        <v>8.0000000000000002E-3</v>
      </c>
      <c r="H39">
        <f t="shared" si="8"/>
        <v>4.6670061538099491E-6</v>
      </c>
    </row>
    <row r="40" spans="4:8" x14ac:dyDescent="0.55000000000000004">
      <c r="D40">
        <v>1408</v>
      </c>
      <c r="E40">
        <v>1408.0129999999999</v>
      </c>
      <c r="F40">
        <f>I16</f>
        <v>1.6972861431264856E-4</v>
      </c>
      <c r="G40">
        <v>3.0000000000000001E-3</v>
      </c>
      <c r="H40">
        <f t="shared" si="8"/>
        <v>3.0712560320870118E-6</v>
      </c>
    </row>
    <row r="41" spans="4:8" x14ac:dyDescent="0.55000000000000004">
      <c r="D41">
        <v>59</v>
      </c>
      <c r="E41">
        <v>59.540900000000001</v>
      </c>
      <c r="F41">
        <f>I18</f>
        <v>6.628333866338528E-4</v>
      </c>
      <c r="G41">
        <v>1E-4</v>
      </c>
      <c r="H41">
        <f>K18</f>
        <v>2.483775641078356E-5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E0F-57A8-490C-9EA7-39B797D52A99}">
  <dimension ref="A1:N16"/>
  <sheetViews>
    <sheetView workbookViewId="0">
      <selection activeCell="E2" sqref="E2"/>
    </sheetView>
  </sheetViews>
  <sheetFormatPr defaultRowHeight="14.4" x14ac:dyDescent="0.55000000000000004"/>
  <cols>
    <col min="4" max="4" width="11.68359375" bestFit="1" customWidth="1"/>
    <col min="5" max="5" width="18.05078125" customWidth="1"/>
    <col min="6" max="6" width="20.62890625" customWidth="1"/>
    <col min="12" max="12" width="18.3125" customWidth="1"/>
    <col min="13" max="13" width="12.9453125" customWidth="1"/>
    <col min="14" max="14" width="12.578125" customWidth="1"/>
  </cols>
  <sheetData>
    <row r="1" spans="1:14" x14ac:dyDescent="0.55000000000000004">
      <c r="A1" t="s">
        <v>29</v>
      </c>
      <c r="B1" t="s">
        <v>30</v>
      </c>
      <c r="C1" t="s">
        <v>24</v>
      </c>
      <c r="D1" t="s">
        <v>31</v>
      </c>
      <c r="E1" t="s">
        <v>42</v>
      </c>
      <c r="F1" t="s">
        <v>46</v>
      </c>
      <c r="G1" t="s">
        <v>36</v>
      </c>
      <c r="H1" t="s">
        <v>44</v>
      </c>
      <c r="I1" t="s">
        <v>37</v>
      </c>
      <c r="J1" t="s">
        <v>40</v>
      </c>
      <c r="K1" t="s">
        <v>41</v>
      </c>
      <c r="L1" t="s">
        <v>39</v>
      </c>
      <c r="M1" t="s">
        <v>47</v>
      </c>
      <c r="N1" t="s">
        <v>48</v>
      </c>
    </row>
    <row r="2" spans="1:14" x14ac:dyDescent="0.55000000000000004">
      <c r="A2">
        <v>121</v>
      </c>
      <c r="B2">
        <v>28.41</v>
      </c>
      <c r="C2">
        <v>0.13</v>
      </c>
      <c r="D2">
        <f>$B$14*B2/100*$B$15</f>
        <v>355622577.74015999</v>
      </c>
      <c r="E2">
        <f t="shared" ref="E2:E12" si="0">SQRT((D2/$B$14*$F$14)^2+(D2/B2*C2)^2)</f>
        <v>12200178.887971457</v>
      </c>
      <c r="F2">
        <f>E2/D2*100</f>
        <v>3.4306536343948522</v>
      </c>
      <c r="G2">
        <v>1000813.9</v>
      </c>
      <c r="H2">
        <v>1351.5</v>
      </c>
      <c r="I2">
        <f>G2/D2</f>
        <v>2.8142586063004613E-3</v>
      </c>
      <c r="J2">
        <v>2.9999999999999997E-4</v>
      </c>
      <c r="K2">
        <f>SQRT((1/D2*H2)^2+(G2/D2^2*E2)^2)</f>
        <v>9.6622232931769953E-5</v>
      </c>
      <c r="L2">
        <f>J2</f>
        <v>2.9999999999999997E-4</v>
      </c>
      <c r="N2">
        <f>SQRT(K2^2+$B$16^2*J2^2)</f>
        <v>9.6622285229661746E-5</v>
      </c>
    </row>
    <row r="3" spans="1:14" x14ac:dyDescent="0.55000000000000004">
      <c r="A3">
        <v>244</v>
      </c>
      <c r="B3">
        <v>7.55</v>
      </c>
      <c r="C3">
        <v>0.04</v>
      </c>
      <c r="D3">
        <f t="shared" ref="D3:D10" si="1">$B$14*B3/100*$B$15</f>
        <v>94507232.028800011</v>
      </c>
      <c r="E3">
        <f t="shared" si="0"/>
        <v>3252022.4785317685</v>
      </c>
      <c r="F3">
        <f t="shared" ref="F3:F10" si="2">E3/D3*100</f>
        <v>3.4410302880744106</v>
      </c>
      <c r="G3">
        <v>233618.4</v>
      </c>
      <c r="H3">
        <v>859.9</v>
      </c>
      <c r="I3">
        <f t="shared" ref="I3:I11" si="3">G3/D3</f>
        <v>2.4719632030785477E-3</v>
      </c>
      <c r="J3">
        <v>8.0000000000000004E-4</v>
      </c>
      <c r="K3">
        <f t="shared" ref="K3:K12" si="4">SQRT((1/D3*H3)^2+(G3/D3^2*E3)^2)</f>
        <v>8.5546255615573166E-5</v>
      </c>
      <c r="L3">
        <f t="shared" ref="L3:L12" si="5">J3</f>
        <v>8.0000000000000004E-4</v>
      </c>
      <c r="N3">
        <f t="shared" ref="N3:N10" si="6">SQRT(K3^2+$B$16^2*J3^2)</f>
        <v>8.554667566148543E-5</v>
      </c>
    </row>
    <row r="4" spans="1:14" x14ac:dyDescent="0.55000000000000004">
      <c r="A4">
        <v>344</v>
      </c>
      <c r="B4">
        <v>26.59</v>
      </c>
      <c r="C4">
        <v>0.12</v>
      </c>
      <c r="D4">
        <f t="shared" si="1"/>
        <v>332840701.93984002</v>
      </c>
      <c r="E4">
        <f t="shared" si="0"/>
        <v>11415838.993069701</v>
      </c>
      <c r="F4">
        <f t="shared" si="2"/>
        <v>3.429820609840283</v>
      </c>
      <c r="G4">
        <v>730663.1</v>
      </c>
      <c r="H4">
        <v>1042.8</v>
      </c>
      <c r="I4">
        <f t="shared" si="3"/>
        <v>2.1952336229962201E-3</v>
      </c>
      <c r="J4">
        <v>1.1999999999999999E-3</v>
      </c>
      <c r="K4">
        <f t="shared" si="4"/>
        <v>7.5357731948350214E-5</v>
      </c>
      <c r="L4">
        <f t="shared" si="5"/>
        <v>1.1999999999999999E-3</v>
      </c>
      <c r="N4">
        <f t="shared" si="6"/>
        <v>7.5358804826601407E-5</v>
      </c>
    </row>
    <row r="5" spans="1:14" x14ac:dyDescent="0.55000000000000004">
      <c r="A5">
        <v>411</v>
      </c>
      <c r="B5">
        <v>2.238</v>
      </c>
      <c r="C5">
        <v>0.01</v>
      </c>
      <c r="D5">
        <f t="shared" si="1"/>
        <v>28014196.725888003</v>
      </c>
      <c r="E5">
        <f t="shared" si="0"/>
        <v>960672.72697317891</v>
      </c>
      <c r="F5">
        <f t="shared" si="2"/>
        <v>3.4292353136987095</v>
      </c>
      <c r="G5">
        <v>55858.6</v>
      </c>
      <c r="H5">
        <v>563.1</v>
      </c>
      <c r="I5">
        <f t="shared" si="3"/>
        <v>1.9939390212242243E-3</v>
      </c>
      <c r="J5">
        <v>1.1999999999999999E-3</v>
      </c>
      <c r="K5">
        <f t="shared" si="4"/>
        <v>7.1270092912735042E-5</v>
      </c>
      <c r="L5">
        <f t="shared" si="5"/>
        <v>1.1999999999999999E-3</v>
      </c>
      <c r="N5">
        <f t="shared" si="6"/>
        <v>7.1271227324105248E-5</v>
      </c>
    </row>
    <row r="6" spans="1:14" x14ac:dyDescent="0.55000000000000004">
      <c r="A6">
        <v>443</v>
      </c>
      <c r="B6">
        <v>2.8</v>
      </c>
      <c r="C6">
        <v>0.02</v>
      </c>
      <c r="D6">
        <f t="shared" si="1"/>
        <v>35049039.6928</v>
      </c>
      <c r="E6">
        <f t="shared" si="0"/>
        <v>1217680.7202442107</v>
      </c>
      <c r="F6">
        <f t="shared" si="2"/>
        <v>3.4742199241891196</v>
      </c>
      <c r="G6">
        <v>71645.100000000006</v>
      </c>
      <c r="H6">
        <v>554.9</v>
      </c>
      <c r="I6">
        <f t="shared" si="3"/>
        <v>2.044138744683433E-3</v>
      </c>
      <c r="J6">
        <v>3.0000000000000001E-3</v>
      </c>
      <c r="K6">
        <f t="shared" si="4"/>
        <v>7.27612130644283E-5</v>
      </c>
      <c r="L6">
        <f t="shared" si="5"/>
        <v>3.0000000000000001E-3</v>
      </c>
      <c r="N6">
        <f t="shared" si="6"/>
        <v>7.2768157560138431E-5</v>
      </c>
    </row>
    <row r="7" spans="1:14" x14ac:dyDescent="0.55000000000000004">
      <c r="A7">
        <v>778</v>
      </c>
      <c r="B7">
        <v>12.97</v>
      </c>
      <c r="C7">
        <v>0.06</v>
      </c>
      <c r="D7">
        <f t="shared" si="1"/>
        <v>162352158.86272001</v>
      </c>
      <c r="E7">
        <f t="shared" si="0"/>
        <v>5570833.3067454975</v>
      </c>
      <c r="F7">
        <f t="shared" si="2"/>
        <v>3.4313269042859003</v>
      </c>
      <c r="G7">
        <v>220704.9</v>
      </c>
      <c r="I7">
        <f t="shared" si="3"/>
        <v>1.3594207896343482E-3</v>
      </c>
      <c r="J7">
        <v>2.3999999999999998E-3</v>
      </c>
      <c r="K7">
        <f t="shared" si="4"/>
        <v>4.6646171297179227E-5</v>
      </c>
      <c r="L7">
        <f t="shared" si="5"/>
        <v>2.3999999999999998E-3</v>
      </c>
      <c r="N7">
        <f t="shared" si="6"/>
        <v>4.6653103848119118E-5</v>
      </c>
    </row>
    <row r="8" spans="1:14" x14ac:dyDescent="0.55000000000000004">
      <c r="A8">
        <v>964</v>
      </c>
      <c r="B8">
        <v>14.5</v>
      </c>
      <c r="C8">
        <v>0.06</v>
      </c>
      <c r="D8">
        <f t="shared" si="1"/>
        <v>181503955.55200002</v>
      </c>
      <c r="E8">
        <f t="shared" si="0"/>
        <v>6216669.3863023454</v>
      </c>
      <c r="F8">
        <f t="shared" si="2"/>
        <v>3.4250875510651335</v>
      </c>
      <c r="G8">
        <v>200813.1</v>
      </c>
      <c r="H8" s="3">
        <v>674.6</v>
      </c>
      <c r="I8">
        <f t="shared" si="3"/>
        <v>1.1063841522862459E-3</v>
      </c>
      <c r="J8">
        <v>1.7999999999999999E-2</v>
      </c>
      <c r="K8">
        <f t="shared" si="4"/>
        <v>3.8076458638835094E-5</v>
      </c>
      <c r="L8">
        <f t="shared" si="5"/>
        <v>1.7999999999999999E-2</v>
      </c>
      <c r="N8">
        <f t="shared" si="6"/>
        <v>3.8551255669756332E-5</v>
      </c>
    </row>
    <row r="9" spans="1:14" x14ac:dyDescent="0.55000000000000004">
      <c r="A9">
        <v>1085</v>
      </c>
      <c r="B9">
        <v>10.130000000000001</v>
      </c>
      <c r="C9">
        <v>0.06</v>
      </c>
      <c r="D9">
        <f t="shared" si="1"/>
        <v>126802418.60288002</v>
      </c>
      <c r="E9">
        <f t="shared" si="0"/>
        <v>4376212.0456370879</v>
      </c>
      <c r="F9">
        <f t="shared" si="2"/>
        <v>3.4512055005374265</v>
      </c>
      <c r="I9">
        <f t="shared" si="3"/>
        <v>0</v>
      </c>
      <c r="J9">
        <v>0.01</v>
      </c>
      <c r="K9">
        <f t="shared" si="4"/>
        <v>0</v>
      </c>
      <c r="L9">
        <f t="shared" si="5"/>
        <v>0.01</v>
      </c>
      <c r="N9">
        <f t="shared" si="6"/>
        <v>3.3510000000000002E-6</v>
      </c>
    </row>
    <row r="10" spans="1:14" x14ac:dyDescent="0.55000000000000004">
      <c r="A10">
        <v>1112</v>
      </c>
      <c r="B10">
        <v>13.41</v>
      </c>
      <c r="C10">
        <v>0.06</v>
      </c>
      <c r="D10">
        <f t="shared" si="1"/>
        <v>167859865.10016</v>
      </c>
      <c r="E10">
        <f t="shared" si="0"/>
        <v>5756441.0397533011</v>
      </c>
      <c r="F10">
        <f t="shared" si="2"/>
        <v>3.4293135147692992</v>
      </c>
      <c r="I10">
        <f t="shared" si="3"/>
        <v>0</v>
      </c>
      <c r="J10">
        <v>3.0000000000000001E-3</v>
      </c>
      <c r="K10">
        <f t="shared" si="4"/>
        <v>0</v>
      </c>
      <c r="L10">
        <f t="shared" si="5"/>
        <v>3.0000000000000001E-3</v>
      </c>
      <c r="N10">
        <f t="shared" si="6"/>
        <v>1.0053000000000001E-6</v>
      </c>
    </row>
    <row r="11" spans="1:14" x14ac:dyDescent="0.55000000000000004">
      <c r="A11">
        <v>1408</v>
      </c>
      <c r="B11">
        <v>20.85</v>
      </c>
      <c r="C11">
        <v>0.08</v>
      </c>
      <c r="D11">
        <f>$B$14*B11/100*$B$15</f>
        <v>260990170.56960002</v>
      </c>
      <c r="E11">
        <f t="shared" si="0"/>
        <v>8929991.5425593555</v>
      </c>
      <c r="F11">
        <f>E11/D11*100</f>
        <v>3.4215815572939108</v>
      </c>
      <c r="G11">
        <v>243399.3</v>
      </c>
      <c r="I11" s="3">
        <f t="shared" si="3"/>
        <v>9.3259949012175936E-4</v>
      </c>
      <c r="J11">
        <v>3.0000000000000001E-3</v>
      </c>
      <c r="K11">
        <f t="shared" si="4"/>
        <v>3.1909652157423173E-5</v>
      </c>
      <c r="L11">
        <f t="shared" si="5"/>
        <v>3.0000000000000001E-3</v>
      </c>
      <c r="N11">
        <f>SQRT(K11^2+$B$16^2*J11^2)</f>
        <v>3.1925484004126569E-5</v>
      </c>
    </row>
    <row r="12" spans="1:14" x14ac:dyDescent="0.55000000000000004">
      <c r="A12">
        <v>59</v>
      </c>
      <c r="B12">
        <v>35.92</v>
      </c>
      <c r="C12">
        <v>0.17</v>
      </c>
      <c r="D12">
        <f>$B$14*B12/100*D15</f>
        <v>736358877.78735995</v>
      </c>
      <c r="E12">
        <f t="shared" si="0"/>
        <v>25277590.684111074</v>
      </c>
      <c r="F12">
        <f>E12/D12*100</f>
        <v>3.4327814122464537</v>
      </c>
      <c r="G12" s="3">
        <v>2584173.2000000002</v>
      </c>
      <c r="H12">
        <v>1827.3</v>
      </c>
      <c r="I12">
        <f>G12/D12</f>
        <v>3.5093936909744677E-3</v>
      </c>
      <c r="J12">
        <v>1E-4</v>
      </c>
      <c r="K12">
        <f t="shared" si="4"/>
        <v>1.2049536992244329E-4</v>
      </c>
      <c r="L12">
        <f t="shared" si="5"/>
        <v>1E-4</v>
      </c>
      <c r="N12">
        <f>SQRT(K12^2+$B$16^2*J12^2)</f>
        <v>1.2049537458204175E-4</v>
      </c>
    </row>
    <row r="14" spans="1:14" x14ac:dyDescent="0.55000000000000004">
      <c r="A14" t="s">
        <v>32</v>
      </c>
      <c r="B14">
        <f>302297</f>
        <v>302297</v>
      </c>
      <c r="C14" t="s">
        <v>35</v>
      </c>
      <c r="D14" t="s">
        <v>51</v>
      </c>
      <c r="E14" t="s">
        <v>43</v>
      </c>
      <c r="F14">
        <f>1.7/100*B14*2</f>
        <v>10278.098</v>
      </c>
    </row>
    <row r="15" spans="1:14" x14ac:dyDescent="0.55000000000000004">
      <c r="A15" t="s">
        <v>33</v>
      </c>
      <c r="B15">
        <v>4140.8</v>
      </c>
      <c r="C15" s="3" t="s">
        <v>34</v>
      </c>
      <c r="D15">
        <v>6781.4</v>
      </c>
      <c r="E15" t="s">
        <v>45</v>
      </c>
      <c r="G15" s="1"/>
      <c r="H15" s="1"/>
    </row>
    <row r="16" spans="1:14" x14ac:dyDescent="0.55000000000000004">
      <c r="A16" t="s">
        <v>38</v>
      </c>
      <c r="B16">
        <v>-3.3510000000000001E-4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calibrazione HPGe</vt:lpstr>
      <vt:lpstr>calibrazione LaBr3</vt:lpstr>
      <vt:lpstr>risoluzione HPGe</vt:lpstr>
      <vt:lpstr>risoluzione LaBr3</vt:lpstr>
      <vt:lpstr>efficiency HPGe</vt:lpstr>
      <vt:lpstr>efficiency LaBr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Aurora</cp:lastModifiedBy>
  <dcterms:created xsi:type="dcterms:W3CDTF">2021-03-09T15:50:18Z</dcterms:created>
  <dcterms:modified xsi:type="dcterms:W3CDTF">2021-08-02T17:54:39Z</dcterms:modified>
</cp:coreProperties>
</file>