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indows\Desktop\LAB2020\spectroscopy-lab\Effetto Zeeman\results_Zeeman\"/>
    </mc:Choice>
  </mc:AlternateContent>
  <xr:revisionPtr revIDLastSave="0" documentId="13_ncr:1_{9B2645BF-EB3D-40DE-8536-EE9AAC123510}" xr6:coauthVersionLast="46" xr6:coauthVersionMax="46" xr10:uidLastSave="{00000000-0000-0000-0000-000000000000}"/>
  <bookViews>
    <workbookView xWindow="-96" yWindow="-96" windowWidth="19392" windowHeight="10392" tabRatio="500" xr2:uid="{00000000-000D-0000-FFFF-FFFF00000000}"/>
  </bookViews>
  <sheets>
    <sheet name="Foglio1" sheetId="1" r:id="rId1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2" i="1" l="1"/>
  <c r="B4" i="1"/>
  <c r="B7" i="1"/>
  <c r="H5" i="1"/>
  <c r="M1" i="1"/>
  <c r="B14" i="1"/>
  <c r="B17" i="1"/>
  <c r="H6" i="1"/>
  <c r="H1" i="1"/>
  <c r="J1" i="1"/>
  <c r="B8" i="1"/>
  <c r="B9" i="1"/>
  <c r="H19" i="1"/>
  <c r="R8" i="1"/>
  <c r="R7" i="1"/>
  <c r="R17" i="1"/>
  <c r="Y15" i="1"/>
  <c r="AA15" i="1"/>
  <c r="Y18" i="1"/>
  <c r="AA18" i="1"/>
  <c r="R13" i="1"/>
  <c r="R16" i="1"/>
  <c r="Y17" i="1"/>
  <c r="AA17" i="1"/>
  <c r="Y14" i="1"/>
  <c r="AA14" i="1"/>
  <c r="R15" i="1"/>
  <c r="R4" i="1"/>
  <c r="R21" i="1"/>
  <c r="R20" i="1"/>
  <c r="R19" i="1"/>
  <c r="R2" i="1"/>
  <c r="B1" i="1"/>
  <c r="B2" i="1"/>
  <c r="B3" i="1"/>
  <c r="D5" i="1"/>
  <c r="D4" i="1"/>
  <c r="H9" i="1"/>
  <c r="H12" i="1"/>
  <c r="H13" i="1"/>
  <c r="B20" i="1"/>
  <c r="B18" i="1"/>
  <c r="H14" i="1"/>
  <c r="B15" i="1"/>
  <c r="H2" i="1"/>
  <c r="H20" i="1"/>
  <c r="J20" i="1"/>
  <c r="J19" i="1"/>
  <c r="J2" i="1"/>
</calcChain>
</file>

<file path=xl/sharedStrings.xml><?xml version="1.0" encoding="utf-8"?>
<sst xmlns="http://schemas.openxmlformats.org/spreadsheetml/2006/main" count="78" uniqueCount="53">
  <si>
    <t>lambda</t>
  </si>
  <si>
    <t>d</t>
  </si>
  <si>
    <t>n1</t>
  </si>
  <si>
    <t>n2</t>
  </si>
  <si>
    <t>n3</t>
  </si>
  <si>
    <t>media n</t>
  </si>
  <si>
    <t>pezzo 2</t>
  </si>
  <si>
    <t>m</t>
  </si>
  <si>
    <t>nm</t>
  </si>
  <si>
    <t>lambda 1</t>
  </si>
  <si>
    <t>lambda 2</t>
  </si>
  <si>
    <t>lambda 3</t>
  </si>
  <si>
    <t>delta lamda</t>
  </si>
  <si>
    <t>errore lambda</t>
  </si>
  <si>
    <t>errore n</t>
  </si>
  <si>
    <t>errore</t>
  </si>
  <si>
    <t>errore in nm</t>
  </si>
  <si>
    <t>1/m</t>
  </si>
  <si>
    <t>dn/dlambda = s</t>
  </si>
  <si>
    <t>n^2-1-nls = k</t>
  </si>
  <si>
    <t>der s</t>
  </si>
  <si>
    <t>der n</t>
  </si>
  <si>
    <t>errore delta lamda</t>
  </si>
  <si>
    <t>lunghezza</t>
  </si>
  <si>
    <t>P</t>
  </si>
  <si>
    <t>R</t>
  </si>
  <si>
    <t>errore R</t>
  </si>
  <si>
    <t>*10^5</t>
  </si>
  <si>
    <t>B</t>
  </si>
  <si>
    <t>T</t>
  </si>
  <si>
    <t>errore B</t>
  </si>
  <si>
    <t>magnetone Borh</t>
  </si>
  <si>
    <t>J/T</t>
  </si>
  <si>
    <t>h</t>
  </si>
  <si>
    <t>c</t>
  </si>
  <si>
    <t>m/s</t>
  </si>
  <si>
    <t>pezzo errore</t>
  </si>
  <si>
    <t>g</t>
  </si>
  <si>
    <t>Delta lambda</t>
  </si>
  <si>
    <t>Delta E</t>
  </si>
  <si>
    <t>errore delta E</t>
  </si>
  <si>
    <t>der delta lambda</t>
  </si>
  <si>
    <t>errore g</t>
  </si>
  <si>
    <t>fattore conversione</t>
  </si>
  <si>
    <t>mean 1</t>
  </si>
  <si>
    <t>mean2</t>
  </si>
  <si>
    <t>errore mean1</t>
  </si>
  <si>
    <t>errore mean 2</t>
  </si>
  <si>
    <t>errore lambda 1</t>
  </si>
  <si>
    <t>errore lambda 2</t>
  </si>
  <si>
    <t>der lambda</t>
  </si>
  <si>
    <t>delta lambda r.u.</t>
  </si>
  <si>
    <t>no fattore con n e seni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</si>
</sst>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20212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1" fillId="0" borderId="0" xfId="0" applyFont="1"/>
    <xf numFmtId="0" fontId="0" fillId="4" borderId="0" xfId="0" applyFill="1"/>
    <xf numFmtId="0" fontId="0" fillId="5" borderId="0" xfId="0" applyFill="1"/>
    <xf numFmtId="0" fontId="4" fillId="0" borderId="0" xfId="0" applyFont="1"/>
  </cellXfs>
  <cellStyles count="3">
    <cellStyle name="Collegamento ipertestuale" xfId="1" builtinId="8" hidden="1"/>
    <cellStyle name="Collegamento ipertestuale visitato" xfId="2" builtinId="9" hidden="1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"/>
  <sheetViews>
    <sheetView tabSelected="1" topLeftCell="O7" workbookViewId="0">
      <selection activeCell="V14" sqref="V14"/>
    </sheetView>
  </sheetViews>
  <sheetFormatPr defaultColWidth="10.796875" defaultRowHeight="15.6" x14ac:dyDescent="0.6"/>
  <cols>
    <col min="1" max="1" width="20.34765625" customWidth="1"/>
    <col min="2" max="2" width="16.34765625" bestFit="1" customWidth="1"/>
    <col min="4" max="4" width="12.1484375" bestFit="1" customWidth="1"/>
    <col min="7" max="7" width="16.84765625" customWidth="1"/>
    <col min="8" max="10" width="12.1484375" bestFit="1" customWidth="1"/>
    <col min="12" max="12" width="20.3984375" customWidth="1"/>
    <col min="13" max="13" width="11.6484375" bestFit="1" customWidth="1"/>
    <col min="14" max="15" width="11.6484375" customWidth="1"/>
    <col min="17" max="17" width="17.5" customWidth="1"/>
    <col min="18" max="18" width="12.1484375" bestFit="1" customWidth="1"/>
    <col min="21" max="21" width="14.1484375" customWidth="1"/>
    <col min="24" max="24" width="14.6484375" customWidth="1"/>
    <col min="27" max="27" width="12.1484375" bestFit="1" customWidth="1"/>
  </cols>
  <sheetData>
    <row r="1" spans="1:28" x14ac:dyDescent="0.6">
      <c r="A1" t="s">
        <v>9</v>
      </c>
      <c r="B1">
        <f>656.3*10^-9</f>
        <v>6.5629999999999997E-7</v>
      </c>
      <c r="G1" s="1" t="s">
        <v>12</v>
      </c>
      <c r="H1">
        <f>H5*H6</f>
        <v>4.2104978107520897E-11</v>
      </c>
      <c r="I1" t="s">
        <v>7</v>
      </c>
      <c r="J1" s="3">
        <f>H1*10^9</f>
        <v>4.2104978107520896E-2</v>
      </c>
      <c r="K1" t="s">
        <v>8</v>
      </c>
      <c r="L1" s="6" t="s">
        <v>52</v>
      </c>
      <c r="M1">
        <f>H5</f>
        <v>4.9362548991354466E-11</v>
      </c>
      <c r="Q1" t="s">
        <v>28</v>
      </c>
      <c r="R1">
        <v>0.5</v>
      </c>
      <c r="S1" t="s">
        <v>29</v>
      </c>
    </row>
    <row r="2" spans="1:28" x14ac:dyDescent="0.6">
      <c r="A2" t="s">
        <v>10</v>
      </c>
      <c r="B2">
        <f>589.3*10^-9</f>
        <v>5.8930000000000002E-7</v>
      </c>
      <c r="G2" s="1" t="s">
        <v>22</v>
      </c>
      <c r="H2">
        <f>SQRT(H12^2*B5^2+H13^2*B18^2+H14^2*B15^2)*H1</f>
        <v>3.0399231013578914E-13</v>
      </c>
      <c r="I2" t="s">
        <v>7</v>
      </c>
      <c r="J2" s="3">
        <f>H2*10^9</f>
        <v>3.0399231013578912E-4</v>
      </c>
      <c r="K2" t="s">
        <v>8</v>
      </c>
      <c r="Q2" t="s">
        <v>30</v>
      </c>
      <c r="R2">
        <f>2*R1/100</f>
        <v>0.01</v>
      </c>
      <c r="S2" t="s">
        <v>29</v>
      </c>
    </row>
    <row r="3" spans="1:28" x14ac:dyDescent="0.6">
      <c r="A3" t="s">
        <v>11</v>
      </c>
      <c r="B3">
        <f>486.1*10^-9</f>
        <v>4.861000000000001E-7</v>
      </c>
    </row>
    <row r="4" spans="1:28" x14ac:dyDescent="0.6">
      <c r="A4" t="s">
        <v>0</v>
      </c>
      <c r="B4">
        <f>585.3*10^-9</f>
        <v>5.8530000000000003E-7</v>
      </c>
      <c r="C4" t="s">
        <v>7</v>
      </c>
      <c r="D4">
        <f>B4*10^9</f>
        <v>585.30000000000007</v>
      </c>
      <c r="Q4" t="s">
        <v>31</v>
      </c>
      <c r="R4" s="4">
        <f>9.27400949*10^-24</f>
        <v>9.2740094900000003E-24</v>
      </c>
      <c r="S4" t="s">
        <v>32</v>
      </c>
    </row>
    <row r="5" spans="1:28" x14ac:dyDescent="0.6">
      <c r="A5" t="s">
        <v>13</v>
      </c>
      <c r="B5">
        <v>0</v>
      </c>
      <c r="C5" t="s">
        <v>7</v>
      </c>
      <c r="D5">
        <f>B5*10^9</f>
        <v>0</v>
      </c>
      <c r="G5" t="s">
        <v>51</v>
      </c>
      <c r="H5">
        <f>B4^2/(2*B7)</f>
        <v>4.9362548991354466E-11</v>
      </c>
      <c r="Q5" t="s">
        <v>7</v>
      </c>
      <c r="R5">
        <v>1</v>
      </c>
    </row>
    <row r="6" spans="1:28" x14ac:dyDescent="0.6">
      <c r="G6" t="s">
        <v>6</v>
      </c>
      <c r="H6">
        <f>SQRT(B14^2-1)/(B14^2-1-B14*B4*B17)</f>
        <v>0.85297414675436056</v>
      </c>
    </row>
    <row r="7" spans="1:28" x14ac:dyDescent="0.6">
      <c r="A7" t="s">
        <v>1</v>
      </c>
      <c r="B7">
        <f>3.47*10^-3</f>
        <v>3.4700000000000004E-3</v>
      </c>
      <c r="C7" t="s">
        <v>7</v>
      </c>
      <c r="Q7" t="s">
        <v>0</v>
      </c>
      <c r="R7">
        <f>585.3*10^-9</f>
        <v>5.8530000000000003E-7</v>
      </c>
      <c r="S7" t="s">
        <v>7</v>
      </c>
    </row>
    <row r="8" spans="1:28" x14ac:dyDescent="0.6">
      <c r="A8" t="s">
        <v>23</v>
      </c>
      <c r="B8">
        <f>130*10^-3</f>
        <v>0.13</v>
      </c>
      <c r="C8" t="s">
        <v>7</v>
      </c>
      <c r="Q8" t="s">
        <v>33</v>
      </c>
      <c r="R8">
        <f>6.62607015*10^-34</f>
        <v>6.6260701500000015E-34</v>
      </c>
    </row>
    <row r="9" spans="1:28" x14ac:dyDescent="0.6">
      <c r="A9" t="s">
        <v>24</v>
      </c>
      <c r="B9">
        <f>B8/(2*B7)</f>
        <v>18.731988472622476</v>
      </c>
      <c r="C9" t="s">
        <v>7</v>
      </c>
      <c r="G9" t="s">
        <v>19</v>
      </c>
      <c r="H9">
        <f>B14^2-1-B14*B4*B17</f>
        <v>1.3310215191276265</v>
      </c>
      <c r="Q9" t="s">
        <v>34</v>
      </c>
      <c r="R9">
        <v>299792458</v>
      </c>
      <c r="S9" t="s">
        <v>35</v>
      </c>
    </row>
    <row r="10" spans="1:28" x14ac:dyDescent="0.6">
      <c r="M10" s="7"/>
    </row>
    <row r="11" spans="1:28" x14ac:dyDescent="0.6">
      <c r="A11" t="s">
        <v>2</v>
      </c>
      <c r="B11">
        <v>1.5097</v>
      </c>
    </row>
    <row r="12" spans="1:28" x14ac:dyDescent="0.6">
      <c r="A12" t="s">
        <v>3</v>
      </c>
      <c r="B12">
        <v>1.5115000000000001</v>
      </c>
      <c r="G12" t="s">
        <v>50</v>
      </c>
      <c r="H12">
        <f>((2*B14^2/B4)-(2/B4)-3*B14*B17)/H9</f>
        <v>3471032.7492763842</v>
      </c>
      <c r="Q12" t="s">
        <v>38</v>
      </c>
      <c r="R12">
        <f>AA17-AA14</f>
        <v>1.7763013029783827E-11</v>
      </c>
      <c r="S12" t="s">
        <v>7</v>
      </c>
      <c r="U12">
        <v>5222.6499999999996</v>
      </c>
      <c r="V12" t="s">
        <v>43</v>
      </c>
    </row>
    <row r="13" spans="1:28" x14ac:dyDescent="0.6">
      <c r="A13" t="s">
        <v>4</v>
      </c>
      <c r="B13">
        <v>1.5176000000000001</v>
      </c>
      <c r="G13" t="s">
        <v>20</v>
      </c>
      <c r="H13">
        <f>(B14*B4)/H9</f>
        <v>6.6529343611242628E-7</v>
      </c>
      <c r="Q13" t="s">
        <v>15</v>
      </c>
      <c r="R13">
        <f>SQRT(AA15^2+AA18^2)</f>
        <v>1.7249268544467233E-13</v>
      </c>
    </row>
    <row r="14" spans="1:28" x14ac:dyDescent="0.6">
      <c r="A14" t="s">
        <v>5</v>
      </c>
      <c r="B14" s="3">
        <f>AVERAGE(B11:B13)</f>
        <v>1.5129333333333335</v>
      </c>
      <c r="G14" t="s">
        <v>21</v>
      </c>
      <c r="H14">
        <f>(H6*(3*B14-2*B14^3+B4*B14^2*B17-B17*B4))</f>
        <v>-2.0668745308545509</v>
      </c>
      <c r="U14" t="s">
        <v>44</v>
      </c>
      <c r="V14">
        <v>5334.93</v>
      </c>
      <c r="X14" t="s">
        <v>9</v>
      </c>
      <c r="Y14">
        <f>V14/U12</f>
        <v>1.0214986644711019</v>
      </c>
      <c r="Z14" t="s">
        <v>8</v>
      </c>
      <c r="AA14">
        <f>Y14*10^-9</f>
        <v>1.0214986644711019E-9</v>
      </c>
      <c r="AB14" t="s">
        <v>7</v>
      </c>
    </row>
    <row r="15" spans="1:28" x14ac:dyDescent="0.6">
      <c r="A15" t="s">
        <v>14</v>
      </c>
      <c r="B15" s="3">
        <f>_xlfn.STDEV.P(B11:B13)/SQRT(3)</f>
        <v>1.9518272540441791E-3</v>
      </c>
      <c r="Q15" t="s">
        <v>39</v>
      </c>
      <c r="R15">
        <f>(R12*R8*R9)/(2*R7^2)</f>
        <v>5.1499892539926718E-24</v>
      </c>
      <c r="U15" t="s">
        <v>46</v>
      </c>
      <c r="V15">
        <v>0.45061000000000001</v>
      </c>
      <c r="X15" t="s">
        <v>48</v>
      </c>
      <c r="Y15">
        <f>V15/U12</f>
        <v>8.6279953663370135E-5</v>
      </c>
      <c r="Z15" t="s">
        <v>8</v>
      </c>
      <c r="AA15">
        <f>Y15*10^-9</f>
        <v>8.6279953663370138E-14</v>
      </c>
      <c r="AB15" t="s">
        <v>7</v>
      </c>
    </row>
    <row r="16" spans="1:28" x14ac:dyDescent="0.6">
      <c r="Q16" t="s">
        <v>40</v>
      </c>
      <c r="R16">
        <f>R17*R13</f>
        <v>5.0010405044622744E-26</v>
      </c>
    </row>
    <row r="17" spans="1:28" x14ac:dyDescent="0.6">
      <c r="A17" t="s">
        <v>18</v>
      </c>
      <c r="B17">
        <f>-47491.02642</f>
        <v>-47491.026420000002</v>
      </c>
      <c r="C17" t="s">
        <v>17</v>
      </c>
      <c r="Q17" t="s">
        <v>41</v>
      </c>
      <c r="R17">
        <f>(R9*R8)/(2*R7^2)</f>
        <v>2.8992768543025419E-13</v>
      </c>
      <c r="U17" t="s">
        <v>45</v>
      </c>
      <c r="V17">
        <v>5427.7</v>
      </c>
      <c r="X17" t="s">
        <v>10</v>
      </c>
      <c r="Y17">
        <f>V17/U12</f>
        <v>1.0392616775008856</v>
      </c>
      <c r="Z17" t="s">
        <v>8</v>
      </c>
      <c r="AA17">
        <f>Y17*10^-9</f>
        <v>1.0392616775008858E-9</v>
      </c>
      <c r="AB17" t="s">
        <v>7</v>
      </c>
    </row>
    <row r="18" spans="1:28" x14ac:dyDescent="0.6">
      <c r="A18" t="s">
        <v>15</v>
      </c>
      <c r="B18">
        <f>B20*10^9</f>
        <v>9000</v>
      </c>
      <c r="C18" t="s">
        <v>17</v>
      </c>
      <c r="U18" t="s">
        <v>47</v>
      </c>
      <c r="V18">
        <v>0.78007400000000005</v>
      </c>
      <c r="X18" t="s">
        <v>49</v>
      </c>
      <c r="Y18">
        <f>V18/U12</f>
        <v>1.4936363723397128E-4</v>
      </c>
      <c r="Z18" t="s">
        <v>8</v>
      </c>
      <c r="AA18">
        <f>Y18*10^-9</f>
        <v>1.493636372339713E-13</v>
      </c>
      <c r="AB18" t="s">
        <v>7</v>
      </c>
    </row>
    <row r="19" spans="1:28" x14ac:dyDescent="0.6">
      <c r="G19" s="2" t="s">
        <v>25</v>
      </c>
      <c r="H19">
        <f>(B4*B9)/H1</f>
        <v>260392.79310461268</v>
      </c>
      <c r="J19">
        <f>H19*10^-5</f>
        <v>2.603927931046127</v>
      </c>
      <c r="K19" t="s">
        <v>27</v>
      </c>
      <c r="Q19" s="5" t="s">
        <v>37</v>
      </c>
      <c r="R19">
        <f>R15/(R1*R4*R5)</f>
        <v>1.110628420112318</v>
      </c>
    </row>
    <row r="20" spans="1:28" x14ac:dyDescent="0.6">
      <c r="A20" t="s">
        <v>16</v>
      </c>
      <c r="B20">
        <f>9*10^-6</f>
        <v>9.0000000000000002E-6</v>
      </c>
      <c r="G20" s="2" t="s">
        <v>26</v>
      </c>
      <c r="H20">
        <f>(B9/H1)*SQRT(B5^2+(B4/H1)^2*H2^2)</f>
        <v>1880.0011370732077</v>
      </c>
      <c r="J20">
        <f>H20*10^-5</f>
        <v>1.8800011370732079E-2</v>
      </c>
      <c r="K20" t="s">
        <v>27</v>
      </c>
      <c r="Q20" s="5" t="s">
        <v>42</v>
      </c>
      <c r="R20">
        <f>R21*SQRT(R16^2+R15^2*(2/100)^2)</f>
        <v>2.4692425089519812E-2</v>
      </c>
    </row>
    <row r="21" spans="1:28" x14ac:dyDescent="0.6">
      <c r="Q21" t="s">
        <v>36</v>
      </c>
      <c r="R21">
        <f>1/(R5*R4*R1)</f>
        <v>2.1565645389478678E+23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Segreteria Ente Palio</dc:creator>
  <cp:lastModifiedBy>Windows</cp:lastModifiedBy>
  <dcterms:created xsi:type="dcterms:W3CDTF">2021-04-03T07:03:40Z</dcterms:created>
  <dcterms:modified xsi:type="dcterms:W3CDTF">2021-04-09T08:19:41Z</dcterms:modified>
</cp:coreProperties>
</file>