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usuario\Documents\GitHub\ausol-apm.github.io\project\Documents\"/>
    </mc:Choice>
  </mc:AlternateContent>
  <xr:revisionPtr revIDLastSave="0" documentId="13_ncr:1_{001CDE2B-BD93-461D-98DD-2EDCBD42FC0A}" xr6:coauthVersionLast="47" xr6:coauthVersionMax="47" xr10:uidLastSave="{00000000-0000-0000-0000-000000000000}"/>
  <bookViews>
    <workbookView xWindow="-28920" yWindow="-1680" windowWidth="29040" windowHeight="16440" xr2:uid="{00000000-000D-0000-FFFF-FFFF00000000}"/>
  </bookViews>
  <sheets>
    <sheet name="Proyección ventas" sheetId="2" r:id="rId1"/>
    <sheet name="Evaluación fianciera" sheetId="3" r:id="rId2"/>
  </sheets>
  <definedNames>
    <definedName name="_xlnm.Print_Area" localSheetId="1">'Evaluación fianciera'!$A$1:$O$34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9" i="2" l="1"/>
  <c r="A50" i="2"/>
  <c r="B50" i="2"/>
  <c r="C50" i="2"/>
  <c r="D50" i="2"/>
  <c r="A51" i="2"/>
  <c r="B51" i="2"/>
  <c r="C51" i="2"/>
  <c r="D51" i="2"/>
  <c r="A52" i="2"/>
  <c r="B52" i="2"/>
  <c r="C52" i="2"/>
  <c r="D52" i="2"/>
  <c r="A53" i="2"/>
  <c r="B53" i="2"/>
  <c r="C53" i="2"/>
  <c r="D53" i="2"/>
  <c r="A54" i="2"/>
  <c r="B54" i="2"/>
  <c r="C54" i="2"/>
  <c r="D54" i="2"/>
  <c r="A55" i="2"/>
  <c r="B55" i="2"/>
  <c r="C55" i="2"/>
  <c r="D55" i="2"/>
  <c r="A56" i="2"/>
  <c r="B56" i="2"/>
  <c r="C56" i="2"/>
  <c r="D56" i="2"/>
  <c r="A57" i="2"/>
  <c r="B57" i="2"/>
  <c r="C57" i="2"/>
  <c r="D57" i="2"/>
  <c r="A58" i="2"/>
  <c r="B58" i="2"/>
  <c r="C58" i="2"/>
  <c r="D58" i="2"/>
  <c r="A59" i="2"/>
  <c r="B59" i="2"/>
  <c r="C59" i="2"/>
  <c r="D59" i="2"/>
  <c r="A60" i="2"/>
  <c r="B60" i="2"/>
  <c r="C60" i="2"/>
  <c r="D60" i="2"/>
  <c r="A61" i="2"/>
  <c r="B61" i="2"/>
  <c r="C61" i="2"/>
  <c r="D61" i="2"/>
  <c r="A62" i="2"/>
  <c r="B62" i="2"/>
  <c r="C62" i="2"/>
  <c r="D62" i="2"/>
  <c r="B20" i="3"/>
  <c r="B21" i="3" s="1"/>
  <c r="B22" i="3"/>
  <c r="C17" i="3"/>
  <c r="G15" i="2"/>
  <c r="B4" i="3"/>
  <c r="C12" i="3"/>
  <c r="B2" i="3"/>
  <c r="N4" i="3" s="1"/>
  <c r="H4" i="3" l="1"/>
  <c r="M5" i="3"/>
  <c r="J4" i="3"/>
  <c r="B6" i="3"/>
  <c r="F5" i="3"/>
  <c r="L4" i="3"/>
  <c r="N5" i="3"/>
  <c r="K5" i="3"/>
  <c r="O4" i="3"/>
  <c r="K4" i="3"/>
  <c r="B5" i="3"/>
  <c r="D4" i="3"/>
  <c r="E5" i="3"/>
  <c r="I5" i="3"/>
  <c r="L5" i="3"/>
  <c r="O5" i="3"/>
  <c r="F4" i="3"/>
  <c r="D5" i="3"/>
  <c r="M4" i="3"/>
  <c r="E4" i="3"/>
  <c r="G5" i="3"/>
  <c r="H5" i="3"/>
  <c r="J5" i="3"/>
  <c r="G4" i="3"/>
  <c r="I4" i="3"/>
  <c r="F12" i="3" l="1"/>
  <c r="I44" i="2"/>
  <c r="H43" i="2"/>
  <c r="G18" i="2"/>
  <c r="D36" i="2"/>
  <c r="I36" i="2" s="1"/>
  <c r="D37" i="2"/>
  <c r="D38" i="2"/>
  <c r="I38" i="2" s="1"/>
  <c r="D39" i="2"/>
  <c r="I39" i="2" s="1"/>
  <c r="D40" i="2"/>
  <c r="I40" i="2" s="1"/>
  <c r="D41" i="2"/>
  <c r="I41" i="2" s="1"/>
  <c r="D42" i="2"/>
  <c r="I42" i="2" s="1"/>
  <c r="D43" i="2"/>
  <c r="I43" i="2" s="1"/>
  <c r="D44" i="2"/>
  <c r="D45" i="2"/>
  <c r="D46" i="2"/>
  <c r="C36" i="2"/>
  <c r="C37" i="2"/>
  <c r="H37" i="2" s="1"/>
  <c r="C38" i="2"/>
  <c r="H38" i="2" s="1"/>
  <c r="C39" i="2"/>
  <c r="H39" i="2" s="1"/>
  <c r="C40" i="2"/>
  <c r="H40" i="2" s="1"/>
  <c r="C41" i="2"/>
  <c r="H41" i="2" s="1"/>
  <c r="C42" i="2"/>
  <c r="C43" i="2"/>
  <c r="C44" i="2"/>
  <c r="C45" i="2"/>
  <c r="C46" i="2"/>
  <c r="D35" i="2"/>
  <c r="I35" i="2" s="1"/>
  <c r="C35" i="2"/>
  <c r="H35" i="2" s="1"/>
  <c r="G43" i="2"/>
  <c r="G44" i="2"/>
  <c r="G45" i="2"/>
  <c r="G46" i="2"/>
  <c r="G41" i="2"/>
  <c r="G40" i="2"/>
  <c r="G38" i="2"/>
  <c r="F34" i="2"/>
  <c r="G34" i="2"/>
  <c r="H34" i="2"/>
  <c r="I34" i="2"/>
  <c r="F35" i="2"/>
  <c r="F36" i="2"/>
  <c r="H36" i="2"/>
  <c r="F37" i="2"/>
  <c r="I37" i="2"/>
  <c r="F38" i="2"/>
  <c r="F39" i="2"/>
  <c r="F40" i="2"/>
  <c r="F41" i="2"/>
  <c r="F42" i="2"/>
  <c r="H42" i="2"/>
  <c r="F43" i="2"/>
  <c r="F44" i="2"/>
  <c r="F45" i="2"/>
  <c r="F46" i="2"/>
  <c r="A34" i="2"/>
  <c r="B34" i="2"/>
  <c r="C34" i="2"/>
  <c r="D34" i="2"/>
  <c r="A35" i="2"/>
  <c r="A36" i="2"/>
  <c r="A37" i="2"/>
  <c r="A38" i="2"/>
  <c r="A39" i="2"/>
  <c r="A40" i="2"/>
  <c r="A41" i="2"/>
  <c r="A42" i="2"/>
  <c r="A43" i="2"/>
  <c r="A44" i="2"/>
  <c r="A45" i="2"/>
  <c r="A46" i="2"/>
  <c r="A18" i="2"/>
  <c r="B18" i="2"/>
  <c r="C18" i="2"/>
  <c r="D18" i="2"/>
  <c r="A19" i="2"/>
  <c r="A20" i="2"/>
  <c r="A21" i="2"/>
  <c r="A22" i="2"/>
  <c r="A23" i="2"/>
  <c r="A24" i="2"/>
  <c r="A25" i="2"/>
  <c r="A26" i="2"/>
  <c r="A27" i="2"/>
  <c r="A28" i="2"/>
  <c r="A29" i="2"/>
  <c r="A30" i="2"/>
  <c r="H12" i="3" l="1"/>
  <c r="E12" i="3"/>
  <c r="D12" i="3"/>
  <c r="M12" i="3"/>
  <c r="L12" i="3"/>
  <c r="K12" i="3"/>
  <c r="J12" i="3"/>
  <c r="I12" i="3"/>
  <c r="O12" i="3"/>
  <c r="G12" i="3"/>
  <c r="N12" i="3"/>
  <c r="B7" i="3"/>
  <c r="C6" i="3" l="1"/>
  <c r="D14" i="2"/>
  <c r="D30" i="2" s="1"/>
  <c r="C14" i="2"/>
  <c r="C30" i="2" s="1"/>
  <c r="B14" i="2"/>
  <c r="B30" i="2" s="1"/>
  <c r="B46" i="2" s="1"/>
  <c r="D12" i="2"/>
  <c r="D28" i="2" s="1"/>
  <c r="C12" i="2"/>
  <c r="C28" i="2" s="1"/>
  <c r="B12" i="2"/>
  <c r="B28" i="2" s="1"/>
  <c r="B44" i="2" s="1"/>
  <c r="D9" i="2"/>
  <c r="D25" i="2" s="1"/>
  <c r="C9" i="2"/>
  <c r="C25" i="2" s="1"/>
  <c r="B9" i="2"/>
  <c r="B25" i="2" s="1"/>
  <c r="B41" i="2" s="1"/>
  <c r="D8" i="2"/>
  <c r="D24" i="2" s="1"/>
  <c r="C8" i="2"/>
  <c r="C24" i="2" s="1"/>
  <c r="B8" i="2"/>
  <c r="B24" i="2" s="1"/>
  <c r="B40" i="2" s="1"/>
  <c r="B6" i="2"/>
  <c r="B22" i="2" s="1"/>
  <c r="B38" i="2" s="1"/>
  <c r="C6" i="2"/>
  <c r="C22" i="2" s="1"/>
  <c r="D6" i="2"/>
  <c r="D22" i="2" s="1"/>
  <c r="D13" i="2"/>
  <c r="D29" i="2" s="1"/>
  <c r="D11" i="2"/>
  <c r="D27" i="2" s="1"/>
  <c r="D10" i="2"/>
  <c r="D26" i="2" s="1"/>
  <c r="D7" i="2"/>
  <c r="D23" i="2" s="1"/>
  <c r="D5" i="2"/>
  <c r="D21" i="2" s="1"/>
  <c r="D4" i="2"/>
  <c r="D20" i="2" s="1"/>
  <c r="C13" i="2"/>
  <c r="C29" i="2" s="1"/>
  <c r="C11" i="2"/>
  <c r="C27" i="2" s="1"/>
  <c r="C10" i="2"/>
  <c r="C26" i="2" s="1"/>
  <c r="C7" i="2"/>
  <c r="C23" i="2" s="1"/>
  <c r="C5" i="2"/>
  <c r="C21" i="2" s="1"/>
  <c r="C4" i="2"/>
  <c r="C20" i="2" s="1"/>
  <c r="C3" i="2"/>
  <c r="C19" i="2" s="1"/>
  <c r="B13" i="2"/>
  <c r="B29" i="2" s="1"/>
  <c r="B45" i="2" s="1"/>
  <c r="B11" i="2"/>
  <c r="B27" i="2" s="1"/>
  <c r="B43" i="2" s="1"/>
  <c r="B10" i="2"/>
  <c r="B26" i="2" s="1"/>
  <c r="B42" i="2" s="1"/>
  <c r="B7" i="2"/>
  <c r="B23" i="2" s="1"/>
  <c r="B39" i="2" s="1"/>
  <c r="G39" i="2" s="1"/>
  <c r="B5" i="2"/>
  <c r="B21" i="2" s="1"/>
  <c r="B37" i="2" s="1"/>
  <c r="G37" i="2" s="1"/>
  <c r="B4" i="2"/>
  <c r="B20" i="2" s="1"/>
  <c r="B36" i="2" s="1"/>
  <c r="G36" i="2" s="1"/>
  <c r="B3" i="2"/>
  <c r="B19" i="2" s="1"/>
  <c r="B35" i="2" s="1"/>
  <c r="G35" i="2" s="1"/>
  <c r="D3" i="2"/>
  <c r="D19" i="2" s="1"/>
  <c r="N7" i="2"/>
  <c r="G42" i="2" l="1"/>
  <c r="K6" i="3"/>
  <c r="M6" i="3"/>
  <c r="H6" i="3"/>
  <c r="G6" i="3"/>
  <c r="O6" i="3"/>
  <c r="D6" i="3"/>
  <c r="L6" i="3"/>
  <c r="I6" i="3"/>
  <c r="E6" i="3"/>
  <c r="E7" i="3" s="1"/>
  <c r="J6" i="3"/>
  <c r="N6" i="3"/>
  <c r="F6" i="3"/>
  <c r="D7" i="3"/>
  <c r="D10" i="3" s="1"/>
  <c r="F7" i="3" l="1"/>
  <c r="D9" i="3"/>
  <c r="E10" i="3"/>
  <c r="E9" i="3"/>
  <c r="D14" i="3" l="1"/>
  <c r="D16" i="3" s="1"/>
  <c r="D17" i="3" s="1"/>
  <c r="E14" i="3"/>
  <c r="E16" i="3" s="1"/>
  <c r="E17" i="3" s="1"/>
  <c r="F10" i="3"/>
  <c r="F9" i="3"/>
  <c r="G7" i="3"/>
  <c r="F14" i="3" l="1"/>
  <c r="F16" i="3" s="1"/>
  <c r="H7" i="3"/>
  <c r="G9" i="3"/>
  <c r="G10" i="3"/>
  <c r="F17" i="3" l="1"/>
  <c r="G14" i="3"/>
  <c r="G16" i="3" s="1"/>
  <c r="G17" i="3" s="1"/>
  <c r="H9" i="3"/>
  <c r="H10" i="3"/>
  <c r="I7" i="3"/>
  <c r="H14" i="3" l="1"/>
  <c r="H16" i="3" s="1"/>
  <c r="J7" i="3"/>
  <c r="I9" i="3"/>
  <c r="I10" i="3"/>
  <c r="I14" i="3" l="1"/>
  <c r="I16" i="3" s="1"/>
  <c r="I17" i="3" s="1"/>
  <c r="H17" i="3"/>
  <c r="J9" i="3"/>
  <c r="J10" i="3"/>
  <c r="K7" i="3"/>
  <c r="J14" i="3" l="1"/>
  <c r="J16" i="3" s="1"/>
  <c r="J17" i="3" s="1"/>
  <c r="L7" i="3"/>
  <c r="K10" i="3"/>
  <c r="K9" i="3"/>
  <c r="K14" i="3" l="1"/>
  <c r="K16" i="3" s="1"/>
  <c r="K17" i="3" s="1"/>
  <c r="M7" i="3"/>
  <c r="L10" i="3"/>
  <c r="L9" i="3"/>
  <c r="L14" i="3" l="1"/>
  <c r="L16" i="3" s="1"/>
  <c r="L17" i="3" s="1"/>
  <c r="M10" i="3"/>
  <c r="M9" i="3"/>
  <c r="N7" i="3"/>
  <c r="O7" i="3"/>
  <c r="M14" i="3" l="1"/>
  <c r="M16" i="3" s="1"/>
  <c r="M17" i="3" s="1"/>
  <c r="N10" i="3"/>
  <c r="N9" i="3"/>
  <c r="O9" i="3"/>
  <c r="O10" i="3"/>
  <c r="N14" i="3" l="1"/>
  <c r="N16" i="3" s="1"/>
  <c r="N17" i="3" s="1"/>
  <c r="O14" i="3"/>
  <c r="O16" i="3" s="1"/>
  <c r="O1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14" authorId="0" shapeId="0" xr:uid="{E1ACEA7F-EF4E-4A86-8C1A-BF8C8801A7D8}">
      <text>
        <r>
          <rPr>
            <sz val="9"/>
            <color indexed="81"/>
            <rFont val="Tahoma"/>
            <family val="2"/>
          </rPr>
          <t xml:space="preserve">Utilidad antes de impuestos
</t>
        </r>
      </text>
    </comment>
    <comment ref="A16" authorId="0" shapeId="0" xr:uid="{58B1BB35-83ED-41EF-BC79-A4CA238DFA81}">
      <text>
        <r>
          <rPr>
            <b/>
            <sz val="9"/>
            <color indexed="81"/>
            <rFont val="Tahoma"/>
            <family val="2"/>
          </rPr>
          <t>Utilidad después de impuestos</t>
        </r>
      </text>
    </comment>
    <comment ref="C16" authorId="0" shapeId="0" xr:uid="{A4657085-2F5B-4889-AA5E-9F27D75C8F72}">
      <text>
        <r>
          <rPr>
            <sz val="9"/>
            <color indexed="81"/>
            <rFont val="Tahoma"/>
            <family val="2"/>
          </rPr>
          <t xml:space="preserve">Porcentaje de impuesto que declaran las empresas: https://bold.co/academia/educacion-financiera/impuestos-que-pagan-las-empresas-en-colombia-2023-lo-que-debes-saber-si-eres
</t>
        </r>
      </text>
    </comment>
    <comment ref="A20" authorId="0" shapeId="0" xr:uid="{40779EE6-66BB-47B5-B666-212157EA08E7}">
      <text>
        <r>
          <rPr>
            <b/>
            <sz val="9"/>
            <color indexed="81"/>
            <rFont val="Tahoma"/>
            <family val="2"/>
          </rPr>
          <t>Valor presente</t>
        </r>
      </text>
    </comment>
    <comment ref="A21" authorId="0" shapeId="0" xr:uid="{DAD60A76-8BF0-42D2-A282-B15BDC48EF0B}">
      <text>
        <r>
          <rPr>
            <b/>
            <sz val="9"/>
            <color indexed="81"/>
            <rFont val="Tahoma"/>
            <family val="2"/>
          </rPr>
          <t>Valor presente neto</t>
        </r>
      </text>
    </comment>
    <comment ref="A22" authorId="0" shapeId="0" xr:uid="{305CE8B0-4DE5-411C-922C-F1D5B2D8B73E}">
      <text>
        <r>
          <rPr>
            <b/>
            <sz val="9"/>
            <color indexed="81"/>
            <rFont val="Tahoma"/>
            <family val="2"/>
          </rPr>
          <t>Tasa interna de retorno</t>
        </r>
      </text>
    </comment>
    <comment ref="A23" authorId="0" shapeId="0" xr:uid="{24EB7DE3-8F9A-4177-8AA8-6C6294BDEB2E}">
      <text>
        <r>
          <rPr>
            <b/>
            <sz val="9"/>
            <color indexed="81"/>
            <rFont val="Tahoma"/>
            <family val="2"/>
          </rPr>
          <t>Tasa interna de oportunidad</t>
        </r>
      </text>
    </comment>
  </commentList>
</comments>
</file>

<file path=xl/sharedStrings.xml><?xml version="1.0" encoding="utf-8"?>
<sst xmlns="http://schemas.openxmlformats.org/spreadsheetml/2006/main" count="73" uniqueCount="56">
  <si>
    <t>PRODUCTO</t>
  </si>
  <si>
    <t>Participación</t>
  </si>
  <si>
    <t xml:space="preserve">Enero 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</si>
  <si>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</si>
  <si>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</si>
  <si>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</si>
  <si>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</si>
  <si>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</si>
  <si>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</si>
  <si>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</si>
  <si>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</si>
  <si>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</si>
  <si>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</si>
  <si>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</si>
  <si>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IMPUESTOS (Tx)</t>
  </si>
  <si>
    <t>FLUJO DE CAJA</t>
  </si>
  <si>
    <t>Renta</t>
  </si>
  <si>
    <t>GASTOS (Fijos)</t>
  </si>
  <si>
    <t>COSTOS (Variables)</t>
  </si>
  <si>
    <t>TOTAL VENTAS</t>
  </si>
  <si>
    <t>VPN</t>
  </si>
  <si>
    <t>VP</t>
  </si>
  <si>
    <t>TIR</t>
  </si>
  <si>
    <t>TIO</t>
  </si>
  <si>
    <t>UAI (Antes de Impuestos)</t>
  </si>
  <si>
    <t>Cant. Unidades</t>
  </si>
  <si>
    <t>AUTOMATION SOLUTIOS ( AUTOSOL) - EVALUACION FINANCIERA</t>
  </si>
  <si>
    <t>Barco</t>
  </si>
  <si>
    <t>Casa</t>
  </si>
  <si>
    <t>Moto</t>
  </si>
  <si>
    <t>Administracion y Operarios</t>
  </si>
  <si>
    <t>Materia prima,empaque</t>
  </si>
  <si>
    <t>Energía eléctrica</t>
  </si>
  <si>
    <t>Bodega, Mantenimientos</t>
  </si>
  <si>
    <t>Mes</t>
  </si>
  <si>
    <t>Enero</t>
  </si>
  <si>
    <t>Motos</t>
  </si>
  <si>
    <t>Barcos</t>
  </si>
  <si>
    <t>Casas</t>
  </si>
  <si>
    <t>Precio(COP)</t>
  </si>
  <si>
    <t>Ventas Mensual</t>
  </si>
  <si>
    <t>Producción máxima (Unidades)</t>
  </si>
  <si>
    <t>Distribución Mensual de ventas estimada:</t>
  </si>
  <si>
    <t>Estimación ventas mensuales por tipo de juguete (Millones COP)</t>
  </si>
  <si>
    <t>Estimación ventas anuales totales (Millones COP)</t>
  </si>
  <si>
    <t>Estimación ventas mensuales por tipo de juguete (Unidades)</t>
  </si>
  <si>
    <t>Junio - Julio</t>
  </si>
  <si>
    <r>
      <t xml:space="preserve">Demás meses </t>
    </r>
    <r>
      <rPr>
        <b/>
        <sz val="11"/>
        <color theme="1"/>
        <rFont val="Calibri"/>
        <family val="2"/>
        <scheme val="minor"/>
      </rPr>
      <t>(7)</t>
    </r>
  </si>
  <si>
    <t>Producción proyectada mensual por tipo de juguete (Unidades)</t>
  </si>
  <si>
    <t>Estimación ventas de planta automatizada (Millones COP)</t>
  </si>
  <si>
    <t>Producción proyectada mensual por tipo de juguete dada la producción máxima de la planta automatizada (Unidades)</t>
  </si>
  <si>
    <t>Porcentaje de mercado abarcado</t>
  </si>
  <si>
    <t>Todo el estudio se hace acuerdo al perfil de consumo y a la producción máximo de la compañía</t>
  </si>
  <si>
    <t>Proyección ventas anual</t>
  </si>
  <si>
    <t>INVERSION EN MAQUINARIA</t>
  </si>
  <si>
    <t>INVERSION EN INGENIERÍA AUTOMATIZACIÓN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</si>
</sst>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-* #,##0\ _€_-;\-* #,##0\ _€_-;_-* &quot;-&quot;??\ _€_-;_-@_-"/>
    <numFmt numFmtId="167" formatCode="_-&quot;$&quot;* #,##0_-;\-&quot;$&quot;* #,##0_-;_-&quot;$&quot;* &quot;-&quot;??_-;_-@_-"/>
    <numFmt numFmtId="168" formatCode="0.0%"/>
    <numFmt numFmtId="169" formatCode="[$$-240A]\ #,##0.00"/>
    <numFmt numFmtId="170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66FF33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0"/>
      <color theme="1" tint="0.34998626667073579"/>
      <name val="Arial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165" fontId="0" fillId="0" borderId="0" xfId="1" applyNumberFormat="1" applyFont="1"/>
    <xf numFmtId="9" fontId="3" fillId="3" borderId="1" xfId="2" applyFont="1" applyFill="1" applyBorder="1" applyAlignment="1">
      <alignment horizontal="center" vertical="center"/>
    </xf>
    <xf numFmtId="0" fontId="2" fillId="2" borderId="4" xfId="0" applyFont="1" applyFill="1" applyBorder="1"/>
    <xf numFmtId="0" fontId="0" fillId="0" borderId="4" xfId="0" applyBorder="1" applyAlignment="1">
      <alignment horizontal="center"/>
    </xf>
    <xf numFmtId="17" fontId="0" fillId="2" borderId="4" xfId="0" applyNumberFormat="1" applyFill="1" applyBorder="1" applyAlignment="1">
      <alignment horizontal="center" vertical="center"/>
    </xf>
    <xf numFmtId="0" fontId="0" fillId="0" borderId="4" xfId="0" applyBorder="1"/>
    <xf numFmtId="9" fontId="0" fillId="0" borderId="3" xfId="2" applyFont="1" applyBorder="1" applyAlignment="1">
      <alignment horizontal="center"/>
    </xf>
    <xf numFmtId="165" fontId="2" fillId="0" borderId="0" xfId="1" applyNumberFormat="1" applyFont="1"/>
    <xf numFmtId="9" fontId="0" fillId="0" borderId="0" xfId="2" applyFont="1"/>
    <xf numFmtId="165" fontId="2" fillId="0" borderId="3" xfId="1" applyNumberFormat="1" applyFont="1" applyBorder="1" applyAlignment="1">
      <alignment horizontal="center"/>
    </xf>
    <xf numFmtId="165" fontId="0" fillId="2" borderId="4" xfId="1" applyNumberFormat="1" applyFont="1" applyFill="1" applyBorder="1" applyAlignment="1">
      <alignment horizontal="center"/>
    </xf>
    <xf numFmtId="165" fontId="0" fillId="0" borderId="4" xfId="1" applyNumberFormat="1" applyFont="1" applyBorder="1" applyAlignment="1">
      <alignment horizontal="center"/>
    </xf>
    <xf numFmtId="166" fontId="4" fillId="4" borderId="4" xfId="1" applyNumberFormat="1" applyFont="1" applyFill="1" applyBorder="1" applyAlignment="1">
      <alignment horizontal="center"/>
    </xf>
    <xf numFmtId="166" fontId="5" fillId="4" borderId="4" xfId="1" applyNumberFormat="1" applyFont="1" applyFill="1" applyBorder="1" applyAlignment="1">
      <alignment horizontal="center"/>
    </xf>
    <xf numFmtId="0" fontId="0" fillId="2" borderId="4" xfId="0" applyFill="1" applyBorder="1"/>
    <xf numFmtId="167" fontId="6" fillId="5" borderId="5" xfId="3" applyNumberFormat="1" applyFont="1" applyFill="1" applyBorder="1" applyAlignment="1">
      <alignment horizontal="center"/>
    </xf>
    <xf numFmtId="168" fontId="6" fillId="5" borderId="5" xfId="2" applyNumberFormat="1" applyFont="1" applyFill="1" applyBorder="1" applyAlignment="1">
      <alignment horizontal="center"/>
    </xf>
    <xf numFmtId="168" fontId="0" fillId="0" borderId="0" xfId="2" applyNumberFormat="1" applyFont="1"/>
    <xf numFmtId="165" fontId="7" fillId="0" borderId="0" xfId="1" applyNumberFormat="1" applyFont="1"/>
    <xf numFmtId="165" fontId="0" fillId="0" borderId="0" xfId="1" applyNumberFormat="1" applyFont="1" applyAlignment="1">
      <alignment wrapText="1"/>
    </xf>
    <xf numFmtId="9" fontId="0" fillId="0" borderId="0" xfId="0" applyNumberFormat="1"/>
    <xf numFmtId="1" fontId="0" fillId="0" borderId="0" xfId="0" applyNumberFormat="1"/>
    <xf numFmtId="1" fontId="0" fillId="0" borderId="4" xfId="0" applyNumberFormat="1" applyBorder="1"/>
    <xf numFmtId="0" fontId="2" fillId="0" borderId="4" xfId="0" applyFont="1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0" fontId="0" fillId="0" borderId="4" xfId="0" applyBorder="1" applyAlignment="1">
      <alignment vertical="center"/>
    </xf>
    <xf numFmtId="169" fontId="2" fillId="0" borderId="4" xfId="4" applyNumberFormat="1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169" fontId="0" fillId="0" borderId="4" xfId="4" applyNumberFormat="1" applyFont="1" applyBorder="1" applyAlignment="1">
      <alignment vertical="center"/>
    </xf>
    <xf numFmtId="9" fontId="0" fillId="0" borderId="4" xfId="0" applyNumberFormat="1" applyBorder="1"/>
    <xf numFmtId="0" fontId="8" fillId="0" borderId="4" xfId="0" applyFont="1" applyBorder="1" applyAlignment="1">
      <alignment vertical="center"/>
    </xf>
    <xf numFmtId="170" fontId="0" fillId="0" borderId="4" xfId="0" applyNumberFormat="1" applyBorder="1"/>
    <xf numFmtId="43" fontId="0" fillId="0" borderId="3" xfId="0" applyNumberFormat="1" applyBorder="1" applyAlignment="1">
      <alignment horizontal="center"/>
    </xf>
    <xf numFmtId="9" fontId="3" fillId="3" borderId="1" xfId="2" applyFont="1" applyFill="1" applyBorder="1" applyAlignment="1">
      <alignment vertical="center"/>
    </xf>
    <xf numFmtId="168" fontId="3" fillId="3" borderId="2" xfId="2" applyNumberFormat="1" applyFont="1" applyFill="1" applyBorder="1" applyAlignment="1">
      <alignment horizontal="center" vertical="center"/>
    </xf>
    <xf numFmtId="165" fontId="2" fillId="0" borderId="0" xfId="1" applyNumberFormat="1" applyFont="1" applyAlignment="1">
      <alignment wrapText="1"/>
    </xf>
    <xf numFmtId="165" fontId="2" fillId="0" borderId="0" xfId="1" applyNumberFormat="1" applyFont="1" applyBorder="1"/>
    <xf numFmtId="165" fontId="0" fillId="0" borderId="0" xfId="1" applyNumberFormat="1" applyFont="1" applyBorder="1"/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6" xfId="0" applyBorder="1" applyAlignment="1">
      <alignment horizontal="center" wrapText="1"/>
    </xf>
  </cellXfs>
  <cellStyles count="5">
    <cellStyle name="Millares" xfId="1" builtinId="3"/>
    <cellStyle name="Moneda" xfId="4" builtinId="4"/>
    <cellStyle name="Moneda 5" xfId="3" xr:uid="{00000000-0005-0000-0000-000001000000}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Estimación ventas mensuales por tipo de juguete (Millones COP)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ventas'!$B$2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ventas'!$B$3:$B$14</c:f>
              <c:numCache>
                <c:formatCode>0.00</c:formatCode>
                <c:ptCount val="12"/>
                <c:pt idx="0">
                  <c:v>292.57142857142861</c:v>
                </c:pt>
                <c:pt idx="1">
                  <c:v>292.57142857142861</c:v>
                </c:pt>
                <c:pt idx="2">
                  <c:v>292.57142857142861</c:v>
                </c:pt>
                <c:pt idx="3">
                  <c:v>819.20000000000016</c:v>
                </c:pt>
                <c:pt idx="4">
                  <c:v>292.57142857142861</c:v>
                </c:pt>
                <c:pt idx="5">
                  <c:v>682.66666666666686</c:v>
                </c:pt>
                <c:pt idx="6">
                  <c:v>682.66666666666686</c:v>
                </c:pt>
                <c:pt idx="7">
                  <c:v>292.57142857142861</c:v>
                </c:pt>
                <c:pt idx="8">
                  <c:v>292.57142857142861</c:v>
                </c:pt>
                <c:pt idx="9">
                  <c:v>546.13333333333344</c:v>
                </c:pt>
                <c:pt idx="10">
                  <c:v>292.57142857142861</c:v>
                </c:pt>
                <c:pt idx="11">
                  <c:v>2048.0000000000005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F-4226-A200-428435B6E470}"/>
            </c:ext>
          </c:extLst>
        </c:ser>
        <c:ser>
          <c:idx val="1"/>
          <c:order val="1"/>
          <c:tx>
            <c:strRef>
              <c:f>'Proyección ventas'!$C$2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ventas'!$C$3:$C$14</c:f>
              <c:numCache>
                <c:formatCode>0.00</c:formatCode>
                <c:ptCount val="12"/>
                <c:pt idx="0">
                  <c:v>256</c:v>
                </c:pt>
                <c:pt idx="1">
                  <c:v>256</c:v>
                </c:pt>
                <c:pt idx="2">
                  <c:v>256</c:v>
                </c:pt>
                <c:pt idx="3">
                  <c:v>716.8</c:v>
                </c:pt>
                <c:pt idx="4">
                  <c:v>256</c:v>
                </c:pt>
                <c:pt idx="5">
                  <c:v>597.33333333333337</c:v>
                </c:pt>
                <c:pt idx="6">
                  <c:v>597.33333333333337</c:v>
                </c:pt>
                <c:pt idx="7">
                  <c:v>256</c:v>
                </c:pt>
                <c:pt idx="8">
                  <c:v>256</c:v>
                </c:pt>
                <c:pt idx="9">
                  <c:v>477.86666666666667</c:v>
                </c:pt>
                <c:pt idx="10">
                  <c:v>256</c:v>
                </c:pt>
                <c:pt idx="11">
                  <c:v>1791.9999999999998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F-4226-A200-428435B6E470}"/>
            </c:ext>
          </c:extLst>
        </c:ser>
        <c:ser>
          <c:idx val="2"/>
          <c:order val="2"/>
          <c:tx>
            <c:strRef>
              <c:f>'Proyección ventas'!$D$2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ventas'!$A$3:$A$14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ventas'!$D$3:$D$14</c:f>
              <c:numCache>
                <c:formatCode>0.00</c:formatCode>
                <c:ptCount val="12"/>
                <c:pt idx="0">
                  <c:v>182.85714285714286</c:v>
                </c:pt>
                <c:pt idx="1">
                  <c:v>182.85714285714286</c:v>
                </c:pt>
                <c:pt idx="2">
                  <c:v>182.85714285714286</c:v>
                </c:pt>
                <c:pt idx="3">
                  <c:v>512</c:v>
                </c:pt>
                <c:pt idx="4">
                  <c:v>182.85714285714286</c:v>
                </c:pt>
                <c:pt idx="5">
                  <c:v>426.66666666666674</c:v>
                </c:pt>
                <c:pt idx="6">
                  <c:v>426.66666666666674</c:v>
                </c:pt>
                <c:pt idx="7">
                  <c:v>182.85714285714286</c:v>
                </c:pt>
                <c:pt idx="8">
                  <c:v>182.85714285714286</c:v>
                </c:pt>
                <c:pt idx="9">
                  <c:v>341.33333333333337</c:v>
                </c:pt>
                <c:pt idx="10">
                  <c:v>182.85714285714286</c:v>
                </c:pt>
                <c:pt idx="11">
                  <c:v>1280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F-4226-A200-428435B6E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8032576"/>
        <c:axId val="1218026336"/>
      </c:lineChart>
      <c:catAx>
        <c:axId val="121803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026336"/>
        <c:crosses val="autoZero"/>
        <c:auto val="1"/>
        <c:lblAlgn val="ctr"/>
        <c:lblOffset val="100"/>
        <c:noMultiLvlLbl val="0"/>
      </c:catAx>
      <c:valAx>
        <c:axId val="121802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Millones de pesos COP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1803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Estimación ventas mensuales por tipo de juguete (Unidades)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ventas'!$B$18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ventas'!$B$19:$B$30</c:f>
              <c:numCache>
                <c:formatCode>0</c:formatCode>
                <c:ptCount val="12"/>
                <c:pt idx="0">
                  <c:v>29257.142857142859</c:v>
                </c:pt>
                <c:pt idx="1">
                  <c:v>29257.142857142859</c:v>
                </c:pt>
                <c:pt idx="2">
                  <c:v>29257.142857142859</c:v>
                </c:pt>
                <c:pt idx="3">
                  <c:v>81920.000000000015</c:v>
                </c:pt>
                <c:pt idx="4">
                  <c:v>29257.142857142859</c:v>
                </c:pt>
                <c:pt idx="5">
                  <c:v>68266.666666666686</c:v>
                </c:pt>
                <c:pt idx="6">
                  <c:v>68266.666666666686</c:v>
                </c:pt>
                <c:pt idx="7">
                  <c:v>29257.142857142859</c:v>
                </c:pt>
                <c:pt idx="8">
                  <c:v>29257.142857142859</c:v>
                </c:pt>
                <c:pt idx="9">
                  <c:v>54613.33333333335</c:v>
                </c:pt>
                <c:pt idx="10">
                  <c:v>29257.142857142859</c:v>
                </c:pt>
                <c:pt idx="11">
                  <c:v>204800.00000000006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F-452C-948C-F3324D6896C3}"/>
            </c:ext>
          </c:extLst>
        </c:ser>
        <c:ser>
          <c:idx val="1"/>
          <c:order val="1"/>
          <c:tx>
            <c:strRef>
              <c:f>'Proyección ventas'!$C$18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ventas'!$C$19:$C$30</c:f>
              <c:numCache>
                <c:formatCode>0</c:formatCode>
                <c:ptCount val="12"/>
                <c:pt idx="0">
                  <c:v>21333.333333333332</c:v>
                </c:pt>
                <c:pt idx="1">
                  <c:v>21333.333333333332</c:v>
                </c:pt>
                <c:pt idx="2">
                  <c:v>21333.333333333332</c:v>
                </c:pt>
                <c:pt idx="3">
                  <c:v>59733.333333333336</c:v>
                </c:pt>
                <c:pt idx="4">
                  <c:v>21333.333333333332</c:v>
                </c:pt>
                <c:pt idx="5">
                  <c:v>49777.777777777781</c:v>
                </c:pt>
                <c:pt idx="6">
                  <c:v>49777.777777777781</c:v>
                </c:pt>
                <c:pt idx="7">
                  <c:v>21333.333333333332</c:v>
                </c:pt>
                <c:pt idx="8">
                  <c:v>21333.333333333332</c:v>
                </c:pt>
                <c:pt idx="9">
                  <c:v>39822.222222222226</c:v>
                </c:pt>
                <c:pt idx="10">
                  <c:v>21333.333333333332</c:v>
                </c:pt>
                <c:pt idx="11">
                  <c:v>149333.33333333331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1F-452C-948C-F3324D6896C3}"/>
            </c:ext>
          </c:extLst>
        </c:ser>
        <c:ser>
          <c:idx val="2"/>
          <c:order val="2"/>
          <c:tx>
            <c:strRef>
              <c:f>'Proyección ventas'!$D$18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ventas'!$A$19:$A$30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ventas'!$D$19:$D$30</c:f>
              <c:numCache>
                <c:formatCode>0</c:formatCode>
                <c:ptCount val="12"/>
                <c:pt idx="0">
                  <c:v>12190.476190476191</c:v>
                </c:pt>
                <c:pt idx="1">
                  <c:v>12190.476190476191</c:v>
                </c:pt>
                <c:pt idx="2">
                  <c:v>12190.476190476191</c:v>
                </c:pt>
                <c:pt idx="3">
                  <c:v>34133.333333333336</c:v>
                </c:pt>
                <c:pt idx="4">
                  <c:v>12190.476190476191</c:v>
                </c:pt>
                <c:pt idx="5">
                  <c:v>28444.444444444449</c:v>
                </c:pt>
                <c:pt idx="6">
                  <c:v>28444.444444444449</c:v>
                </c:pt>
                <c:pt idx="7">
                  <c:v>12190.476190476191</c:v>
                </c:pt>
                <c:pt idx="8">
                  <c:v>12190.476190476191</c:v>
                </c:pt>
                <c:pt idx="9">
                  <c:v>22755.555555555558</c:v>
                </c:pt>
                <c:pt idx="10">
                  <c:v>12190.476190476191</c:v>
                </c:pt>
                <c:pt idx="11">
                  <c:v>85333.333333333328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1F-452C-948C-F3324D68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283696"/>
        <c:axId val="1247290416"/>
      </c:lineChart>
      <c:catAx>
        <c:axId val="124728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7290416"/>
        <c:crosses val="autoZero"/>
        <c:auto val="1"/>
        <c:lblAlgn val="ctr"/>
        <c:lblOffset val="100"/>
        <c:noMultiLvlLbl val="0"/>
      </c:catAx>
      <c:valAx>
        <c:axId val="124729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24728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baseline="0">
                <a:effectLst/>
              </a:rPr>
              <a:t>Producción proyectada mensual por tipo de juguete dada la producción máxima de la planta automatizada (Unidades)</a:t>
            </a:r>
            <a:r>
              <a:rPr lang="es-MX" sz="1400" b="0" i="0" u="none" strike="noStrike" baseline="0"/>
              <a:t> 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'Proyección ventas'!$G$34</c:f>
              <c:strCache>
                <c:ptCount val="1"/>
                <c:pt idx="0">
                  <c:v>Moto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ventas'!$G$35:$G$46</c:f>
              <c:numCache>
                <c:formatCode>0</c:formatCode>
                <c:ptCount val="12"/>
                <c:pt idx="0">
                  <c:v>5851.4285714285725</c:v>
                </c:pt>
                <c:pt idx="1">
                  <c:v>5851.4285714285725</c:v>
                </c:pt>
                <c:pt idx="2">
                  <c:v>7478.4285714285761</c:v>
                </c:pt>
                <c:pt idx="3">
                  <c:v>14757</c:v>
                </c:pt>
                <c:pt idx="4">
                  <c:v>3644.095238095244</c:v>
                </c:pt>
                <c:pt idx="5">
                  <c:v>14757</c:v>
                </c:pt>
                <c:pt idx="6">
                  <c:v>14757</c:v>
                </c:pt>
                <c:pt idx="7">
                  <c:v>10408.952380952396</c:v>
                </c:pt>
                <c:pt idx="8">
                  <c:v>14757</c:v>
                </c:pt>
                <c:pt idx="9">
                  <c:v>14757</c:v>
                </c:pt>
                <c:pt idx="10">
                  <c:v>14757</c:v>
                </c:pt>
                <c:pt idx="11">
                  <c:v>14757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8-4417-BED4-8D24443EF27D}"/>
            </c:ext>
          </c:extLst>
        </c:ser>
        <c:ser>
          <c:idx val="1"/>
          <c:order val="1"/>
          <c:tx>
            <c:strRef>
              <c:f>'Proyección ventas'!$H$34</c:f>
              <c:strCache>
                <c:ptCount val="1"/>
                <c:pt idx="0">
                  <c:v>Barco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ventas'!$H$35:$H$46</c:f>
              <c:numCache>
                <c:formatCode>0</c:formatCode>
                <c:ptCount val="12"/>
                <c:pt idx="0">
                  <c:v>4266.666666666667</c:v>
                </c:pt>
                <c:pt idx="1">
                  <c:v>4266.666666666667</c:v>
                </c:pt>
                <c:pt idx="2">
                  <c:v>4266.666666666667</c:v>
                </c:pt>
                <c:pt idx="3">
                  <c:v>11946.666666666668</c:v>
                </c:pt>
                <c:pt idx="4">
                  <c:v>4266.666666666667</c:v>
                </c:pt>
                <c:pt idx="5">
                  <c:v>9955.5555555555566</c:v>
                </c:pt>
                <c:pt idx="6">
                  <c:v>9955.5555555555566</c:v>
                </c:pt>
                <c:pt idx="7">
                  <c:v>4266.666666666667</c:v>
                </c:pt>
                <c:pt idx="8">
                  <c:v>7745.4444444444453</c:v>
                </c:pt>
                <c:pt idx="9">
                  <c:v>12873</c:v>
                </c:pt>
                <c:pt idx="10">
                  <c:v>12873</c:v>
                </c:pt>
                <c:pt idx="11">
                  <c:v>12873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8-4417-BED4-8D24443EF27D}"/>
            </c:ext>
          </c:extLst>
        </c:ser>
        <c:ser>
          <c:idx val="2"/>
          <c:order val="2"/>
          <c:tx>
            <c:strRef>
              <c:f>'Proyección ventas'!$I$34</c:f>
              <c:strCache>
                <c:ptCount val="1"/>
                <c:pt idx="0">
                  <c:v>Casa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'Proyección ventas'!$F$35:$F$46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'Proyección ventas'!$I$35:$I$46</c:f>
              <c:numCache>
                <c:formatCode>0</c:formatCode>
                <c:ptCount val="12"/>
                <c:pt idx="0">
                  <c:v>2438.0952380952381</c:v>
                </c:pt>
                <c:pt idx="1">
                  <c:v>2438.0952380952381</c:v>
                </c:pt>
                <c:pt idx="2">
                  <c:v>2438.0952380952381</c:v>
                </c:pt>
                <c:pt idx="3">
                  <c:v>6826.6666666666679</c:v>
                </c:pt>
                <c:pt idx="4">
                  <c:v>2438.0952380952381</c:v>
                </c:pt>
                <c:pt idx="5">
                  <c:v>5688.8888888888905</c:v>
                </c:pt>
                <c:pt idx="6">
                  <c:v>5688.8888888888905</c:v>
                </c:pt>
                <c:pt idx="7">
                  <c:v>2438.0952380952381</c:v>
                </c:pt>
                <c:pt idx="8">
                  <c:v>2438.0952380952381</c:v>
                </c:pt>
                <c:pt idx="9">
                  <c:v>5883.8730158730177</c:v>
                </c:pt>
                <c:pt idx="10">
                  <c:v>9086</c:v>
                </c:pt>
                <c:pt idx="11">
                  <c:v>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8-4417-BED4-8D24443E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923696"/>
        <c:axId val="978922256"/>
      </c:lineChart>
      <c:catAx>
        <c:axId val="9789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922256"/>
        <c:crosses val="autoZero"/>
        <c:auto val="1"/>
        <c:lblAlgn val="ctr"/>
        <c:lblOffset val="100"/>
        <c:noMultiLvlLbl val="0"/>
      </c:catAx>
      <c:valAx>
        <c:axId val="97892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Unidades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7892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Flujo de caja del</a:t>
            </a:r>
            <a:r>
              <a:rPr lang="en-US" baseline="0"/>
              <a:t> proyecto para un año</a:t>
            </a:r>
            <a:endParaRPr lang="en-US"/>
          </a:p>
        </c:rich>
      </c:tx>
      <c:layout>
        <c:manualLayout>
          <c:xMode val="edge"/>
          <c:yMode val="edge"/>
          <c:x val="0.3680137795275590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'Evaluación fianciera'!$C$17</c:f>
              <c:numCache>
                <c:formatCode>_-* #,##0\ _€_-;\-* #,##0\ _€_-;_-* "-"??\ _€_-;_-@_-</c:formatCode>
                <c:ptCount val="1"/>
                <c:pt idx="0">
                  <c:v>-1500000000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40-47B2-BC1B-5C3661ECAF9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'Evaluación fianciera'!$D$17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40-47B2-BC1B-5C3661ECAF9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'Evaluación fianciera'!$E$17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40-47B2-BC1B-5C3661ECAF9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'Evaluación fianciera'!$F$17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40-47B2-BC1B-5C3661ECAF9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'Evaluación fianciera'!$G$17</c:f>
              <c:numCache>
                <c:formatCode>_-* #,##0\ _€_-;\-* #,##0\ _€_-;_-* "-"??\ _€_-;_-@_-</c:formatCode>
                <c:ptCount val="1"/>
                <c:pt idx="0">
                  <c:v>200116799.97868001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40-47B2-BC1B-5C3661ECAF9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'Evaluación fianciera'!$H$17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40-47B2-BC1B-5C3661ECAF9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fianciera'!$I$17</c:f>
              <c:numCache>
                <c:formatCode>_-* #,##0\ _€_-;\-* #,##0\ _€_-;_-* "-"??\ _€_-;_-@_-</c:formatCode>
                <c:ptCount val="1"/>
                <c:pt idx="0">
                  <c:v>163730666.6489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40-47B2-BC1B-5C3661ECAF9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fianciera'!$J$17</c:f>
              <c:numCache>
                <c:formatCode>_-* #,##0\ _€_-;\-* #,##0\ _€_-;_-* "-"??\ _€_-;_-@_-</c:formatCode>
                <c:ptCount val="1"/>
                <c:pt idx="0">
                  <c:v>163730666.6489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40-47B2-BC1B-5C3661ECAF9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fianciera'!$K$17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340-47B2-BC1B-5C3661ECAF9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fianciera'!$L$17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340-47B2-BC1B-5C3661ECAF9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fianciera'!$M$17</c:f>
              <c:numCache>
                <c:formatCode>_-* #,##0\ _€_-;\-* #,##0\ _€_-;_-* "-"??\ _€_-;_-@_-</c:formatCode>
                <c:ptCount val="1"/>
                <c:pt idx="0">
                  <c:v>127344533.31912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340-47B2-BC1B-5C3661ECAF9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fianciera'!$N$17</c:f>
              <c:numCache>
                <c:formatCode>_-* #,##0\ _€_-;\-* #,##0\ _€_-;_-* "-"??\ _€_-;_-@_-</c:formatCode>
                <c:ptCount val="1"/>
                <c:pt idx="0">
                  <c:v>60030186.659026988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340-47B2-BC1B-5C3661ECAF9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'Evaluación fianciera'!$O$17</c:f>
              <c:numCache>
                <c:formatCode>_-* #,##0\ _€_-;\-* #,##0\ _€_-;_-* "-"??\ _€_-;_-@_-</c:formatCode>
                <c:ptCount val="1"/>
                <c:pt idx="0">
                  <c:v>527591999.94669992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40-47B2-BC1B-5C3661ECA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647568"/>
        <c:axId val="324650368"/>
      </c:barChart>
      <c:catAx>
        <c:axId val="324647568"/>
        <c:scaling>
          <c:orientation val="minMax"/>
        </c:scaling>
        <c:delete val="1"/>
        <c:axPos val="b"/>
        <c:majorTickMark val="out"/>
        <c:minorTickMark val="none"/>
        <c:tickLblPos val="nextTo"/>
        <c:crossAx val="324650368"/>
        <c:crosses val="autoZero"/>
        <c:auto val="1"/>
        <c:lblAlgn val="ctr"/>
        <c:lblOffset val="100"/>
        <c:noMultiLvlLbl val="0"/>
      </c:catAx>
      <c:valAx>
        <c:axId val="32465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4647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617220</xdr:colOff>
      <xdr:row>8</xdr:row>
      <xdr:rowOff>76200</xdr:rowOff>
    </xdr:from>
    <xdr:to>
      <xdr:col>15</xdr:col>
      <xdr:colOff>320040</xdr:colOff>
      <xdr:row>24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6B0B6DA-6FD3-37C3-3348-786D10F94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647700</xdr:colOff>
      <xdr:row>25</xdr:row>
      <xdr:rowOff>83820</xdr:rowOff>
    </xdr:from>
    <xdr:to>
      <xdr:col>15</xdr:col>
      <xdr:colOff>358140</xdr:colOff>
      <xdr:row>41</xdr:row>
      <xdr:rowOff>91440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199703F-B230-8CA0-CDB3-7FE4792F7C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594360</xdr:colOff>
      <xdr:row>42</xdr:row>
      <xdr:rowOff>68580</xdr:rowOff>
    </xdr:from>
    <xdr:to>
      <xdr:col>15</xdr:col>
      <xdr:colOff>342900</xdr:colOff>
      <xdr:row>58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E05791F-0295-F0D9-9ACE-B81326195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19</xdr:row>
      <xdr:rowOff>4762</xdr:rowOff>
    </xdr:from>
    <xdr:to>
      <xdr:col>10</xdr:col>
      <xdr:colOff>38100</xdr:colOff>
      <xdr:row>34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8C9DAA-CDFB-4A45-AD24-DAA8E7EE7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5875F-8E18-430B-8568-E6400B7C666D}">
  <dimension ref="A1:N62"/>
  <sheetViews>
    <sheetView tabSelected="1" topLeftCell="A13" workbookViewId="0">
      <selection activeCell="H26" sqref="H26"/>
    </sheetView>
  </sheetViews>
  <sheetFormatPr baseColWidth="10" defaultRowHeight="14.4" x14ac:dyDescent="0.3"/>
  <cols>
    <col min="2" max="4" width="13.5546875" bestFit="1" customWidth="1"/>
    <col min="7" max="7" width="12.5546875" bestFit="1" customWidth="1"/>
    <col min="8" max="8" width="13.77734375" bestFit="1" customWidth="1"/>
    <col min="9" max="9" width="14" bestFit="1" customWidth="1"/>
    <col min="10" max="10" width="16.77734375" customWidth="1"/>
    <col min="13" max="13" width="15.6640625" bestFit="1" customWidth="1"/>
    <col min="14" max="14" width="4.44140625" bestFit="1" customWidth="1"/>
  </cols>
  <sheetData>
    <row r="1" spans="1:14" ht="27" customHeight="1" x14ac:dyDescent="0.3">
      <c r="A1" s="41" t="s">
        <v>43</v>
      </c>
      <c r="B1" s="41"/>
      <c r="C1" s="41"/>
      <c r="D1" s="41"/>
    </row>
    <row r="2" spans="1:14" ht="43.2" x14ac:dyDescent="0.3">
      <c r="A2" s="24" t="s">
        <v>34</v>
      </c>
      <c r="B2" s="24" t="s">
        <v>29</v>
      </c>
      <c r="C2" s="24" t="s">
        <v>27</v>
      </c>
      <c r="D2" s="24" t="s">
        <v>28</v>
      </c>
      <c r="G2" s="27"/>
      <c r="H2" s="28" t="s">
        <v>39</v>
      </c>
      <c r="I2" s="29" t="s">
        <v>40</v>
      </c>
      <c r="J2" s="30" t="s">
        <v>41</v>
      </c>
      <c r="M2" s="42" t="s">
        <v>42</v>
      </c>
      <c r="N2" s="43"/>
    </row>
    <row r="3" spans="1:14" x14ac:dyDescent="0.3">
      <c r="A3" s="25" t="s">
        <v>35</v>
      </c>
      <c r="B3" s="26">
        <f>G15*I3*N7%</f>
        <v>292.57142857142861</v>
      </c>
      <c r="C3" s="26">
        <f>G15*I4*N7%</f>
        <v>256</v>
      </c>
      <c r="D3" s="26">
        <f>G15*I5*N7%</f>
        <v>182.85714285714286</v>
      </c>
      <c r="G3" s="29" t="s">
        <v>36</v>
      </c>
      <c r="H3" s="31">
        <v>10000</v>
      </c>
      <c r="I3" s="32">
        <v>0.4</v>
      </c>
      <c r="J3" s="6">
        <v>14757</v>
      </c>
      <c r="M3" s="33" t="s">
        <v>13</v>
      </c>
      <c r="N3" s="32">
        <v>0.3</v>
      </c>
    </row>
    <row r="4" spans="1:14" x14ac:dyDescent="0.3">
      <c r="A4" s="25" t="s">
        <v>3</v>
      </c>
      <c r="B4" s="26">
        <f>G15*I3*N7%</f>
        <v>292.57142857142861</v>
      </c>
      <c r="C4" s="26">
        <f>G15*I4*N7%</f>
        <v>256</v>
      </c>
      <c r="D4" s="26">
        <f>G15*I5*N7%</f>
        <v>182.85714285714286</v>
      </c>
      <c r="G4" s="29" t="s">
        <v>37</v>
      </c>
      <c r="H4" s="31">
        <v>12000</v>
      </c>
      <c r="I4" s="32">
        <v>0.35</v>
      </c>
      <c r="J4" s="6">
        <v>12873</v>
      </c>
      <c r="M4" s="33" t="s">
        <v>5</v>
      </c>
      <c r="N4" s="32">
        <v>0.12</v>
      </c>
    </row>
    <row r="5" spans="1:14" x14ac:dyDescent="0.3">
      <c r="A5" s="25" t="s">
        <v>4</v>
      </c>
      <c r="B5" s="26">
        <f>G15*I3*N7%</f>
        <v>292.57142857142861</v>
      </c>
      <c r="C5" s="26">
        <f>G15*I4*N7%</f>
        <v>256</v>
      </c>
      <c r="D5" s="26">
        <f>G15*I5*N7%</f>
        <v>182.85714285714286</v>
      </c>
      <c r="G5" s="29" t="s">
        <v>38</v>
      </c>
      <c r="H5" s="31">
        <v>15000</v>
      </c>
      <c r="I5" s="32">
        <v>0.25</v>
      </c>
      <c r="J5" s="6">
        <v>9086</v>
      </c>
      <c r="M5" s="33" t="s">
        <v>46</v>
      </c>
      <c r="N5" s="32">
        <v>0.1</v>
      </c>
    </row>
    <row r="6" spans="1:14" x14ac:dyDescent="0.3">
      <c r="A6" s="25" t="s">
        <v>5</v>
      </c>
      <c r="B6" s="26">
        <f>G15*I3*N4</f>
        <v>819.20000000000016</v>
      </c>
      <c r="C6" s="26">
        <f>G15*I4*N4</f>
        <v>716.8</v>
      </c>
      <c r="D6" s="26">
        <f>G15*I5*N4</f>
        <v>512</v>
      </c>
      <c r="M6" s="33" t="s">
        <v>11</v>
      </c>
      <c r="N6" s="32">
        <v>0.08</v>
      </c>
    </row>
    <row r="7" spans="1:14" x14ac:dyDescent="0.3">
      <c r="A7" s="25" t="s">
        <v>6</v>
      </c>
      <c r="B7" s="26">
        <f>G15*I3*N7%</f>
        <v>292.57142857142861</v>
      </c>
      <c r="C7" s="26">
        <f>G15*I4*N7%</f>
        <v>256</v>
      </c>
      <c r="D7" s="26">
        <f>G15*I5*N7%</f>
        <v>182.85714285714286</v>
      </c>
      <c r="M7" s="33" t="s">
        <v>47</v>
      </c>
      <c r="N7" s="34">
        <f>30/7</f>
        <v>4.2857142857142856</v>
      </c>
    </row>
    <row r="8" spans="1:14" x14ac:dyDescent="0.3">
      <c r="A8" s="25" t="s">
        <v>7</v>
      </c>
      <c r="B8" s="26">
        <f>G15*I3*N5</f>
        <v>682.66666666666686</v>
      </c>
      <c r="C8" s="26">
        <f>G15*I4*N5</f>
        <v>597.33333333333337</v>
      </c>
      <c r="D8" s="26">
        <f>G15*I5*N5</f>
        <v>426.66666666666674</v>
      </c>
    </row>
    <row r="9" spans="1:14" x14ac:dyDescent="0.3">
      <c r="A9" s="25" t="s">
        <v>8</v>
      </c>
      <c r="B9" s="26">
        <f>G15*I3*N5</f>
        <v>682.66666666666686</v>
      </c>
      <c r="C9" s="26">
        <f>G15*I4*N5</f>
        <v>597.33333333333337</v>
      </c>
      <c r="D9" s="26">
        <f>G15*I5*N5</f>
        <v>426.66666666666674</v>
      </c>
    </row>
    <row r="10" spans="1:14" x14ac:dyDescent="0.3">
      <c r="A10" s="25" t="s">
        <v>9</v>
      </c>
      <c r="B10" s="26">
        <f>G15*I3*N7%</f>
        <v>292.57142857142861</v>
      </c>
      <c r="C10" s="26">
        <f>G15*I4*N7%</f>
        <v>256</v>
      </c>
      <c r="D10" s="26">
        <f>G15*I5*N7%</f>
        <v>182.85714285714286</v>
      </c>
    </row>
    <row r="11" spans="1:14" x14ac:dyDescent="0.3">
      <c r="A11" s="25" t="s">
        <v>10</v>
      </c>
      <c r="B11" s="26">
        <f>G15*I3*N7%</f>
        <v>292.57142857142861</v>
      </c>
      <c r="C11" s="26">
        <f>G15*I4*N7%</f>
        <v>256</v>
      </c>
      <c r="D11" s="26">
        <f>G15*I5*N7%</f>
        <v>182.85714285714286</v>
      </c>
    </row>
    <row r="12" spans="1:14" x14ac:dyDescent="0.3">
      <c r="A12" s="25" t="s">
        <v>11</v>
      </c>
      <c r="B12" s="26">
        <f>G15*I3*N6</f>
        <v>546.13333333333344</v>
      </c>
      <c r="C12" s="26">
        <f>G15*I4*N6</f>
        <v>477.86666666666667</v>
      </c>
      <c r="D12" s="26">
        <f>G15*I5*N6</f>
        <v>341.33333333333337</v>
      </c>
    </row>
    <row r="13" spans="1:14" x14ac:dyDescent="0.3">
      <c r="A13" s="25" t="s">
        <v>12</v>
      </c>
      <c r="B13" s="26">
        <f>G15*I3*N7%</f>
        <v>292.57142857142861</v>
      </c>
      <c r="C13" s="26">
        <f>G15*I4*N7%</f>
        <v>256</v>
      </c>
      <c r="D13" s="26">
        <f>G15*I5*N7%</f>
        <v>182.85714285714286</v>
      </c>
    </row>
    <row r="14" spans="1:14" x14ac:dyDescent="0.3">
      <c r="A14" s="25" t="s">
        <v>13</v>
      </c>
      <c r="B14" s="26">
        <f>G15*I3*N3</f>
        <v>2048.0000000000005</v>
      </c>
      <c r="C14" s="26">
        <f>G15*I4*N3</f>
        <v>1791.9999999999998</v>
      </c>
      <c r="D14" s="26">
        <f>G15*I5*N3</f>
        <v>1280</v>
      </c>
      <c r="G14" t="s">
        <v>44</v>
      </c>
    </row>
    <row r="15" spans="1:14" x14ac:dyDescent="0.3">
      <c r="G15" s="6">
        <f>(800000)*(1+10*(2/3)/100)*0.02</f>
        <v>17066.666666666668</v>
      </c>
    </row>
    <row r="17" spans="1:7" ht="30" customHeight="1" x14ac:dyDescent="0.3">
      <c r="A17" s="41" t="s">
        <v>45</v>
      </c>
      <c r="B17" s="41"/>
      <c r="C17" s="41"/>
      <c r="D17" s="41"/>
      <c r="G17" t="s">
        <v>49</v>
      </c>
    </row>
    <row r="18" spans="1:7" x14ac:dyDescent="0.3">
      <c r="A18" s="6" t="str">
        <f t="shared" ref="A18:D30" si="0">A2</f>
        <v>Mes</v>
      </c>
      <c r="B18" s="6" t="str">
        <f t="shared" si="0"/>
        <v>Moto</v>
      </c>
      <c r="C18" s="6" t="str">
        <f t="shared" si="0"/>
        <v>Barco</v>
      </c>
      <c r="D18" s="6" t="str">
        <f t="shared" si="0"/>
        <v>Casa</v>
      </c>
      <c r="G18" s="6">
        <f>G15*20%</f>
        <v>3413.3333333333339</v>
      </c>
    </row>
    <row r="19" spans="1:7" x14ac:dyDescent="0.3">
      <c r="A19" s="6" t="str">
        <f t="shared" si="0"/>
        <v>Enero</v>
      </c>
      <c r="B19" s="23">
        <f>B3*1000000/$H$3</f>
        <v>29257.142857142859</v>
      </c>
      <c r="C19" s="23">
        <f>C3*1000000/$H$4</f>
        <v>21333.333333333332</v>
      </c>
      <c r="D19" s="23">
        <f>D3*1000000/$H$5</f>
        <v>12190.476190476191</v>
      </c>
    </row>
    <row r="20" spans="1:7" x14ac:dyDescent="0.3">
      <c r="A20" s="6" t="str">
        <f t="shared" si="0"/>
        <v>Febrero</v>
      </c>
      <c r="B20" s="23">
        <f t="shared" ref="B20:B21" si="1">B4*1000000/$H$3</f>
        <v>29257.142857142859</v>
      </c>
      <c r="C20" s="23">
        <f t="shared" ref="C20:C30" si="2">C4*1000000/$H$4</f>
        <v>21333.333333333332</v>
      </c>
      <c r="D20" s="23">
        <f t="shared" ref="D20:D30" si="3">D4*1000000/$H$5</f>
        <v>12190.476190476191</v>
      </c>
      <c r="G20" t="s">
        <v>51</v>
      </c>
    </row>
    <row r="21" spans="1:7" x14ac:dyDescent="0.3">
      <c r="A21" s="6" t="str">
        <f t="shared" si="0"/>
        <v>Marzo</v>
      </c>
      <c r="B21" s="23">
        <f t="shared" si="1"/>
        <v>29257.142857142859</v>
      </c>
      <c r="C21" s="23">
        <f t="shared" si="2"/>
        <v>21333.333333333332</v>
      </c>
      <c r="D21" s="23">
        <f t="shared" si="3"/>
        <v>12190.476190476191</v>
      </c>
      <c r="G21" s="21">
        <v>0.2</v>
      </c>
    </row>
    <row r="22" spans="1:7" x14ac:dyDescent="0.3">
      <c r="A22" s="6" t="str">
        <f t="shared" si="0"/>
        <v>Abril</v>
      </c>
      <c r="B22" s="23">
        <f>B6*1000000/$H$3</f>
        <v>81920.000000000015</v>
      </c>
      <c r="C22" s="23">
        <f t="shared" si="2"/>
        <v>59733.333333333336</v>
      </c>
      <c r="D22" s="23">
        <f t="shared" si="3"/>
        <v>34133.333333333336</v>
      </c>
    </row>
    <row r="23" spans="1:7" x14ac:dyDescent="0.3">
      <c r="A23" s="6" t="str">
        <f t="shared" si="0"/>
        <v>Mayo</v>
      </c>
      <c r="B23" s="23">
        <f t="shared" ref="B23:B29" si="4">B7*1000000/$H$3</f>
        <v>29257.142857142859</v>
      </c>
      <c r="C23" s="23">
        <f t="shared" si="2"/>
        <v>21333.333333333332</v>
      </c>
      <c r="D23" s="23">
        <f t="shared" si="3"/>
        <v>12190.476190476191</v>
      </c>
    </row>
    <row r="24" spans="1:7" x14ac:dyDescent="0.3">
      <c r="A24" s="6" t="str">
        <f t="shared" si="0"/>
        <v>Junio</v>
      </c>
      <c r="B24" s="23">
        <f t="shared" si="4"/>
        <v>68266.666666666686</v>
      </c>
      <c r="C24" s="23">
        <f t="shared" si="2"/>
        <v>49777.777777777781</v>
      </c>
      <c r="D24" s="23">
        <f t="shared" si="3"/>
        <v>28444.444444444449</v>
      </c>
    </row>
    <row r="25" spans="1:7" x14ac:dyDescent="0.3">
      <c r="A25" s="6" t="str">
        <f t="shared" si="0"/>
        <v>Julio</v>
      </c>
      <c r="B25" s="23">
        <f t="shared" si="4"/>
        <v>68266.666666666686</v>
      </c>
      <c r="C25" s="23">
        <f t="shared" si="2"/>
        <v>49777.777777777781</v>
      </c>
      <c r="D25" s="23">
        <f t="shared" si="3"/>
        <v>28444.444444444449</v>
      </c>
    </row>
    <row r="26" spans="1:7" x14ac:dyDescent="0.3">
      <c r="A26" s="6" t="str">
        <f t="shared" si="0"/>
        <v>Agosto</v>
      </c>
      <c r="B26" s="23">
        <f>B10*1000000/$H$3</f>
        <v>29257.142857142859</v>
      </c>
      <c r="C26" s="23">
        <f t="shared" si="2"/>
        <v>21333.333333333332</v>
      </c>
      <c r="D26" s="23">
        <f t="shared" si="3"/>
        <v>12190.476190476191</v>
      </c>
    </row>
    <row r="27" spans="1:7" x14ac:dyDescent="0.3">
      <c r="A27" s="6" t="str">
        <f t="shared" si="0"/>
        <v>Septiembre</v>
      </c>
      <c r="B27" s="23">
        <f t="shared" si="4"/>
        <v>29257.142857142859</v>
      </c>
      <c r="C27" s="23">
        <f t="shared" si="2"/>
        <v>21333.333333333332</v>
      </c>
      <c r="D27" s="23">
        <f t="shared" si="3"/>
        <v>12190.476190476191</v>
      </c>
    </row>
    <row r="28" spans="1:7" x14ac:dyDescent="0.3">
      <c r="A28" s="6" t="str">
        <f t="shared" si="0"/>
        <v>Octubre</v>
      </c>
      <c r="B28" s="23">
        <f t="shared" si="4"/>
        <v>54613.33333333335</v>
      </c>
      <c r="C28" s="23">
        <f t="shared" si="2"/>
        <v>39822.222222222226</v>
      </c>
      <c r="D28" s="23">
        <f t="shared" si="3"/>
        <v>22755.555555555558</v>
      </c>
    </row>
    <row r="29" spans="1:7" x14ac:dyDescent="0.3">
      <c r="A29" s="6" t="str">
        <f t="shared" si="0"/>
        <v>Noviembre</v>
      </c>
      <c r="B29" s="23">
        <f t="shared" si="4"/>
        <v>29257.142857142859</v>
      </c>
      <c r="C29" s="23">
        <f t="shared" si="2"/>
        <v>21333.333333333332</v>
      </c>
      <c r="D29" s="23">
        <f t="shared" si="3"/>
        <v>12190.476190476191</v>
      </c>
    </row>
    <row r="30" spans="1:7" x14ac:dyDescent="0.3">
      <c r="A30" s="6" t="str">
        <f t="shared" si="0"/>
        <v>Diciembre</v>
      </c>
      <c r="B30" s="23">
        <f>B14*1000000/$H$3</f>
        <v>204800.00000000006</v>
      </c>
      <c r="C30" s="23">
        <f t="shared" si="2"/>
        <v>149333.33333333331</v>
      </c>
      <c r="D30" s="23">
        <f t="shared" si="3"/>
        <v>85333.333333333328</v>
      </c>
    </row>
    <row r="33" spans="1:9" ht="25.8" customHeight="1" x14ac:dyDescent="0.3">
      <c r="A33" s="41" t="s">
        <v>48</v>
      </c>
      <c r="B33" s="41"/>
      <c r="C33" s="41"/>
      <c r="D33" s="41"/>
      <c r="F33" s="41" t="s">
        <v>50</v>
      </c>
      <c r="G33" s="41"/>
      <c r="H33" s="41"/>
      <c r="I33" s="41"/>
    </row>
    <row r="34" spans="1:9" x14ac:dyDescent="0.3">
      <c r="A34" s="6" t="str">
        <f t="shared" ref="A34:D46" si="5">A18</f>
        <v>Mes</v>
      </c>
      <c r="B34" s="6" t="str">
        <f t="shared" si="5"/>
        <v>Moto</v>
      </c>
      <c r="C34" s="6" t="str">
        <f t="shared" si="5"/>
        <v>Barco</v>
      </c>
      <c r="D34" s="6" t="str">
        <f t="shared" si="5"/>
        <v>Casa</v>
      </c>
      <c r="F34" s="6" t="str">
        <f t="shared" ref="F34:F46" si="6">A34</f>
        <v>Mes</v>
      </c>
      <c r="G34" s="6" t="str">
        <f t="shared" ref="G34:G36" si="7">B34</f>
        <v>Moto</v>
      </c>
      <c r="H34" s="6" t="str">
        <f t="shared" ref="H34:H42" si="8">C34</f>
        <v>Barco</v>
      </c>
      <c r="I34" s="6" t="str">
        <f t="shared" ref="I34:I43" si="9">D34</f>
        <v>Casa</v>
      </c>
    </row>
    <row r="35" spans="1:9" x14ac:dyDescent="0.3">
      <c r="A35" s="6" t="str">
        <f t="shared" si="5"/>
        <v>Enero</v>
      </c>
      <c r="B35" s="23">
        <f>B19*$G$21</f>
        <v>5851.4285714285725</v>
      </c>
      <c r="C35" s="23">
        <f>C19*$G$21</f>
        <v>4266.666666666667</v>
      </c>
      <c r="D35" s="23">
        <f>D19*$G$21</f>
        <v>2438.0952380952381</v>
      </c>
      <c r="F35" s="6" t="str">
        <f t="shared" si="6"/>
        <v>Enero</v>
      </c>
      <c r="G35" s="23">
        <f t="shared" si="7"/>
        <v>5851.4285714285725</v>
      </c>
      <c r="H35" s="23">
        <f t="shared" si="8"/>
        <v>4266.666666666667</v>
      </c>
      <c r="I35" s="23">
        <f t="shared" si="9"/>
        <v>2438.0952380952381</v>
      </c>
    </row>
    <row r="36" spans="1:9" x14ac:dyDescent="0.3">
      <c r="A36" s="6" t="str">
        <f t="shared" si="5"/>
        <v>Febrero</v>
      </c>
      <c r="B36" s="23">
        <f t="shared" ref="B36:D46" si="10">B20*$G$21</f>
        <v>5851.4285714285725</v>
      </c>
      <c r="C36" s="23">
        <f t="shared" si="10"/>
        <v>4266.666666666667</v>
      </c>
      <c r="D36" s="23">
        <f t="shared" si="10"/>
        <v>2438.0952380952381</v>
      </c>
      <c r="F36" s="6" t="str">
        <f t="shared" si="6"/>
        <v>Febrero</v>
      </c>
      <c r="G36" s="23">
        <f t="shared" si="7"/>
        <v>5851.4285714285725</v>
      </c>
      <c r="H36" s="23">
        <f t="shared" si="8"/>
        <v>4266.666666666667</v>
      </c>
      <c r="I36" s="23">
        <f t="shared" si="9"/>
        <v>2438.0952380952381</v>
      </c>
    </row>
    <row r="37" spans="1:9" x14ac:dyDescent="0.3">
      <c r="A37" s="6" t="str">
        <f t="shared" si="5"/>
        <v>Marzo</v>
      </c>
      <c r="B37" s="23">
        <f t="shared" si="10"/>
        <v>5851.4285714285725</v>
      </c>
      <c r="C37" s="23">
        <f t="shared" si="10"/>
        <v>4266.666666666667</v>
      </c>
      <c r="D37" s="23">
        <f t="shared" si="10"/>
        <v>2438.0952380952381</v>
      </c>
      <c r="F37" s="6" t="str">
        <f t="shared" si="6"/>
        <v>Marzo</v>
      </c>
      <c r="G37" s="23">
        <f>B37+B38-G38</f>
        <v>7478.4285714285761</v>
      </c>
      <c r="H37" s="23">
        <f t="shared" si="8"/>
        <v>4266.666666666667</v>
      </c>
      <c r="I37" s="23">
        <f t="shared" si="9"/>
        <v>2438.0952380952381</v>
      </c>
    </row>
    <row r="38" spans="1:9" x14ac:dyDescent="0.3">
      <c r="A38" s="6" t="str">
        <f t="shared" si="5"/>
        <v>Abril</v>
      </c>
      <c r="B38" s="23">
        <f t="shared" si="10"/>
        <v>16384.000000000004</v>
      </c>
      <c r="C38" s="23">
        <f t="shared" si="10"/>
        <v>11946.666666666668</v>
      </c>
      <c r="D38" s="23">
        <f t="shared" si="10"/>
        <v>6826.6666666666679</v>
      </c>
      <c r="F38" s="6" t="str">
        <f t="shared" si="6"/>
        <v>Abril</v>
      </c>
      <c r="G38" s="23">
        <f>14757</f>
        <v>14757</v>
      </c>
      <c r="H38" s="23">
        <f t="shared" si="8"/>
        <v>11946.666666666668</v>
      </c>
      <c r="I38" s="23">
        <f t="shared" si="9"/>
        <v>6826.6666666666679</v>
      </c>
    </row>
    <row r="39" spans="1:9" x14ac:dyDescent="0.3">
      <c r="A39" s="6" t="str">
        <f t="shared" si="5"/>
        <v>Mayo</v>
      </c>
      <c r="B39" s="23">
        <f t="shared" si="10"/>
        <v>5851.4285714285725</v>
      </c>
      <c r="C39" s="23">
        <f t="shared" si="10"/>
        <v>4266.666666666667</v>
      </c>
      <c r="D39" s="23">
        <f t="shared" si="10"/>
        <v>2438.0952380952381</v>
      </c>
      <c r="F39" s="6" t="str">
        <f t="shared" si="6"/>
        <v>Mayo</v>
      </c>
      <c r="G39" s="23">
        <f>B39+B40+B41-G40-G41</f>
        <v>3644.095238095244</v>
      </c>
      <c r="H39" s="23">
        <f t="shared" si="8"/>
        <v>4266.666666666667</v>
      </c>
      <c r="I39" s="23">
        <f t="shared" si="9"/>
        <v>2438.0952380952381</v>
      </c>
    </row>
    <row r="40" spans="1:9" x14ac:dyDescent="0.3">
      <c r="A40" s="6" t="str">
        <f t="shared" si="5"/>
        <v>Junio</v>
      </c>
      <c r="B40" s="23">
        <f t="shared" si="10"/>
        <v>13653.333333333338</v>
      </c>
      <c r="C40" s="23">
        <f t="shared" si="10"/>
        <v>9955.5555555555566</v>
      </c>
      <c r="D40" s="23">
        <f t="shared" si="10"/>
        <v>5688.8888888888905</v>
      </c>
      <c r="F40" s="6" t="str">
        <f t="shared" si="6"/>
        <v>Junio</v>
      </c>
      <c r="G40" s="23">
        <f>14757</f>
        <v>14757</v>
      </c>
      <c r="H40" s="23">
        <f t="shared" si="8"/>
        <v>9955.5555555555566</v>
      </c>
      <c r="I40" s="23">
        <f t="shared" si="9"/>
        <v>5688.8888888888905</v>
      </c>
    </row>
    <row r="41" spans="1:9" x14ac:dyDescent="0.3">
      <c r="A41" s="6" t="str">
        <f t="shared" si="5"/>
        <v>Julio</v>
      </c>
      <c r="B41" s="23">
        <f t="shared" si="10"/>
        <v>13653.333333333338</v>
      </c>
      <c r="C41" s="23">
        <f t="shared" si="10"/>
        <v>9955.5555555555566</v>
      </c>
      <c r="D41" s="23">
        <f t="shared" si="10"/>
        <v>5688.8888888888905</v>
      </c>
      <c r="F41" s="6" t="str">
        <f t="shared" si="6"/>
        <v>Julio</v>
      </c>
      <c r="G41" s="23">
        <f>14757</f>
        <v>14757</v>
      </c>
      <c r="H41" s="23">
        <f t="shared" si="8"/>
        <v>9955.5555555555566</v>
      </c>
      <c r="I41" s="23">
        <f t="shared" si="9"/>
        <v>5688.8888888888905</v>
      </c>
    </row>
    <row r="42" spans="1:9" x14ac:dyDescent="0.3">
      <c r="A42" s="6" t="str">
        <f t="shared" si="5"/>
        <v>Agosto</v>
      </c>
      <c r="B42" s="23">
        <f t="shared" si="10"/>
        <v>5851.4285714285725</v>
      </c>
      <c r="C42" s="23">
        <f t="shared" si="10"/>
        <v>4266.666666666667</v>
      </c>
      <c r="D42" s="23">
        <f t="shared" si="10"/>
        <v>2438.0952380952381</v>
      </c>
      <c r="F42" s="6" t="str">
        <f t="shared" si="6"/>
        <v>Agosto</v>
      </c>
      <c r="G42" s="23">
        <f>B42+SUM(B43:B46)-SUM(G43:G46)</f>
        <v>10408.952380952396</v>
      </c>
      <c r="H42" s="23">
        <f t="shared" si="8"/>
        <v>4266.666666666667</v>
      </c>
      <c r="I42" s="23">
        <f t="shared" si="9"/>
        <v>2438.0952380952381</v>
      </c>
    </row>
    <row r="43" spans="1:9" x14ac:dyDescent="0.3">
      <c r="A43" s="6" t="str">
        <f t="shared" si="5"/>
        <v>Septiembre</v>
      </c>
      <c r="B43" s="23">
        <f t="shared" si="10"/>
        <v>5851.4285714285725</v>
      </c>
      <c r="C43" s="23">
        <f t="shared" si="10"/>
        <v>4266.666666666667</v>
      </c>
      <c r="D43" s="23">
        <f t="shared" si="10"/>
        <v>2438.0952380952381</v>
      </c>
      <c r="F43" s="6" t="str">
        <f t="shared" si="6"/>
        <v>Septiembre</v>
      </c>
      <c r="G43" s="23">
        <f>14757</f>
        <v>14757</v>
      </c>
      <c r="H43" s="23">
        <f>C43+SUM(C44:C46)-SUM(H44:H46)</f>
        <v>7745.4444444444453</v>
      </c>
      <c r="I43" s="23">
        <f t="shared" si="9"/>
        <v>2438.0952380952381</v>
      </c>
    </row>
    <row r="44" spans="1:9" x14ac:dyDescent="0.3">
      <c r="A44" s="6" t="str">
        <f t="shared" si="5"/>
        <v>Octubre</v>
      </c>
      <c r="B44" s="23">
        <f t="shared" si="10"/>
        <v>10922.666666666672</v>
      </c>
      <c r="C44" s="23">
        <f t="shared" si="10"/>
        <v>7964.4444444444453</v>
      </c>
      <c r="D44" s="23">
        <f t="shared" si="10"/>
        <v>4551.1111111111122</v>
      </c>
      <c r="F44" s="6" t="str">
        <f t="shared" si="6"/>
        <v>Octubre</v>
      </c>
      <c r="G44" s="23">
        <f>14757</f>
        <v>14757</v>
      </c>
      <c r="H44" s="23">
        <v>12873</v>
      </c>
      <c r="I44" s="23">
        <f>D44+SUM(D45:D46)-SUM(I45:I46)</f>
        <v>5883.8730158730177</v>
      </c>
    </row>
    <row r="45" spans="1:9" x14ac:dyDescent="0.3">
      <c r="A45" s="6" t="str">
        <f t="shared" si="5"/>
        <v>Noviembre</v>
      </c>
      <c r="B45" s="23">
        <f t="shared" si="10"/>
        <v>5851.4285714285725</v>
      </c>
      <c r="C45" s="23">
        <f t="shared" si="10"/>
        <v>4266.666666666667</v>
      </c>
      <c r="D45" s="23">
        <f t="shared" si="10"/>
        <v>2438.0952380952381</v>
      </c>
      <c r="F45" s="6" t="str">
        <f t="shared" si="6"/>
        <v>Noviembre</v>
      </c>
      <c r="G45" s="23">
        <f>14757</f>
        <v>14757</v>
      </c>
      <c r="H45" s="23">
        <v>12873</v>
      </c>
      <c r="I45" s="23">
        <v>9086</v>
      </c>
    </row>
    <row r="46" spans="1:9" x14ac:dyDescent="0.3">
      <c r="A46" s="6" t="str">
        <f t="shared" si="5"/>
        <v>Diciembre</v>
      </c>
      <c r="B46" s="23">
        <f t="shared" si="10"/>
        <v>40960.000000000015</v>
      </c>
      <c r="C46" s="23">
        <f t="shared" si="10"/>
        <v>29866.666666666664</v>
      </c>
      <c r="D46" s="23">
        <f t="shared" si="10"/>
        <v>17066.666666666668</v>
      </c>
      <c r="F46" s="6" t="str">
        <f t="shared" si="6"/>
        <v>Diciembre</v>
      </c>
      <c r="G46" s="23">
        <f>14757</f>
        <v>14757</v>
      </c>
      <c r="H46" s="23">
        <v>12873</v>
      </c>
      <c r="I46" s="23">
        <v>9086</v>
      </c>
    </row>
    <row r="49" spans="1:7" ht="25.8" customHeight="1" x14ac:dyDescent="0.3">
      <c r="A49" s="44" t="str">
        <f t="shared" ref="A49:D62" si="11">A1</f>
        <v>Estimación ventas mensuales por tipo de juguete (Millones COP)</v>
      </c>
      <c r="B49" s="45"/>
      <c r="C49" s="45"/>
      <c r="D49" s="46"/>
    </row>
    <row r="50" spans="1:7" x14ac:dyDescent="0.3">
      <c r="A50" s="6" t="str">
        <f t="shared" si="11"/>
        <v>Mes</v>
      </c>
      <c r="B50" s="23" t="str">
        <f t="shared" si="11"/>
        <v>Moto</v>
      </c>
      <c r="C50" s="6" t="str">
        <f t="shared" si="11"/>
        <v>Barco</v>
      </c>
      <c r="D50" s="6" t="str">
        <f t="shared" si="11"/>
        <v>Casa</v>
      </c>
      <c r="G50" s="22"/>
    </row>
    <row r="51" spans="1:7" x14ac:dyDescent="0.3">
      <c r="A51" s="6" t="str">
        <f t="shared" si="11"/>
        <v>Enero</v>
      </c>
      <c r="B51" s="23">
        <f t="shared" si="11"/>
        <v>292.57142857142861</v>
      </c>
      <c r="C51" s="23">
        <f t="shared" si="11"/>
        <v>256</v>
      </c>
      <c r="D51" s="23">
        <f t="shared" si="11"/>
        <v>182.85714285714286</v>
      </c>
    </row>
    <row r="52" spans="1:7" x14ac:dyDescent="0.3">
      <c r="A52" s="6" t="str">
        <f t="shared" si="11"/>
        <v>Febrero</v>
      </c>
      <c r="B52" s="23">
        <f t="shared" si="11"/>
        <v>292.57142857142861</v>
      </c>
      <c r="C52" s="23">
        <f t="shared" si="11"/>
        <v>256</v>
      </c>
      <c r="D52" s="23">
        <f t="shared" si="11"/>
        <v>182.85714285714286</v>
      </c>
    </row>
    <row r="53" spans="1:7" x14ac:dyDescent="0.3">
      <c r="A53" s="6" t="str">
        <f t="shared" si="11"/>
        <v>Marzo</v>
      </c>
      <c r="B53" s="23">
        <f t="shared" si="11"/>
        <v>292.57142857142861</v>
      </c>
      <c r="C53" s="23">
        <f t="shared" si="11"/>
        <v>256</v>
      </c>
      <c r="D53" s="23">
        <f t="shared" si="11"/>
        <v>182.85714285714286</v>
      </c>
      <c r="G53" s="22"/>
    </row>
    <row r="54" spans="1:7" x14ac:dyDescent="0.3">
      <c r="A54" s="6" t="str">
        <f t="shared" si="11"/>
        <v>Abril</v>
      </c>
      <c r="B54" s="23">
        <f t="shared" si="11"/>
        <v>819.20000000000016</v>
      </c>
      <c r="C54" s="23">
        <f t="shared" si="11"/>
        <v>716.8</v>
      </c>
      <c r="D54" s="23">
        <f t="shared" si="11"/>
        <v>512</v>
      </c>
    </row>
    <row r="55" spans="1:7" x14ac:dyDescent="0.3">
      <c r="A55" s="6" t="str">
        <f t="shared" si="11"/>
        <v>Mayo</v>
      </c>
      <c r="B55" s="23">
        <f t="shared" si="11"/>
        <v>292.57142857142861</v>
      </c>
      <c r="C55" s="23">
        <f t="shared" si="11"/>
        <v>256</v>
      </c>
      <c r="D55" s="23">
        <f t="shared" si="11"/>
        <v>182.85714285714286</v>
      </c>
    </row>
    <row r="56" spans="1:7" x14ac:dyDescent="0.3">
      <c r="A56" s="6" t="str">
        <f t="shared" si="11"/>
        <v>Junio</v>
      </c>
      <c r="B56" s="23">
        <f t="shared" si="11"/>
        <v>682.66666666666686</v>
      </c>
      <c r="C56" s="23">
        <f t="shared" si="11"/>
        <v>597.33333333333337</v>
      </c>
      <c r="D56" s="23">
        <f t="shared" si="11"/>
        <v>426.66666666666674</v>
      </c>
    </row>
    <row r="57" spans="1:7" x14ac:dyDescent="0.3">
      <c r="A57" s="6" t="str">
        <f t="shared" si="11"/>
        <v>Julio</v>
      </c>
      <c r="B57" s="23">
        <f t="shared" si="11"/>
        <v>682.66666666666686</v>
      </c>
      <c r="C57" s="23">
        <f t="shared" si="11"/>
        <v>597.33333333333337</v>
      </c>
      <c r="D57" s="23">
        <f t="shared" si="11"/>
        <v>426.66666666666674</v>
      </c>
    </row>
    <row r="58" spans="1:7" x14ac:dyDescent="0.3">
      <c r="A58" s="6" t="str">
        <f t="shared" si="11"/>
        <v>Agosto</v>
      </c>
      <c r="B58" s="23">
        <f t="shared" si="11"/>
        <v>292.57142857142861</v>
      </c>
      <c r="C58" s="23">
        <f t="shared" si="11"/>
        <v>256</v>
      </c>
      <c r="D58" s="23">
        <f t="shared" si="11"/>
        <v>182.85714285714286</v>
      </c>
    </row>
    <row r="59" spans="1:7" x14ac:dyDescent="0.3">
      <c r="A59" s="6" t="str">
        <f t="shared" si="11"/>
        <v>Septiembre</v>
      </c>
      <c r="B59" s="23">
        <f t="shared" si="11"/>
        <v>292.57142857142861</v>
      </c>
      <c r="C59" s="23">
        <f t="shared" si="11"/>
        <v>256</v>
      </c>
      <c r="D59" s="23">
        <f t="shared" si="11"/>
        <v>182.85714285714286</v>
      </c>
    </row>
    <row r="60" spans="1:7" x14ac:dyDescent="0.3">
      <c r="A60" s="6" t="str">
        <f t="shared" si="11"/>
        <v>Octubre</v>
      </c>
      <c r="B60" s="23">
        <f t="shared" si="11"/>
        <v>546.13333333333344</v>
      </c>
      <c r="C60" s="23">
        <f t="shared" si="11"/>
        <v>477.86666666666667</v>
      </c>
      <c r="D60" s="23">
        <f t="shared" si="11"/>
        <v>341.33333333333337</v>
      </c>
    </row>
    <row r="61" spans="1:7" x14ac:dyDescent="0.3">
      <c r="A61" s="6" t="str">
        <f t="shared" si="11"/>
        <v>Noviembre</v>
      </c>
      <c r="B61" s="23">
        <f t="shared" si="11"/>
        <v>292.57142857142861</v>
      </c>
      <c r="C61" s="23">
        <f t="shared" si="11"/>
        <v>256</v>
      </c>
      <c r="D61" s="23">
        <f t="shared" si="11"/>
        <v>182.85714285714286</v>
      </c>
    </row>
    <row r="62" spans="1:7" x14ac:dyDescent="0.3">
      <c r="A62" s="6" t="str">
        <f t="shared" si="11"/>
        <v>Diciembre</v>
      </c>
      <c r="B62" s="23">
        <f t="shared" si="11"/>
        <v>2048.0000000000005</v>
      </c>
      <c r="C62" s="23">
        <f t="shared" si="11"/>
        <v>1791.9999999999998</v>
      </c>
      <c r="D62" s="23">
        <f t="shared" si="11"/>
        <v>1280</v>
      </c>
    </row>
  </sheetData>
  <mergeCells count="6">
    <mergeCell ref="A49:D49"/>
    <mergeCell ref="A1:D1"/>
    <mergeCell ref="A17:D17"/>
    <mergeCell ref="A33:D33"/>
    <mergeCell ref="M2:N2"/>
    <mergeCell ref="F33:I3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A5FCA-58F1-429C-8A78-861DF88FF19C}">
  <sheetPr>
    <pageSetUpPr fitToPage="1"/>
  </sheetPr>
  <dimension ref="A1:O39"/>
  <sheetViews>
    <sheetView zoomScale="85" zoomScaleNormal="85" workbookViewId="0">
      <selection activeCell="L26" sqref="L26"/>
    </sheetView>
  </sheetViews>
  <sheetFormatPr baseColWidth="10" defaultColWidth="11.44140625" defaultRowHeight="14.4" x14ac:dyDescent="0.3"/>
  <cols>
    <col min="1" max="1" width="27" style="1" customWidth="1"/>
    <col min="2" max="2" width="15.21875" style="1" customWidth="1"/>
    <col min="3" max="3" width="16.109375" style="1" customWidth="1"/>
    <col min="4" max="4" width="16.21875" style="1" customWidth="1"/>
    <col min="5" max="6" width="15.44140625" style="1" bestFit="1" customWidth="1"/>
    <col min="7" max="7" width="15.6640625" style="1" customWidth="1"/>
    <col min="8" max="12" width="15.44140625" style="1" bestFit="1" customWidth="1"/>
    <col min="13" max="13" width="15.6640625" style="1" customWidth="1"/>
    <col min="14" max="14" width="15.44140625" style="1" bestFit="1" customWidth="1"/>
    <col min="15" max="15" width="16.5546875" style="1" bestFit="1" customWidth="1"/>
    <col min="16" max="16384" width="11.44140625" style="1"/>
  </cols>
  <sheetData>
    <row r="1" spans="1:15" ht="18" x14ac:dyDescent="0.35">
      <c r="A1" s="19" t="s">
        <v>26</v>
      </c>
    </row>
    <row r="2" spans="1:15" x14ac:dyDescent="0.3">
      <c r="A2" s="15" t="s">
        <v>53</v>
      </c>
      <c r="B2" s="10">
        <f>3413.333333*1000000</f>
        <v>3413333333</v>
      </c>
      <c r="C2" s="36"/>
      <c r="D2" s="37">
        <v>4.2999999999999997E-2</v>
      </c>
      <c r="E2" s="37">
        <v>4.2999999999999997E-2</v>
      </c>
      <c r="F2" s="37">
        <v>4.2999999999999997E-2</v>
      </c>
      <c r="G2" s="2">
        <v>0.12</v>
      </c>
      <c r="H2" s="37">
        <v>4.2999999999999997E-2</v>
      </c>
      <c r="I2" s="2">
        <v>0.1</v>
      </c>
      <c r="J2" s="2">
        <v>0.1</v>
      </c>
      <c r="K2" s="37">
        <v>4.2999999999999997E-2</v>
      </c>
      <c r="L2" s="37">
        <v>4.2999999999999997E-2</v>
      </c>
      <c r="M2" s="2">
        <v>0.08</v>
      </c>
      <c r="N2" s="37">
        <v>4.2999999999999997E-2</v>
      </c>
      <c r="O2" s="2">
        <v>0.3</v>
      </c>
    </row>
    <row r="3" spans="1:15" x14ac:dyDescent="0.3">
      <c r="A3" s="3" t="s">
        <v>0</v>
      </c>
      <c r="B3" s="3" t="s">
        <v>25</v>
      </c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</row>
    <row r="4" spans="1:15" x14ac:dyDescent="0.3">
      <c r="A4" s="6" t="s">
        <v>27</v>
      </c>
      <c r="B4" s="35">
        <f>B2/12000</f>
        <v>284444.44441666669</v>
      </c>
      <c r="C4" s="7">
        <v>0.35</v>
      </c>
      <c r="D4" s="11">
        <f>+C4*$B$2*$D$2</f>
        <v>51370666.661649995</v>
      </c>
      <c r="E4" s="11">
        <f>C4*$B$2*$E$2</f>
        <v>51370666.661649995</v>
      </c>
      <c r="F4" s="12">
        <f>C4*$B$2*$F$2</f>
        <v>51370666.661649995</v>
      </c>
      <c r="G4" s="12">
        <f>C4*$B$2*$G$2</f>
        <v>143359999.986</v>
      </c>
      <c r="H4" s="12">
        <f>C4*$B$2*$H$2</f>
        <v>51370666.661649995</v>
      </c>
      <c r="I4" s="12">
        <f>C4*$B$2*$I$2</f>
        <v>119466666.655</v>
      </c>
      <c r="J4" s="12">
        <f>C4*$B$2*$J$2</f>
        <v>119466666.655</v>
      </c>
      <c r="K4" s="12">
        <f>C4*$B$2*$K$2</f>
        <v>51370666.661649995</v>
      </c>
      <c r="L4" s="12">
        <f>C4*$B$2*$L$2</f>
        <v>51370666.661649995</v>
      </c>
      <c r="M4" s="12">
        <f>C4*$B$2*$M$2</f>
        <v>95573333.324000001</v>
      </c>
      <c r="N4" s="12">
        <f>C4*$B$2*$N$2</f>
        <v>51370666.661649995</v>
      </c>
      <c r="O4" s="12">
        <f>C4*$B$2*$O$2</f>
        <v>358399999.96499997</v>
      </c>
    </row>
    <row r="5" spans="1:15" x14ac:dyDescent="0.3">
      <c r="A5" s="6" t="s">
        <v>28</v>
      </c>
      <c r="B5" s="35">
        <f>B2/15000</f>
        <v>227555.55553333333</v>
      </c>
      <c r="C5" s="7">
        <v>0.25</v>
      </c>
      <c r="D5" s="11">
        <f t="shared" ref="D5:D6" si="0">+C5*$B$2*$D$2</f>
        <v>36693333.329749994</v>
      </c>
      <c r="E5" s="11">
        <f t="shared" ref="E5:E6" si="1">C5*$B$2*$E$2</f>
        <v>36693333.329749994</v>
      </c>
      <c r="F5" s="12">
        <f t="shared" ref="F5:F6" si="2">C5*$B$2*$F$2</f>
        <v>36693333.329749994</v>
      </c>
      <c r="G5" s="12">
        <f>C5*$B$2*$G$2</f>
        <v>102399999.98999999</v>
      </c>
      <c r="H5" s="12">
        <f t="shared" ref="H5:H6" si="3">C5*$B$2*$H$2</f>
        <v>36693333.329749994</v>
      </c>
      <c r="I5" s="12">
        <f t="shared" ref="I5:I6" si="4">C5*$B$2*$I$2</f>
        <v>85333333.325000003</v>
      </c>
      <c r="J5" s="12">
        <f>C5*$B$2*$J$2</f>
        <v>85333333.325000003</v>
      </c>
      <c r="K5" s="12">
        <f t="shared" ref="K5:K6" si="5">C5*$B$2*$K$2</f>
        <v>36693333.329749994</v>
      </c>
      <c r="L5" s="12">
        <f t="shared" ref="L5:L6" si="6">C5*$B$2*$L$2</f>
        <v>36693333.329749994</v>
      </c>
      <c r="M5" s="12">
        <f t="shared" ref="M5:M6" si="7">C5*$B$2*$M$2</f>
        <v>68266666.659999996</v>
      </c>
      <c r="N5" s="12">
        <f t="shared" ref="N5:N6" si="8">C5*$B$2*$N$2</f>
        <v>36693333.329749994</v>
      </c>
      <c r="O5" s="12">
        <f>C5*$B$2*$O$2</f>
        <v>255999999.97499999</v>
      </c>
    </row>
    <row r="6" spans="1:15" x14ac:dyDescent="0.3">
      <c r="A6" s="6" t="s">
        <v>29</v>
      </c>
      <c r="B6" s="35">
        <f>B2/10000</f>
        <v>341333.3333</v>
      </c>
      <c r="C6" s="7">
        <f>+B6/$B$7</f>
        <v>0.39999999999999997</v>
      </c>
      <c r="D6" s="11">
        <f t="shared" si="0"/>
        <v>58709333.327599987</v>
      </c>
      <c r="E6" s="11">
        <f t="shared" si="1"/>
        <v>58709333.327599987</v>
      </c>
      <c r="F6" s="12">
        <f t="shared" si="2"/>
        <v>58709333.327599987</v>
      </c>
      <c r="G6" s="12">
        <f>C6*$B$2*$G$2</f>
        <v>163839999.98399997</v>
      </c>
      <c r="H6" s="12">
        <f t="shared" si="3"/>
        <v>58709333.327599987</v>
      </c>
      <c r="I6" s="12">
        <f t="shared" si="4"/>
        <v>136533333.31999999</v>
      </c>
      <c r="J6" s="12">
        <f t="shared" ref="J6" si="9">C6*$B$2*$J$2</f>
        <v>136533333.31999999</v>
      </c>
      <c r="K6" s="12">
        <f t="shared" si="5"/>
        <v>58709333.327599987</v>
      </c>
      <c r="L6" s="12">
        <f t="shared" si="6"/>
        <v>58709333.327599987</v>
      </c>
      <c r="M6" s="12">
        <f t="shared" si="7"/>
        <v>109226666.65599999</v>
      </c>
      <c r="N6" s="12">
        <f t="shared" si="8"/>
        <v>58709333.327599987</v>
      </c>
      <c r="O6" s="12">
        <f>C6*$B$2*$O$2</f>
        <v>409599999.95999992</v>
      </c>
    </row>
    <row r="7" spans="1:15" x14ac:dyDescent="0.3">
      <c r="A7" s="13" t="s">
        <v>19</v>
      </c>
      <c r="B7" s="14">
        <f>SUM(B4:B6)</f>
        <v>853333.33325000003</v>
      </c>
      <c r="C7" s="13"/>
      <c r="D7" s="13">
        <f t="shared" ref="D7:O7" si="10">SUM(D4:D6)</f>
        <v>146773333.31899998</v>
      </c>
      <c r="E7" s="13">
        <f t="shared" si="10"/>
        <v>146773333.31899998</v>
      </c>
      <c r="F7" s="13">
        <f t="shared" si="10"/>
        <v>146773333.31899998</v>
      </c>
      <c r="G7" s="13">
        <f t="shared" si="10"/>
        <v>409599999.95999998</v>
      </c>
      <c r="H7" s="13">
        <f t="shared" si="10"/>
        <v>146773333.31899998</v>
      </c>
      <c r="I7" s="13">
        <f t="shared" si="10"/>
        <v>341333333.30000001</v>
      </c>
      <c r="J7" s="13">
        <f t="shared" si="10"/>
        <v>341333333.30000001</v>
      </c>
      <c r="K7" s="13">
        <f t="shared" si="10"/>
        <v>146773333.31899998</v>
      </c>
      <c r="L7" s="13">
        <f t="shared" si="10"/>
        <v>146773333.31899998</v>
      </c>
      <c r="M7" s="13">
        <f t="shared" si="10"/>
        <v>273066666.63999999</v>
      </c>
      <c r="N7" s="13">
        <f t="shared" si="10"/>
        <v>146773333.31899998</v>
      </c>
      <c r="O7" s="13">
        <f t="shared" si="10"/>
        <v>1023999999.8999999</v>
      </c>
    </row>
    <row r="8" spans="1:15" x14ac:dyDescent="0.3">
      <c r="A8" s="8" t="s">
        <v>18</v>
      </c>
      <c r="B8" s="8"/>
    </row>
    <row r="9" spans="1:15" x14ac:dyDescent="0.3">
      <c r="A9" s="20" t="s">
        <v>31</v>
      </c>
      <c r="C9" s="9">
        <v>0.15</v>
      </c>
      <c r="D9" s="1">
        <f t="shared" ref="D9:O9" si="11">+$C$9*D7</f>
        <v>22015999.997849997</v>
      </c>
      <c r="E9" s="1">
        <f t="shared" si="11"/>
        <v>22015999.997849997</v>
      </c>
      <c r="F9" s="1">
        <f t="shared" si="11"/>
        <v>22015999.997849997</v>
      </c>
      <c r="G9" s="1">
        <f t="shared" si="11"/>
        <v>61439999.993999995</v>
      </c>
      <c r="H9" s="1">
        <f t="shared" si="11"/>
        <v>22015999.997849997</v>
      </c>
      <c r="I9" s="1">
        <f t="shared" si="11"/>
        <v>51199999.994999997</v>
      </c>
      <c r="J9" s="1">
        <f t="shared" si="11"/>
        <v>51199999.994999997</v>
      </c>
      <c r="K9" s="1">
        <f t="shared" si="11"/>
        <v>22015999.997849997</v>
      </c>
      <c r="L9" s="1">
        <f t="shared" si="11"/>
        <v>22015999.997849997</v>
      </c>
      <c r="M9" s="1">
        <f t="shared" si="11"/>
        <v>40959999.995999999</v>
      </c>
      <c r="N9" s="1">
        <f t="shared" si="11"/>
        <v>22015999.997849997</v>
      </c>
      <c r="O9" s="1">
        <f t="shared" si="11"/>
        <v>153599999.98499998</v>
      </c>
    </row>
    <row r="10" spans="1:15" x14ac:dyDescent="0.3">
      <c r="A10" s="1" t="s">
        <v>32</v>
      </c>
      <c r="C10" s="9">
        <v>0.03</v>
      </c>
      <c r="D10" s="1">
        <f>+$C$10*D7</f>
        <v>4403199.9995699991</v>
      </c>
      <c r="E10" s="1">
        <f t="shared" ref="E10:O10" si="12">+$C$10*E7</f>
        <v>4403199.9995699991</v>
      </c>
      <c r="F10" s="1">
        <f t="shared" si="12"/>
        <v>4403199.9995699991</v>
      </c>
      <c r="G10" s="1">
        <f t="shared" si="12"/>
        <v>12287999.998799998</v>
      </c>
      <c r="H10" s="1">
        <f t="shared" si="12"/>
        <v>4403199.9995699991</v>
      </c>
      <c r="I10" s="1">
        <f t="shared" si="12"/>
        <v>10239999.999</v>
      </c>
      <c r="J10" s="1">
        <f t="shared" si="12"/>
        <v>10239999.999</v>
      </c>
      <c r="K10" s="1">
        <f t="shared" si="12"/>
        <v>4403199.9995699991</v>
      </c>
      <c r="L10" s="1">
        <f t="shared" si="12"/>
        <v>4403199.9995699991</v>
      </c>
      <c r="M10" s="1">
        <f t="shared" si="12"/>
        <v>8191999.9991999995</v>
      </c>
      <c r="N10" s="1">
        <f t="shared" si="12"/>
        <v>4403199.9995699991</v>
      </c>
      <c r="O10" s="1">
        <f t="shared" si="12"/>
        <v>30719999.996999994</v>
      </c>
    </row>
    <row r="11" spans="1:15" x14ac:dyDescent="0.3">
      <c r="A11" s="8" t="s">
        <v>17</v>
      </c>
      <c r="B11" s="8"/>
    </row>
    <row r="12" spans="1:15" x14ac:dyDescent="0.3">
      <c r="A12" s="1" t="s">
        <v>30</v>
      </c>
      <c r="C12" s="1">
        <f>10*1400000</f>
        <v>14000000</v>
      </c>
      <c r="D12" s="1">
        <f t="shared" ref="D12:O12" si="13">+$C$12</f>
        <v>14000000</v>
      </c>
      <c r="E12" s="1">
        <f t="shared" si="13"/>
        <v>14000000</v>
      </c>
      <c r="F12" s="1">
        <f t="shared" si="13"/>
        <v>14000000</v>
      </c>
      <c r="G12" s="1">
        <f t="shared" si="13"/>
        <v>14000000</v>
      </c>
      <c r="H12" s="1">
        <f t="shared" si="13"/>
        <v>14000000</v>
      </c>
      <c r="I12" s="1">
        <f t="shared" si="13"/>
        <v>14000000</v>
      </c>
      <c r="J12" s="1">
        <f t="shared" si="13"/>
        <v>14000000</v>
      </c>
      <c r="K12" s="1">
        <f t="shared" si="13"/>
        <v>14000000</v>
      </c>
      <c r="L12" s="1">
        <f t="shared" si="13"/>
        <v>14000000</v>
      </c>
      <c r="M12" s="1">
        <f t="shared" si="13"/>
        <v>14000000</v>
      </c>
      <c r="N12" s="1">
        <f t="shared" si="13"/>
        <v>14000000</v>
      </c>
      <c r="O12" s="1">
        <f t="shared" si="13"/>
        <v>14000000</v>
      </c>
    </row>
    <row r="13" spans="1:15" x14ac:dyDescent="0.3">
      <c r="A13" s="1" t="s">
        <v>33</v>
      </c>
      <c r="C13" s="1">
        <v>13000000</v>
      </c>
      <c r="D13" s="1">
        <v>14000000</v>
      </c>
      <c r="E13" s="1">
        <v>14000000</v>
      </c>
      <c r="F13" s="1">
        <v>14000000</v>
      </c>
      <c r="G13" s="1">
        <v>14000000</v>
      </c>
      <c r="H13" s="1">
        <v>14000000</v>
      </c>
      <c r="I13" s="1">
        <v>14000000</v>
      </c>
      <c r="J13" s="1">
        <v>14000000</v>
      </c>
      <c r="K13" s="1">
        <v>14000000</v>
      </c>
      <c r="L13" s="1">
        <v>14000000</v>
      </c>
      <c r="M13" s="1">
        <v>14000000</v>
      </c>
      <c r="N13" s="1">
        <v>14000000</v>
      </c>
      <c r="O13" s="1">
        <v>14000000</v>
      </c>
    </row>
    <row r="14" spans="1:15" x14ac:dyDescent="0.3">
      <c r="A14" s="1" t="s">
        <v>24</v>
      </c>
      <c r="D14" s="1">
        <f t="shared" ref="D14:O14" si="14">+D7-D9-D12-D13-D10</f>
        <v>92354133.321579978</v>
      </c>
      <c r="E14" s="1">
        <f t="shared" si="14"/>
        <v>92354133.321579978</v>
      </c>
      <c r="F14" s="1">
        <f t="shared" si="14"/>
        <v>92354133.321579978</v>
      </c>
      <c r="G14" s="1">
        <f t="shared" si="14"/>
        <v>307871999.96719998</v>
      </c>
      <c r="H14" s="1">
        <f t="shared" si="14"/>
        <v>92354133.321579978</v>
      </c>
      <c r="I14" s="1">
        <f t="shared" si="14"/>
        <v>251893333.30599999</v>
      </c>
      <c r="J14" s="1">
        <f t="shared" si="14"/>
        <v>251893333.30599999</v>
      </c>
      <c r="K14" s="1">
        <f t="shared" si="14"/>
        <v>92354133.321579978</v>
      </c>
      <c r="L14" s="1">
        <f t="shared" si="14"/>
        <v>92354133.321579978</v>
      </c>
      <c r="M14" s="1">
        <f t="shared" si="14"/>
        <v>195914666.64480001</v>
      </c>
      <c r="N14" s="1">
        <f t="shared" si="14"/>
        <v>92354133.321579978</v>
      </c>
      <c r="O14" s="1">
        <f t="shared" si="14"/>
        <v>811679999.91799986</v>
      </c>
    </row>
    <row r="15" spans="1:15" x14ac:dyDescent="0.3">
      <c r="A15" s="8" t="s">
        <v>14</v>
      </c>
      <c r="B15" s="8"/>
    </row>
    <row r="16" spans="1:15" x14ac:dyDescent="0.3">
      <c r="A16" s="1" t="s">
        <v>16</v>
      </c>
      <c r="C16" s="9">
        <v>0.35</v>
      </c>
      <c r="D16" s="1">
        <f t="shared" ref="D16:O16" si="15">+IF(D14&lt;0,0,D14*$C$16)</f>
        <v>32323946.66255299</v>
      </c>
      <c r="E16" s="1">
        <f t="shared" si="15"/>
        <v>32323946.66255299</v>
      </c>
      <c r="F16" s="1">
        <f t="shared" si="15"/>
        <v>32323946.66255299</v>
      </c>
      <c r="G16" s="1">
        <f t="shared" si="15"/>
        <v>107755199.98851998</v>
      </c>
      <c r="H16" s="1">
        <f t="shared" si="15"/>
        <v>32323946.66255299</v>
      </c>
      <c r="I16" s="1">
        <f t="shared" si="15"/>
        <v>88162666.657099992</v>
      </c>
      <c r="J16" s="1">
        <f t="shared" si="15"/>
        <v>88162666.657099992</v>
      </c>
      <c r="K16" s="1">
        <f t="shared" si="15"/>
        <v>32323946.66255299</v>
      </c>
      <c r="L16" s="1">
        <f t="shared" si="15"/>
        <v>32323946.66255299</v>
      </c>
      <c r="M16" s="1">
        <f t="shared" si="15"/>
        <v>68570133.325680003</v>
      </c>
      <c r="N16" s="1">
        <f t="shared" si="15"/>
        <v>32323946.66255299</v>
      </c>
      <c r="O16" s="1">
        <f t="shared" si="15"/>
        <v>284087999.97129995</v>
      </c>
    </row>
    <row r="17" spans="1:15" x14ac:dyDescent="0.3">
      <c r="A17" s="13" t="s">
        <v>15</v>
      </c>
      <c r="B17" s="13"/>
      <c r="C17" s="13">
        <f>+B18+B19</f>
        <v>-1500000000</v>
      </c>
      <c r="D17" s="13">
        <f t="shared" ref="D17:O17" si="16">+D14-D16</f>
        <v>60030186.659026988</v>
      </c>
      <c r="E17" s="13">
        <f t="shared" si="16"/>
        <v>60030186.659026988</v>
      </c>
      <c r="F17" s="13">
        <f t="shared" si="16"/>
        <v>60030186.659026988</v>
      </c>
      <c r="G17" s="13">
        <f t="shared" si="16"/>
        <v>200116799.97868001</v>
      </c>
      <c r="H17" s="13">
        <f t="shared" si="16"/>
        <v>60030186.659026988</v>
      </c>
      <c r="I17" s="13">
        <f t="shared" si="16"/>
        <v>163730666.6489</v>
      </c>
      <c r="J17" s="13">
        <f t="shared" si="16"/>
        <v>163730666.6489</v>
      </c>
      <c r="K17" s="13">
        <f t="shared" si="16"/>
        <v>60030186.659026988</v>
      </c>
      <c r="L17" s="13">
        <f t="shared" si="16"/>
        <v>60030186.659026988</v>
      </c>
      <c r="M17" s="13">
        <f t="shared" si="16"/>
        <v>127344533.31912</v>
      </c>
      <c r="N17" s="13">
        <f t="shared" si="16"/>
        <v>60030186.659026988</v>
      </c>
      <c r="O17" s="13">
        <f t="shared" si="16"/>
        <v>527591999.94669992</v>
      </c>
    </row>
    <row r="18" spans="1:15" x14ac:dyDescent="0.3">
      <c r="A18" s="8" t="s">
        <v>54</v>
      </c>
      <c r="B18" s="1">
        <v>-1000000000</v>
      </c>
    </row>
    <row r="19" spans="1:15" ht="28.8" x14ac:dyDescent="0.3">
      <c r="A19" s="38" t="s">
        <v>55</v>
      </c>
      <c r="B19" s="1">
        <v>-500000000</v>
      </c>
    </row>
    <row r="20" spans="1:15" x14ac:dyDescent="0.3">
      <c r="A20" s="1" t="s">
        <v>21</v>
      </c>
      <c r="B20" s="16">
        <f>+NPV($B$23,D17:O17)</f>
        <v>1100074225.984221</v>
      </c>
    </row>
    <row r="21" spans="1:15" x14ac:dyDescent="0.3">
      <c r="A21" s="1" t="s">
        <v>20</v>
      </c>
      <c r="B21" s="16">
        <f>+B20+B18+B19</f>
        <v>-399925774.01577902</v>
      </c>
    </row>
    <row r="22" spans="1:15" x14ac:dyDescent="0.3">
      <c r="A22" s="1" t="s">
        <v>22</v>
      </c>
      <c r="B22" s="17">
        <f>+IRR(C17:O17)</f>
        <v>8.3362447736745615E-3</v>
      </c>
    </row>
    <row r="23" spans="1:15" x14ac:dyDescent="0.3">
      <c r="A23" s="1" t="s">
        <v>23</v>
      </c>
      <c r="B23" s="17">
        <v>0.05</v>
      </c>
      <c r="C23" s="18"/>
    </row>
    <row r="25" spans="1:15" x14ac:dyDescent="0.3">
      <c r="M25" s="39"/>
    </row>
    <row r="26" spans="1:15" x14ac:dyDescent="0.3">
      <c r="M26" s="40"/>
    </row>
    <row r="27" spans="1:15" x14ac:dyDescent="0.3">
      <c r="M27" s="40"/>
    </row>
    <row r="28" spans="1:15" x14ac:dyDescent="0.3">
      <c r="M28" s="40"/>
    </row>
    <row r="39" spans="2:2" x14ac:dyDescent="0.3">
      <c r="B39" s="1" t="s">
        <v>52</v>
      </c>
    </row>
  </sheetData>
  <pageMargins left="0.70866141732283472" right="0.70866141732283472" top="0.74803149606299213" bottom="0.74803149606299213" header="0.31496062992125984" footer="0.31496062992125984"/>
  <pageSetup paperSize="8" scale="85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Proyección ventas</vt:lpstr>
      <vt:lpstr>Evaluación fianciera</vt:lpstr>
      <vt:lpstr>'Evaluación fianciera'!Área_de_impresión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BERNAL</dc:creator>
  <cp:lastModifiedBy>Brian Muñoz Garcia</cp:lastModifiedBy>
  <cp:lastPrinted>2024-09-17T02:57:23Z</cp:lastPrinted>
  <dcterms:created xsi:type="dcterms:W3CDTF">2016-11-23T20:09:11Z</dcterms:created>
  <dcterms:modified xsi:type="dcterms:W3CDTF">2025-02-18T20:47:52Z</dcterms:modified>
</cp:coreProperties>
</file>