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523A0BCF-BC7D-4336-9581-081A7799AAC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definedNames>
    <definedName name="_xlnm.Print_Area" localSheetId="0">Hoja1!$A$1:$O$36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C15" i="1"/>
  <c r="F12" i="1"/>
  <c r="D12" i="1"/>
  <c r="B2" i="1"/>
  <c r="B10" i="1"/>
  <c r="C5" i="1" s="1"/>
  <c r="B6" i="1"/>
  <c r="B5" i="1"/>
  <c r="B4" i="1"/>
  <c r="D15" i="1"/>
  <c r="D5" i="1" l="1"/>
  <c r="C4" i="1"/>
  <c r="C6" i="1"/>
  <c r="D4" i="1"/>
  <c r="C20" i="1"/>
  <c r="O15" i="1"/>
  <c r="N15" i="1"/>
  <c r="M15" i="1"/>
  <c r="L15" i="1"/>
  <c r="K15" i="1"/>
  <c r="J15" i="1"/>
  <c r="I15" i="1"/>
  <c r="H15" i="1"/>
  <c r="G15" i="1"/>
  <c r="F15" i="1"/>
  <c r="E15" i="1"/>
  <c r="E4" i="1" l="1"/>
  <c r="F4" i="1" s="1"/>
  <c r="G4" i="1" s="1"/>
  <c r="H4" i="1" s="1"/>
  <c r="I4" i="1" s="1"/>
  <c r="J4" i="1" s="1"/>
  <c r="K4" i="1" s="1"/>
  <c r="L4" i="1" s="1"/>
  <c r="M4" i="1" s="1"/>
  <c r="N4" i="1" s="1"/>
  <c r="O4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C8" i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D8" i="1" l="1"/>
  <c r="E8" i="1" s="1"/>
  <c r="D10" i="1" l="1"/>
  <c r="D13" i="1" s="1"/>
  <c r="F8" i="1"/>
  <c r="E10" i="1"/>
  <c r="E13" i="1" s="1"/>
  <c r="E12" i="1" l="1"/>
  <c r="E17" i="1" s="1"/>
  <c r="E19" i="1" s="1"/>
  <c r="E20" i="1" s="1"/>
  <c r="D17" i="1"/>
  <c r="D19" i="1" s="1"/>
  <c r="G8" i="1"/>
  <c r="F10" i="1"/>
  <c r="D20" i="1" l="1"/>
  <c r="F13" i="1"/>
  <c r="H8" i="1"/>
  <c r="G10" i="1"/>
  <c r="F17" i="1" l="1"/>
  <c r="F19" i="1" s="1"/>
  <c r="F20" i="1" s="1"/>
  <c r="G13" i="1"/>
  <c r="G12" i="1"/>
  <c r="I8" i="1"/>
  <c r="H10" i="1"/>
  <c r="G17" i="1" l="1"/>
  <c r="G19" i="1" s="1"/>
  <c r="G20" i="1" s="1"/>
  <c r="H13" i="1"/>
  <c r="H12" i="1"/>
  <c r="J8" i="1"/>
  <c r="I10" i="1"/>
  <c r="H17" i="1" l="1"/>
  <c r="H19" i="1" s="1"/>
  <c r="H20" i="1" s="1"/>
  <c r="I13" i="1"/>
  <c r="I12" i="1"/>
  <c r="K8" i="1"/>
  <c r="J10" i="1"/>
  <c r="I17" i="1" l="1"/>
  <c r="I19" i="1" s="1"/>
  <c r="I20" i="1" s="1"/>
  <c r="J13" i="1"/>
  <c r="J12" i="1"/>
  <c r="L8" i="1"/>
  <c r="K10" i="1"/>
  <c r="K12" i="1" l="1"/>
  <c r="K13" i="1"/>
  <c r="M8" i="1"/>
  <c r="L10" i="1"/>
  <c r="J17" i="1"/>
  <c r="J19" i="1" s="1"/>
  <c r="J20" i="1" s="1"/>
  <c r="K17" i="1" l="1"/>
  <c r="K19" i="1" s="1"/>
  <c r="K20" i="1" s="1"/>
  <c r="L13" i="1"/>
  <c r="L12" i="1"/>
  <c r="N8" i="1"/>
  <c r="M10" i="1"/>
  <c r="L17" i="1" l="1"/>
  <c r="L19" i="1" s="1"/>
  <c r="L20" i="1" s="1"/>
  <c r="M12" i="1"/>
  <c r="M13" i="1"/>
  <c r="O8" i="1"/>
  <c r="O10" i="1" s="1"/>
  <c r="N10" i="1"/>
  <c r="M17" i="1" l="1"/>
  <c r="M19" i="1" s="1"/>
  <c r="M20" i="1" s="1"/>
  <c r="O12" i="1"/>
  <c r="O13" i="1"/>
  <c r="N12" i="1"/>
  <c r="N13" i="1"/>
  <c r="O17" i="1" l="1"/>
  <c r="O19" i="1" s="1"/>
  <c r="O20" i="1" s="1"/>
  <c r="N17" i="1"/>
  <c r="N19" i="1" s="1"/>
  <c r="N20" i="1" s="1"/>
  <c r="B22" i="1" l="1"/>
  <c r="B23" i="1" s="1"/>
</calcChain>
</file>

<file path=xl/sharedStrings.xml><?xml version="1.0" encoding="utf-8"?>
<sst xmlns="http://schemas.openxmlformats.org/spreadsheetml/2006/main" count="40" uniqueCount="39">
  <si>
    <t>PRODUCTO</t>
  </si>
  <si>
    <t>Participación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</si>
  <si>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</si>
  <si>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</si>
  <si>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</si>
  <si>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</si>
  <si>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</si>
  <si>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</si>
  <si>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</si>
  <si>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</si>
  <si>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</si>
  <si>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</si>
  <si>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</si>
  <si>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</si>
  <si>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IMPUESTOS (Tx)</t>
  </si>
  <si>
    <t>FLUJO DE CAJA</t>
  </si>
  <si>
    <t>Renta</t>
  </si>
  <si>
    <t>GASTOS (Fijos)</t>
  </si>
  <si>
    <t>COSTOS (Variables)</t>
  </si>
  <si>
    <t>TOTAL VENTAS</t>
  </si>
  <si>
    <t>Venta Inicial</t>
  </si>
  <si>
    <t>VPN</t>
  </si>
  <si>
    <t>VP</t>
  </si>
  <si>
    <t xml:space="preserve">INVERSION </t>
  </si>
  <si>
    <t>TIR</t>
  </si>
  <si>
    <t>TIO</t>
  </si>
  <si>
    <t>UAI (Antes de Impuestos)</t>
  </si>
  <si>
    <t>Cant. Unidades</t>
  </si>
  <si>
    <t>AUTOMATION SOLUTIOS ( AUTOSOL) - EVALUACION FINANCIERA</t>
  </si>
  <si>
    <t>Barco</t>
  </si>
  <si>
    <t>Casa</t>
  </si>
  <si>
    <t>Moto</t>
  </si>
  <si>
    <t>5 metros de banda</t>
  </si>
  <si>
    <t>Máquina ensambladora</t>
  </si>
  <si>
    <t>Administracion y Operarios</t>
  </si>
  <si>
    <t>Materia prima,empaque</t>
  </si>
  <si>
    <t>Energía eléctrica</t>
  </si>
  <si>
    <t>Bodega, Mantenimientos</t>
  </si>
  <si>
    <t>3 Inyectoras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</si>
</sst>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_(* #,##0_);_(* \(#,##0\);_(* &quot;-&quot;??_);_(@_)"/>
    <numFmt numFmtId="166" formatCode="_-* #,##0\ _€_-;\-* #,##0\ _€_-;_-* &quot;-&quot;??\ _€_-;_-@_-"/>
    <numFmt numFmtId="167" formatCode="_-&quot;$&quot;* #,##0_-;\-&quot;$&quot;* #,##0_-;_-&quot;$&quot;* &quot;-&quot;??_-;_-@_-"/>
    <numFmt numFmtId="168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66FF33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color theme="1" tint="0.34998626667073579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65" fontId="0" fillId="0" borderId="0" xfId="1" applyNumberFormat="1" applyFont="1"/>
    <xf numFmtId="9" fontId="3" fillId="3" borderId="1" xfId="2" applyFont="1" applyFill="1" applyBorder="1" applyAlignment="1">
      <alignment horizontal="center" vertical="center"/>
    </xf>
    <xf numFmtId="0" fontId="2" fillId="2" borderId="4" xfId="0" applyFont="1" applyFill="1" applyBorder="1"/>
    <xf numFmtId="0" fontId="0" fillId="0" borderId="4" xfId="0" applyBorder="1" applyAlignment="1">
      <alignment horizontal="center"/>
    </xf>
    <xf numFmtId="17" fontId="0" fillId="2" borderId="4" xfId="0" applyNumberFormat="1" applyFill="1" applyBorder="1" applyAlignment="1">
      <alignment horizontal="center" vertical="center"/>
    </xf>
    <xf numFmtId="0" fontId="0" fillId="0" borderId="4" xfId="0" applyBorder="1"/>
    <xf numFmtId="9" fontId="0" fillId="0" borderId="3" xfId="2" applyFont="1" applyBorder="1" applyAlignment="1">
      <alignment horizontal="center"/>
    </xf>
    <xf numFmtId="165" fontId="2" fillId="0" borderId="0" xfId="1" applyNumberFormat="1" applyFont="1"/>
    <xf numFmtId="9" fontId="0" fillId="0" borderId="0" xfId="2" applyFont="1"/>
    <xf numFmtId="165" fontId="2" fillId="0" borderId="3" xfId="1" applyNumberFormat="1" applyFont="1" applyBorder="1" applyAlignment="1">
      <alignment horizontal="center"/>
    </xf>
    <xf numFmtId="165" fontId="0" fillId="2" borderId="4" xfId="1" applyNumberFormat="1" applyFont="1" applyFill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6" fontId="4" fillId="4" borderId="4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6" fontId="5" fillId="4" borderId="4" xfId="1" applyNumberFormat="1" applyFont="1" applyFill="1" applyBorder="1" applyAlignment="1">
      <alignment horizontal="center"/>
    </xf>
    <xf numFmtId="0" fontId="0" fillId="2" borderId="4" xfId="0" applyFill="1" applyBorder="1"/>
    <xf numFmtId="167" fontId="6" fillId="5" borderId="5" xfId="3" applyNumberFormat="1" applyFont="1" applyFill="1" applyBorder="1" applyAlignment="1">
      <alignment horizontal="center"/>
    </xf>
    <xf numFmtId="168" fontId="6" fillId="5" borderId="5" xfId="2" applyNumberFormat="1" applyFont="1" applyFill="1" applyBorder="1" applyAlignment="1">
      <alignment horizontal="center"/>
    </xf>
    <xf numFmtId="168" fontId="0" fillId="0" borderId="0" xfId="2" applyNumberFormat="1" applyFont="1"/>
    <xf numFmtId="165" fontId="7" fillId="0" borderId="0" xfId="1" applyNumberFormat="1" applyFont="1"/>
    <xf numFmtId="165" fontId="0" fillId="0" borderId="0" xfId="1" applyNumberFormat="1" applyFont="1" applyAlignment="1">
      <alignment wrapText="1"/>
    </xf>
    <xf numFmtId="9" fontId="3" fillId="3" borderId="1" xfId="2" applyFont="1" applyFill="1" applyBorder="1" applyAlignment="1">
      <alignment horizontal="center" vertical="center"/>
    </xf>
    <xf numFmtId="9" fontId="3" fillId="3" borderId="2" xfId="2" applyFont="1" applyFill="1" applyBorder="1" applyAlignment="1">
      <alignment horizontal="center" vertical="center"/>
    </xf>
    <xf numFmtId="165" fontId="2" fillId="0" borderId="4" xfId="1" applyNumberFormat="1" applyFont="1" applyBorder="1"/>
    <xf numFmtId="165" fontId="0" fillId="0" borderId="4" xfId="1" applyNumberFormat="1" applyFont="1" applyBorder="1"/>
  </cellXfs>
  <cellStyles count="4">
    <cellStyle name="Millares" xfId="1" builtinId="3"/>
    <cellStyle name="Moneda 5" xfId="3" xr:uid="{00000000-0005-0000-0000-000001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Flujo de caja del</a:t>
            </a:r>
            <a:r>
              <a:rPr lang="en-US" baseline="0"/>
              <a:t> proyecto para un año</a:t>
            </a:r>
            <a:endParaRPr lang="en-US"/>
          </a:p>
        </c:rich>
      </c:tx>
      <c:layout>
        <c:manualLayout>
          <c:xMode val="edge"/>
          <c:yMode val="edge"/>
          <c:x val="0.3680137795275590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Hoja1!$C$20</c:f>
              <c:numCache>
                <c:formatCode>_-* #,##0\ _€_-;\-* #,##0\ _€_-;_-* "-"??\ _€_-;_-@_-</c:formatCode>
                <c:ptCount val="1"/>
                <c:pt idx="0">
                  <c:v>-2000000000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C-45D9-8FE0-CF3424A84B2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Hoja1!$D$20</c:f>
              <c:numCache>
                <c:formatCode>_-* #,##0\ _€_-;\-* #,##0\ _€_-;_-* "-"??\ _€_-;_-@_-</c:formatCode>
                <c:ptCount val="1"/>
                <c:pt idx="0">
                  <c:v>157034800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C-45D9-8FE0-CF3424A84B2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Hoja1!$E$20</c:f>
              <c:numCache>
                <c:formatCode>_-* #,##0\ _€_-;\-* #,##0\ _€_-;_-* "-"??\ _€_-;_-@_-</c:formatCode>
                <c:ptCount val="1"/>
                <c:pt idx="0">
                  <c:v>165796540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C-45D9-8FE0-CF3424A84B2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Hoja1!$F$20</c:f>
              <c:numCache>
                <c:formatCode>_-* #,##0\ _€_-;\-* #,##0\ _€_-;_-* "-"??\ _€_-;_-@_-</c:formatCode>
                <c:ptCount val="1"/>
                <c:pt idx="0">
                  <c:v>174996367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FC-45D9-8FE0-CF3424A84B2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Hoja1!$G$20</c:f>
              <c:numCache>
                <c:formatCode>_-* #,##0\ _€_-;\-* #,##0\ _€_-;_-* "-"??\ _€_-;_-@_-</c:formatCode>
                <c:ptCount val="1"/>
                <c:pt idx="0">
                  <c:v>184656185.35000002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C-45D9-8FE0-CF3424A84B2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Hoja1!$H$20</c:f>
              <c:numCache>
                <c:formatCode>_-* #,##0\ _€_-;\-* #,##0\ _€_-;_-* "-"??\ _€_-;_-@_-</c:formatCode>
                <c:ptCount val="1"/>
                <c:pt idx="0">
                  <c:v>204941803.88500005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FC-45D9-8FE0-CF3424A84B2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Hoja1!$I$20</c:f>
              <c:numCache>
                <c:formatCode>_-* #,##0\ _€_-;\-* #,##0\ _€_-;_-* "-"??\ _€_-;_-@_-</c:formatCode>
                <c:ptCount val="1"/>
                <c:pt idx="0">
                  <c:v>227255984.27350003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FC-45D9-8FE0-CF3424A84B2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Hoja1!$J$20</c:f>
              <c:numCache>
                <c:formatCode>_-* #,##0\ _€_-;\-* #,##0\ _€_-;_-* "-"??\ _€_-;_-@_-</c:formatCode>
                <c:ptCount val="1"/>
                <c:pt idx="0">
                  <c:v>251801582.7008501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FC-45D9-8FE0-CF3424A84B2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Hoja1!$K$20</c:f>
              <c:numCache>
                <c:formatCode>_-* #,##0\ _€_-;\-* #,##0\ _€_-;_-* "-"??\ _€_-;_-@_-</c:formatCode>
                <c:ptCount val="1"/>
                <c:pt idx="0">
                  <c:v>292301820.10597754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FC-45D9-8FE0-CF3424A84B2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Hoja1!$L$20</c:f>
              <c:numCache>
                <c:formatCode>_-* #,##0\ _€_-;\-* #,##0\ _€_-;_-* "-"??\ _€_-;_-@_-</c:formatCode>
                <c:ptCount val="1"/>
                <c:pt idx="0">
                  <c:v>338877093.12187421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FC-45D9-8FE0-CF3424A84B2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Hoja1!$M$20</c:f>
              <c:numCache>
                <c:formatCode>_-* #,##0\ _€_-;\-* #,##0\ _€_-;_-* "-"??\ _€_-;_-@_-</c:formatCode>
                <c:ptCount val="1"/>
                <c:pt idx="0">
                  <c:v>392438657.09015518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FC-45D9-8FE0-CF3424A84B2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Hoja1!$N$20</c:f>
              <c:numCache>
                <c:formatCode>_-* #,##0\ _€_-;\-* #,##0\ _€_-;_-* "-"??\ _€_-;_-@_-</c:formatCode>
                <c:ptCount val="1"/>
                <c:pt idx="0">
                  <c:v>474566388.50818622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FC-45D9-8FE0-CF3424A84B2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Hoja1!$O$20</c:f>
              <c:numCache>
                <c:formatCode>_-* #,##0\ _€_-;\-* #,##0\ _€_-;_-* "-"??\ _€_-;_-@_-</c:formatCode>
                <c:ptCount val="1"/>
                <c:pt idx="0">
                  <c:v>573119666.20982349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FC-45D9-8FE0-CF3424A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647568"/>
        <c:axId val="324650368"/>
      </c:barChart>
      <c:catAx>
        <c:axId val="32464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324650368"/>
        <c:crosses val="autoZero"/>
        <c:auto val="1"/>
        <c:lblAlgn val="ctr"/>
        <c:lblOffset val="100"/>
        <c:noMultiLvlLbl val="0"/>
      </c:catAx>
      <c:valAx>
        <c:axId val="3246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6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21</xdr:row>
      <xdr:rowOff>4762</xdr:rowOff>
    </xdr:from>
    <xdr:to>
      <xdr:col>10</xdr:col>
      <xdr:colOff>38100</xdr:colOff>
      <xdr:row>36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0"/>
  <sheetViews>
    <sheetView tabSelected="1" zoomScale="85" zoomScaleNormal="85" workbookViewId="0">
      <selection activeCell="B29" sqref="B29"/>
    </sheetView>
  </sheetViews>
  <sheetFormatPr baseColWidth="10" defaultColWidth="11.44140625" defaultRowHeight="14.4" x14ac:dyDescent="0.3"/>
  <cols>
    <col min="1" max="1" width="23" style="1" customWidth="1"/>
    <col min="2" max="2" width="15.21875" style="1" customWidth="1"/>
    <col min="3" max="3" width="16.109375" style="1" customWidth="1"/>
    <col min="4" max="4" width="14.109375" style="1" customWidth="1"/>
    <col min="5" max="5" width="14" style="1" customWidth="1"/>
    <col min="6" max="6" width="14.77734375" style="1" customWidth="1"/>
    <col min="7" max="7" width="15.6640625" style="1" customWidth="1"/>
    <col min="8" max="15" width="14.6640625" style="1" customWidth="1"/>
    <col min="16" max="16384" width="11.44140625" style="1"/>
  </cols>
  <sheetData>
    <row r="1" spans="1:15" ht="18" x14ac:dyDescent="0.35">
      <c r="A1" s="20" t="s">
        <v>28</v>
      </c>
    </row>
    <row r="2" spans="1:15" x14ac:dyDescent="0.3">
      <c r="A2" s="16" t="s">
        <v>20</v>
      </c>
      <c r="B2" s="10">
        <f>(12000*B4+15000*B5+10000*B6)*30</f>
        <v>336990000</v>
      </c>
      <c r="C2" s="22"/>
      <c r="D2" s="23"/>
      <c r="E2" s="2">
        <v>0.05</v>
      </c>
      <c r="F2" s="2">
        <v>0.05</v>
      </c>
      <c r="G2" s="2">
        <v>0.05</v>
      </c>
      <c r="H2" s="2">
        <v>0.1</v>
      </c>
      <c r="I2" s="2">
        <v>0.1</v>
      </c>
      <c r="J2" s="2">
        <v>0.1</v>
      </c>
      <c r="K2" s="2">
        <v>0.15</v>
      </c>
      <c r="L2" s="2">
        <v>0.15</v>
      </c>
      <c r="M2" s="2">
        <v>0.15</v>
      </c>
      <c r="N2" s="2">
        <v>0.2</v>
      </c>
      <c r="O2" s="2">
        <v>0.2</v>
      </c>
    </row>
    <row r="3" spans="1:15" x14ac:dyDescent="0.3">
      <c r="A3" s="3" t="s">
        <v>0</v>
      </c>
      <c r="B3" s="3" t="s">
        <v>27</v>
      </c>
      <c r="C3" s="4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</row>
    <row r="4" spans="1:15" x14ac:dyDescent="0.3">
      <c r="A4" s="6" t="s">
        <v>29</v>
      </c>
      <c r="B4" s="14">
        <f>7*47</f>
        <v>329</v>
      </c>
      <c r="C4" s="7">
        <f>+B4/$B$10</f>
        <v>0.35</v>
      </c>
      <c r="D4" s="11">
        <f>+C4*$B$2</f>
        <v>117946499.99999999</v>
      </c>
      <c r="E4" s="12">
        <f>+(D4*(1+E$2))</f>
        <v>123843824.99999999</v>
      </c>
      <c r="F4" s="12">
        <f>+(E4*(1+F$2))</f>
        <v>130036016.24999999</v>
      </c>
      <c r="G4" s="12">
        <f t="shared" ref="G4:O4" si="0">+(F4*(1+G$2))</f>
        <v>136537817.0625</v>
      </c>
      <c r="H4" s="12">
        <f t="shared" si="0"/>
        <v>150191598.76875001</v>
      </c>
      <c r="I4" s="12">
        <f t="shared" si="0"/>
        <v>165210758.64562503</v>
      </c>
      <c r="J4" s="12">
        <f t="shared" si="0"/>
        <v>181731834.51018754</v>
      </c>
      <c r="K4" s="12">
        <f t="shared" si="0"/>
        <v>208991609.68671566</v>
      </c>
      <c r="L4" s="12">
        <f t="shared" si="0"/>
        <v>240340351.139723</v>
      </c>
      <c r="M4" s="12">
        <f t="shared" si="0"/>
        <v>276391403.8106814</v>
      </c>
      <c r="N4" s="12">
        <f t="shared" si="0"/>
        <v>331669684.57281768</v>
      </c>
      <c r="O4" s="12">
        <f t="shared" si="0"/>
        <v>398003621.48738122</v>
      </c>
    </row>
    <row r="5" spans="1:15" x14ac:dyDescent="0.3">
      <c r="A5" s="6" t="s">
        <v>30</v>
      </c>
      <c r="B5" s="14">
        <f>5*47</f>
        <v>235</v>
      </c>
      <c r="C5" s="7">
        <f>+B5/$B$10</f>
        <v>0.25</v>
      </c>
      <c r="D5" s="11">
        <f>+C5*$B$2</f>
        <v>84247500</v>
      </c>
      <c r="E5" s="12">
        <f t="shared" ref="E5:O5" si="1">+(D5*(1+E$2))</f>
        <v>88459875</v>
      </c>
      <c r="F5" s="12">
        <f t="shared" si="1"/>
        <v>92882868.75</v>
      </c>
      <c r="G5" s="12">
        <f t="shared" si="1"/>
        <v>97527012.1875</v>
      </c>
      <c r="H5" s="12">
        <f t="shared" si="1"/>
        <v>107279713.40625001</v>
      </c>
      <c r="I5" s="12">
        <f t="shared" si="1"/>
        <v>118007684.74687503</v>
      </c>
      <c r="J5" s="12">
        <f t="shared" si="1"/>
        <v>129808453.22156255</v>
      </c>
      <c r="K5" s="12">
        <f t="shared" si="1"/>
        <v>149279721.20479691</v>
      </c>
      <c r="L5" s="12">
        <f t="shared" si="1"/>
        <v>171671679.38551643</v>
      </c>
      <c r="M5" s="12">
        <f t="shared" si="1"/>
        <v>197422431.29334387</v>
      </c>
      <c r="N5" s="12">
        <f t="shared" si="1"/>
        <v>236906917.55201265</v>
      </c>
      <c r="O5" s="12">
        <f t="shared" si="1"/>
        <v>284288301.06241518</v>
      </c>
    </row>
    <row r="6" spans="1:15" x14ac:dyDescent="0.3">
      <c r="A6" s="6" t="s">
        <v>31</v>
      </c>
      <c r="B6" s="14">
        <f>8*47</f>
        <v>376</v>
      </c>
      <c r="C6" s="7">
        <f>+B6/$B$10</f>
        <v>0.4</v>
      </c>
      <c r="D6" s="11">
        <f t="shared" ref="D6:D9" si="2">+C6*$B$2</f>
        <v>134796000</v>
      </c>
      <c r="E6" s="12">
        <f t="shared" ref="E6:O6" si="3">+(D6*(1+E$2))</f>
        <v>141535800</v>
      </c>
      <c r="F6" s="12">
        <f t="shared" si="3"/>
        <v>148612590</v>
      </c>
      <c r="G6" s="12">
        <f t="shared" si="3"/>
        <v>156043219.5</v>
      </c>
      <c r="H6" s="12">
        <f t="shared" si="3"/>
        <v>171647541.45000002</v>
      </c>
      <c r="I6" s="12">
        <f t="shared" si="3"/>
        <v>188812295.59500003</v>
      </c>
      <c r="J6" s="12">
        <f t="shared" si="3"/>
        <v>207693525.15450004</v>
      </c>
      <c r="K6" s="12">
        <f t="shared" si="3"/>
        <v>238847553.92767504</v>
      </c>
      <c r="L6" s="12">
        <f t="shared" si="3"/>
        <v>274674687.01682627</v>
      </c>
      <c r="M6" s="12">
        <f t="shared" si="3"/>
        <v>315875890.06935018</v>
      </c>
      <c r="N6" s="12">
        <f t="shared" si="3"/>
        <v>379051068.08322018</v>
      </c>
      <c r="O6" s="12">
        <f t="shared" si="3"/>
        <v>454861281.69986421</v>
      </c>
    </row>
    <row r="7" spans="1:15" x14ac:dyDescent="0.3">
      <c r="A7" s="6"/>
      <c r="B7" s="14"/>
      <c r="C7" s="7">
        <f t="shared" ref="C7:C9" si="4">+B7/$B$10</f>
        <v>0</v>
      </c>
      <c r="D7" s="11">
        <f t="shared" si="2"/>
        <v>0</v>
      </c>
      <c r="E7" s="12">
        <f t="shared" ref="E7:O7" si="5">+(D7*(1+E$2))</f>
        <v>0</v>
      </c>
      <c r="F7" s="12">
        <f t="shared" si="5"/>
        <v>0</v>
      </c>
      <c r="G7" s="12">
        <f t="shared" si="5"/>
        <v>0</v>
      </c>
      <c r="H7" s="12">
        <f t="shared" si="5"/>
        <v>0</v>
      </c>
      <c r="I7" s="12">
        <f t="shared" si="5"/>
        <v>0</v>
      </c>
      <c r="J7" s="12">
        <f t="shared" si="5"/>
        <v>0</v>
      </c>
      <c r="K7" s="12">
        <f t="shared" si="5"/>
        <v>0</v>
      </c>
      <c r="L7" s="12">
        <f t="shared" si="5"/>
        <v>0</v>
      </c>
      <c r="M7" s="12">
        <f t="shared" si="5"/>
        <v>0</v>
      </c>
      <c r="N7" s="12">
        <f t="shared" si="5"/>
        <v>0</v>
      </c>
      <c r="O7" s="12">
        <f t="shared" si="5"/>
        <v>0</v>
      </c>
    </row>
    <row r="8" spans="1:15" x14ac:dyDescent="0.3">
      <c r="A8" s="6"/>
      <c r="B8" s="14"/>
      <c r="C8" s="7">
        <f t="shared" si="4"/>
        <v>0</v>
      </c>
      <c r="D8" s="11">
        <f>+C8*$B$2</f>
        <v>0</v>
      </c>
      <c r="E8" s="12">
        <f t="shared" ref="E8:O8" si="6">+(D8*(1+E$2))</f>
        <v>0</v>
      </c>
      <c r="F8" s="12">
        <f t="shared" si="6"/>
        <v>0</v>
      </c>
      <c r="G8" s="12">
        <f t="shared" si="6"/>
        <v>0</v>
      </c>
      <c r="H8" s="12">
        <f t="shared" si="6"/>
        <v>0</v>
      </c>
      <c r="I8" s="12">
        <f t="shared" si="6"/>
        <v>0</v>
      </c>
      <c r="J8" s="12">
        <f t="shared" si="6"/>
        <v>0</v>
      </c>
      <c r="K8" s="12">
        <f t="shared" si="6"/>
        <v>0</v>
      </c>
      <c r="L8" s="12">
        <f t="shared" si="6"/>
        <v>0</v>
      </c>
      <c r="M8" s="12">
        <f t="shared" si="6"/>
        <v>0</v>
      </c>
      <c r="N8" s="12">
        <f t="shared" si="6"/>
        <v>0</v>
      </c>
      <c r="O8" s="12">
        <f t="shared" si="6"/>
        <v>0</v>
      </c>
    </row>
    <row r="9" spans="1:15" x14ac:dyDescent="0.3">
      <c r="A9" s="6"/>
      <c r="B9" s="14"/>
      <c r="C9" s="7">
        <f t="shared" si="4"/>
        <v>0</v>
      </c>
      <c r="D9" s="11">
        <f t="shared" si="2"/>
        <v>0</v>
      </c>
      <c r="E9" s="12">
        <f t="shared" ref="E9:O9" si="7">+(D9*(1+E$2))</f>
        <v>0</v>
      </c>
      <c r="F9" s="12">
        <f t="shared" si="7"/>
        <v>0</v>
      </c>
      <c r="G9" s="12">
        <f t="shared" si="7"/>
        <v>0</v>
      </c>
      <c r="H9" s="12">
        <f t="shared" si="7"/>
        <v>0</v>
      </c>
      <c r="I9" s="12">
        <f t="shared" si="7"/>
        <v>0</v>
      </c>
      <c r="J9" s="12">
        <f t="shared" si="7"/>
        <v>0</v>
      </c>
      <c r="K9" s="12">
        <f t="shared" si="7"/>
        <v>0</v>
      </c>
      <c r="L9" s="12">
        <f t="shared" si="7"/>
        <v>0</v>
      </c>
      <c r="M9" s="12">
        <f t="shared" si="7"/>
        <v>0</v>
      </c>
      <c r="N9" s="12">
        <f t="shared" si="7"/>
        <v>0</v>
      </c>
      <c r="O9" s="12">
        <f t="shared" si="7"/>
        <v>0</v>
      </c>
    </row>
    <row r="10" spans="1:15" x14ac:dyDescent="0.3">
      <c r="A10" s="13" t="s">
        <v>19</v>
      </c>
      <c r="B10" s="15">
        <f>SUM(B4:B9)</f>
        <v>940</v>
      </c>
      <c r="C10" s="13"/>
      <c r="D10" s="13">
        <f t="shared" ref="D10:K10" si="8">SUM(D4:D9)</f>
        <v>336990000</v>
      </c>
      <c r="E10" s="13">
        <f t="shared" si="8"/>
        <v>353839500</v>
      </c>
      <c r="F10" s="13">
        <f t="shared" si="8"/>
        <v>371531475</v>
      </c>
      <c r="G10" s="13">
        <f t="shared" si="8"/>
        <v>390108048.75</v>
      </c>
      <c r="H10" s="13">
        <f t="shared" si="8"/>
        <v>429118853.625</v>
      </c>
      <c r="I10" s="13">
        <f t="shared" si="8"/>
        <v>472030738.98750007</v>
      </c>
      <c r="J10" s="13">
        <f t="shared" si="8"/>
        <v>519233812.88625014</v>
      </c>
      <c r="K10" s="13">
        <f t="shared" si="8"/>
        <v>597118884.81918764</v>
      </c>
      <c r="L10" s="13">
        <f t="shared" ref="L10:M10" si="9">SUM(L4:L9)</f>
        <v>686686717.54206574</v>
      </c>
      <c r="M10" s="13">
        <f t="shared" si="9"/>
        <v>789689725.17337537</v>
      </c>
      <c r="N10" s="13">
        <f t="shared" ref="N10" si="10">SUM(N4:N9)</f>
        <v>947627670.20805049</v>
      </c>
      <c r="O10" s="13">
        <f t="shared" ref="O10" si="11">SUM(O4:O9)</f>
        <v>1137153204.2496605</v>
      </c>
    </row>
    <row r="11" spans="1:15" x14ac:dyDescent="0.3">
      <c r="A11" s="8" t="s">
        <v>18</v>
      </c>
      <c r="B11" s="8"/>
    </row>
    <row r="12" spans="1:15" x14ac:dyDescent="0.3">
      <c r="A12" s="21" t="s">
        <v>35</v>
      </c>
      <c r="C12" s="9">
        <v>0.15</v>
      </c>
      <c r="D12" s="1">
        <f>+$C$12*D10</f>
        <v>50548500</v>
      </c>
      <c r="E12" s="1">
        <f t="shared" ref="E12:O12" si="12">+$C$12*E10</f>
        <v>53075925</v>
      </c>
      <c r="F12" s="1">
        <f>+$C$12*F10</f>
        <v>55729721.25</v>
      </c>
      <c r="G12" s="1">
        <f t="shared" si="12"/>
        <v>58516207.3125</v>
      </c>
      <c r="H12" s="1">
        <f t="shared" si="12"/>
        <v>64367828.043749996</v>
      </c>
      <c r="I12" s="1">
        <f t="shared" si="12"/>
        <v>70804610.848125011</v>
      </c>
      <c r="J12" s="1">
        <f t="shared" si="12"/>
        <v>77885071.932937518</v>
      </c>
      <c r="K12" s="1">
        <f t="shared" si="12"/>
        <v>89567832.722878143</v>
      </c>
      <c r="L12" s="1">
        <f t="shared" si="12"/>
        <v>103003007.63130985</v>
      </c>
      <c r="M12" s="1">
        <f t="shared" si="12"/>
        <v>118453458.7760063</v>
      </c>
      <c r="N12" s="1">
        <f t="shared" si="12"/>
        <v>142144150.53120756</v>
      </c>
      <c r="O12" s="1">
        <f t="shared" si="12"/>
        <v>170572980.63744906</v>
      </c>
    </row>
    <row r="13" spans="1:15" x14ac:dyDescent="0.3">
      <c r="A13" s="1" t="s">
        <v>36</v>
      </c>
      <c r="C13" s="9">
        <v>0.05</v>
      </c>
      <c r="D13" s="1">
        <f>+$C$13*D10</f>
        <v>16849500</v>
      </c>
      <c r="E13" s="1">
        <f t="shared" ref="E13:O13" si="13">+$C$13*E10</f>
        <v>17691975</v>
      </c>
      <c r="F13" s="1">
        <f t="shared" si="13"/>
        <v>18576573.75</v>
      </c>
      <c r="G13" s="1">
        <f t="shared" si="13"/>
        <v>19505402.4375</v>
      </c>
      <c r="H13" s="1">
        <f t="shared" si="13"/>
        <v>21455942.681250002</v>
      </c>
      <c r="I13" s="1">
        <f t="shared" si="13"/>
        <v>23601536.949375004</v>
      </c>
      <c r="J13" s="1">
        <f t="shared" si="13"/>
        <v>25961690.644312508</v>
      </c>
      <c r="K13" s="1">
        <f t="shared" si="13"/>
        <v>29855944.240959384</v>
      </c>
      <c r="L13" s="1">
        <f t="shared" si="13"/>
        <v>34334335.877103291</v>
      </c>
      <c r="M13" s="1">
        <f t="shared" si="13"/>
        <v>39484486.258668773</v>
      </c>
      <c r="N13" s="1">
        <f t="shared" si="13"/>
        <v>47381383.51040253</v>
      </c>
      <c r="O13" s="1">
        <f t="shared" si="13"/>
        <v>56857660.212483026</v>
      </c>
    </row>
    <row r="14" spans="1:15" x14ac:dyDescent="0.3">
      <c r="A14" s="8" t="s">
        <v>17</v>
      </c>
      <c r="B14" s="8"/>
    </row>
    <row r="15" spans="1:15" x14ac:dyDescent="0.3">
      <c r="A15" s="1" t="s">
        <v>34</v>
      </c>
      <c r="C15" s="1">
        <f>10*1400000</f>
        <v>14000000</v>
      </c>
      <c r="D15" s="1">
        <f>+$C$15</f>
        <v>14000000</v>
      </c>
      <c r="E15" s="1">
        <f t="shared" ref="E15:O15" si="14">+$C$15</f>
        <v>14000000</v>
      </c>
      <c r="F15" s="1">
        <f t="shared" si="14"/>
        <v>14000000</v>
      </c>
      <c r="G15" s="1">
        <f t="shared" si="14"/>
        <v>14000000</v>
      </c>
      <c r="H15" s="1">
        <f t="shared" si="14"/>
        <v>14000000</v>
      </c>
      <c r="I15" s="1">
        <f t="shared" si="14"/>
        <v>14000000</v>
      </c>
      <c r="J15" s="1">
        <f t="shared" si="14"/>
        <v>14000000</v>
      </c>
      <c r="K15" s="1">
        <f t="shared" si="14"/>
        <v>14000000</v>
      </c>
      <c r="L15" s="1">
        <f t="shared" si="14"/>
        <v>14000000</v>
      </c>
      <c r="M15" s="1">
        <f t="shared" si="14"/>
        <v>14000000</v>
      </c>
      <c r="N15" s="1">
        <f t="shared" si="14"/>
        <v>14000000</v>
      </c>
      <c r="O15" s="1">
        <f t="shared" si="14"/>
        <v>14000000</v>
      </c>
    </row>
    <row r="16" spans="1:15" x14ac:dyDescent="0.3">
      <c r="A16" s="1" t="s">
        <v>37</v>
      </c>
      <c r="C16" s="1">
        <v>13000000</v>
      </c>
      <c r="D16" s="1">
        <v>14000000</v>
      </c>
      <c r="E16" s="1">
        <v>14000000</v>
      </c>
      <c r="F16" s="1">
        <v>14000000</v>
      </c>
      <c r="G16" s="1">
        <v>14000000</v>
      </c>
      <c r="H16" s="1">
        <v>14000000</v>
      </c>
      <c r="I16" s="1">
        <v>14000000</v>
      </c>
      <c r="J16" s="1">
        <v>14000000</v>
      </c>
      <c r="K16" s="1">
        <v>14000000</v>
      </c>
      <c r="L16" s="1">
        <v>14000000</v>
      </c>
      <c r="M16" s="1">
        <v>14000000</v>
      </c>
      <c r="N16" s="1">
        <v>14000000</v>
      </c>
      <c r="O16" s="1">
        <v>14000000</v>
      </c>
    </row>
    <row r="17" spans="1:15" x14ac:dyDescent="0.3">
      <c r="A17" s="1" t="s">
        <v>26</v>
      </c>
      <c r="D17" s="1">
        <f>+D10-D12-D15-D16-D13</f>
        <v>241592000</v>
      </c>
      <c r="E17" s="1">
        <f t="shared" ref="E17:O17" si="15">+E10-E12-E15-E16-E13</f>
        <v>255071600</v>
      </c>
      <c r="F17" s="1">
        <f t="shared" si="15"/>
        <v>269225180</v>
      </c>
      <c r="G17" s="1">
        <f t="shared" si="15"/>
        <v>284086439</v>
      </c>
      <c r="H17" s="1">
        <f t="shared" si="15"/>
        <v>315295082.90000004</v>
      </c>
      <c r="I17" s="1">
        <f t="shared" si="15"/>
        <v>349624591.19000006</v>
      </c>
      <c r="J17" s="1">
        <f t="shared" si="15"/>
        <v>387387050.30900013</v>
      </c>
      <c r="K17" s="1">
        <f t="shared" si="15"/>
        <v>449695107.85535008</v>
      </c>
      <c r="L17" s="1">
        <f t="shared" si="15"/>
        <v>521349374.0336526</v>
      </c>
      <c r="M17" s="1">
        <f t="shared" si="15"/>
        <v>603751780.13870025</v>
      </c>
      <c r="N17" s="1">
        <f t="shared" si="15"/>
        <v>730102136.16644037</v>
      </c>
      <c r="O17" s="1">
        <f t="shared" si="15"/>
        <v>881722563.39972842</v>
      </c>
    </row>
    <row r="18" spans="1:15" x14ac:dyDescent="0.3">
      <c r="A18" s="8" t="s">
        <v>14</v>
      </c>
      <c r="B18" s="8"/>
    </row>
    <row r="19" spans="1:15" x14ac:dyDescent="0.3">
      <c r="A19" s="1" t="s">
        <v>16</v>
      </c>
      <c r="C19" s="9">
        <v>0.35</v>
      </c>
      <c r="D19" s="1">
        <f>+IF(D17&lt;0,0,D17*$C$19)</f>
        <v>84557200</v>
      </c>
      <c r="E19" s="1">
        <f t="shared" ref="E19:O19" si="16">+IF(E17&lt;0,0,E17*$C$19)</f>
        <v>89275060</v>
      </c>
      <c r="F19" s="1">
        <f t="shared" si="16"/>
        <v>94228813</v>
      </c>
      <c r="G19" s="1">
        <f t="shared" si="16"/>
        <v>99430253.649999991</v>
      </c>
      <c r="H19" s="1">
        <f t="shared" si="16"/>
        <v>110353279.015</v>
      </c>
      <c r="I19" s="1">
        <f t="shared" si="16"/>
        <v>122368606.91650002</v>
      </c>
      <c r="J19" s="1">
        <f t="shared" si="16"/>
        <v>135585467.60815004</v>
      </c>
      <c r="K19" s="1">
        <f t="shared" si="16"/>
        <v>157393287.74937251</v>
      </c>
      <c r="L19" s="1">
        <f t="shared" si="16"/>
        <v>182472280.91177839</v>
      </c>
      <c r="M19" s="1">
        <f t="shared" si="16"/>
        <v>211313123.04854506</v>
      </c>
      <c r="N19" s="1">
        <f t="shared" si="16"/>
        <v>255535747.65825412</v>
      </c>
      <c r="O19" s="1">
        <f t="shared" si="16"/>
        <v>308602897.18990493</v>
      </c>
    </row>
    <row r="20" spans="1:15" x14ac:dyDescent="0.3">
      <c r="A20" s="13" t="s">
        <v>15</v>
      </c>
      <c r="B20" s="13"/>
      <c r="C20" s="13">
        <f>+B21</f>
        <v>-2000000000</v>
      </c>
      <c r="D20" s="13">
        <f>+D17-D19</f>
        <v>157034800</v>
      </c>
      <c r="E20" s="13">
        <f t="shared" ref="E20:O20" si="17">+E17-E19</f>
        <v>165796540</v>
      </c>
      <c r="F20" s="13">
        <f t="shared" si="17"/>
        <v>174996367</v>
      </c>
      <c r="G20" s="13">
        <f t="shared" si="17"/>
        <v>184656185.35000002</v>
      </c>
      <c r="H20" s="13">
        <f t="shared" si="17"/>
        <v>204941803.88500005</v>
      </c>
      <c r="I20" s="13">
        <f t="shared" si="17"/>
        <v>227255984.27350003</v>
      </c>
      <c r="J20" s="13">
        <f t="shared" si="17"/>
        <v>251801582.7008501</v>
      </c>
      <c r="K20" s="13">
        <f t="shared" si="17"/>
        <v>292301820.10597754</v>
      </c>
      <c r="L20" s="13">
        <f t="shared" si="17"/>
        <v>338877093.12187421</v>
      </c>
      <c r="M20" s="13">
        <f t="shared" si="17"/>
        <v>392438657.09015518</v>
      </c>
      <c r="N20" s="13">
        <f t="shared" si="17"/>
        <v>474566388.50818622</v>
      </c>
      <c r="O20" s="13">
        <f t="shared" si="17"/>
        <v>573119666.20982349</v>
      </c>
    </row>
    <row r="21" spans="1:15" x14ac:dyDescent="0.3">
      <c r="A21" s="8" t="s">
        <v>23</v>
      </c>
      <c r="B21" s="1">
        <v>-2000000000</v>
      </c>
    </row>
    <row r="22" spans="1:15" x14ac:dyDescent="0.3">
      <c r="A22" s="1" t="s">
        <v>22</v>
      </c>
      <c r="B22" s="17">
        <f>+NPV($B$25,D20:O20)</f>
        <v>1091347148.3954775</v>
      </c>
    </row>
    <row r="23" spans="1:15" x14ac:dyDescent="0.3">
      <c r="A23" s="1" t="s">
        <v>21</v>
      </c>
      <c r="B23" s="17">
        <f>+B22+B21</f>
        <v>-908652851.60452247</v>
      </c>
    </row>
    <row r="24" spans="1:15" x14ac:dyDescent="0.3">
      <c r="A24" s="1" t="s">
        <v>24</v>
      </c>
      <c r="B24" s="18">
        <f>+IRR(C20:O20)</f>
        <v>7.4721700621047216E-2</v>
      </c>
    </row>
    <row r="25" spans="1:15" x14ac:dyDescent="0.3">
      <c r="A25" s="1" t="s">
        <v>25</v>
      </c>
      <c r="B25" s="18">
        <v>0.18</v>
      </c>
      <c r="C25" s="19"/>
    </row>
    <row r="27" spans="1:15" x14ac:dyDescent="0.3">
      <c r="M27" s="24" t="s">
        <v>23</v>
      </c>
    </row>
    <row r="28" spans="1:15" x14ac:dyDescent="0.3">
      <c r="M28" s="25" t="s">
        <v>38</v>
      </c>
    </row>
    <row r="29" spans="1:15" x14ac:dyDescent="0.3">
      <c r="M29" s="25" t="s">
        <v>32</v>
      </c>
    </row>
    <row r="30" spans="1:15" x14ac:dyDescent="0.3">
      <c r="M30" s="25" t="s">
        <v>33</v>
      </c>
    </row>
  </sheetData>
  <mergeCells count="1">
    <mergeCell ref="C2:D2"/>
  </mergeCells>
  <pageMargins left="0.70866141732283472" right="0.70866141732283472" top="0.74803149606299213" bottom="0.74803149606299213" header="0.31496062992125984" footer="0.31496062992125984"/>
  <pageSetup paperSize="8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BERNAL</dc:creator>
  <cp:lastModifiedBy>Brian Muñoz Garcia</cp:lastModifiedBy>
  <cp:lastPrinted>2024-09-17T02:57:23Z</cp:lastPrinted>
  <dcterms:created xsi:type="dcterms:W3CDTF">2016-11-23T20:09:11Z</dcterms:created>
  <dcterms:modified xsi:type="dcterms:W3CDTF">2025-01-22T04:04:51Z</dcterms:modified>
</cp:coreProperties>
</file>