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usol-apm.github.io\project\Documents\"/>
    </mc:Choice>
  </mc:AlternateContent>
  <xr:revisionPtr revIDLastSave="0" documentId="13_ncr:1_{ABBA6E18-79C7-4446-A9D5-FECE20ECEB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yección ventas" sheetId="2" r:id="rId1"/>
    <sheet name="Evaluación fianciera" sheetId="3" r:id="rId2"/>
  </sheets>
  <definedNames>
    <definedName name="_xlnm.Print_Area" localSheetId="1">'Evaluación fianciera'!$A$1:$O$38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4" i="3"/>
  <c r="B5" i="3"/>
  <c r="B6" i="3"/>
  <c r="C15" i="3"/>
  <c r="F15" i="3" s="1"/>
  <c r="D15" i="3"/>
  <c r="E15" i="3"/>
  <c r="H15" i="3"/>
  <c r="I15" i="3"/>
  <c r="J15" i="3"/>
  <c r="K15" i="3"/>
  <c r="L15" i="3"/>
  <c r="M15" i="3"/>
  <c r="C20" i="3"/>
  <c r="I44" i="2"/>
  <c r="G42" i="2"/>
  <c r="H43" i="2"/>
  <c r="G18" i="2"/>
  <c r="B35" i="2"/>
  <c r="G35" i="2" s="1"/>
  <c r="D36" i="2"/>
  <c r="I36" i="2" s="1"/>
  <c r="D37" i="2"/>
  <c r="D38" i="2"/>
  <c r="I38" i="2" s="1"/>
  <c r="D39" i="2"/>
  <c r="I39" i="2" s="1"/>
  <c r="D40" i="2"/>
  <c r="I40" i="2" s="1"/>
  <c r="D41" i="2"/>
  <c r="I41" i="2" s="1"/>
  <c r="D42" i="2"/>
  <c r="I42" i="2" s="1"/>
  <c r="D43" i="2"/>
  <c r="I43" i="2" s="1"/>
  <c r="D44" i="2"/>
  <c r="D45" i="2"/>
  <c r="D46" i="2"/>
  <c r="C36" i="2"/>
  <c r="C37" i="2"/>
  <c r="H37" i="2" s="1"/>
  <c r="C38" i="2"/>
  <c r="H38" i="2" s="1"/>
  <c r="C39" i="2"/>
  <c r="H39" i="2" s="1"/>
  <c r="C40" i="2"/>
  <c r="H40" i="2" s="1"/>
  <c r="C41" i="2"/>
  <c r="H41" i="2" s="1"/>
  <c r="C42" i="2"/>
  <c r="C43" i="2"/>
  <c r="C44" i="2"/>
  <c r="C45" i="2"/>
  <c r="C46" i="2"/>
  <c r="D35" i="2"/>
  <c r="I35" i="2" s="1"/>
  <c r="C35" i="2"/>
  <c r="H35" i="2" s="1"/>
  <c r="B36" i="2"/>
  <c r="B37" i="2"/>
  <c r="B38" i="2"/>
  <c r="B39" i="2"/>
  <c r="B40" i="2"/>
  <c r="B41" i="2"/>
  <c r="B42" i="2"/>
  <c r="B43" i="2"/>
  <c r="B44" i="2"/>
  <c r="B45" i="2"/>
  <c r="B46" i="2"/>
  <c r="G43" i="2"/>
  <c r="G44" i="2"/>
  <c r="G45" i="2"/>
  <c r="G46" i="2"/>
  <c r="G41" i="2"/>
  <c r="G40" i="2"/>
  <c r="G38" i="2"/>
  <c r="F34" i="2"/>
  <c r="G34" i="2"/>
  <c r="H34" i="2"/>
  <c r="I34" i="2"/>
  <c r="F35" i="2"/>
  <c r="F36" i="2"/>
  <c r="G36" i="2"/>
  <c r="H36" i="2"/>
  <c r="F37" i="2"/>
  <c r="I37" i="2"/>
  <c r="F38" i="2"/>
  <c r="F39" i="2"/>
  <c r="F40" i="2"/>
  <c r="F41" i="2"/>
  <c r="F42" i="2"/>
  <c r="H42" i="2"/>
  <c r="F43" i="2"/>
  <c r="F44" i="2"/>
  <c r="F45" i="2"/>
  <c r="F46" i="2"/>
  <c r="G15" i="2"/>
  <c r="A34" i="2"/>
  <c r="B34" i="2"/>
  <c r="C34" i="2"/>
  <c r="D34" i="2"/>
  <c r="A35" i="2"/>
  <c r="A36" i="2"/>
  <c r="A37" i="2"/>
  <c r="A38" i="2"/>
  <c r="A39" i="2"/>
  <c r="A40" i="2"/>
  <c r="A41" i="2"/>
  <c r="A42" i="2"/>
  <c r="A43" i="2"/>
  <c r="A44" i="2"/>
  <c r="A45" i="2"/>
  <c r="A46" i="2"/>
  <c r="A18" i="2"/>
  <c r="B18" i="2"/>
  <c r="C18" i="2"/>
  <c r="D18" i="2"/>
  <c r="A19" i="2"/>
  <c r="A20" i="2"/>
  <c r="A21" i="2"/>
  <c r="A22" i="2"/>
  <c r="A23" i="2"/>
  <c r="A24" i="2"/>
  <c r="A25" i="2"/>
  <c r="A26" i="2"/>
  <c r="A27" i="2"/>
  <c r="A28" i="2"/>
  <c r="A29" i="2"/>
  <c r="A30" i="2"/>
  <c r="O15" i="3" l="1"/>
  <c r="G15" i="3"/>
  <c r="N15" i="3"/>
  <c r="B10" i="3"/>
  <c r="C4" i="3" s="1"/>
  <c r="D4" i="3" s="1"/>
  <c r="G39" i="2"/>
  <c r="G37" i="2"/>
  <c r="E4" i="3" l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D14" i="2"/>
  <c r="D30" i="2" s="1"/>
  <c r="C14" i="2"/>
  <c r="C30" i="2" s="1"/>
  <c r="B14" i="2"/>
  <c r="B30" i="2" s="1"/>
  <c r="D12" i="2"/>
  <c r="D28" i="2" s="1"/>
  <c r="C12" i="2"/>
  <c r="C28" i="2" s="1"/>
  <c r="B12" i="2"/>
  <c r="B28" i="2" s="1"/>
  <c r="D9" i="2"/>
  <c r="D25" i="2" s="1"/>
  <c r="C9" i="2"/>
  <c r="C25" i="2" s="1"/>
  <c r="B9" i="2"/>
  <c r="B25" i="2" s="1"/>
  <c r="D8" i="2"/>
  <c r="D24" i="2" s="1"/>
  <c r="C8" i="2"/>
  <c r="C24" i="2" s="1"/>
  <c r="B8" i="2"/>
  <c r="B24" i="2" s="1"/>
  <c r="B6" i="2"/>
  <c r="B22" i="2" s="1"/>
  <c r="C6" i="2"/>
  <c r="C22" i="2" s="1"/>
  <c r="D6" i="2"/>
  <c r="D22" i="2" s="1"/>
  <c r="D13" i="2"/>
  <c r="D29" i="2" s="1"/>
  <c r="D11" i="2"/>
  <c r="D27" i="2" s="1"/>
  <c r="D10" i="2"/>
  <c r="D26" i="2" s="1"/>
  <c r="D7" i="2"/>
  <c r="D23" i="2" s="1"/>
  <c r="D5" i="2"/>
  <c r="D21" i="2" s="1"/>
  <c r="D4" i="2"/>
  <c r="D20" i="2" s="1"/>
  <c r="C13" i="2"/>
  <c r="C29" i="2" s="1"/>
  <c r="C11" i="2"/>
  <c r="C27" i="2" s="1"/>
  <c r="C10" i="2"/>
  <c r="C26" i="2" s="1"/>
  <c r="C7" i="2"/>
  <c r="C23" i="2" s="1"/>
  <c r="C5" i="2"/>
  <c r="C21" i="2" s="1"/>
  <c r="C4" i="2"/>
  <c r="C20" i="2" s="1"/>
  <c r="C3" i="2"/>
  <c r="C19" i="2" s="1"/>
  <c r="B13" i="2"/>
  <c r="B29" i="2" s="1"/>
  <c r="B11" i="2"/>
  <c r="B27" i="2" s="1"/>
  <c r="B10" i="2"/>
  <c r="B26" i="2" s="1"/>
  <c r="B7" i="2"/>
  <c r="B23" i="2" s="1"/>
  <c r="B5" i="2"/>
  <c r="B21" i="2" s="1"/>
  <c r="B4" i="2"/>
  <c r="B20" i="2" s="1"/>
  <c r="B3" i="2"/>
  <c r="B19" i="2" s="1"/>
  <c r="D3" i="2"/>
  <c r="D19" i="2" s="1"/>
  <c r="N7" i="2"/>
  <c r="F4" i="3" l="1"/>
  <c r="E10" i="3"/>
  <c r="D10" i="3"/>
  <c r="F10" i="3" l="1"/>
  <c r="G4" i="3"/>
  <c r="D13" i="3"/>
  <c r="D12" i="3"/>
  <c r="D17" i="3" s="1"/>
  <c r="E13" i="3"/>
  <c r="E12" i="3"/>
  <c r="E17" i="3" s="1"/>
  <c r="E19" i="3" l="1"/>
  <c r="E20" i="3" s="1"/>
  <c r="D19" i="3"/>
  <c r="D20" i="3" s="1"/>
  <c r="F13" i="3"/>
  <c r="F17" i="3" s="1"/>
  <c r="F12" i="3"/>
  <c r="G10" i="3"/>
  <c r="H4" i="3"/>
  <c r="F19" i="3" l="1"/>
  <c r="F20" i="3"/>
  <c r="H10" i="3"/>
  <c r="I4" i="3"/>
  <c r="G12" i="3"/>
  <c r="G13" i="3"/>
  <c r="G17" i="3"/>
  <c r="H12" i="3" l="1"/>
  <c r="H17" i="3" s="1"/>
  <c r="H13" i="3"/>
  <c r="G19" i="3"/>
  <c r="G20" i="3" s="1"/>
  <c r="I10" i="3"/>
  <c r="J4" i="3"/>
  <c r="H19" i="3" l="1"/>
  <c r="H20" i="3"/>
  <c r="K4" i="3"/>
  <c r="J10" i="3"/>
  <c r="I12" i="3"/>
  <c r="I13" i="3"/>
  <c r="I17" i="3"/>
  <c r="I19" i="3" l="1"/>
  <c r="I20" i="3" s="1"/>
  <c r="J12" i="3"/>
  <c r="J17" i="3" s="1"/>
  <c r="J13" i="3"/>
  <c r="K10" i="3"/>
  <c r="L4" i="3"/>
  <c r="J19" i="3" l="1"/>
  <c r="J20" i="3" s="1"/>
  <c r="L10" i="3"/>
  <c r="M4" i="3"/>
  <c r="K13" i="3"/>
  <c r="K12" i="3"/>
  <c r="K17" i="3" s="1"/>
  <c r="K19" i="3" l="1"/>
  <c r="K20" i="3" s="1"/>
  <c r="M10" i="3"/>
  <c r="N4" i="3"/>
  <c r="L13" i="3"/>
  <c r="L12" i="3"/>
  <c r="L17" i="3" s="1"/>
  <c r="L19" i="3" l="1"/>
  <c r="L20" i="3" s="1"/>
  <c r="M13" i="3"/>
  <c r="M12" i="3"/>
  <c r="M17" i="3" s="1"/>
  <c r="N10" i="3"/>
  <c r="O4" i="3"/>
  <c r="O10" i="3" s="1"/>
  <c r="M19" i="3" l="1"/>
  <c r="M20" i="3" s="1"/>
  <c r="N17" i="3"/>
  <c r="N13" i="3"/>
  <c r="N12" i="3"/>
  <c r="O12" i="3"/>
  <c r="O17" i="3" s="1"/>
  <c r="O13" i="3"/>
  <c r="O19" i="3" l="1"/>
  <c r="O20" i="3" s="1"/>
  <c r="N19" i="3"/>
  <c r="N20" i="3" s="1"/>
  <c r="B24" i="3" l="1"/>
  <c r="B25" i="3" s="1"/>
  <c r="B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7" authorId="0" shapeId="0" xr:uid="{E1ACEA7F-EF4E-4A86-8C1A-BF8C8801A7D8}">
      <text>
        <r>
          <rPr>
            <sz val="9"/>
            <color indexed="81"/>
            <rFont val="Tahoma"/>
            <family val="2"/>
          </rPr>
          <t xml:space="preserve">Utilidad antes de impuestos
</t>
        </r>
      </text>
    </comment>
    <comment ref="A19" authorId="0" shapeId="0" xr:uid="{58B1BB35-83ED-41EF-BC79-A4CA238DFA81}">
      <text>
        <r>
          <rPr>
            <b/>
            <sz val="9"/>
            <color indexed="81"/>
            <rFont val="Tahoma"/>
            <family val="2"/>
          </rPr>
          <t>Utilidad después de impuestos</t>
        </r>
      </text>
    </comment>
    <comment ref="C19" authorId="0" shapeId="0" xr:uid="{A4657085-2F5B-4889-AA5E-9F27D75C8F72}">
      <text>
        <r>
          <rPr>
            <sz val="9"/>
            <color indexed="81"/>
            <rFont val="Tahoma"/>
            <family val="2"/>
          </rPr>
          <t xml:space="preserve">Porcentaje de impuesto que declaran las empresas: https://bold.co/academia/educacion-financiera/impuestos-que-pagan-las-empresas-en-colombia-2023-lo-que-debes-saber-si-eres
</t>
        </r>
      </text>
    </comment>
    <comment ref="A24" authorId="0" shapeId="0" xr:uid="{40779EE6-66BB-47B5-B666-212157EA08E7}">
      <text>
        <r>
          <rPr>
            <b/>
            <sz val="9"/>
            <color indexed="81"/>
            <rFont val="Tahoma"/>
            <family val="2"/>
          </rPr>
          <t>Valor presente</t>
        </r>
      </text>
    </comment>
    <comment ref="A25" authorId="0" shapeId="0" xr:uid="{DAD60A76-8BF0-42D2-A282-B15BDC48EF0B}">
      <text>
        <r>
          <rPr>
            <b/>
            <sz val="9"/>
            <color indexed="81"/>
            <rFont val="Tahoma"/>
            <family val="2"/>
          </rPr>
          <t>Valor presente neto</t>
        </r>
      </text>
    </comment>
    <comment ref="A26" authorId="0" shapeId="0" xr:uid="{305CE8B0-4DE5-411C-922C-F1D5B2D8B73E}">
      <text>
        <r>
          <rPr>
            <b/>
            <sz val="9"/>
            <color indexed="81"/>
            <rFont val="Tahoma"/>
            <family val="2"/>
          </rPr>
          <t>Tasa interna de retorno</t>
        </r>
      </text>
    </comment>
    <comment ref="A27" authorId="0" shapeId="0" xr:uid="{24EB7DE3-8F9A-4177-8AA8-6C6294BDEB2E}">
      <text>
        <r>
          <rPr>
            <b/>
            <sz val="9"/>
            <color indexed="81"/>
            <rFont val="Tahoma"/>
            <family val="2"/>
          </rPr>
          <t>Tasa interna de oportunidad</t>
        </r>
      </text>
    </comment>
  </commentList>
</comments>
</file>

<file path=xl/sharedStrings.xml><?xml version="1.0" encoding="utf-8"?>
<sst xmlns="http://schemas.openxmlformats.org/spreadsheetml/2006/main" count="76" uniqueCount="58">
  <si>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</si>
  <si>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</si>
  <si>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</si>
  <si>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</si>
  <si>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</si>
  <si>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</si>
  <si>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</si>
  <si>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</si>
  <si>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</si>
  <si>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</si>
  <si>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</si>
  <si>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</si>
  <si>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</si>
  <si>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</si>
  <si>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</si>
  <si>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</si>
  <si>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</si>
  <si>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</si>
  <si>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</si>
  <si>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</si>
  <si>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Venta Inicial</t>
  </si>
  <si>
    <t>VPN</t>
  </si>
  <si>
    <t>VP</t>
  </si>
  <si>
    <t xml:space="preserve">INVERSION </t>
  </si>
  <si>
    <t>TIR</t>
  </si>
  <si>
    <t>TIO</t>
  </si>
  <si>
    <t>UAI (Antes de Impuestos)</t>
  </si>
  <si>
    <t>Cant. Unidades</t>
  </si>
  <si>
    <t>AUTOMATION SOLUTIOS ( AUTOSOL) - EVALUACION FINANCIERA</t>
  </si>
  <si>
    <t>Barco</t>
  </si>
  <si>
    <t>Casa</t>
  </si>
  <si>
    <t>Moto</t>
  </si>
  <si>
    <t>5 metros de banda</t>
  </si>
  <si>
    <t>Máquina ensambladora</t>
  </si>
  <si>
    <t>Administracion y Operarios</t>
  </si>
  <si>
    <t>Materia prima,empaque</t>
  </si>
  <si>
    <t>Energía eléctrica</t>
  </si>
  <si>
    <t>Bodega, Mantenimientos</t>
  </si>
  <si>
    <t>3 Inyectoras</t>
  </si>
  <si>
    <t>Mes</t>
  </si>
  <si>
    <t>Enero</t>
  </si>
  <si>
    <t>Motos</t>
  </si>
  <si>
    <t>Barcos</t>
  </si>
  <si>
    <t>Casas</t>
  </si>
  <si>
    <t>Precio(COP)</t>
  </si>
  <si>
    <t>Ventas Mensual</t>
  </si>
  <si>
    <t>Producción máxima (Unidades)</t>
  </si>
  <si>
    <t>Distribución Mensual de ventas estimada:</t>
  </si>
  <si>
    <t>Estimación ventas mensuales por tipo de juguete (Millones COP)</t>
  </si>
  <si>
    <t>Estimación ventas anuales totales (Millones COP)</t>
  </si>
  <si>
    <t>Estimación ventas mensuales por tipo de juguete (Unidades)</t>
  </si>
  <si>
    <t>Junio - Julio</t>
  </si>
  <si>
    <r>
      <t xml:space="preserve">Demás meses </t>
    </r>
    <r>
      <rPr>
        <b/>
        <sz val="11"/>
        <color theme="1"/>
        <rFont val="Calibri"/>
        <family val="2"/>
        <scheme val="minor"/>
      </rPr>
      <t>(7)</t>
    </r>
  </si>
  <si>
    <t>Producción proyectada mensual por tipo de juguete (Unidades)</t>
  </si>
  <si>
    <t>Estimación ventas de planta automatizada (Millones COP)</t>
  </si>
  <si>
    <t>Producción proyectada mensual por tipo de juguete dada la producción máxima de la planta automatizada (Unidades)</t>
  </si>
  <si>
    <t>Porcentaje de mercado abarcado</t>
  </si>
  <si>
    <t>Todo el estudio se hace acuerdo al perfil de consumo y a la producción máximo de la compañía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</si>
</sst>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* #,##0_-;\-&quot;$&quot;* #,##0_-;_-&quot;$&quot;* &quot;-&quot;??_-;_-@_-"/>
    <numFmt numFmtId="168" formatCode="0.0%"/>
    <numFmt numFmtId="173" formatCode="[$$-240A]\ #,##0.00"/>
    <numFmt numFmtId="17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5" fontId="2" fillId="0" borderId="0" xfId="1" applyNumberFormat="1" applyFont="1"/>
    <xf numFmtId="9" fontId="0" fillId="0" borderId="0" xfId="2" applyFont="1"/>
    <xf numFmtId="165" fontId="2" fillId="0" borderId="3" xfId="1" applyNumberFormat="1" applyFont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6" fontId="4" fillId="4" borderId="4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7" fontId="6" fillId="5" borderId="5" xfId="3" applyNumberFormat="1" applyFont="1" applyFill="1" applyBorder="1" applyAlignment="1">
      <alignment horizontal="center"/>
    </xf>
    <xf numFmtId="168" fontId="6" fillId="5" borderId="5" xfId="2" applyNumberFormat="1" applyFont="1" applyFill="1" applyBorder="1" applyAlignment="1">
      <alignment horizontal="center"/>
    </xf>
    <xf numFmtId="168" fontId="0" fillId="0" borderId="0" xfId="2" applyNumberFormat="1" applyFont="1"/>
    <xf numFmtId="165" fontId="7" fillId="0" borderId="0" xfId="1" applyNumberFormat="1" applyFont="1"/>
    <xf numFmtId="165" fontId="0" fillId="0" borderId="0" xfId="1" applyNumberFormat="1" applyFont="1" applyAlignment="1">
      <alignment wrapText="1"/>
    </xf>
    <xf numFmtId="165" fontId="2" fillId="0" borderId="4" xfId="1" applyNumberFormat="1" applyFont="1" applyBorder="1"/>
    <xf numFmtId="165" fontId="0" fillId="0" borderId="4" xfId="1" applyNumberFormat="1" applyFont="1" applyBorder="1"/>
    <xf numFmtId="9" fontId="3" fillId="3" borderId="1" xfId="2" applyFont="1" applyFill="1" applyBorder="1" applyAlignment="1">
      <alignment horizontal="center" vertical="center"/>
    </xf>
    <xf numFmtId="9" fontId="3" fillId="3" borderId="2" xfId="2" applyFont="1" applyFill="1" applyBorder="1" applyAlignment="1">
      <alignment horizontal="center" vertical="center"/>
    </xf>
    <xf numFmtId="9" fontId="0" fillId="0" borderId="0" xfId="0" applyNumberFormat="1"/>
    <xf numFmtId="0" fontId="0" fillId="0" borderId="0" xfId="0" applyFont="1"/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1" fontId="0" fillId="0" borderId="4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173" fontId="2" fillId="0" borderId="4" xfId="4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73" fontId="0" fillId="0" borderId="4" xfId="4" applyNumberFormat="1" applyFont="1" applyBorder="1" applyAlignment="1">
      <alignment vertical="center"/>
    </xf>
    <xf numFmtId="9" fontId="0" fillId="0" borderId="4" xfId="0" applyNumberFormat="1" applyFont="1" applyBorder="1"/>
    <xf numFmtId="0" fontId="0" fillId="0" borderId="4" xfId="0" applyFont="1" applyBorder="1"/>
    <xf numFmtId="0" fontId="8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7" fontId="0" fillId="0" borderId="4" xfId="0" applyNumberFormat="1" applyFont="1" applyBorder="1"/>
  </cellXfs>
  <cellStyles count="5">
    <cellStyle name="Millares" xfId="1" builtinId="3"/>
    <cellStyle name="Moneda" xfId="4" builtinId="4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Estimación ventas mensuales por tipo de juguete (Millones COP)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ventas'!$B$2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ventas'!$B$3:$B$14</c:f>
              <c:numCache>
                <c:formatCode>0.00</c:formatCode>
                <c:ptCount val="12"/>
                <c:pt idx="0">
                  <c:v>292.57142857142861</c:v>
                </c:pt>
                <c:pt idx="1">
                  <c:v>292.57142857142861</c:v>
                </c:pt>
                <c:pt idx="2">
                  <c:v>292.57142857142861</c:v>
                </c:pt>
                <c:pt idx="3">
                  <c:v>819.20000000000016</c:v>
                </c:pt>
                <c:pt idx="4">
                  <c:v>292.57142857142861</c:v>
                </c:pt>
                <c:pt idx="5">
                  <c:v>682.66666666666686</c:v>
                </c:pt>
                <c:pt idx="6">
                  <c:v>682.66666666666686</c:v>
                </c:pt>
                <c:pt idx="7">
                  <c:v>292.57142857142861</c:v>
                </c:pt>
                <c:pt idx="8">
                  <c:v>292.57142857142861</c:v>
                </c:pt>
                <c:pt idx="9">
                  <c:v>546.13333333333344</c:v>
                </c:pt>
                <c:pt idx="10">
                  <c:v>292.57142857142861</c:v>
                </c:pt>
                <c:pt idx="11">
                  <c:v>2048.0000000000005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226-A200-428435B6E470}"/>
            </c:ext>
          </c:extLst>
        </c:ser>
        <c:ser>
          <c:idx val="1"/>
          <c:order val="1"/>
          <c:tx>
            <c:strRef>
              <c:f>'Proyección ventas'!$C$2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ventas'!$C$3:$C$14</c:f>
              <c:numCache>
                <c:formatCode>0.00</c:formatCode>
                <c:ptCount val="12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716.8</c:v>
                </c:pt>
                <c:pt idx="4">
                  <c:v>256</c:v>
                </c:pt>
                <c:pt idx="5">
                  <c:v>597.33333333333337</c:v>
                </c:pt>
                <c:pt idx="6">
                  <c:v>597.33333333333337</c:v>
                </c:pt>
                <c:pt idx="7">
                  <c:v>256</c:v>
                </c:pt>
                <c:pt idx="8">
                  <c:v>256</c:v>
                </c:pt>
                <c:pt idx="9">
                  <c:v>477.86666666666667</c:v>
                </c:pt>
                <c:pt idx="10">
                  <c:v>256</c:v>
                </c:pt>
                <c:pt idx="11">
                  <c:v>1791.9999999999998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4226-A200-428435B6E470}"/>
            </c:ext>
          </c:extLst>
        </c:ser>
        <c:ser>
          <c:idx val="2"/>
          <c:order val="2"/>
          <c:tx>
            <c:strRef>
              <c:f>'Proyección ventas'!$D$2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ventas'!$D$3:$D$14</c:f>
              <c:numCache>
                <c:formatCode>0.00</c:formatCode>
                <c:ptCount val="12"/>
                <c:pt idx="0">
                  <c:v>182.85714285714286</c:v>
                </c:pt>
                <c:pt idx="1">
                  <c:v>182.85714285714286</c:v>
                </c:pt>
                <c:pt idx="2">
                  <c:v>182.85714285714286</c:v>
                </c:pt>
                <c:pt idx="3">
                  <c:v>512</c:v>
                </c:pt>
                <c:pt idx="4">
                  <c:v>182.85714285714286</c:v>
                </c:pt>
                <c:pt idx="5">
                  <c:v>426.66666666666674</c:v>
                </c:pt>
                <c:pt idx="6">
                  <c:v>426.66666666666674</c:v>
                </c:pt>
                <c:pt idx="7">
                  <c:v>182.85714285714286</c:v>
                </c:pt>
                <c:pt idx="8">
                  <c:v>182.85714285714286</c:v>
                </c:pt>
                <c:pt idx="9">
                  <c:v>341.33333333333337</c:v>
                </c:pt>
                <c:pt idx="10">
                  <c:v>182.85714285714286</c:v>
                </c:pt>
                <c:pt idx="11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4226-A200-428435B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32576"/>
        <c:axId val="1218026336"/>
      </c:lineChart>
      <c:catAx>
        <c:axId val="1218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26336"/>
        <c:crosses val="autoZero"/>
        <c:auto val="1"/>
        <c:lblAlgn val="ctr"/>
        <c:lblOffset val="100"/>
        <c:noMultiLvlLbl val="0"/>
      </c:catAx>
      <c:valAx>
        <c:axId val="1218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Estimación ventas mensuales por tipo de juguete (Unidades)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ventas'!$B$18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ventas'!$B$19:$B$30</c:f>
              <c:numCache>
                <c:formatCode>0</c:formatCode>
                <c:ptCount val="12"/>
                <c:pt idx="0">
                  <c:v>29257.142857142859</c:v>
                </c:pt>
                <c:pt idx="1">
                  <c:v>29257.142857142859</c:v>
                </c:pt>
                <c:pt idx="2">
                  <c:v>29257.142857142859</c:v>
                </c:pt>
                <c:pt idx="3">
                  <c:v>81920.000000000015</c:v>
                </c:pt>
                <c:pt idx="4">
                  <c:v>29257.142857142859</c:v>
                </c:pt>
                <c:pt idx="5">
                  <c:v>68266.666666666686</c:v>
                </c:pt>
                <c:pt idx="6">
                  <c:v>68266.666666666686</c:v>
                </c:pt>
                <c:pt idx="7">
                  <c:v>29257.142857142859</c:v>
                </c:pt>
                <c:pt idx="8">
                  <c:v>29257.142857142859</c:v>
                </c:pt>
                <c:pt idx="9">
                  <c:v>54613.33333333335</c:v>
                </c:pt>
                <c:pt idx="10">
                  <c:v>29257.142857142859</c:v>
                </c:pt>
                <c:pt idx="11">
                  <c:v>204800.00000000006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452C-948C-F3324D6896C3}"/>
            </c:ext>
          </c:extLst>
        </c:ser>
        <c:ser>
          <c:idx val="1"/>
          <c:order val="1"/>
          <c:tx>
            <c:strRef>
              <c:f>'Proyección ventas'!$C$18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ventas'!$C$19:$C$30</c:f>
              <c:numCache>
                <c:formatCode>0</c:formatCode>
                <c:ptCount val="12"/>
                <c:pt idx="0">
                  <c:v>21333.333333333332</c:v>
                </c:pt>
                <c:pt idx="1">
                  <c:v>21333.333333333332</c:v>
                </c:pt>
                <c:pt idx="2">
                  <c:v>21333.333333333332</c:v>
                </c:pt>
                <c:pt idx="3">
                  <c:v>59733.333333333336</c:v>
                </c:pt>
                <c:pt idx="4">
                  <c:v>21333.333333333332</c:v>
                </c:pt>
                <c:pt idx="5">
                  <c:v>49777.777777777781</c:v>
                </c:pt>
                <c:pt idx="6">
                  <c:v>49777.777777777781</c:v>
                </c:pt>
                <c:pt idx="7">
                  <c:v>21333.333333333332</c:v>
                </c:pt>
                <c:pt idx="8">
                  <c:v>21333.333333333332</c:v>
                </c:pt>
                <c:pt idx="9">
                  <c:v>39822.222222222226</c:v>
                </c:pt>
                <c:pt idx="10">
                  <c:v>21333.333333333332</c:v>
                </c:pt>
                <c:pt idx="11">
                  <c:v>149333.33333333331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452C-948C-F3324D6896C3}"/>
            </c:ext>
          </c:extLst>
        </c:ser>
        <c:ser>
          <c:idx val="2"/>
          <c:order val="2"/>
          <c:tx>
            <c:strRef>
              <c:f>'Proyección ventas'!$D$18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ventas'!$D$19:$D$30</c:f>
              <c:numCache>
                <c:formatCode>0</c:formatCode>
                <c:ptCount val="12"/>
                <c:pt idx="0">
                  <c:v>12190.476190476191</c:v>
                </c:pt>
                <c:pt idx="1">
                  <c:v>12190.476190476191</c:v>
                </c:pt>
                <c:pt idx="2">
                  <c:v>12190.476190476191</c:v>
                </c:pt>
                <c:pt idx="3">
                  <c:v>34133.333333333336</c:v>
                </c:pt>
                <c:pt idx="4">
                  <c:v>12190.476190476191</c:v>
                </c:pt>
                <c:pt idx="5">
                  <c:v>28444.444444444449</c:v>
                </c:pt>
                <c:pt idx="6">
                  <c:v>28444.444444444449</c:v>
                </c:pt>
                <c:pt idx="7">
                  <c:v>12190.476190476191</c:v>
                </c:pt>
                <c:pt idx="8">
                  <c:v>12190.476190476191</c:v>
                </c:pt>
                <c:pt idx="9">
                  <c:v>22755.555555555558</c:v>
                </c:pt>
                <c:pt idx="10">
                  <c:v>12190.476190476191</c:v>
                </c:pt>
                <c:pt idx="11">
                  <c:v>85333.333333333328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452C-948C-F3324D6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83696"/>
        <c:axId val="1247290416"/>
      </c:lineChart>
      <c:catAx>
        <c:axId val="12472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90416"/>
        <c:crosses val="autoZero"/>
        <c:auto val="1"/>
        <c:lblAlgn val="ctr"/>
        <c:lblOffset val="100"/>
        <c:noMultiLvlLbl val="0"/>
      </c:catAx>
      <c:valAx>
        <c:axId val="1247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Producción proyectada mensual por tipo de juguete dada la producción máxima de la planta automatizada (Unidades)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ventas'!$G$34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ventas'!$G$35:$G$46</c:f>
              <c:numCache>
                <c:formatCode>0</c:formatCode>
                <c:ptCount val="12"/>
                <c:pt idx="0">
                  <c:v>5851.4285714285725</c:v>
                </c:pt>
                <c:pt idx="1">
                  <c:v>5851.4285714285725</c:v>
                </c:pt>
                <c:pt idx="2">
                  <c:v>7478.4285714285761</c:v>
                </c:pt>
                <c:pt idx="3">
                  <c:v>14757</c:v>
                </c:pt>
                <c:pt idx="4">
                  <c:v>3644.095238095244</c:v>
                </c:pt>
                <c:pt idx="5">
                  <c:v>14757</c:v>
                </c:pt>
                <c:pt idx="6">
                  <c:v>14757</c:v>
                </c:pt>
                <c:pt idx="7">
                  <c:v>10408.952380952396</c:v>
                </c:pt>
                <c:pt idx="8">
                  <c:v>14757</c:v>
                </c:pt>
                <c:pt idx="9">
                  <c:v>14757</c:v>
                </c:pt>
                <c:pt idx="10">
                  <c:v>14757</c:v>
                </c:pt>
                <c:pt idx="11">
                  <c:v>14757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417-BED4-8D24443EF27D}"/>
            </c:ext>
          </c:extLst>
        </c:ser>
        <c:ser>
          <c:idx val="1"/>
          <c:order val="1"/>
          <c:tx>
            <c:strRef>
              <c:f>'Proyección ventas'!$H$34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ventas'!$H$35:$H$46</c:f>
              <c:numCache>
                <c:formatCode>0</c:formatCode>
                <c:ptCount val="12"/>
                <c:pt idx="0">
                  <c:v>4266.666666666667</c:v>
                </c:pt>
                <c:pt idx="1">
                  <c:v>4266.666666666667</c:v>
                </c:pt>
                <c:pt idx="2">
                  <c:v>4266.666666666667</c:v>
                </c:pt>
                <c:pt idx="3">
                  <c:v>11946.666666666668</c:v>
                </c:pt>
                <c:pt idx="4">
                  <c:v>4266.666666666667</c:v>
                </c:pt>
                <c:pt idx="5">
                  <c:v>9955.5555555555566</c:v>
                </c:pt>
                <c:pt idx="6">
                  <c:v>9955.5555555555566</c:v>
                </c:pt>
                <c:pt idx="7">
                  <c:v>4266.666666666667</c:v>
                </c:pt>
                <c:pt idx="8">
                  <c:v>7745.4444444444453</c:v>
                </c:pt>
                <c:pt idx="9">
                  <c:v>12873</c:v>
                </c:pt>
                <c:pt idx="10">
                  <c:v>12873</c:v>
                </c:pt>
                <c:pt idx="11">
                  <c:v>12873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417-BED4-8D24443EF27D}"/>
            </c:ext>
          </c:extLst>
        </c:ser>
        <c:ser>
          <c:idx val="2"/>
          <c:order val="2"/>
          <c:tx>
            <c:strRef>
              <c:f>'Proyección ventas'!$I$34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ventas'!$I$35:$I$46</c:f>
              <c:numCache>
                <c:formatCode>0</c:formatCode>
                <c:ptCount val="12"/>
                <c:pt idx="0">
                  <c:v>2438.0952380952381</c:v>
                </c:pt>
                <c:pt idx="1">
                  <c:v>2438.0952380952381</c:v>
                </c:pt>
                <c:pt idx="2">
                  <c:v>2438.0952380952381</c:v>
                </c:pt>
                <c:pt idx="3">
                  <c:v>6826.6666666666679</c:v>
                </c:pt>
                <c:pt idx="4">
                  <c:v>2438.0952380952381</c:v>
                </c:pt>
                <c:pt idx="5">
                  <c:v>5688.8888888888905</c:v>
                </c:pt>
                <c:pt idx="6">
                  <c:v>5688.8888888888905</c:v>
                </c:pt>
                <c:pt idx="7">
                  <c:v>2438.0952380952381</c:v>
                </c:pt>
                <c:pt idx="8">
                  <c:v>2438.0952380952381</c:v>
                </c:pt>
                <c:pt idx="9">
                  <c:v>5883.8730158730177</c:v>
                </c:pt>
                <c:pt idx="10">
                  <c:v>9086</c:v>
                </c:pt>
                <c:pt idx="11">
                  <c:v>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417-BED4-8D24443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23696"/>
        <c:axId val="978922256"/>
      </c:lineChart>
      <c:catAx>
        <c:axId val="978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2256"/>
        <c:crosses val="autoZero"/>
        <c:auto val="1"/>
        <c:lblAlgn val="ctr"/>
        <c:lblOffset val="100"/>
        <c:noMultiLvlLbl val="0"/>
      </c:catAx>
      <c:valAx>
        <c:axId val="97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'Evaluación fianciera'!$C$20</c:f>
              <c:numCache>
                <c:formatCode>_-* #,##0\ _€_-;\-* #,##0\ _€_-;_-* "-"??\ _€_-;_-@_-</c:formatCode>
                <c:ptCount val="1"/>
                <c:pt idx="0">
                  <c:v>-2000000000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7B2-BC1B-5C3661ECA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'Evaluación fianciera'!$D$20</c:f>
              <c:numCache>
                <c:formatCode>_-* #,##0\ _€_-;\-* #,##0\ _€_-;_-* "-"??\ _€_-;_-@_-</c:formatCode>
                <c:ptCount val="1"/>
                <c:pt idx="0">
                  <c:v>157034800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7B2-BC1B-5C3661ECA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'Evaluación fianciera'!$E$20</c:f>
              <c:numCache>
                <c:formatCode>_-* #,##0\ _€_-;\-* #,##0\ _€_-;_-* "-"??\ _€_-;_-@_-</c:formatCode>
                <c:ptCount val="1"/>
                <c:pt idx="0">
                  <c:v>165796540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0-47B2-BC1B-5C3661ECAF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'Evaluación fianciera'!$F$20</c:f>
              <c:numCache>
                <c:formatCode>_-* #,##0\ _€_-;\-* #,##0\ _€_-;_-* "-"??\ _€_-;_-@_-</c:formatCode>
                <c:ptCount val="1"/>
                <c:pt idx="0">
                  <c:v>174996367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0-47B2-BC1B-5C3661ECAF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'Evaluación fianciera'!$G$20</c:f>
              <c:numCache>
                <c:formatCode>_-* #,##0\ _€_-;\-* #,##0\ _€_-;_-* "-"??\ _€_-;_-@_-</c:formatCode>
                <c:ptCount val="1"/>
                <c:pt idx="0">
                  <c:v>184656185.35000002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0-47B2-BC1B-5C3661ECAF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'Evaluación fianciera'!$H$20</c:f>
              <c:numCache>
                <c:formatCode>_-* #,##0\ _€_-;\-* #,##0\ _€_-;_-* "-"??\ _€_-;_-@_-</c:formatCode>
                <c:ptCount val="1"/>
                <c:pt idx="0">
                  <c:v>204941803.88500005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0-47B2-BC1B-5C3661ECAF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fianciera'!$I$20</c:f>
              <c:numCache>
                <c:formatCode>_-* #,##0\ _€_-;\-* #,##0\ _€_-;_-* "-"??\ _€_-;_-@_-</c:formatCode>
                <c:ptCount val="1"/>
                <c:pt idx="0">
                  <c:v>227255984.27350003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0-47B2-BC1B-5C3661ECAF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fianciera'!$J$20</c:f>
              <c:numCache>
                <c:formatCode>_-* #,##0\ _€_-;\-* #,##0\ _€_-;_-* "-"??\ _€_-;_-@_-</c:formatCode>
                <c:ptCount val="1"/>
                <c:pt idx="0">
                  <c:v>251801582.7008501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0-47B2-BC1B-5C3661ECAF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fianciera'!$K$20</c:f>
              <c:numCache>
                <c:formatCode>_-* #,##0\ _€_-;\-* #,##0\ _€_-;_-* "-"??\ _€_-;_-@_-</c:formatCode>
                <c:ptCount val="1"/>
                <c:pt idx="0">
                  <c:v>292301820.10597754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0-47B2-BC1B-5C3661ECAF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fianciera'!$L$20</c:f>
              <c:numCache>
                <c:formatCode>_-* #,##0\ _€_-;\-* #,##0\ _€_-;_-* "-"??\ _€_-;_-@_-</c:formatCode>
                <c:ptCount val="1"/>
                <c:pt idx="0">
                  <c:v>338877093.12187421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0-47B2-BC1B-5C3661ECAF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fianciera'!$M$20</c:f>
              <c:numCache>
                <c:formatCode>_-* #,##0\ _€_-;\-* #,##0\ _€_-;_-* "-"??\ _€_-;_-@_-</c:formatCode>
                <c:ptCount val="1"/>
                <c:pt idx="0">
                  <c:v>392438657.09015518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0-47B2-BC1B-5C3661ECAF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fianciera'!$N$20</c:f>
              <c:numCache>
                <c:formatCode>_-* #,##0\ _€_-;\-* #,##0\ _€_-;_-* "-"??\ _€_-;_-@_-</c:formatCode>
                <c:ptCount val="1"/>
                <c:pt idx="0">
                  <c:v>474566388.50818622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0-47B2-BC1B-5C3661ECAF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fianciera'!$O$20</c:f>
              <c:numCache>
                <c:formatCode>_-* #,##0\ _€_-;\-* #,##0\ _€_-;_-* "-"??\ _€_-;_-@_-</c:formatCode>
                <c:ptCount val="1"/>
                <c:pt idx="0">
                  <c:v>573119666.20982349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0-47B2-BC1B-5C3661EC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8</xdr:row>
      <xdr:rowOff>76200</xdr:rowOff>
    </xdr:from>
    <xdr:to>
      <xdr:col>15</xdr:col>
      <xdr:colOff>320040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B6DA-6FD3-37C3-3348-786D10F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25</xdr:row>
      <xdr:rowOff>83820</xdr:rowOff>
    </xdr:from>
    <xdr:to>
      <xdr:col>15</xdr:col>
      <xdr:colOff>358140</xdr:colOff>
      <xdr:row>41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99703F-B230-8CA0-CDB3-7FE4792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42</xdr:row>
      <xdr:rowOff>68580</xdr:rowOff>
    </xdr:from>
    <xdr:to>
      <xdr:col>15</xdr:col>
      <xdr:colOff>342900</xdr:colOff>
      <xdr:row>58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05791F-0295-F0D9-9ACE-B8132619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23</xdr:row>
      <xdr:rowOff>4762</xdr:rowOff>
    </xdr:from>
    <xdr:to>
      <xdr:col>10</xdr:col>
      <xdr:colOff>38100</xdr:colOff>
      <xdr:row>38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C9DAA-CDFB-4A45-AD24-DAA8E7EE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75F-8E18-430B-8568-E6400B7C666D}">
  <dimension ref="A1:P53"/>
  <sheetViews>
    <sheetView tabSelected="1" workbookViewId="0">
      <selection activeCell="F33" sqref="F33:I46"/>
    </sheetView>
  </sheetViews>
  <sheetFormatPr baseColWidth="10" defaultRowHeight="14.4" x14ac:dyDescent="0.3"/>
  <cols>
    <col min="7" max="7" width="12.5546875" bestFit="1" customWidth="1"/>
    <col min="8" max="8" width="13.77734375" bestFit="1" customWidth="1"/>
    <col min="9" max="9" width="14" bestFit="1" customWidth="1"/>
    <col min="10" max="10" width="16.77734375" customWidth="1"/>
    <col min="13" max="13" width="15.6640625" bestFit="1" customWidth="1"/>
    <col min="14" max="14" width="4.44140625" bestFit="1" customWidth="1"/>
  </cols>
  <sheetData>
    <row r="1" spans="1:16" ht="27" customHeight="1" x14ac:dyDescent="0.3">
      <c r="A1" s="29" t="s">
        <v>48</v>
      </c>
      <c r="B1" s="29"/>
      <c r="C1" s="29"/>
      <c r="D1" s="29"/>
    </row>
    <row r="2" spans="1:16" ht="43.2" x14ac:dyDescent="0.3">
      <c r="A2" s="31" t="s">
        <v>39</v>
      </c>
      <c r="B2" s="31" t="s">
        <v>31</v>
      </c>
      <c r="C2" s="31" t="s">
        <v>29</v>
      </c>
      <c r="D2" s="31" t="s">
        <v>30</v>
      </c>
      <c r="E2" s="27"/>
      <c r="F2" s="27"/>
      <c r="G2" s="34"/>
      <c r="H2" s="35" t="s">
        <v>44</v>
      </c>
      <c r="I2" s="36" t="s">
        <v>45</v>
      </c>
      <c r="J2" s="37" t="s">
        <v>46</v>
      </c>
      <c r="M2" s="42" t="s">
        <v>47</v>
      </c>
      <c r="N2" s="43"/>
      <c r="O2" s="27"/>
      <c r="P2" s="27"/>
    </row>
    <row r="3" spans="1:16" x14ac:dyDescent="0.3">
      <c r="A3" s="32" t="s">
        <v>40</v>
      </c>
      <c r="B3" s="33">
        <f>G15*I3*N7%</f>
        <v>292.57142857142861</v>
      </c>
      <c r="C3" s="33">
        <f>G15*I4*N7%</f>
        <v>256</v>
      </c>
      <c r="D3" s="33">
        <f>G15*I5*N7%</f>
        <v>182.85714285714286</v>
      </c>
      <c r="E3" s="27"/>
      <c r="F3" s="27"/>
      <c r="G3" s="36" t="s">
        <v>41</v>
      </c>
      <c r="H3" s="38">
        <v>10000</v>
      </c>
      <c r="I3" s="39">
        <v>0.4</v>
      </c>
      <c r="J3" s="40">
        <v>14757</v>
      </c>
      <c r="M3" s="41" t="s">
        <v>13</v>
      </c>
      <c r="N3" s="39">
        <v>0.3</v>
      </c>
      <c r="O3" s="27"/>
      <c r="P3" s="27"/>
    </row>
    <row r="4" spans="1:16" x14ac:dyDescent="0.3">
      <c r="A4" s="32" t="s">
        <v>3</v>
      </c>
      <c r="B4" s="33">
        <f>G15*I3*N7%</f>
        <v>292.57142857142861</v>
      </c>
      <c r="C4" s="33">
        <f>G15*I4*N7%</f>
        <v>256</v>
      </c>
      <c r="D4" s="33">
        <f>G15*I5*N7%</f>
        <v>182.85714285714286</v>
      </c>
      <c r="E4" s="27"/>
      <c r="F4" s="27"/>
      <c r="G4" s="36" t="s">
        <v>42</v>
      </c>
      <c r="H4" s="38">
        <v>12000</v>
      </c>
      <c r="I4" s="39">
        <v>0.35</v>
      </c>
      <c r="J4" s="40">
        <v>12873</v>
      </c>
      <c r="M4" s="41" t="s">
        <v>5</v>
      </c>
      <c r="N4" s="39">
        <v>0.12</v>
      </c>
      <c r="O4" s="27"/>
      <c r="P4" s="27"/>
    </row>
    <row r="5" spans="1:16" x14ac:dyDescent="0.3">
      <c r="A5" s="32" t="s">
        <v>4</v>
      </c>
      <c r="B5" s="33">
        <f>G15*I3*N7%</f>
        <v>292.57142857142861</v>
      </c>
      <c r="C5" s="33">
        <f>G15*I4*N7%</f>
        <v>256</v>
      </c>
      <c r="D5" s="33">
        <f>G15*I5*N7%</f>
        <v>182.85714285714286</v>
      </c>
      <c r="E5" s="27"/>
      <c r="F5" s="27"/>
      <c r="G5" s="36" t="s">
        <v>43</v>
      </c>
      <c r="H5" s="38">
        <v>15000</v>
      </c>
      <c r="I5" s="39">
        <v>0.25</v>
      </c>
      <c r="J5" s="40">
        <v>9086</v>
      </c>
      <c r="M5" s="41" t="s">
        <v>51</v>
      </c>
      <c r="N5" s="39">
        <v>0.1</v>
      </c>
      <c r="O5" s="27"/>
      <c r="P5" s="27"/>
    </row>
    <row r="6" spans="1:16" x14ac:dyDescent="0.3">
      <c r="A6" s="32" t="s">
        <v>5</v>
      </c>
      <c r="B6" s="33">
        <f>G15*I3*N4</f>
        <v>819.20000000000016</v>
      </c>
      <c r="C6" s="33">
        <f>G15*I4*N4</f>
        <v>716.8</v>
      </c>
      <c r="D6" s="33">
        <f>G15*I5*N4</f>
        <v>512</v>
      </c>
      <c r="E6" s="27"/>
      <c r="F6" s="27"/>
      <c r="G6" s="27"/>
      <c r="H6" s="27"/>
      <c r="I6" s="27"/>
      <c r="J6" s="27"/>
      <c r="M6" s="41" t="s">
        <v>11</v>
      </c>
      <c r="N6" s="39">
        <v>0.08</v>
      </c>
      <c r="O6" s="27"/>
      <c r="P6" s="27"/>
    </row>
    <row r="7" spans="1:16" x14ac:dyDescent="0.3">
      <c r="A7" s="32" t="s">
        <v>6</v>
      </c>
      <c r="B7" s="33">
        <f>G15*I3*N7%</f>
        <v>292.57142857142861</v>
      </c>
      <c r="C7" s="33">
        <f>G15*I4*N7%</f>
        <v>256</v>
      </c>
      <c r="D7" s="33">
        <f>G15*I5*N7%</f>
        <v>182.85714285714286</v>
      </c>
      <c r="E7" s="27"/>
      <c r="F7" s="27"/>
      <c r="G7" s="27"/>
      <c r="H7" s="27"/>
      <c r="I7" s="27"/>
      <c r="J7" s="27"/>
      <c r="M7" s="41" t="s">
        <v>52</v>
      </c>
      <c r="N7" s="44">
        <f>30/7</f>
        <v>4.2857142857142856</v>
      </c>
      <c r="O7" s="27"/>
      <c r="P7" s="27"/>
    </row>
    <row r="8" spans="1:16" x14ac:dyDescent="0.3">
      <c r="A8" s="32" t="s">
        <v>7</v>
      </c>
      <c r="B8" s="33">
        <f>G15*I3*N5</f>
        <v>682.66666666666686</v>
      </c>
      <c r="C8" s="33">
        <f>G15*I4*N5</f>
        <v>597.33333333333337</v>
      </c>
      <c r="D8" s="33">
        <f>G15*I5*N5</f>
        <v>426.66666666666674</v>
      </c>
      <c r="E8" s="27"/>
      <c r="F8" s="27"/>
      <c r="G8" s="27"/>
      <c r="H8" s="27"/>
      <c r="I8" s="27"/>
      <c r="J8" s="27"/>
    </row>
    <row r="9" spans="1:16" x14ac:dyDescent="0.3">
      <c r="A9" s="32" t="s">
        <v>8</v>
      </c>
      <c r="B9" s="33">
        <f>G15*I3*N5</f>
        <v>682.66666666666686</v>
      </c>
      <c r="C9" s="33">
        <f>G15*I4*N5</f>
        <v>597.33333333333337</v>
      </c>
      <c r="D9" s="33">
        <f>G15*I5*N5</f>
        <v>426.66666666666674</v>
      </c>
      <c r="E9" s="27"/>
      <c r="F9" s="27"/>
      <c r="G9" s="27"/>
      <c r="H9" s="27"/>
      <c r="I9" s="27"/>
      <c r="J9" s="27"/>
    </row>
    <row r="10" spans="1:16" x14ac:dyDescent="0.3">
      <c r="A10" s="32" t="s">
        <v>9</v>
      </c>
      <c r="B10" s="33">
        <f>G15*I3*N7%</f>
        <v>292.57142857142861</v>
      </c>
      <c r="C10" s="33">
        <f>G15*I4*N7%</f>
        <v>256</v>
      </c>
      <c r="D10" s="33">
        <f>G15*I5*N7%</f>
        <v>182.85714285714286</v>
      </c>
      <c r="E10" s="27"/>
      <c r="F10" s="27"/>
      <c r="G10" s="27"/>
      <c r="H10" s="27"/>
      <c r="I10" s="27"/>
      <c r="J10" s="27"/>
    </row>
    <row r="11" spans="1:16" x14ac:dyDescent="0.3">
      <c r="A11" s="32" t="s">
        <v>10</v>
      </c>
      <c r="B11" s="33">
        <f>G15*I3*N7%</f>
        <v>292.57142857142861</v>
      </c>
      <c r="C11" s="33">
        <f>G15*I4*N7%</f>
        <v>256</v>
      </c>
      <c r="D11" s="33">
        <f>G15*I5*N7%</f>
        <v>182.85714285714286</v>
      </c>
      <c r="E11" s="27"/>
      <c r="F11" s="27"/>
      <c r="G11" s="27"/>
      <c r="H11" s="27"/>
      <c r="I11" s="27"/>
      <c r="J11" s="27"/>
    </row>
    <row r="12" spans="1:16" x14ac:dyDescent="0.3">
      <c r="A12" s="32" t="s">
        <v>11</v>
      </c>
      <c r="B12" s="33">
        <f>G15*I3*N6</f>
        <v>546.13333333333344</v>
      </c>
      <c r="C12" s="33">
        <f>G15*I4*N6</f>
        <v>477.86666666666667</v>
      </c>
      <c r="D12" s="33">
        <f>G15*I5*N6</f>
        <v>341.33333333333337</v>
      </c>
      <c r="E12" s="27"/>
      <c r="F12" s="27"/>
      <c r="G12" s="27"/>
      <c r="H12" s="27"/>
      <c r="I12" s="27"/>
      <c r="J12" s="27"/>
    </row>
    <row r="13" spans="1:16" x14ac:dyDescent="0.3">
      <c r="A13" s="32" t="s">
        <v>12</v>
      </c>
      <c r="B13" s="33">
        <f>G15*I3*N7%</f>
        <v>292.57142857142861</v>
      </c>
      <c r="C13" s="33">
        <f>G15*I4*N7%</f>
        <v>256</v>
      </c>
      <c r="D13" s="33">
        <f>G15*I5*N7%</f>
        <v>182.85714285714286</v>
      </c>
      <c r="E13" s="27"/>
      <c r="F13" s="27"/>
      <c r="G13" s="27"/>
      <c r="H13" s="27"/>
      <c r="I13" s="27"/>
      <c r="J13" s="27"/>
    </row>
    <row r="14" spans="1:16" x14ac:dyDescent="0.3">
      <c r="A14" s="32" t="s">
        <v>13</v>
      </c>
      <c r="B14" s="33">
        <f>G15*I3*N3</f>
        <v>2048.0000000000005</v>
      </c>
      <c r="C14" s="33">
        <f>G15*I4*N3</f>
        <v>1791.9999999999998</v>
      </c>
      <c r="D14" s="33">
        <f>G15*I5*N3</f>
        <v>1280</v>
      </c>
      <c r="E14" s="27"/>
      <c r="F14" s="27"/>
      <c r="G14" s="27" t="s">
        <v>49</v>
      </c>
      <c r="H14" s="27"/>
      <c r="I14" s="27"/>
      <c r="J14" s="27"/>
    </row>
    <row r="15" spans="1:16" x14ac:dyDescent="0.3">
      <c r="A15" s="27"/>
      <c r="B15" s="27"/>
      <c r="C15" s="27"/>
      <c r="D15" s="27"/>
      <c r="E15" s="27"/>
      <c r="F15" s="27"/>
      <c r="G15" s="40">
        <f>(800000)*(1+10*(2/3)/100)*0.02</f>
        <v>17066.666666666668</v>
      </c>
      <c r="H15" s="27"/>
      <c r="I15" s="27"/>
      <c r="J15" s="27"/>
    </row>
    <row r="17" spans="1:7" ht="30" customHeight="1" x14ac:dyDescent="0.3">
      <c r="A17" s="29" t="s">
        <v>50</v>
      </c>
      <c r="B17" s="29"/>
      <c r="C17" s="29"/>
      <c r="D17" s="29"/>
      <c r="G17" t="s">
        <v>54</v>
      </c>
    </row>
    <row r="18" spans="1:7" x14ac:dyDescent="0.3">
      <c r="A18" s="6" t="str">
        <f t="shared" ref="A17:D30" si="0">A2</f>
        <v>Mes</v>
      </c>
      <c r="B18" s="6" t="str">
        <f t="shared" si="0"/>
        <v>Moto</v>
      </c>
      <c r="C18" s="6" t="str">
        <f t="shared" si="0"/>
        <v>Barco</v>
      </c>
      <c r="D18" s="6" t="str">
        <f t="shared" si="0"/>
        <v>Casa</v>
      </c>
      <c r="G18" s="6">
        <f>G15*20%</f>
        <v>3413.3333333333339</v>
      </c>
    </row>
    <row r="19" spans="1:7" x14ac:dyDescent="0.3">
      <c r="A19" s="6" t="str">
        <f t="shared" si="0"/>
        <v>Enero</v>
      </c>
      <c r="B19" s="30">
        <f>B3*1000000/$H$3</f>
        <v>29257.142857142859</v>
      </c>
      <c r="C19" s="30">
        <f>C3*1000000/$H$4</f>
        <v>21333.333333333332</v>
      </c>
      <c r="D19" s="30">
        <f>D3*1000000/$H$5</f>
        <v>12190.476190476191</v>
      </c>
    </row>
    <row r="20" spans="1:7" x14ac:dyDescent="0.3">
      <c r="A20" s="6" t="str">
        <f t="shared" si="0"/>
        <v>Febrero</v>
      </c>
      <c r="B20" s="30">
        <f t="shared" ref="B20:B21" si="1">B4*1000000/$H$3</f>
        <v>29257.142857142859</v>
      </c>
      <c r="C20" s="30">
        <f t="shared" ref="C20:C30" si="2">C4*1000000/$H$4</f>
        <v>21333.333333333332</v>
      </c>
      <c r="D20" s="30">
        <f t="shared" ref="D20:D30" si="3">D4*1000000/$H$5</f>
        <v>12190.476190476191</v>
      </c>
      <c r="G20" t="s">
        <v>56</v>
      </c>
    </row>
    <row r="21" spans="1:7" x14ac:dyDescent="0.3">
      <c r="A21" s="6" t="str">
        <f t="shared" si="0"/>
        <v>Marzo</v>
      </c>
      <c r="B21" s="30">
        <f t="shared" si="1"/>
        <v>29257.142857142859</v>
      </c>
      <c r="C21" s="30">
        <f t="shared" si="2"/>
        <v>21333.333333333332</v>
      </c>
      <c r="D21" s="30">
        <f t="shared" si="3"/>
        <v>12190.476190476191</v>
      </c>
      <c r="G21" s="26">
        <v>0.2</v>
      </c>
    </row>
    <row r="22" spans="1:7" x14ac:dyDescent="0.3">
      <c r="A22" s="6" t="str">
        <f t="shared" si="0"/>
        <v>Abril</v>
      </c>
      <c r="B22" s="30">
        <f>B6*1000000/$H$3</f>
        <v>81920.000000000015</v>
      </c>
      <c r="C22" s="30">
        <f t="shared" si="2"/>
        <v>59733.333333333336</v>
      </c>
      <c r="D22" s="30">
        <f t="shared" si="3"/>
        <v>34133.333333333336</v>
      </c>
    </row>
    <row r="23" spans="1:7" x14ac:dyDescent="0.3">
      <c r="A23" s="6" t="str">
        <f t="shared" si="0"/>
        <v>Mayo</v>
      </c>
      <c r="B23" s="30">
        <f t="shared" ref="B23:B30" si="4">B7*1000000/$H$3</f>
        <v>29257.142857142859</v>
      </c>
      <c r="C23" s="30">
        <f t="shared" si="2"/>
        <v>21333.333333333332</v>
      </c>
      <c r="D23" s="30">
        <f t="shared" si="3"/>
        <v>12190.476190476191</v>
      </c>
    </row>
    <row r="24" spans="1:7" x14ac:dyDescent="0.3">
      <c r="A24" s="6" t="str">
        <f t="shared" si="0"/>
        <v>Junio</v>
      </c>
      <c r="B24" s="30">
        <f t="shared" si="4"/>
        <v>68266.666666666686</v>
      </c>
      <c r="C24" s="30">
        <f t="shared" si="2"/>
        <v>49777.777777777781</v>
      </c>
      <c r="D24" s="30">
        <f t="shared" si="3"/>
        <v>28444.444444444449</v>
      </c>
    </row>
    <row r="25" spans="1:7" x14ac:dyDescent="0.3">
      <c r="A25" s="6" t="str">
        <f t="shared" si="0"/>
        <v>Julio</v>
      </c>
      <c r="B25" s="30">
        <f t="shared" si="4"/>
        <v>68266.666666666686</v>
      </c>
      <c r="C25" s="30">
        <f t="shared" si="2"/>
        <v>49777.777777777781</v>
      </c>
      <c r="D25" s="30">
        <f t="shared" si="3"/>
        <v>28444.444444444449</v>
      </c>
    </row>
    <row r="26" spans="1:7" x14ac:dyDescent="0.3">
      <c r="A26" s="6" t="str">
        <f t="shared" si="0"/>
        <v>Agosto</v>
      </c>
      <c r="B26" s="30">
        <f>B10*1000000/$H$3</f>
        <v>29257.142857142859</v>
      </c>
      <c r="C26" s="30">
        <f t="shared" si="2"/>
        <v>21333.333333333332</v>
      </c>
      <c r="D26" s="30">
        <f t="shared" si="3"/>
        <v>12190.476190476191</v>
      </c>
    </row>
    <row r="27" spans="1:7" x14ac:dyDescent="0.3">
      <c r="A27" s="6" t="str">
        <f t="shared" si="0"/>
        <v>Septiembre</v>
      </c>
      <c r="B27" s="30">
        <f t="shared" si="4"/>
        <v>29257.142857142859</v>
      </c>
      <c r="C27" s="30">
        <f t="shared" si="2"/>
        <v>21333.333333333332</v>
      </c>
      <c r="D27" s="30">
        <f t="shared" si="3"/>
        <v>12190.476190476191</v>
      </c>
    </row>
    <row r="28" spans="1:7" x14ac:dyDescent="0.3">
      <c r="A28" s="6" t="str">
        <f t="shared" si="0"/>
        <v>Octubre</v>
      </c>
      <c r="B28" s="30">
        <f t="shared" si="4"/>
        <v>54613.33333333335</v>
      </c>
      <c r="C28" s="30">
        <f t="shared" si="2"/>
        <v>39822.222222222226</v>
      </c>
      <c r="D28" s="30">
        <f t="shared" si="3"/>
        <v>22755.555555555558</v>
      </c>
    </row>
    <row r="29" spans="1:7" x14ac:dyDescent="0.3">
      <c r="A29" s="6" t="str">
        <f t="shared" si="0"/>
        <v>Noviembre</v>
      </c>
      <c r="B29" s="30">
        <f t="shared" si="4"/>
        <v>29257.142857142859</v>
      </c>
      <c r="C29" s="30">
        <f t="shared" si="2"/>
        <v>21333.333333333332</v>
      </c>
      <c r="D29" s="30">
        <f t="shared" si="3"/>
        <v>12190.476190476191</v>
      </c>
    </row>
    <row r="30" spans="1:7" x14ac:dyDescent="0.3">
      <c r="A30" s="6" t="str">
        <f t="shared" si="0"/>
        <v>Diciembre</v>
      </c>
      <c r="B30" s="30">
        <f>B14*1000000/$H$3</f>
        <v>204800.00000000006</v>
      </c>
      <c r="C30" s="30">
        <f t="shared" si="2"/>
        <v>149333.33333333331</v>
      </c>
      <c r="D30" s="30">
        <f t="shared" si="3"/>
        <v>85333.333333333328</v>
      </c>
    </row>
    <row r="33" spans="1:9" ht="25.8" customHeight="1" x14ac:dyDescent="0.3">
      <c r="A33" s="29" t="s">
        <v>53</v>
      </c>
      <c r="B33" s="29"/>
      <c r="C33" s="29"/>
      <c r="D33" s="29"/>
      <c r="F33" s="29" t="s">
        <v>55</v>
      </c>
      <c r="G33" s="29"/>
      <c r="H33" s="29"/>
      <c r="I33" s="29"/>
    </row>
    <row r="34" spans="1:9" x14ac:dyDescent="0.3">
      <c r="A34" s="6" t="str">
        <f t="shared" ref="A33:D46" si="5">A18</f>
        <v>Mes</v>
      </c>
      <c r="B34" s="6" t="str">
        <f t="shared" si="5"/>
        <v>Moto</v>
      </c>
      <c r="C34" s="6" t="str">
        <f t="shared" si="5"/>
        <v>Barco</v>
      </c>
      <c r="D34" s="6" t="str">
        <f t="shared" si="5"/>
        <v>Casa</v>
      </c>
      <c r="F34" s="6" t="str">
        <f t="shared" ref="F33:F46" si="6">A34</f>
        <v>Mes</v>
      </c>
      <c r="G34" s="6" t="str">
        <f t="shared" ref="G33:G46" si="7">B34</f>
        <v>Moto</v>
      </c>
      <c r="H34" s="6" t="str">
        <f t="shared" ref="H33:H46" si="8">C34</f>
        <v>Barco</v>
      </c>
      <c r="I34" s="6" t="str">
        <f t="shared" ref="I33:I46" si="9">D34</f>
        <v>Casa</v>
      </c>
    </row>
    <row r="35" spans="1:9" x14ac:dyDescent="0.3">
      <c r="A35" s="6" t="str">
        <f t="shared" si="5"/>
        <v>Enero</v>
      </c>
      <c r="B35" s="30">
        <f>B19*$G$21</f>
        <v>5851.4285714285725</v>
      </c>
      <c r="C35" s="30">
        <f>C19*$G$21</f>
        <v>4266.666666666667</v>
      </c>
      <c r="D35" s="30">
        <f>D19*$G$21</f>
        <v>2438.0952380952381</v>
      </c>
      <c r="F35" s="6" t="str">
        <f t="shared" si="6"/>
        <v>Enero</v>
      </c>
      <c r="G35" s="30">
        <f t="shared" si="7"/>
        <v>5851.4285714285725</v>
      </c>
      <c r="H35" s="30">
        <f t="shared" si="8"/>
        <v>4266.666666666667</v>
      </c>
      <c r="I35" s="30">
        <f t="shared" si="9"/>
        <v>2438.0952380952381</v>
      </c>
    </row>
    <row r="36" spans="1:9" x14ac:dyDescent="0.3">
      <c r="A36" s="6" t="str">
        <f t="shared" si="5"/>
        <v>Febrero</v>
      </c>
      <c r="B36" s="30">
        <f t="shared" ref="B36:D46" si="10">B20*$G$21</f>
        <v>5851.4285714285725</v>
      </c>
      <c r="C36" s="30">
        <f t="shared" si="10"/>
        <v>4266.666666666667</v>
      </c>
      <c r="D36" s="30">
        <f t="shared" si="10"/>
        <v>2438.0952380952381</v>
      </c>
      <c r="F36" s="6" t="str">
        <f t="shared" si="6"/>
        <v>Febrero</v>
      </c>
      <c r="G36" s="30">
        <f t="shared" si="7"/>
        <v>5851.4285714285725</v>
      </c>
      <c r="H36" s="30">
        <f t="shared" si="8"/>
        <v>4266.666666666667</v>
      </c>
      <c r="I36" s="30">
        <f t="shared" si="9"/>
        <v>2438.0952380952381</v>
      </c>
    </row>
    <row r="37" spans="1:9" x14ac:dyDescent="0.3">
      <c r="A37" s="6" t="str">
        <f t="shared" si="5"/>
        <v>Marzo</v>
      </c>
      <c r="B37" s="30">
        <f t="shared" si="10"/>
        <v>5851.4285714285725</v>
      </c>
      <c r="C37" s="30">
        <f t="shared" si="10"/>
        <v>4266.666666666667</v>
      </c>
      <c r="D37" s="30">
        <f t="shared" si="10"/>
        <v>2438.0952380952381</v>
      </c>
      <c r="F37" s="6" t="str">
        <f t="shared" si="6"/>
        <v>Marzo</v>
      </c>
      <c r="G37" s="30">
        <f>B37+B38-G38</f>
        <v>7478.4285714285761</v>
      </c>
      <c r="H37" s="30">
        <f t="shared" si="8"/>
        <v>4266.666666666667</v>
      </c>
      <c r="I37" s="30">
        <f t="shared" si="9"/>
        <v>2438.0952380952381</v>
      </c>
    </row>
    <row r="38" spans="1:9" x14ac:dyDescent="0.3">
      <c r="A38" s="6" t="str">
        <f t="shared" si="5"/>
        <v>Abril</v>
      </c>
      <c r="B38" s="30">
        <f t="shared" si="10"/>
        <v>16384.000000000004</v>
      </c>
      <c r="C38" s="30">
        <f t="shared" si="10"/>
        <v>11946.666666666668</v>
      </c>
      <c r="D38" s="30">
        <f t="shared" si="10"/>
        <v>6826.6666666666679</v>
      </c>
      <c r="F38" s="6" t="str">
        <f t="shared" si="6"/>
        <v>Abril</v>
      </c>
      <c r="G38" s="30">
        <f>14757</f>
        <v>14757</v>
      </c>
      <c r="H38" s="30">
        <f t="shared" si="8"/>
        <v>11946.666666666668</v>
      </c>
      <c r="I38" s="30">
        <f t="shared" si="9"/>
        <v>6826.6666666666679</v>
      </c>
    </row>
    <row r="39" spans="1:9" x14ac:dyDescent="0.3">
      <c r="A39" s="6" t="str">
        <f t="shared" si="5"/>
        <v>Mayo</v>
      </c>
      <c r="B39" s="30">
        <f t="shared" si="10"/>
        <v>5851.4285714285725</v>
      </c>
      <c r="C39" s="30">
        <f t="shared" si="10"/>
        <v>4266.666666666667</v>
      </c>
      <c r="D39" s="30">
        <f t="shared" si="10"/>
        <v>2438.0952380952381</v>
      </c>
      <c r="F39" s="6" t="str">
        <f t="shared" si="6"/>
        <v>Mayo</v>
      </c>
      <c r="G39" s="30">
        <f>B39+B40+B41-G40-G41</f>
        <v>3644.095238095244</v>
      </c>
      <c r="H39" s="30">
        <f t="shared" si="8"/>
        <v>4266.666666666667</v>
      </c>
      <c r="I39" s="30">
        <f t="shared" si="9"/>
        <v>2438.0952380952381</v>
      </c>
    </row>
    <row r="40" spans="1:9" x14ac:dyDescent="0.3">
      <c r="A40" s="6" t="str">
        <f t="shared" si="5"/>
        <v>Junio</v>
      </c>
      <c r="B40" s="30">
        <f t="shared" si="10"/>
        <v>13653.333333333338</v>
      </c>
      <c r="C40" s="30">
        <f t="shared" si="10"/>
        <v>9955.5555555555566</v>
      </c>
      <c r="D40" s="30">
        <f t="shared" si="10"/>
        <v>5688.8888888888905</v>
      </c>
      <c r="F40" s="6" t="str">
        <f t="shared" si="6"/>
        <v>Junio</v>
      </c>
      <c r="G40" s="30">
        <f>14757</f>
        <v>14757</v>
      </c>
      <c r="H40" s="30">
        <f t="shared" si="8"/>
        <v>9955.5555555555566</v>
      </c>
      <c r="I40" s="30">
        <f t="shared" si="9"/>
        <v>5688.8888888888905</v>
      </c>
    </row>
    <row r="41" spans="1:9" x14ac:dyDescent="0.3">
      <c r="A41" s="6" t="str">
        <f t="shared" si="5"/>
        <v>Julio</v>
      </c>
      <c r="B41" s="30">
        <f t="shared" si="10"/>
        <v>13653.333333333338</v>
      </c>
      <c r="C41" s="30">
        <f t="shared" si="10"/>
        <v>9955.5555555555566</v>
      </c>
      <c r="D41" s="30">
        <f t="shared" si="10"/>
        <v>5688.8888888888905</v>
      </c>
      <c r="F41" s="6" t="str">
        <f t="shared" si="6"/>
        <v>Julio</v>
      </c>
      <c r="G41" s="30">
        <f>14757</f>
        <v>14757</v>
      </c>
      <c r="H41" s="30">
        <f t="shared" si="8"/>
        <v>9955.5555555555566</v>
      </c>
      <c r="I41" s="30">
        <f t="shared" si="9"/>
        <v>5688.8888888888905</v>
      </c>
    </row>
    <row r="42" spans="1:9" x14ac:dyDescent="0.3">
      <c r="A42" s="6" t="str">
        <f t="shared" si="5"/>
        <v>Agosto</v>
      </c>
      <c r="B42" s="30">
        <f t="shared" si="10"/>
        <v>5851.4285714285725</v>
      </c>
      <c r="C42" s="30">
        <f t="shared" si="10"/>
        <v>4266.666666666667</v>
      </c>
      <c r="D42" s="30">
        <f t="shared" si="10"/>
        <v>2438.0952380952381</v>
      </c>
      <c r="F42" s="6" t="str">
        <f t="shared" si="6"/>
        <v>Agosto</v>
      </c>
      <c r="G42" s="30">
        <f>B42+SUM(B43:B46)-SUM(G43:G46)</f>
        <v>10408.952380952396</v>
      </c>
      <c r="H42" s="30">
        <f t="shared" si="8"/>
        <v>4266.666666666667</v>
      </c>
      <c r="I42" s="30">
        <f t="shared" si="9"/>
        <v>2438.0952380952381</v>
      </c>
    </row>
    <row r="43" spans="1:9" x14ac:dyDescent="0.3">
      <c r="A43" s="6" t="str">
        <f t="shared" si="5"/>
        <v>Septiembre</v>
      </c>
      <c r="B43" s="30">
        <f t="shared" si="10"/>
        <v>5851.4285714285725</v>
      </c>
      <c r="C43" s="30">
        <f t="shared" si="10"/>
        <v>4266.666666666667</v>
      </c>
      <c r="D43" s="30">
        <f t="shared" si="10"/>
        <v>2438.0952380952381</v>
      </c>
      <c r="F43" s="6" t="str">
        <f t="shared" si="6"/>
        <v>Septiembre</v>
      </c>
      <c r="G43" s="30">
        <f>14757</f>
        <v>14757</v>
      </c>
      <c r="H43" s="30">
        <f>C43+SUM(C44:C46)-SUM(H44:H46)</f>
        <v>7745.4444444444453</v>
      </c>
      <c r="I43" s="30">
        <f t="shared" si="9"/>
        <v>2438.0952380952381</v>
      </c>
    </row>
    <row r="44" spans="1:9" x14ac:dyDescent="0.3">
      <c r="A44" s="6" t="str">
        <f t="shared" si="5"/>
        <v>Octubre</v>
      </c>
      <c r="B44" s="30">
        <f t="shared" si="10"/>
        <v>10922.666666666672</v>
      </c>
      <c r="C44" s="30">
        <f t="shared" si="10"/>
        <v>7964.4444444444453</v>
      </c>
      <c r="D44" s="30">
        <f t="shared" si="10"/>
        <v>4551.1111111111122</v>
      </c>
      <c r="F44" s="6" t="str">
        <f t="shared" si="6"/>
        <v>Octubre</v>
      </c>
      <c r="G44" s="30">
        <f>14757</f>
        <v>14757</v>
      </c>
      <c r="H44" s="30">
        <v>12873</v>
      </c>
      <c r="I44" s="30">
        <f>D44+SUM(D45:D46)-SUM(I45:I46)</f>
        <v>5883.8730158730177</v>
      </c>
    </row>
    <row r="45" spans="1:9" x14ac:dyDescent="0.3">
      <c r="A45" s="6" t="str">
        <f t="shared" si="5"/>
        <v>Noviembre</v>
      </c>
      <c r="B45" s="30">
        <f t="shared" si="10"/>
        <v>5851.4285714285725</v>
      </c>
      <c r="C45" s="30">
        <f t="shared" si="10"/>
        <v>4266.666666666667</v>
      </c>
      <c r="D45" s="30">
        <f t="shared" si="10"/>
        <v>2438.0952380952381</v>
      </c>
      <c r="F45" s="6" t="str">
        <f t="shared" si="6"/>
        <v>Noviembre</v>
      </c>
      <c r="G45" s="30">
        <f>14757</f>
        <v>14757</v>
      </c>
      <c r="H45" s="30">
        <v>12873</v>
      </c>
      <c r="I45" s="30">
        <v>9086</v>
      </c>
    </row>
    <row r="46" spans="1:9" x14ac:dyDescent="0.3">
      <c r="A46" s="6" t="str">
        <f t="shared" si="5"/>
        <v>Diciembre</v>
      </c>
      <c r="B46" s="30">
        <f t="shared" si="10"/>
        <v>40960.000000000015</v>
      </c>
      <c r="C46" s="30">
        <f t="shared" si="10"/>
        <v>29866.666666666664</v>
      </c>
      <c r="D46" s="30">
        <f t="shared" si="10"/>
        <v>17066.666666666668</v>
      </c>
      <c r="F46" s="6" t="str">
        <f t="shared" si="6"/>
        <v>Diciembre</v>
      </c>
      <c r="G46" s="30">
        <f>14757</f>
        <v>14757</v>
      </c>
      <c r="H46" s="30">
        <v>12873</v>
      </c>
      <c r="I46" s="30">
        <v>9086</v>
      </c>
    </row>
    <row r="50" spans="2:7" x14ac:dyDescent="0.3">
      <c r="B50" s="28"/>
      <c r="G50" s="28"/>
    </row>
    <row r="53" spans="2:7" x14ac:dyDescent="0.3">
      <c r="G53" s="28"/>
    </row>
  </sheetData>
  <mergeCells count="5">
    <mergeCell ref="A1:D1"/>
    <mergeCell ref="A17:D17"/>
    <mergeCell ref="A33:D33"/>
    <mergeCell ref="M2:N2"/>
    <mergeCell ref="F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5FCA-58F1-429C-8A78-861DF88FF19C}">
  <sheetPr>
    <pageSetUpPr fitToPage="1"/>
  </sheetPr>
  <dimension ref="A1:O43"/>
  <sheetViews>
    <sheetView zoomScale="85" zoomScaleNormal="85" workbookViewId="0">
      <selection activeCell="A29" sqref="A29"/>
    </sheetView>
  </sheetViews>
  <sheetFormatPr baseColWidth="10" defaultColWidth="11.44140625" defaultRowHeight="14.4" x14ac:dyDescent="0.3"/>
  <cols>
    <col min="1" max="1" width="23" style="1" customWidth="1"/>
    <col min="2" max="2" width="15.21875" style="1" customWidth="1"/>
    <col min="3" max="3" width="16.109375" style="1" customWidth="1"/>
    <col min="4" max="4" width="14.109375" style="1" customWidth="1"/>
    <col min="5" max="5" width="14" style="1" customWidth="1"/>
    <col min="6" max="6" width="14.77734375" style="1" customWidth="1"/>
    <col min="7" max="7" width="15.6640625" style="1" customWidth="1"/>
    <col min="8" max="15" width="14.6640625" style="1" customWidth="1"/>
    <col min="16" max="16384" width="11.44140625" style="1"/>
  </cols>
  <sheetData>
    <row r="1" spans="1:15" ht="18" x14ac:dyDescent="0.35">
      <c r="A1" s="20" t="s">
        <v>28</v>
      </c>
    </row>
    <row r="2" spans="1:15" x14ac:dyDescent="0.3">
      <c r="A2" s="16" t="s">
        <v>20</v>
      </c>
      <c r="B2" s="10">
        <f>(12000*B4+15000*B5+10000*B6)*30</f>
        <v>336990000</v>
      </c>
      <c r="C2" s="24"/>
      <c r="D2" s="25"/>
      <c r="E2" s="2">
        <v>0.05</v>
      </c>
      <c r="F2" s="2">
        <v>0.05</v>
      </c>
      <c r="G2" s="2">
        <v>0.05</v>
      </c>
      <c r="H2" s="2">
        <v>0.1</v>
      </c>
      <c r="I2" s="2">
        <v>0.1</v>
      </c>
      <c r="J2" s="2">
        <v>0.1</v>
      </c>
      <c r="K2" s="2">
        <v>0.15</v>
      </c>
      <c r="L2" s="2">
        <v>0.15</v>
      </c>
      <c r="M2" s="2">
        <v>0.15</v>
      </c>
      <c r="N2" s="2">
        <v>0.2</v>
      </c>
      <c r="O2" s="2">
        <v>0.2</v>
      </c>
    </row>
    <row r="3" spans="1:15" x14ac:dyDescent="0.3">
      <c r="A3" s="3" t="s">
        <v>0</v>
      </c>
      <c r="B3" s="3" t="s">
        <v>27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">
      <c r="A4" s="6" t="s">
        <v>29</v>
      </c>
      <c r="B4" s="14">
        <f>7*47</f>
        <v>329</v>
      </c>
      <c r="C4" s="7">
        <f>+B4/$B$10</f>
        <v>0.35</v>
      </c>
      <c r="D4" s="11">
        <f>+C4*$B$2</f>
        <v>117946499.99999999</v>
      </c>
      <c r="E4" s="12">
        <f>+(D4*(1+E$2))</f>
        <v>123843824.99999999</v>
      </c>
      <c r="F4" s="12">
        <f>+(E4*(1+F$2))</f>
        <v>130036016.24999999</v>
      </c>
      <c r="G4" s="12">
        <f>+(F4*(1+G$2))</f>
        <v>136537817.0625</v>
      </c>
      <c r="H4" s="12">
        <f>+(G4*(1+H$2))</f>
        <v>150191598.76875001</v>
      </c>
      <c r="I4" s="12">
        <f>+(H4*(1+I$2))</f>
        <v>165210758.64562503</v>
      </c>
      <c r="J4" s="12">
        <f>+(I4*(1+J$2))</f>
        <v>181731834.51018754</v>
      </c>
      <c r="K4" s="12">
        <f>+(J4*(1+K$2))</f>
        <v>208991609.68671566</v>
      </c>
      <c r="L4" s="12">
        <f>+(K4*(1+L$2))</f>
        <v>240340351.139723</v>
      </c>
      <c r="M4" s="12">
        <f>+(L4*(1+M$2))</f>
        <v>276391403.8106814</v>
      </c>
      <c r="N4" s="12">
        <f>+(M4*(1+N$2))</f>
        <v>331669684.57281768</v>
      </c>
      <c r="O4" s="12">
        <f>+(N4*(1+O$2))</f>
        <v>398003621.48738122</v>
      </c>
    </row>
    <row r="5" spans="1:15" x14ac:dyDescent="0.3">
      <c r="A5" s="6" t="s">
        <v>30</v>
      </c>
      <c r="B5" s="14">
        <f>5*47</f>
        <v>235</v>
      </c>
      <c r="C5" s="7">
        <f>+B5/$B$10</f>
        <v>0.25</v>
      </c>
      <c r="D5" s="11">
        <f>+C5*$B$2</f>
        <v>84247500</v>
      </c>
      <c r="E5" s="12">
        <f>+(D5*(1+E$2))</f>
        <v>88459875</v>
      </c>
      <c r="F5" s="12">
        <f>+(E5*(1+F$2))</f>
        <v>92882868.75</v>
      </c>
      <c r="G5" s="12">
        <f>+(F5*(1+G$2))</f>
        <v>97527012.1875</v>
      </c>
      <c r="H5" s="12">
        <f>+(G5*(1+H$2))</f>
        <v>107279713.40625001</v>
      </c>
      <c r="I5" s="12">
        <f>+(H5*(1+I$2))</f>
        <v>118007684.74687503</v>
      </c>
      <c r="J5" s="12">
        <f>+(I5*(1+J$2))</f>
        <v>129808453.22156255</v>
      </c>
      <c r="K5" s="12">
        <f>+(J5*(1+K$2))</f>
        <v>149279721.20479691</v>
      </c>
      <c r="L5" s="12">
        <f>+(K5*(1+L$2))</f>
        <v>171671679.38551643</v>
      </c>
      <c r="M5" s="12">
        <f>+(L5*(1+M$2))</f>
        <v>197422431.29334387</v>
      </c>
      <c r="N5" s="12">
        <f>+(M5*(1+N$2))</f>
        <v>236906917.55201265</v>
      </c>
      <c r="O5" s="12">
        <f>+(N5*(1+O$2))</f>
        <v>284288301.06241518</v>
      </c>
    </row>
    <row r="6" spans="1:15" x14ac:dyDescent="0.3">
      <c r="A6" s="6" t="s">
        <v>31</v>
      </c>
      <c r="B6" s="14">
        <f>8*47</f>
        <v>376</v>
      </c>
      <c r="C6" s="7">
        <f>+B6/$B$10</f>
        <v>0.4</v>
      </c>
      <c r="D6" s="11">
        <f>+C6*$B$2</f>
        <v>134796000</v>
      </c>
      <c r="E6" s="12">
        <f>+(D6*(1+E$2))</f>
        <v>141535800</v>
      </c>
      <c r="F6" s="12">
        <f>+(E6*(1+F$2))</f>
        <v>148612590</v>
      </c>
      <c r="G6" s="12">
        <f>+(F6*(1+G$2))</f>
        <v>156043219.5</v>
      </c>
      <c r="H6" s="12">
        <f>+(G6*(1+H$2))</f>
        <v>171647541.45000002</v>
      </c>
      <c r="I6" s="12">
        <f>+(H6*(1+I$2))</f>
        <v>188812295.59500003</v>
      </c>
      <c r="J6" s="12">
        <f>+(I6*(1+J$2))</f>
        <v>207693525.15450004</v>
      </c>
      <c r="K6" s="12">
        <f>+(J6*(1+K$2))</f>
        <v>238847553.92767504</v>
      </c>
      <c r="L6" s="12">
        <f>+(K6*(1+L$2))</f>
        <v>274674687.01682627</v>
      </c>
      <c r="M6" s="12">
        <f>+(L6*(1+M$2))</f>
        <v>315875890.06935018</v>
      </c>
      <c r="N6" s="12">
        <f>+(M6*(1+N$2))</f>
        <v>379051068.08322018</v>
      </c>
      <c r="O6" s="12">
        <f>+(N6*(1+O$2))</f>
        <v>454861281.69986421</v>
      </c>
    </row>
    <row r="7" spans="1:15" x14ac:dyDescent="0.3">
      <c r="A7" s="6"/>
      <c r="B7" s="14"/>
      <c r="C7" s="7">
        <f>+B7/$B$10</f>
        <v>0</v>
      </c>
      <c r="D7" s="11">
        <f>+C7*$B$2</f>
        <v>0</v>
      </c>
      <c r="E7" s="12">
        <f>+(D7*(1+E$2))</f>
        <v>0</v>
      </c>
      <c r="F7" s="12">
        <f>+(E7*(1+F$2))</f>
        <v>0</v>
      </c>
      <c r="G7" s="12">
        <f>+(F7*(1+G$2))</f>
        <v>0</v>
      </c>
      <c r="H7" s="12">
        <f>+(G7*(1+H$2))</f>
        <v>0</v>
      </c>
      <c r="I7" s="12">
        <f>+(H7*(1+I$2))</f>
        <v>0</v>
      </c>
      <c r="J7" s="12">
        <f>+(I7*(1+J$2))</f>
        <v>0</v>
      </c>
      <c r="K7" s="12">
        <f>+(J7*(1+K$2))</f>
        <v>0</v>
      </c>
      <c r="L7" s="12">
        <f>+(K7*(1+L$2))</f>
        <v>0</v>
      </c>
      <c r="M7" s="12">
        <f>+(L7*(1+M$2))</f>
        <v>0</v>
      </c>
      <c r="N7" s="12">
        <f>+(M7*(1+N$2))</f>
        <v>0</v>
      </c>
      <c r="O7" s="12">
        <f>+(N7*(1+O$2))</f>
        <v>0</v>
      </c>
    </row>
    <row r="8" spans="1:15" x14ac:dyDescent="0.3">
      <c r="A8" s="6"/>
      <c r="B8" s="14"/>
      <c r="C8" s="7">
        <f>+B8/$B$10</f>
        <v>0</v>
      </c>
      <c r="D8" s="11">
        <f>+C8*$B$2</f>
        <v>0</v>
      </c>
      <c r="E8" s="12">
        <f>+(D8*(1+E$2))</f>
        <v>0</v>
      </c>
      <c r="F8" s="12">
        <f>+(E8*(1+F$2))</f>
        <v>0</v>
      </c>
      <c r="G8" s="12">
        <f>+(F8*(1+G$2))</f>
        <v>0</v>
      </c>
      <c r="H8" s="12">
        <f>+(G8*(1+H$2))</f>
        <v>0</v>
      </c>
      <c r="I8" s="12">
        <f>+(H8*(1+I$2))</f>
        <v>0</v>
      </c>
      <c r="J8" s="12">
        <f>+(I8*(1+J$2))</f>
        <v>0</v>
      </c>
      <c r="K8" s="12">
        <f>+(J8*(1+K$2))</f>
        <v>0</v>
      </c>
      <c r="L8" s="12">
        <f>+(K8*(1+L$2))</f>
        <v>0</v>
      </c>
      <c r="M8" s="12">
        <f>+(L8*(1+M$2))</f>
        <v>0</v>
      </c>
      <c r="N8" s="12">
        <f>+(M8*(1+N$2))</f>
        <v>0</v>
      </c>
      <c r="O8" s="12">
        <f>+(N8*(1+O$2))</f>
        <v>0</v>
      </c>
    </row>
    <row r="9" spans="1:15" x14ac:dyDescent="0.3">
      <c r="A9" s="6"/>
      <c r="B9" s="14"/>
      <c r="C9" s="7">
        <f>+B9/$B$10</f>
        <v>0</v>
      </c>
      <c r="D9" s="11">
        <f>+C9*$B$2</f>
        <v>0</v>
      </c>
      <c r="E9" s="12">
        <f>+(D9*(1+E$2))</f>
        <v>0</v>
      </c>
      <c r="F9" s="12">
        <f>+(E9*(1+F$2))</f>
        <v>0</v>
      </c>
      <c r="G9" s="12">
        <f>+(F9*(1+G$2))</f>
        <v>0</v>
      </c>
      <c r="H9" s="12">
        <f>+(G9*(1+H$2))</f>
        <v>0</v>
      </c>
      <c r="I9" s="12">
        <f>+(H9*(1+I$2))</f>
        <v>0</v>
      </c>
      <c r="J9" s="12">
        <f>+(I9*(1+J$2))</f>
        <v>0</v>
      </c>
      <c r="K9" s="12">
        <f>+(J9*(1+K$2))</f>
        <v>0</v>
      </c>
      <c r="L9" s="12">
        <f>+(K9*(1+L$2))</f>
        <v>0</v>
      </c>
      <c r="M9" s="12">
        <f>+(L9*(1+M$2))</f>
        <v>0</v>
      </c>
      <c r="N9" s="12">
        <f>+(M9*(1+N$2))</f>
        <v>0</v>
      </c>
      <c r="O9" s="12">
        <f>+(N9*(1+O$2))</f>
        <v>0</v>
      </c>
    </row>
    <row r="10" spans="1:15" x14ac:dyDescent="0.3">
      <c r="A10" s="13" t="s">
        <v>19</v>
      </c>
      <c r="B10" s="15">
        <f>SUM(B4:B9)</f>
        <v>940</v>
      </c>
      <c r="C10" s="13"/>
      <c r="D10" s="13">
        <f>SUM(D4:D9)</f>
        <v>336990000</v>
      </c>
      <c r="E10" s="13">
        <f>SUM(E4:E9)</f>
        <v>353839500</v>
      </c>
      <c r="F10" s="13">
        <f>SUM(F4:F9)</f>
        <v>371531475</v>
      </c>
      <c r="G10" s="13">
        <f>SUM(G4:G9)</f>
        <v>390108048.75</v>
      </c>
      <c r="H10" s="13">
        <f>SUM(H4:H9)</f>
        <v>429118853.625</v>
      </c>
      <c r="I10" s="13">
        <f>SUM(I4:I9)</f>
        <v>472030738.98750007</v>
      </c>
      <c r="J10" s="13">
        <f>SUM(J4:J9)</f>
        <v>519233812.88625014</v>
      </c>
      <c r="K10" s="13">
        <f>SUM(K4:K9)</f>
        <v>597118884.81918764</v>
      </c>
      <c r="L10" s="13">
        <f>SUM(L4:L9)</f>
        <v>686686717.54206574</v>
      </c>
      <c r="M10" s="13">
        <f>SUM(M4:M9)</f>
        <v>789689725.17337537</v>
      </c>
      <c r="N10" s="13">
        <f>SUM(N4:N9)</f>
        <v>947627670.20805049</v>
      </c>
      <c r="O10" s="13">
        <f>SUM(O4:O9)</f>
        <v>1137153204.2496605</v>
      </c>
    </row>
    <row r="11" spans="1:15" x14ac:dyDescent="0.3">
      <c r="A11" s="8" t="s">
        <v>18</v>
      </c>
      <c r="B11" s="8"/>
    </row>
    <row r="12" spans="1:15" x14ac:dyDescent="0.3">
      <c r="A12" s="21" t="s">
        <v>35</v>
      </c>
      <c r="C12" s="9">
        <v>0.15</v>
      </c>
      <c r="D12" s="1">
        <f>+$C$12*D10</f>
        <v>50548500</v>
      </c>
      <c r="E12" s="1">
        <f>+$C$12*E10</f>
        <v>53075925</v>
      </c>
      <c r="F12" s="1">
        <f>+$C$12*F10</f>
        <v>55729721.25</v>
      </c>
      <c r="G12" s="1">
        <f>+$C$12*G10</f>
        <v>58516207.3125</v>
      </c>
      <c r="H12" s="1">
        <f>+$C$12*H10</f>
        <v>64367828.043749996</v>
      </c>
      <c r="I12" s="1">
        <f>+$C$12*I10</f>
        <v>70804610.848125011</v>
      </c>
      <c r="J12" s="1">
        <f>+$C$12*J10</f>
        <v>77885071.932937518</v>
      </c>
      <c r="K12" s="1">
        <f>+$C$12*K10</f>
        <v>89567832.722878143</v>
      </c>
      <c r="L12" s="1">
        <f>+$C$12*L10</f>
        <v>103003007.63130985</v>
      </c>
      <c r="M12" s="1">
        <f>+$C$12*M10</f>
        <v>118453458.7760063</v>
      </c>
      <c r="N12" s="1">
        <f>+$C$12*N10</f>
        <v>142144150.53120756</v>
      </c>
      <c r="O12" s="1">
        <f>+$C$12*O10</f>
        <v>170572980.63744906</v>
      </c>
    </row>
    <row r="13" spans="1:15" x14ac:dyDescent="0.3">
      <c r="A13" s="1" t="s">
        <v>36</v>
      </c>
      <c r="C13" s="9">
        <v>0.05</v>
      </c>
      <c r="D13" s="1">
        <f>+$C$13*D10</f>
        <v>16849500</v>
      </c>
      <c r="E13" s="1">
        <f>+$C$13*E10</f>
        <v>17691975</v>
      </c>
      <c r="F13" s="1">
        <f>+$C$13*F10</f>
        <v>18576573.75</v>
      </c>
      <c r="G13" s="1">
        <f>+$C$13*G10</f>
        <v>19505402.4375</v>
      </c>
      <c r="H13" s="1">
        <f>+$C$13*H10</f>
        <v>21455942.681250002</v>
      </c>
      <c r="I13" s="1">
        <f>+$C$13*I10</f>
        <v>23601536.949375004</v>
      </c>
      <c r="J13" s="1">
        <f>+$C$13*J10</f>
        <v>25961690.644312508</v>
      </c>
      <c r="K13" s="1">
        <f>+$C$13*K10</f>
        <v>29855944.240959384</v>
      </c>
      <c r="L13" s="1">
        <f>+$C$13*L10</f>
        <v>34334335.877103291</v>
      </c>
      <c r="M13" s="1">
        <f>+$C$13*M10</f>
        <v>39484486.258668773</v>
      </c>
      <c r="N13" s="1">
        <f>+$C$13*N10</f>
        <v>47381383.51040253</v>
      </c>
      <c r="O13" s="1">
        <f>+$C$13*O10</f>
        <v>56857660.212483026</v>
      </c>
    </row>
    <row r="14" spans="1:15" x14ac:dyDescent="0.3">
      <c r="A14" s="8" t="s">
        <v>17</v>
      </c>
      <c r="B14" s="8"/>
    </row>
    <row r="15" spans="1:15" x14ac:dyDescent="0.3">
      <c r="A15" s="1" t="s">
        <v>34</v>
      </c>
      <c r="C15" s="1">
        <f>10*1400000</f>
        <v>14000000</v>
      </c>
      <c r="D15" s="1">
        <f>+$C$15</f>
        <v>14000000</v>
      </c>
      <c r="E15" s="1">
        <f>+$C$15</f>
        <v>14000000</v>
      </c>
      <c r="F15" s="1">
        <f>+$C$15</f>
        <v>14000000</v>
      </c>
      <c r="G15" s="1">
        <f>+$C$15</f>
        <v>14000000</v>
      </c>
      <c r="H15" s="1">
        <f>+$C$15</f>
        <v>14000000</v>
      </c>
      <c r="I15" s="1">
        <f>+$C$15</f>
        <v>14000000</v>
      </c>
      <c r="J15" s="1">
        <f>+$C$15</f>
        <v>14000000</v>
      </c>
      <c r="K15" s="1">
        <f>+$C$15</f>
        <v>14000000</v>
      </c>
      <c r="L15" s="1">
        <f>+$C$15</f>
        <v>14000000</v>
      </c>
      <c r="M15" s="1">
        <f>+$C$15</f>
        <v>14000000</v>
      </c>
      <c r="N15" s="1">
        <f>+$C$15</f>
        <v>14000000</v>
      </c>
      <c r="O15" s="1">
        <f>+$C$15</f>
        <v>14000000</v>
      </c>
    </row>
    <row r="16" spans="1:15" x14ac:dyDescent="0.3">
      <c r="A16" s="1" t="s">
        <v>37</v>
      </c>
      <c r="C16" s="1">
        <v>13000000</v>
      </c>
      <c r="D16" s="1">
        <v>14000000</v>
      </c>
      <c r="E16" s="1">
        <v>14000000</v>
      </c>
      <c r="F16" s="1">
        <v>14000000</v>
      </c>
      <c r="G16" s="1">
        <v>14000000</v>
      </c>
      <c r="H16" s="1">
        <v>14000000</v>
      </c>
      <c r="I16" s="1">
        <v>14000000</v>
      </c>
      <c r="J16" s="1">
        <v>14000000</v>
      </c>
      <c r="K16" s="1">
        <v>14000000</v>
      </c>
      <c r="L16" s="1">
        <v>14000000</v>
      </c>
      <c r="M16" s="1">
        <v>14000000</v>
      </c>
      <c r="N16" s="1">
        <v>14000000</v>
      </c>
      <c r="O16" s="1">
        <v>14000000</v>
      </c>
    </row>
    <row r="17" spans="1:15" x14ac:dyDescent="0.3">
      <c r="A17" s="1" t="s">
        <v>26</v>
      </c>
      <c r="D17" s="1">
        <f>+D10-D12-D15-D16-D13</f>
        <v>241592000</v>
      </c>
      <c r="E17" s="1">
        <f>+E10-E12-E15-E16-E13</f>
        <v>255071600</v>
      </c>
      <c r="F17" s="1">
        <f>+F10-F12-F15-F16-F13</f>
        <v>269225180</v>
      </c>
      <c r="G17" s="1">
        <f>+G10-G12-G15-G16-G13</f>
        <v>284086439</v>
      </c>
      <c r="H17" s="1">
        <f>+H10-H12-H15-H16-H13</f>
        <v>315295082.90000004</v>
      </c>
      <c r="I17" s="1">
        <f>+I10-I12-I15-I16-I13</f>
        <v>349624591.19000006</v>
      </c>
      <c r="J17" s="1">
        <f>+J10-J12-J15-J16-J13</f>
        <v>387387050.30900013</v>
      </c>
      <c r="K17" s="1">
        <f>+K10-K12-K15-K16-K13</f>
        <v>449695107.85535008</v>
      </c>
      <c r="L17" s="1">
        <f>+L10-L12-L15-L16-L13</f>
        <v>521349374.0336526</v>
      </c>
      <c r="M17" s="1">
        <f>+M10-M12-M15-M16-M13</f>
        <v>603751780.13870025</v>
      </c>
      <c r="N17" s="1">
        <f>+N10-N12-N15-N16-N13</f>
        <v>730102136.16644037</v>
      </c>
      <c r="O17" s="1">
        <f>+O10-O12-O15-O16-O13</f>
        <v>881722563.39972842</v>
      </c>
    </row>
    <row r="18" spans="1:15" x14ac:dyDescent="0.3">
      <c r="A18" s="8" t="s">
        <v>14</v>
      </c>
      <c r="B18" s="8"/>
    </row>
    <row r="19" spans="1:15" x14ac:dyDescent="0.3">
      <c r="A19" s="1" t="s">
        <v>16</v>
      </c>
      <c r="C19" s="9">
        <v>0.35</v>
      </c>
      <c r="D19" s="1">
        <f>+IF(D17&lt;0,0,D17*$C$19)</f>
        <v>84557200</v>
      </c>
      <c r="E19" s="1">
        <f>+IF(E17&lt;0,0,E17*$C$19)</f>
        <v>89275060</v>
      </c>
      <c r="F19" s="1">
        <f>+IF(F17&lt;0,0,F17*$C$19)</f>
        <v>94228813</v>
      </c>
      <c r="G19" s="1">
        <f>+IF(G17&lt;0,0,G17*$C$19)</f>
        <v>99430253.649999991</v>
      </c>
      <c r="H19" s="1">
        <f>+IF(H17&lt;0,0,H17*$C$19)</f>
        <v>110353279.015</v>
      </c>
      <c r="I19" s="1">
        <f>+IF(I17&lt;0,0,I17*$C$19)</f>
        <v>122368606.91650002</v>
      </c>
      <c r="J19" s="1">
        <f>+IF(J17&lt;0,0,J17*$C$19)</f>
        <v>135585467.60815004</v>
      </c>
      <c r="K19" s="1">
        <f>+IF(K17&lt;0,0,K17*$C$19)</f>
        <v>157393287.74937251</v>
      </c>
      <c r="L19" s="1">
        <f>+IF(L17&lt;0,0,L17*$C$19)</f>
        <v>182472280.91177839</v>
      </c>
      <c r="M19" s="1">
        <f>+IF(M17&lt;0,0,M17*$C$19)</f>
        <v>211313123.04854506</v>
      </c>
      <c r="N19" s="1">
        <f>+IF(N17&lt;0,0,N17*$C$19)</f>
        <v>255535747.65825412</v>
      </c>
      <c r="O19" s="1">
        <f>+IF(O17&lt;0,0,O17*$C$19)</f>
        <v>308602897.18990493</v>
      </c>
    </row>
    <row r="20" spans="1:15" x14ac:dyDescent="0.3">
      <c r="A20" s="13" t="s">
        <v>15</v>
      </c>
      <c r="B20" s="13"/>
      <c r="C20" s="13">
        <f>+B21</f>
        <v>-2000000000</v>
      </c>
      <c r="D20" s="13">
        <f>+D17-D19</f>
        <v>157034800</v>
      </c>
      <c r="E20" s="13">
        <f>+E17-E19</f>
        <v>165796540</v>
      </c>
      <c r="F20" s="13">
        <f>+F17-F19</f>
        <v>174996367</v>
      </c>
      <c r="G20" s="13">
        <f>+G17-G19</f>
        <v>184656185.35000002</v>
      </c>
      <c r="H20" s="13">
        <f>+H17-H19</f>
        <v>204941803.88500005</v>
      </c>
      <c r="I20" s="13">
        <f>+I17-I19</f>
        <v>227255984.27350003</v>
      </c>
      <c r="J20" s="13">
        <f>+J17-J19</f>
        <v>251801582.7008501</v>
      </c>
      <c r="K20" s="13">
        <f>+K17-K19</f>
        <v>292301820.10597754</v>
      </c>
      <c r="L20" s="13">
        <f>+L17-L19</f>
        <v>338877093.12187421</v>
      </c>
      <c r="M20" s="13">
        <f>+M17-M19</f>
        <v>392438657.09015518</v>
      </c>
      <c r="N20" s="13">
        <f>+N17-N19</f>
        <v>474566388.50818622</v>
      </c>
      <c r="O20" s="13">
        <f>+O17-O19</f>
        <v>573119666.20982349</v>
      </c>
    </row>
    <row r="21" spans="1:15" x14ac:dyDescent="0.3">
      <c r="A21" s="8" t="s">
        <v>23</v>
      </c>
      <c r="B21" s="1">
        <v>-2000000000</v>
      </c>
    </row>
    <row r="22" spans="1:15" x14ac:dyDescent="0.3">
      <c r="A22" s="8"/>
    </row>
    <row r="23" spans="1:15" x14ac:dyDescent="0.3">
      <c r="A23" s="8"/>
    </row>
    <row r="24" spans="1:15" x14ac:dyDescent="0.3">
      <c r="A24" s="1" t="s">
        <v>22</v>
      </c>
      <c r="B24" s="17">
        <f>+NPV($B$27,D20:O20)</f>
        <v>2365946187.6483526</v>
      </c>
    </row>
    <row r="25" spans="1:15" x14ac:dyDescent="0.3">
      <c r="A25" s="1" t="s">
        <v>21</v>
      </c>
      <c r="B25" s="17">
        <f>+B24+B21</f>
        <v>365946187.64835262</v>
      </c>
    </row>
    <row r="26" spans="1:15" x14ac:dyDescent="0.3">
      <c r="A26" s="1" t="s">
        <v>24</v>
      </c>
      <c r="B26" s="18">
        <f>+IRR(C20:O20)</f>
        <v>7.4721700621047216E-2</v>
      </c>
    </row>
    <row r="27" spans="1:15" x14ac:dyDescent="0.3">
      <c r="A27" s="1" t="s">
        <v>25</v>
      </c>
      <c r="B27" s="18">
        <v>0.05</v>
      </c>
      <c r="C27" s="19"/>
    </row>
    <row r="29" spans="1:15" x14ac:dyDescent="0.3">
      <c r="M29" s="22" t="s">
        <v>23</v>
      </c>
    </row>
    <row r="30" spans="1:15" x14ac:dyDescent="0.3">
      <c r="M30" s="23" t="s">
        <v>38</v>
      </c>
    </row>
    <row r="31" spans="1:15" x14ac:dyDescent="0.3">
      <c r="M31" s="23" t="s">
        <v>32</v>
      </c>
    </row>
    <row r="32" spans="1:15" x14ac:dyDescent="0.3">
      <c r="M32" s="23" t="s">
        <v>33</v>
      </c>
    </row>
    <row r="43" spans="2:2" x14ac:dyDescent="0.3">
      <c r="B43" s="1" t="s">
        <v>57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Proyección ventas</vt:lpstr>
      <vt:lpstr>Evaluación fianciera</vt:lpstr>
      <vt:lpstr>'Evaluación fianciera'!Área_de_impresión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Brian Muñoz Garcia</cp:lastModifiedBy>
  <cp:lastPrinted>2024-09-17T02:57:23Z</cp:lastPrinted>
  <dcterms:created xsi:type="dcterms:W3CDTF">2016-11-23T20:09:11Z</dcterms:created>
  <dcterms:modified xsi:type="dcterms:W3CDTF">2025-02-17T05:00:36Z</dcterms:modified>
</cp:coreProperties>
</file>