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D3334B3F-6703-4750-B414-8807AF66BF2F}" xr6:coauthVersionLast="47" xr6:coauthVersionMax="47" xr10:uidLastSave="{00000000-0000-0000-0000-000000000000}"/>
  <bookViews>
    <workbookView xWindow="-110" yWindow="-110" windowWidth="19420" windowHeight="10300" activeTab="2"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4" l="1"/>
  <c r="D24" i="4"/>
  <c r="G11" i="4"/>
  <c r="C24" i="4"/>
  <c r="C25" i="4" s="1"/>
  <c r="C23" i="4"/>
  <c r="G12" i="4"/>
  <c r="L8" i="4"/>
  <c r="K8" i="4" s="1"/>
  <c r="L7" i="4"/>
  <c r="G6" i="1"/>
  <c r="L3" i="4"/>
  <c r="L4" i="4"/>
  <c r="L5" i="4"/>
  <c r="L6" i="4"/>
  <c r="L9" i="4"/>
  <c r="L2" i="4"/>
  <c r="D16" i="4"/>
  <c r="D17" i="4"/>
  <c r="D18" i="4"/>
  <c r="D19" i="4"/>
  <c r="D20" i="4"/>
  <c r="D21" i="4"/>
  <c r="D22" i="4"/>
  <c r="B5" i="1"/>
  <c r="J7" i="4"/>
  <c r="K7" i="4" s="1"/>
  <c r="C22" i="4"/>
  <c r="C21" i="4"/>
  <c r="C20" i="4"/>
  <c r="C19" i="4"/>
  <c r="C16" i="4"/>
  <c r="C17" i="4"/>
  <c r="G5" i="4"/>
  <c r="J8" i="4"/>
  <c r="J6" i="4"/>
  <c r="K6" i="4" s="1"/>
  <c r="J5" i="4"/>
  <c r="K5" i="4" s="1"/>
  <c r="J4" i="4"/>
  <c r="J3" i="4"/>
  <c r="J2" i="4"/>
  <c r="K2" i="4" s="1"/>
  <c r="C11" i="4"/>
  <c r="C12" i="4"/>
  <c r="C10" i="4"/>
  <c r="C3" i="4"/>
  <c r="C2" i="4"/>
  <c r="C6" i="4"/>
  <c r="C7" i="4"/>
  <c r="C8" i="4"/>
  <c r="C5" i="4"/>
  <c r="C2" i="1"/>
  <c r="F18" i="1"/>
  <c r="B12" i="3"/>
  <c r="B10" i="3" s="1"/>
  <c r="B21" i="1"/>
  <c r="C4" i="1"/>
  <c r="C5" i="1" s="1"/>
  <c r="C33" i="2"/>
  <c r="F5" i="3"/>
  <c r="D10" i="3"/>
  <c r="J5" i="3"/>
  <c r="G5" i="3"/>
  <c r="H5" i="3"/>
  <c r="I5" i="3"/>
  <c r="E5" i="3"/>
  <c r="D5" i="3"/>
  <c r="C5" i="3"/>
  <c r="B5" i="3"/>
  <c r="F3" i="1"/>
  <c r="G3" i="1" s="1"/>
  <c r="F4" i="1"/>
  <c r="G4" i="1" s="1"/>
  <c r="F2" i="1"/>
  <c r="G2" i="1" s="1"/>
  <c r="I2" i="1" s="1"/>
  <c r="E4" i="2"/>
  <c r="E5" i="2"/>
  <c r="B3" i="1"/>
  <c r="E17" i="2"/>
  <c r="E16" i="2"/>
  <c r="E15" i="2"/>
  <c r="E6" i="2"/>
  <c r="E7" i="2"/>
  <c r="E8" i="2"/>
  <c r="E9" i="2"/>
  <c r="E10" i="2"/>
  <c r="E11" i="2"/>
  <c r="E12" i="2"/>
  <c r="E14" i="2"/>
  <c r="E13" i="2"/>
  <c r="E3" i="2"/>
  <c r="D26" i="4" l="1"/>
  <c r="L11" i="4"/>
  <c r="K10" i="4"/>
  <c r="B11" i="3" s="1"/>
  <c r="B9" i="3" s="1"/>
  <c r="B8" i="3" s="1"/>
  <c r="C13" i="4"/>
  <c r="K3" i="4"/>
  <c r="K4" i="4"/>
  <c r="C18" i="4"/>
  <c r="F10" i="1"/>
  <c r="F5" i="1"/>
  <c r="E18" i="2"/>
  <c r="G5" i="1"/>
  <c r="G17" i="4" l="1"/>
  <c r="B9" i="1"/>
  <c r="B10" i="1" s="1"/>
  <c r="B11" i="1" s="1"/>
  <c r="B12" i="1" s="1"/>
  <c r="F7" i="1" s="1"/>
  <c r="I7" i="1" s="1"/>
  <c r="G15" i="4" l="1"/>
  <c r="B20" i="1"/>
  <c r="C20" i="1" s="1"/>
  <c r="D9" i="3"/>
  <c r="D8" i="3" s="1"/>
  <c r="B7" i="3" s="1"/>
  <c r="G16" i="4" l="1"/>
</calcChain>
</file>

<file path=xl/sharedStrings.xml><?xml version="1.0" encoding="utf-8"?>
<sst xmlns="http://schemas.openxmlformats.org/spreadsheetml/2006/main" count="175" uniqueCount="144">
  <si>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</si>
  <si>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</si>
  <si>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</si>
  <si>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</si>
  <si>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</si>
  <si>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</si>
  <si>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</si>
  <si>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</si>
  <si>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</si>
  <si>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</si>
  <si>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</si>
  <si>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</si>
  <si>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</si>
  <si>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</si>
  <si>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</si>
  <si>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</si>
  <si>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</si>
  <si>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</si>
  <si>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</si>
  <si>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</si>
  <si>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</si>
  <si>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</si>
  <si>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</si>
  <si>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</si>
  <si>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</si>
  <si>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</si>
  <si>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</si>
  <si>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</si>
  <si>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</si>
  <si>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</si>
  <si>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</si>
  <si>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</si>
  <si>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</si>
  <si>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</si>
  <si>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</si>
  <si>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</si>
  <si>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</si>
  <si>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</si>
  <si>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</si>
  <si>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</si>
  <si>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</si>
  <si>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</si>
  <si>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</si>
  <si>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</si>
  <si>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</si>
  <si>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</si>
  <si>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</si>
  <si>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</si>
  <si>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</si>
  <si>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</si>
  <si>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</si>
  <si>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</si>
  <si>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</si>
  <si>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</si>
  <si>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</si>
  <si>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</si>
  <si>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</si>
  <si>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</si>
  <si>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</si>
  <si>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</si>
  <si>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</si>
  <si>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</si>
  <si>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</si>
  <si>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</si>
  <si>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</si>
  <si>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</si>
  <si>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</si>
  <si>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</si>
  <si>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</si>
  <si>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</si>
  <si>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</si>
  <si>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</si>
  <si>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</si>
  <si>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</si>
  <si>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</si>
  <si>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</si>
  <si>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</si>
  <si>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</si>
  <si>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</si>
  <si>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</si>
  <si>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</si>
  <si>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</si>
  <si>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</si>
  <si>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</si>
  <si>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</si>
  <si>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</si>
  <si>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</si>
  <si>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</si>
  <si>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</si>
  <si>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</si>
  <si>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</si>
  <si>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</si>
  <si>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</si>
  <si>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</si>
  <si>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</si>
  <si>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</si>
  <si>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</si>
  <si>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</si>
  <si>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</si>
  <si>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</si>
  <si>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Se asume un desfase del 10% en los tiempos y producción real, los calculos previos ya tienen incorporado el 3% en defectuosos</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</si>
  <si>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</si>
  <si>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</si>
  <si>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</si>
  <si>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</si>
  <si>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</si>
  <si>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</si>
  <si>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</si>
  <si>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</si>
  <si>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</si>
  <si>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</si>
  <si>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</si>
  <si>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</si>
  <si>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</si>
  <si>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</si>
  <si>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</si>
  <si>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</si>
  <si>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</si>
  <si>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</si>
  <si>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</si>
  <si>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</si>
  <si>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</si>
  <si>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</si>
  <si>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</si>
  <si>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</si>
  <si>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</si>
  <si>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</si>
  <si>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</si>
  <si>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</si>
  <si>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</si>
  <si>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</si>
  <si>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</si>
  <si>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</si>
  <si>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</si>
  <si>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</si>
  <si>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</si>
  <si>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Por día (s)</t>
  </si>
  <si>
    <t>Día (h)</t>
  </si>
  <si>
    <t>Total (s)</t>
  </si>
  <si>
    <t>Juguetes por caja</t>
  </si>
  <si>
    <t>Cajas por pallet</t>
  </si>
  <si>
    <t>Unidades por dia</t>
  </si>
  <si>
    <t>Total cajas (día)</t>
  </si>
  <si>
    <t>Total pallets (día)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</si>
</sst>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5">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10" fontId="0" fillId="0" borderId="0" xfId="1" applyNumberFormat="1" applyFont="1"/>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0" fillId="0" borderId="0" xfId="0" quotePrefix="1" applyAlignment="1">
      <alignment horizontal="center"/>
    </xf>
    <xf numFmtId="2" fontId="0" fillId="0" borderId="0" xfId="0" applyNumberFormat="1"/>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2" fontId="0" fillId="0" borderId="0" xfId="0" applyNumberFormat="1" applyAlignment="1">
      <alignment horizontal="right"/>
    </xf>
    <xf numFmtId="2" fontId="0" fillId="0" borderId="0" xfId="0" quotePrefix="1" applyNumberFormat="1" applyAlignment="1">
      <alignment horizontal="right"/>
    </xf>
    <xf numFmtId="0" fontId="0" fillId="0" borderId="0" xfId="0" applyAlignment="1">
      <alignment horizontal="right"/>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10</xdr:col>
      <xdr:colOff>322024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114300</xdr:colOff>
      <xdr:row>19</xdr:row>
      <xdr:rowOff>30857</xdr:rowOff>
    </xdr:from>
    <xdr:to>
      <xdr:col>7</xdr:col>
      <xdr:colOff>553849</xdr:colOff>
      <xdr:row>23</xdr:row>
      <xdr:rowOff>25661</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686300" y="3529707"/>
          <a:ext cx="3925699" cy="731404"/>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9</xdr:col>
      <xdr:colOff>469900</xdr:colOff>
      <xdr:row>7</xdr:row>
      <xdr:rowOff>13852</xdr:rowOff>
    </xdr:from>
    <xdr:to>
      <xdr:col>13</xdr:col>
      <xdr:colOff>753208</xdr:colOff>
      <xdr:row>14</xdr:row>
      <xdr:rowOff>57442</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8267700" y="1302902"/>
          <a:ext cx="3337658" cy="1332640"/>
        </a:xfrm>
        <a:prstGeom prst="rect">
          <a:avLst/>
        </a:prstGeom>
      </xdr:spPr>
    </xdr:pic>
    <xdr:clientData/>
  </xdr:twoCellAnchor>
  <xdr:twoCellAnchor editAs="oneCell">
    <xdr:from>
      <xdr:col>6</xdr:col>
      <xdr:colOff>323850</xdr:colOff>
      <xdr:row>11</xdr:row>
      <xdr:rowOff>33901</xdr:rowOff>
    </xdr:from>
    <xdr:to>
      <xdr:col>9</xdr:col>
      <xdr:colOff>404277</xdr:colOff>
      <xdr:row>15</xdr:row>
      <xdr:rowOff>54269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5492750" y="2059551"/>
          <a:ext cx="2709327" cy="756968"/>
        </a:xfrm>
        <a:prstGeom prst="rect">
          <a:avLst/>
        </a:prstGeom>
      </xdr:spPr>
    </xdr:pic>
    <xdr:clientData/>
  </xdr:twoCellAnchor>
  <xdr:twoCellAnchor editAs="oneCell">
    <xdr:from>
      <xdr:col>3</xdr:col>
      <xdr:colOff>495300</xdr:colOff>
      <xdr:row>10</xdr:row>
      <xdr:rowOff>22675</xdr:rowOff>
    </xdr:from>
    <xdr:to>
      <xdr:col>6</xdr:col>
      <xdr:colOff>120650</xdr:colOff>
      <xdr:row>16</xdr:row>
      <xdr:rowOff>123965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2914650" y="186417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2" totalsRowShown="0" headerRowDxfId="14" dataDxfId="13">
  <autoFilter ref="A20:D32"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3"/>
  <sheetViews>
    <sheetView workbookViewId="0">
      <selection activeCell="C33" sqref="C33"/>
    </sheetView>
  </sheetViews>
  <sheetFormatPr baseColWidth="10"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20.7265625" style="1" bestFit="1" customWidth="1"/>
    <col min="7" max="7" width="26.6328125" style="1" bestFit="1" customWidth="1"/>
    <col min="8" max="8" width="13.36328125" style="1" customWidth="1"/>
    <col min="9" max="9" width="24.81640625" style="1" bestFit="1" customWidth="1"/>
    <col min="10" max="16384" width="10.90625" style="1"/>
  </cols>
  <sheetData>
    <row r="1" spans="1:8" x14ac:dyDescent="0.35">
      <c r="A1" s="32" t="s">
        <v>15</v>
      </c>
      <c r="B1" s="32"/>
      <c r="C1" s="32"/>
      <c r="D1" s="32"/>
      <c r="E1" s="32"/>
      <c r="G1" s="32"/>
      <c r="H1" s="32"/>
    </row>
    <row r="2" spans="1:8" ht="14.5" customHeight="1" x14ac:dyDescent="0.35">
      <c r="A2" s="1" t="s">
        <v>1</v>
      </c>
      <c r="B2" s="1" t="s">
        <v>0</v>
      </c>
      <c r="C2" s="1" t="s">
        <v>2</v>
      </c>
      <c r="D2" s="1" t="s">
        <v>3</v>
      </c>
      <c r="E2" s="1" t="s">
        <v>13</v>
      </c>
      <c r="G2" s="33" t="s">
        <v>91</v>
      </c>
      <c r="H2" s="33"/>
    </row>
    <row r="3" spans="1:8" x14ac:dyDescent="0.35">
      <c r="A3" s="1">
        <v>1.1000000000000001</v>
      </c>
      <c r="B3" s="1" t="s">
        <v>51</v>
      </c>
      <c r="C3" s="1">
        <v>20</v>
      </c>
      <c r="D3" s="1">
        <v>20</v>
      </c>
      <c r="E3" s="1">
        <f>C3+D3</f>
        <v>40</v>
      </c>
      <c r="G3" s="33"/>
      <c r="H3" s="33"/>
    </row>
    <row r="4" spans="1:8" x14ac:dyDescent="0.35">
      <c r="A4" s="1">
        <v>1.2</v>
      </c>
      <c r="B4" s="1" t="s">
        <v>50</v>
      </c>
      <c r="C4" s="1">
        <v>20</v>
      </c>
      <c r="D4" s="1">
        <v>20</v>
      </c>
      <c r="E4" s="1">
        <f t="shared" ref="E4:E5" si="0">C4+D4</f>
        <v>40</v>
      </c>
      <c r="G4" s="33"/>
      <c r="H4" s="33"/>
    </row>
    <row r="5" spans="1:8" x14ac:dyDescent="0.35">
      <c r="A5" s="1">
        <v>1.3</v>
      </c>
      <c r="B5" s="1" t="s">
        <v>52</v>
      </c>
      <c r="C5" s="1">
        <v>20</v>
      </c>
      <c r="D5" s="1">
        <v>20</v>
      </c>
      <c r="E5" s="1">
        <f t="shared" si="0"/>
        <v>40</v>
      </c>
      <c r="G5" s="33"/>
      <c r="H5" s="33"/>
    </row>
    <row r="6" spans="1:8" x14ac:dyDescent="0.35">
      <c r="A6" s="1">
        <v>2</v>
      </c>
      <c r="B6" s="1" t="s">
        <v>4</v>
      </c>
      <c r="C6" s="1">
        <v>5</v>
      </c>
      <c r="D6" s="1">
        <v>1</v>
      </c>
      <c r="E6" s="1">
        <f t="shared" ref="E6:E17" si="1">C6+D6</f>
        <v>6</v>
      </c>
      <c r="G6" s="33"/>
      <c r="H6" s="33"/>
    </row>
    <row r="7" spans="1:8" x14ac:dyDescent="0.35">
      <c r="A7" s="1">
        <v>3</v>
      </c>
      <c r="B7" s="1" t="s">
        <v>5</v>
      </c>
      <c r="C7" s="1">
        <v>3</v>
      </c>
      <c r="D7" s="1">
        <v>1</v>
      </c>
      <c r="E7" s="1">
        <f t="shared" si="1"/>
        <v>4</v>
      </c>
      <c r="G7" s="33"/>
      <c r="H7" s="33"/>
    </row>
    <row r="8" spans="1:8" x14ac:dyDescent="0.35">
      <c r="A8" s="1">
        <v>3.1</v>
      </c>
      <c r="B8" s="1" t="s">
        <v>6</v>
      </c>
      <c r="C8" s="1">
        <v>10</v>
      </c>
      <c r="D8" s="1">
        <v>0</v>
      </c>
      <c r="E8" s="1">
        <f t="shared" si="1"/>
        <v>10</v>
      </c>
      <c r="G8" s="33"/>
      <c r="H8" s="33"/>
    </row>
    <row r="9" spans="1:8" x14ac:dyDescent="0.35">
      <c r="A9" s="1">
        <v>3.2</v>
      </c>
      <c r="B9" s="1" t="s">
        <v>7</v>
      </c>
      <c r="C9" s="1">
        <v>2.5</v>
      </c>
      <c r="D9" s="1">
        <v>0</v>
      </c>
      <c r="E9" s="1">
        <f t="shared" si="1"/>
        <v>2.5</v>
      </c>
      <c r="G9" s="13"/>
    </row>
    <row r="10" spans="1:8" x14ac:dyDescent="0.35">
      <c r="A10" s="1">
        <v>4.0999999999999996</v>
      </c>
      <c r="B10" s="1" t="s">
        <v>8</v>
      </c>
      <c r="C10" s="1">
        <v>2</v>
      </c>
      <c r="D10" s="1">
        <v>1</v>
      </c>
      <c r="E10" s="1">
        <f t="shared" si="1"/>
        <v>3</v>
      </c>
      <c r="G10" s="12"/>
    </row>
    <row r="11" spans="1:8" x14ac:dyDescent="0.35">
      <c r="A11" s="1">
        <v>4.2</v>
      </c>
      <c r="B11" s="1" t="s">
        <v>9</v>
      </c>
      <c r="C11" s="1">
        <v>2.5</v>
      </c>
      <c r="D11" s="1">
        <v>1</v>
      </c>
      <c r="E11" s="1">
        <f t="shared" si="1"/>
        <v>3.5</v>
      </c>
      <c r="G11" s="12"/>
    </row>
    <row r="12" spans="1:8" x14ac:dyDescent="0.35">
      <c r="A12" s="1">
        <v>4.3</v>
      </c>
      <c r="B12" s="1" t="s">
        <v>10</v>
      </c>
      <c r="C12" s="1">
        <v>2</v>
      </c>
      <c r="D12" s="1">
        <v>1</v>
      </c>
      <c r="E12" s="1">
        <f t="shared" si="1"/>
        <v>3</v>
      </c>
    </row>
    <row r="13" spans="1:8" x14ac:dyDescent="0.35">
      <c r="A13" s="1">
        <v>6</v>
      </c>
      <c r="B13" s="1" t="s">
        <v>93</v>
      </c>
      <c r="C13" s="1">
        <v>6</v>
      </c>
      <c r="D13" s="1">
        <v>1</v>
      </c>
      <c r="E13" s="1">
        <f>C13+D13</f>
        <v>7</v>
      </c>
    </row>
    <row r="14" spans="1:8" ht="15.5" customHeight="1" x14ac:dyDescent="0.35">
      <c r="A14" s="1">
        <v>5</v>
      </c>
      <c r="B14" s="1" t="s">
        <v>11</v>
      </c>
      <c r="C14" s="1">
        <v>5</v>
      </c>
      <c r="D14" s="1">
        <v>1</v>
      </c>
      <c r="E14" s="1">
        <f>C14+D14</f>
        <v>6</v>
      </c>
    </row>
    <row r="15" spans="1:8" x14ac:dyDescent="0.35">
      <c r="A15" s="1">
        <v>7</v>
      </c>
      <c r="B15" s="1" t="s">
        <v>12</v>
      </c>
      <c r="C15" s="1">
        <v>4</v>
      </c>
      <c r="D15" s="1">
        <v>2</v>
      </c>
      <c r="E15" s="1">
        <f t="shared" si="1"/>
        <v>6</v>
      </c>
    </row>
    <row r="16" spans="1:8" x14ac:dyDescent="0.35">
      <c r="A16" s="1">
        <v>8</v>
      </c>
      <c r="B16" s="1" t="s">
        <v>14</v>
      </c>
      <c r="C16" s="1">
        <v>5.03</v>
      </c>
      <c r="D16" s="1">
        <v>5.03</v>
      </c>
      <c r="E16" s="1">
        <f t="shared" si="1"/>
        <v>10.06</v>
      </c>
    </row>
    <row r="17" spans="1:5" x14ac:dyDescent="0.35">
      <c r="A17" s="1">
        <v>9</v>
      </c>
      <c r="B17" s="1" t="s">
        <v>18</v>
      </c>
      <c r="C17" s="1">
        <v>30</v>
      </c>
      <c r="D17" s="1">
        <v>10</v>
      </c>
      <c r="E17" s="1">
        <f t="shared" si="1"/>
        <v>40</v>
      </c>
    </row>
    <row r="18" spans="1:5" x14ac:dyDescent="0.35">
      <c r="D18" s="1" t="s">
        <v>13</v>
      </c>
      <c r="E18" s="1">
        <f>SUM(Tabla1[Total])</f>
        <v>221.06</v>
      </c>
    </row>
    <row r="19" spans="1:5" x14ac:dyDescent="0.35">
      <c r="A19" s="32" t="s">
        <v>16</v>
      </c>
      <c r="B19" s="32"/>
      <c r="C19" s="32"/>
      <c r="D19" s="32"/>
    </row>
    <row r="20" spans="1:5" x14ac:dyDescent="0.35">
      <c r="A20" s="1" t="s">
        <v>1</v>
      </c>
      <c r="B20" s="1" t="s">
        <v>39</v>
      </c>
      <c r="C20" s="1" t="s">
        <v>17</v>
      </c>
      <c r="D20" s="1" t="s">
        <v>27</v>
      </c>
    </row>
    <row r="21" spans="1:5" x14ac:dyDescent="0.35">
      <c r="A21" s="1">
        <v>1.1000000000000001</v>
      </c>
      <c r="B21" s="3" t="s">
        <v>19</v>
      </c>
      <c r="C21" s="1">
        <v>10</v>
      </c>
      <c r="D21" s="1" t="s">
        <v>28</v>
      </c>
    </row>
    <row r="22" spans="1:5" x14ac:dyDescent="0.35">
      <c r="A22" s="1">
        <v>1.2</v>
      </c>
      <c r="B22" s="1" t="s">
        <v>19</v>
      </c>
      <c r="C22" s="1">
        <v>20</v>
      </c>
      <c r="D22" s="1" t="s">
        <v>29</v>
      </c>
    </row>
    <row r="23" spans="1:5" x14ac:dyDescent="0.35">
      <c r="A23" s="4">
        <v>2.1</v>
      </c>
      <c r="B23" s="4" t="s">
        <v>20</v>
      </c>
      <c r="C23" s="4">
        <v>20</v>
      </c>
      <c r="D23" s="4" t="s">
        <v>30</v>
      </c>
    </row>
    <row r="24" spans="1:5" x14ac:dyDescent="0.35">
      <c r="A24" s="4">
        <v>2.2000000000000002</v>
      </c>
      <c r="B24" s="4" t="s">
        <v>20</v>
      </c>
      <c r="C24" s="4">
        <v>10</v>
      </c>
      <c r="D24" s="4" t="s">
        <v>31</v>
      </c>
    </row>
    <row r="25" spans="1:5" x14ac:dyDescent="0.35">
      <c r="A25" s="1">
        <v>3.1</v>
      </c>
      <c r="B25" s="1" t="s">
        <v>21</v>
      </c>
      <c r="C25" s="1">
        <v>16</v>
      </c>
      <c r="D25" s="1" t="s">
        <v>33</v>
      </c>
    </row>
    <row r="26" spans="1:5" x14ac:dyDescent="0.35">
      <c r="A26" s="1">
        <v>3.2</v>
      </c>
      <c r="B26" s="1" t="s">
        <v>21</v>
      </c>
      <c r="C26" s="1">
        <v>16</v>
      </c>
      <c r="D26" s="1" t="s">
        <v>32</v>
      </c>
    </row>
    <row r="27" spans="1:5" x14ac:dyDescent="0.35">
      <c r="A27" s="4">
        <v>4</v>
      </c>
      <c r="B27" s="4" t="s">
        <v>22</v>
      </c>
      <c r="C27" s="4">
        <v>2</v>
      </c>
      <c r="D27" s="4" t="s">
        <v>34</v>
      </c>
    </row>
    <row r="28" spans="1:5" x14ac:dyDescent="0.35">
      <c r="A28" s="4">
        <v>5</v>
      </c>
      <c r="B28" s="4" t="s">
        <v>23</v>
      </c>
      <c r="C28" s="4">
        <v>15</v>
      </c>
      <c r="D28" s="4" t="s">
        <v>94</v>
      </c>
    </row>
    <row r="29" spans="1:5" x14ac:dyDescent="0.35">
      <c r="A29" s="1">
        <v>6</v>
      </c>
      <c r="B29" s="1" t="s">
        <v>24</v>
      </c>
      <c r="C29" s="1">
        <v>10</v>
      </c>
      <c r="D29" s="1" t="s">
        <v>95</v>
      </c>
    </row>
    <row r="30" spans="1:5" x14ac:dyDescent="0.35">
      <c r="A30" s="1">
        <v>7</v>
      </c>
      <c r="B30" s="1" t="s">
        <v>25</v>
      </c>
      <c r="C30" s="1">
        <v>4</v>
      </c>
      <c r="D30" s="1" t="s">
        <v>96</v>
      </c>
    </row>
    <row r="31" spans="1:5" x14ac:dyDescent="0.35">
      <c r="A31" s="1">
        <v>8</v>
      </c>
      <c r="B31" s="1" t="s">
        <v>26</v>
      </c>
      <c r="C31" s="1">
        <v>2</v>
      </c>
      <c r="D31" s="1" t="s">
        <v>121</v>
      </c>
    </row>
    <row r="32" spans="1:5" x14ac:dyDescent="0.35">
      <c r="A32" s="4">
        <v>9</v>
      </c>
      <c r="B32" s="4" t="s">
        <v>26</v>
      </c>
      <c r="C32" s="4">
        <v>14</v>
      </c>
      <c r="D32" s="4" t="s">
        <v>40</v>
      </c>
    </row>
    <row r="33" spans="2:3" x14ac:dyDescent="0.35">
      <c r="B33" s="1" t="s">
        <v>13</v>
      </c>
      <c r="C33" s="1">
        <f>SUM(Tabla13[Tiempo])</f>
        <v>139</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L26"/>
  <sheetViews>
    <sheetView workbookViewId="0">
      <selection activeCell="G17" sqref="G17"/>
    </sheetView>
  </sheetViews>
  <sheetFormatPr baseColWidth="10" defaultRowHeight="14.5" x14ac:dyDescent="0.35"/>
  <cols>
    <col min="1" max="1" width="11.08984375" style="1" bestFit="1" customWidth="1"/>
    <col min="2" max="2" width="12.54296875" style="1" bestFit="1" customWidth="1"/>
    <col min="3" max="3" width="8.90625" style="1" bestFit="1" customWidth="1"/>
    <col min="4" max="4" width="11.81640625" style="1" bestFit="1" customWidth="1"/>
    <col min="5" max="5" width="4.08984375" style="1" customWidth="1"/>
    <col min="6" max="6" width="17.1796875" style="22" bestFit="1" customWidth="1"/>
    <col min="7" max="7" width="17" style="22" bestFit="1" customWidth="1"/>
    <col min="8" max="8" width="6.81640625" customWidth="1"/>
    <col min="9" max="9" width="20.7265625" bestFit="1" customWidth="1"/>
    <col min="10" max="10" width="15.36328125" style="22" bestFit="1" customWidth="1"/>
    <col min="11" max="11" width="22.7265625" style="22" bestFit="1" customWidth="1"/>
    <col min="12" max="12" width="10.90625" style="37"/>
    <col min="14" max="14" width="7.90625" customWidth="1"/>
    <col min="15" max="15" width="17.1796875" bestFit="1" customWidth="1"/>
  </cols>
  <sheetData>
    <row r="1" spans="1:12" x14ac:dyDescent="0.35">
      <c r="A1" s="1" t="s">
        <v>101</v>
      </c>
      <c r="B1" s="1" t="s">
        <v>107</v>
      </c>
      <c r="C1" s="1" t="s">
        <v>115</v>
      </c>
      <c r="F1" s="1" t="s">
        <v>103</v>
      </c>
      <c r="G1" s="1" t="s">
        <v>102</v>
      </c>
      <c r="I1" s="1" t="s">
        <v>16</v>
      </c>
      <c r="J1" s="1" t="s">
        <v>130</v>
      </c>
      <c r="K1" s="1" t="s">
        <v>129</v>
      </c>
      <c r="L1" s="1" t="s">
        <v>136</v>
      </c>
    </row>
    <row r="2" spans="1:12" x14ac:dyDescent="0.35">
      <c r="A2" s="1" t="s">
        <v>108</v>
      </c>
      <c r="B2" s="1">
        <v>4</v>
      </c>
      <c r="C2" s="22">
        <f>$G$2*B2</f>
        <v>32</v>
      </c>
      <c r="F2" s="1" t="s">
        <v>104</v>
      </c>
      <c r="G2" s="1">
        <v>8</v>
      </c>
      <c r="I2" t="s">
        <v>123</v>
      </c>
      <c r="J2" s="1">
        <f>AVERAGE(Tiempos!C21:C22)</f>
        <v>15</v>
      </c>
      <c r="K2" s="22">
        <f>J2*$G$7</f>
        <v>45</v>
      </c>
      <c r="L2" s="35">
        <f>K2*'P. Rendimiento'!$B$1/3600</f>
        <v>1.1875</v>
      </c>
    </row>
    <row r="3" spans="1:12" x14ac:dyDescent="0.35">
      <c r="A3" s="1" t="s">
        <v>109</v>
      </c>
      <c r="B3" s="1">
        <v>1</v>
      </c>
      <c r="C3" s="22">
        <f>$G$2*B3</f>
        <v>8</v>
      </c>
      <c r="F3" s="1" t="s">
        <v>105</v>
      </c>
      <c r="G3" s="1">
        <v>7</v>
      </c>
      <c r="I3" t="s">
        <v>124</v>
      </c>
      <c r="J3" s="1">
        <f>AVERAGE(Tiempos!C23:C24)</f>
        <v>15</v>
      </c>
      <c r="K3" s="22">
        <f>J3*$C$13/40</f>
        <v>36.75</v>
      </c>
      <c r="L3" s="35">
        <f>K3*'P. Rendimiento'!$B$1/3600</f>
        <v>0.96979166666666672</v>
      </c>
    </row>
    <row r="4" spans="1:12" x14ac:dyDescent="0.35">
      <c r="A4" s="1" t="s">
        <v>110</v>
      </c>
      <c r="B4" s="1" t="s">
        <v>107</v>
      </c>
      <c r="C4" s="1" t="s">
        <v>115</v>
      </c>
      <c r="F4" s="1" t="s">
        <v>106</v>
      </c>
      <c r="G4" s="1">
        <v>5</v>
      </c>
      <c r="I4" s="1" t="s">
        <v>125</v>
      </c>
      <c r="J4" s="1">
        <f>AVERAGE(Tiempos!C25:C27)</f>
        <v>11.333333333333334</v>
      </c>
      <c r="K4" s="22">
        <f>J4*$C$13/40</f>
        <v>27.766666666666669</v>
      </c>
      <c r="L4" s="35">
        <f>K4*'P. Rendimiento'!$B$1/3600</f>
        <v>0.73273148148148148</v>
      </c>
    </row>
    <row r="5" spans="1:12" x14ac:dyDescent="0.35">
      <c r="A5" s="1" t="s">
        <v>111</v>
      </c>
      <c r="B5" s="1">
        <v>1</v>
      </c>
      <c r="C5" s="22">
        <f>$G$3*B5</f>
        <v>7</v>
      </c>
      <c r="F5" s="1" t="s">
        <v>13</v>
      </c>
      <c r="G5" s="22">
        <f>SUM(G2:G4)</f>
        <v>20</v>
      </c>
      <c r="I5" s="1" t="s">
        <v>126</v>
      </c>
      <c r="J5" s="1">
        <f>Tiempos!C28</f>
        <v>15</v>
      </c>
      <c r="K5" s="22">
        <f>J5*$G$5/$G$5</f>
        <v>15</v>
      </c>
      <c r="L5" s="35">
        <f>K5*'P. Rendimiento'!$B$1/3600</f>
        <v>0.39583333333333331</v>
      </c>
    </row>
    <row r="6" spans="1:12" ht="14.5" customHeight="1" x14ac:dyDescent="0.35">
      <c r="A6" s="1" t="s">
        <v>112</v>
      </c>
      <c r="B6" s="1">
        <v>1</v>
      </c>
      <c r="C6" s="22">
        <f>$G$3*B6</f>
        <v>7</v>
      </c>
      <c r="I6" s="1" t="s">
        <v>127</v>
      </c>
      <c r="J6" s="1">
        <f>Tiempos!C29</f>
        <v>10</v>
      </c>
      <c r="K6" s="22">
        <f>J6*$G$5/$G$5</f>
        <v>10</v>
      </c>
      <c r="L6" s="35">
        <f>K6*'P. Rendimiento'!$B$1/3600</f>
        <v>0.2638888888888889</v>
      </c>
    </row>
    <row r="7" spans="1:12" x14ac:dyDescent="0.35">
      <c r="A7" s="1" t="s">
        <v>113</v>
      </c>
      <c r="B7" s="1">
        <v>1</v>
      </c>
      <c r="C7" s="22">
        <f>$G$3*B7</f>
        <v>7</v>
      </c>
      <c r="F7" s="1" t="s">
        <v>120</v>
      </c>
      <c r="G7" s="1">
        <v>3</v>
      </c>
      <c r="I7" s="1" t="s">
        <v>96</v>
      </c>
      <c r="J7" s="1">
        <f>Tiempos!C30</f>
        <v>4</v>
      </c>
      <c r="K7" s="22">
        <f>J7*$G$5</f>
        <v>80</v>
      </c>
      <c r="L7" s="35">
        <f>K7*'P. Rendimiento'!$B$1/3600</f>
        <v>2.1111111111111112</v>
      </c>
    </row>
    <row r="8" spans="1:12" x14ac:dyDescent="0.35">
      <c r="A8" s="1" t="s">
        <v>114</v>
      </c>
      <c r="B8" s="1">
        <v>1</v>
      </c>
      <c r="C8" s="22">
        <f>$G$3*B8</f>
        <v>7</v>
      </c>
      <c r="I8" s="1" t="s">
        <v>128</v>
      </c>
      <c r="J8" s="1">
        <f>Tiempos!C32</f>
        <v>14</v>
      </c>
      <c r="K8" s="22">
        <f>L8*3600/'P. Rendimiento'!B1</f>
        <v>11.2</v>
      </c>
      <c r="L8" s="36">
        <f>J8*G11/3600</f>
        <v>0.29555555555555557</v>
      </c>
    </row>
    <row r="9" spans="1:12" x14ac:dyDescent="0.35">
      <c r="A9" s="1" t="s">
        <v>116</v>
      </c>
      <c r="B9" s="1" t="s">
        <v>107</v>
      </c>
      <c r="C9" s="1" t="s">
        <v>115</v>
      </c>
      <c r="F9" s="1" t="s">
        <v>139</v>
      </c>
      <c r="G9" s="22">
        <v>25</v>
      </c>
      <c r="I9" s="1" t="s">
        <v>131</v>
      </c>
      <c r="J9" s="22">
        <v>0</v>
      </c>
      <c r="K9" s="27">
        <v>0</v>
      </c>
      <c r="L9" s="35">
        <f>K9*'P. Rendimiento'!$B$1/3600</f>
        <v>0</v>
      </c>
    </row>
    <row r="10" spans="1:12" x14ac:dyDescent="0.35">
      <c r="A10" s="1" t="s">
        <v>117</v>
      </c>
      <c r="B10" s="1">
        <v>4</v>
      </c>
      <c r="C10" s="1">
        <f>B10*$G$4</f>
        <v>20</v>
      </c>
      <c r="F10" s="22" t="s">
        <v>140</v>
      </c>
      <c r="G10" s="22">
        <v>20</v>
      </c>
      <c r="J10" s="1" t="s">
        <v>138</v>
      </c>
      <c r="K10" s="22">
        <f>SUM(K2:K9)</f>
        <v>225.71666666666664</v>
      </c>
    </row>
    <row r="11" spans="1:12" x14ac:dyDescent="0.35">
      <c r="A11" s="1" t="s">
        <v>118</v>
      </c>
      <c r="B11" s="1">
        <v>1</v>
      </c>
      <c r="C11" s="1">
        <f>B11*$G$4</f>
        <v>5</v>
      </c>
      <c r="F11" s="22" t="s">
        <v>142</v>
      </c>
      <c r="G11" s="22">
        <f>'P. Rendimiento'!$F$5/VSM!G9</f>
        <v>76</v>
      </c>
      <c r="K11" s="22" t="s">
        <v>133</v>
      </c>
      <c r="L11" s="37">
        <f>SUM(L2:L9)</f>
        <v>5.9564120370370368</v>
      </c>
    </row>
    <row r="12" spans="1:12" x14ac:dyDescent="0.35">
      <c r="A12" s="1" t="s">
        <v>119</v>
      </c>
      <c r="B12" s="1">
        <v>1</v>
      </c>
      <c r="C12" s="1">
        <f>B12*$G$4</f>
        <v>5</v>
      </c>
      <c r="F12" s="22" t="s">
        <v>143</v>
      </c>
      <c r="G12" s="22">
        <f>G11/G10</f>
        <v>3.8</v>
      </c>
    </row>
    <row r="13" spans="1:12" x14ac:dyDescent="0.35">
      <c r="B13" s="1" t="s">
        <v>13</v>
      </c>
      <c r="C13" s="1">
        <f>SUM(C2:C3)+SUM(C5:C8)+SUM(C10:C12)</f>
        <v>98</v>
      </c>
    </row>
    <row r="15" spans="1:12" x14ac:dyDescent="0.35">
      <c r="A15" s="23" t="s">
        <v>1</v>
      </c>
      <c r="B15" s="1" t="s">
        <v>122</v>
      </c>
      <c r="C15" s="1" t="s">
        <v>134</v>
      </c>
      <c r="D15" s="1" t="s">
        <v>137</v>
      </c>
      <c r="F15" s="22" t="s">
        <v>88</v>
      </c>
      <c r="G15" s="11">
        <f>C25/G17</f>
        <v>0.81325635794328555</v>
      </c>
      <c r="I15" s="22"/>
      <c r="J15"/>
      <c r="K15"/>
    </row>
    <row r="16" spans="1:12" x14ac:dyDescent="0.35">
      <c r="A16" s="24">
        <v>1</v>
      </c>
      <c r="B16" s="1" t="s">
        <v>72</v>
      </c>
      <c r="C16" s="1">
        <f>Tiempos!E5*VSM!$G$7</f>
        <v>120</v>
      </c>
      <c r="D16" s="5">
        <f>Tabla4[[#This Row],[Tp (s)]]*'P. Rendimiento'!$B$1/3600</f>
        <v>3.1666666666666665</v>
      </c>
      <c r="F16" s="22" t="s">
        <v>89</v>
      </c>
      <c r="G16" s="11">
        <f>K10/G17</f>
        <v>0.18674364205671443</v>
      </c>
      <c r="I16" s="22"/>
      <c r="J16"/>
      <c r="K16"/>
    </row>
    <row r="17" spans="1:11" x14ac:dyDescent="0.35">
      <c r="A17" s="24">
        <v>2</v>
      </c>
      <c r="B17" s="1" t="s">
        <v>85</v>
      </c>
      <c r="C17" s="1">
        <f>Tiempos!E6*VSM!$G$7</f>
        <v>18</v>
      </c>
      <c r="D17" s="5">
        <f>Tabla4[[#This Row],[Tp (s)]]*'P. Rendimiento'!$B$1/3600</f>
        <v>0.47499999999999998</v>
      </c>
      <c r="F17" s="22" t="s">
        <v>132</v>
      </c>
      <c r="G17" s="28">
        <f>C25+K10</f>
        <v>1208.6980000000001</v>
      </c>
      <c r="I17" s="22"/>
      <c r="J17"/>
      <c r="K17"/>
    </row>
    <row r="18" spans="1:11" x14ac:dyDescent="0.35">
      <c r="A18" s="24">
        <v>3</v>
      </c>
      <c r="B18" s="1" t="s">
        <v>83</v>
      </c>
      <c r="C18" s="1">
        <f>Tiempos!E7*$C$13</f>
        <v>392</v>
      </c>
      <c r="D18" s="5">
        <f>Tabla4[[#This Row],[Tp (s)]]*'P. Rendimiento'!$B$1/3600</f>
        <v>10.344444444444445</v>
      </c>
      <c r="I18" s="22"/>
      <c r="J18"/>
      <c r="K18"/>
    </row>
    <row r="19" spans="1:11" ht="14.5" customHeight="1" x14ac:dyDescent="0.35">
      <c r="A19" s="24">
        <v>4</v>
      </c>
      <c r="B19" s="1" t="s">
        <v>86</v>
      </c>
      <c r="C19" s="1">
        <f>AVERAGE(Tiempos!E10:E12)*G5</f>
        <v>63.333333333333329</v>
      </c>
      <c r="D19" s="5">
        <f>Tabla4[[#This Row],[Tp (s)]]*'P. Rendimiento'!$B$1/3600</f>
        <v>1.6712962962962961</v>
      </c>
      <c r="F19" s="34" t="s">
        <v>90</v>
      </c>
      <c r="G19" s="34"/>
      <c r="I19" s="22"/>
      <c r="J19"/>
      <c r="K19"/>
    </row>
    <row r="20" spans="1:11" x14ac:dyDescent="0.35">
      <c r="A20" s="24">
        <v>5</v>
      </c>
      <c r="B20" s="1" t="s">
        <v>93</v>
      </c>
      <c r="C20" s="1">
        <f>Tiempos!E13*G5</f>
        <v>140</v>
      </c>
      <c r="D20" s="5">
        <f>Tabla4[[#This Row],[Tp (s)]]*'P. Rendimiento'!$B$1/3600</f>
        <v>3.6944444444444446</v>
      </c>
      <c r="F20" s="34"/>
      <c r="G20" s="34"/>
      <c r="I20" s="22"/>
      <c r="J20"/>
      <c r="K20"/>
    </row>
    <row r="21" spans="1:11" x14ac:dyDescent="0.35">
      <c r="A21" s="24">
        <v>6</v>
      </c>
      <c r="B21" s="1" t="s">
        <v>74</v>
      </c>
      <c r="C21" s="1">
        <f>Tiempos!E14*G5</f>
        <v>120</v>
      </c>
      <c r="D21" s="5">
        <f>Tabla4[[#This Row],[Tp (s)]]*'P. Rendimiento'!$B$1/3600</f>
        <v>3.1666666666666665</v>
      </c>
      <c r="F21" s="34"/>
      <c r="G21" s="34"/>
      <c r="I21" s="22"/>
      <c r="J21"/>
      <c r="K21"/>
    </row>
    <row r="22" spans="1:11" x14ac:dyDescent="0.35">
      <c r="A22" s="24">
        <v>7</v>
      </c>
      <c r="B22" s="1" t="s">
        <v>12</v>
      </c>
      <c r="C22" s="1">
        <f>Tiempos!E15*G5</f>
        <v>120</v>
      </c>
      <c r="D22" s="5">
        <f>Tabla4[[#This Row],[Tp (s)]]*'P. Rendimiento'!$B$1/3600</f>
        <v>3.1666666666666665</v>
      </c>
      <c r="F22" s="1"/>
      <c r="G22" s="26"/>
      <c r="H22" s="26"/>
      <c r="I22" s="22"/>
      <c r="J22"/>
      <c r="K22"/>
    </row>
    <row r="23" spans="1:11" x14ac:dyDescent="0.35">
      <c r="A23" s="24">
        <v>8</v>
      </c>
      <c r="B23" s="1" t="s">
        <v>87</v>
      </c>
      <c r="C23" s="1">
        <f>Tiempos!E16*G11/'P. Rendimiento'!B1</f>
        <v>8.048</v>
      </c>
      <c r="D23" s="5">
        <f>Tabla4[[#This Row],[Tp (s)]]*'P. Rendimiento'!$B$1/3600</f>
        <v>0.2123777777777778</v>
      </c>
      <c r="F23" s="1"/>
      <c r="H23" s="22"/>
      <c r="I23" s="22"/>
      <c r="J23"/>
      <c r="K23"/>
    </row>
    <row r="24" spans="1:11" x14ac:dyDescent="0.35">
      <c r="A24" s="25">
        <v>9</v>
      </c>
      <c r="B24" s="1" t="s">
        <v>18</v>
      </c>
      <c r="C24" s="1">
        <f>Tiempos!E17*G12/'P. Rendimiento'!B1</f>
        <v>1.6</v>
      </c>
      <c r="D24" s="5">
        <f>Tabla4[[#This Row],[Tp (s)]]*'P. Rendimiento'!$B$1/3600</f>
        <v>4.2222222222222223E-2</v>
      </c>
      <c r="F24" s="1"/>
      <c r="G24"/>
      <c r="H24" s="22"/>
      <c r="I24" s="22"/>
      <c r="J24"/>
      <c r="K24"/>
    </row>
    <row r="25" spans="1:11" x14ac:dyDescent="0.35">
      <c r="A25"/>
      <c r="B25" s="1" t="s">
        <v>138</v>
      </c>
      <c r="C25" s="1">
        <f>SUM(Tabla4[Tp (s)])</f>
        <v>982.9813333333334</v>
      </c>
      <c r="F25" s="5"/>
    </row>
    <row r="26" spans="1:11" x14ac:dyDescent="0.35">
      <c r="C26" s="1" t="s">
        <v>133</v>
      </c>
      <c r="D26" s="5">
        <f>SUM(Tabla4[Día (h)])</f>
        <v>25.939785185185187</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workbookViewId="0">
      <selection activeCell="I32" sqref="I32"/>
    </sheetView>
  </sheetViews>
  <sheetFormatPr baseColWidth="10" defaultColWidth="8.7265625" defaultRowHeight="14.5" x14ac:dyDescent="0.35"/>
  <cols>
    <col min="1" max="1" width="24.08984375" style="1" bestFit="1" customWidth="1"/>
    <col min="2" max="2" width="11.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9.6328125" style="1" bestFit="1" customWidth="1"/>
    <col min="9" max="9" width="13.81640625" style="1" bestFit="1" customWidth="1"/>
    <col min="10" max="16384" width="8.7265625" style="1"/>
  </cols>
  <sheetData>
    <row r="1" spans="1:9" x14ac:dyDescent="0.35">
      <c r="A1" s="1" t="s">
        <v>48</v>
      </c>
      <c r="B1" s="1">
        <v>95</v>
      </c>
      <c r="C1" s="1" t="s">
        <v>66</v>
      </c>
      <c r="D1" s="32" t="s">
        <v>35</v>
      </c>
      <c r="E1" s="32"/>
      <c r="F1" s="1" t="s">
        <v>141</v>
      </c>
      <c r="G1" s="1" t="s">
        <v>60</v>
      </c>
      <c r="I1" s="1" t="s">
        <v>84</v>
      </c>
    </row>
    <row r="2" spans="1:9" x14ac:dyDescent="0.35">
      <c r="A2" s="1" t="s">
        <v>63</v>
      </c>
      <c r="B2" s="1">
        <v>5</v>
      </c>
      <c r="C2" s="5">
        <f>8 - 70/60</f>
        <v>6.833333333333333</v>
      </c>
      <c r="D2" s="1" t="s">
        <v>36</v>
      </c>
      <c r="E2" s="1">
        <v>8</v>
      </c>
      <c r="F2" s="1">
        <f>E2*$B$1</f>
        <v>760</v>
      </c>
      <c r="G2" s="1">
        <f t="shared" ref="G2:G4" si="0">F2*$B$2</f>
        <v>3800</v>
      </c>
      <c r="I2" s="1">
        <f>G2/8</f>
        <v>475</v>
      </c>
    </row>
    <row r="3" spans="1:9" x14ac:dyDescent="0.35">
      <c r="A3" s="1" t="s">
        <v>49</v>
      </c>
      <c r="B3" s="1">
        <f>B2*B1</f>
        <v>475</v>
      </c>
      <c r="C3" s="16" t="s">
        <v>97</v>
      </c>
      <c r="D3" s="1" t="s">
        <v>38</v>
      </c>
      <c r="E3" s="1">
        <v>7</v>
      </c>
      <c r="F3" s="1">
        <f t="shared" ref="F3:F4" si="1">E3*$B$1</f>
        <v>665</v>
      </c>
      <c r="G3" s="1">
        <f t="shared" si="0"/>
        <v>3325</v>
      </c>
    </row>
    <row r="4" spans="1:9" x14ac:dyDescent="0.35">
      <c r="C4" s="16">
        <f>(B1*3)</f>
        <v>285</v>
      </c>
      <c r="D4" s="1" t="s">
        <v>37</v>
      </c>
      <c r="E4" s="1">
        <v>5</v>
      </c>
      <c r="F4" s="1">
        <f t="shared" si="1"/>
        <v>475</v>
      </c>
      <c r="G4" s="1">
        <f t="shared" si="0"/>
        <v>2375</v>
      </c>
    </row>
    <row r="5" spans="1:9" x14ac:dyDescent="0.35">
      <c r="A5" s="1" t="s">
        <v>135</v>
      </c>
      <c r="B5" s="15">
        <f>C5/3</f>
        <v>97.850000000000009</v>
      </c>
      <c r="C5" s="17">
        <f>C4*1.03</f>
        <v>293.55</v>
      </c>
      <c r="E5" s="1" t="s">
        <v>141</v>
      </c>
      <c r="F5" s="1">
        <f>SUM(F2:F4)</f>
        <v>1900</v>
      </c>
      <c r="G5" s="20">
        <f>SUM(G2:G4)</f>
        <v>9500</v>
      </c>
      <c r="H5" s="20" t="s">
        <v>53</v>
      </c>
    </row>
    <row r="6" spans="1:9" x14ac:dyDescent="0.35">
      <c r="G6" s="1">
        <f>G5*4</f>
        <v>38000</v>
      </c>
    </row>
    <row r="7" spans="1:9" x14ac:dyDescent="0.35">
      <c r="A7" s="1" t="s">
        <v>46</v>
      </c>
      <c r="B7" s="1" t="s">
        <v>47</v>
      </c>
      <c r="E7" s="2" t="s">
        <v>54</v>
      </c>
      <c r="F7" s="2">
        <f>F8*F9*F10*B12</f>
        <v>9500</v>
      </c>
      <c r="H7" s="2" t="s">
        <v>58</v>
      </c>
      <c r="I7" s="19">
        <f>G5/F7</f>
        <v>1</v>
      </c>
    </row>
    <row r="8" spans="1:9" x14ac:dyDescent="0.35">
      <c r="A8" s="1" t="s">
        <v>44</v>
      </c>
      <c r="B8" s="5">
        <v>0</v>
      </c>
      <c r="C8" s="6" t="s">
        <v>59</v>
      </c>
      <c r="E8" s="1" t="s">
        <v>55</v>
      </c>
      <c r="F8" s="1">
        <v>1</v>
      </c>
    </row>
    <row r="9" spans="1:9" x14ac:dyDescent="0.35">
      <c r="A9" s="1" t="s">
        <v>45</v>
      </c>
      <c r="B9" s="5">
        <f>(C10*C2*60)/G5</f>
        <v>0.21578947368421053</v>
      </c>
      <c r="C9" s="4" t="s">
        <v>64</v>
      </c>
      <c r="E9" s="1" t="s">
        <v>56</v>
      </c>
      <c r="F9" s="1">
        <v>5</v>
      </c>
    </row>
    <row r="10" spans="1:9" x14ac:dyDescent="0.35">
      <c r="A10" s="1" t="s">
        <v>43</v>
      </c>
      <c r="B10" s="5">
        <f>B9*G5</f>
        <v>2050</v>
      </c>
      <c r="C10" s="7">
        <v>5</v>
      </c>
      <c r="E10" s="1" t="s">
        <v>57</v>
      </c>
      <c r="F10" s="1">
        <f>C2</f>
        <v>6.833333333333333</v>
      </c>
    </row>
    <row r="11" spans="1:9" x14ac:dyDescent="0.35">
      <c r="A11" s="1" t="s">
        <v>42</v>
      </c>
      <c r="B11" s="5">
        <f>B10/G5</f>
        <v>0.21578947368421053</v>
      </c>
    </row>
    <row r="12" spans="1:9" x14ac:dyDescent="0.35">
      <c r="A12" s="2" t="s">
        <v>41</v>
      </c>
      <c r="B12" s="18">
        <f>60/B11</f>
        <v>278.04878048780489</v>
      </c>
    </row>
    <row r="18" spans="1:6" x14ac:dyDescent="0.35">
      <c r="E18" s="2" t="s">
        <v>98</v>
      </c>
      <c r="F18" s="21">
        <f>C2*60*60/F5</f>
        <v>12.947368421052632</v>
      </c>
    </row>
    <row r="20" spans="1:6" x14ac:dyDescent="0.35">
      <c r="A20" s="2" t="s">
        <v>61</v>
      </c>
      <c r="B20" s="2">
        <f>F8*(B8+G5*B9+B21)</f>
        <v>9730</v>
      </c>
      <c r="C20" s="5">
        <f>B20/60/24</f>
        <v>6.7569444444444438</v>
      </c>
    </row>
    <row r="21" spans="1:6" x14ac:dyDescent="0.35">
      <c r="A21" s="1" t="s">
        <v>62</v>
      </c>
      <c r="B21" s="1">
        <f xml:space="preserve"> (16*5 + 48)*60</f>
        <v>7680</v>
      </c>
      <c r="C21" s="1" t="s">
        <v>65</v>
      </c>
    </row>
  </sheetData>
  <mergeCells count="1">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3"/>
  <sheetViews>
    <sheetView zoomScaleNormal="100" workbookViewId="0">
      <selection activeCell="C12" sqref="C12"/>
    </sheetView>
  </sheetViews>
  <sheetFormatPr baseColWidth="10" defaultRowHeight="14.5" x14ac:dyDescent="0.35"/>
  <cols>
    <col min="1" max="1" width="13.08984375" style="1" bestFit="1" customWidth="1"/>
    <col min="2" max="2" width="10.6328125" style="1" customWidth="1"/>
    <col min="3" max="4" width="10.90625" style="1"/>
    <col min="5" max="5" width="17.54296875" style="1" customWidth="1"/>
    <col min="6" max="6" width="10.90625" style="1"/>
    <col min="7" max="7" width="11.26953125" style="1" bestFit="1" customWidth="1"/>
    <col min="8" max="8" width="14.54296875" style="1" customWidth="1"/>
    <col min="9" max="9" width="11.81640625" style="1" customWidth="1"/>
    <col min="10" max="10" width="11" style="1" customWidth="1"/>
    <col min="11" max="16384" width="10.90625" style="1"/>
  </cols>
  <sheetData>
    <row r="1" spans="1:10" x14ac:dyDescent="0.35">
      <c r="A1" s="32" t="s">
        <v>70</v>
      </c>
      <c r="B1" s="32"/>
      <c r="C1" s="32"/>
      <c r="D1" s="32"/>
      <c r="E1" s="32"/>
      <c r="F1" s="32"/>
      <c r="G1" s="32"/>
      <c r="H1" s="32"/>
      <c r="I1" s="32"/>
      <c r="J1" s="32"/>
    </row>
    <row r="2" spans="1:10" x14ac:dyDescent="0.35">
      <c r="A2" s="1" t="s">
        <v>46</v>
      </c>
      <c r="B2" s="1" t="s">
        <v>72</v>
      </c>
      <c r="C2" s="1" t="s">
        <v>71</v>
      </c>
      <c r="D2" s="1" t="s">
        <v>83</v>
      </c>
      <c r="E2" s="1" t="s">
        <v>73</v>
      </c>
      <c r="F2" s="1" t="s">
        <v>93</v>
      </c>
      <c r="G2" s="29" t="s">
        <v>74</v>
      </c>
      <c r="H2" s="1" t="s">
        <v>12</v>
      </c>
      <c r="I2" s="1" t="s">
        <v>14</v>
      </c>
      <c r="J2" s="1" t="s">
        <v>18</v>
      </c>
    </row>
    <row r="3" spans="1:10" x14ac:dyDescent="0.35">
      <c r="A3" s="1" t="s">
        <v>67</v>
      </c>
      <c r="B3" s="1">
        <v>140</v>
      </c>
      <c r="C3" s="1">
        <v>70</v>
      </c>
      <c r="D3" s="1">
        <v>70</v>
      </c>
      <c r="E3" s="1">
        <v>140</v>
      </c>
      <c r="F3" s="1">
        <v>70</v>
      </c>
      <c r="G3" s="1">
        <v>70</v>
      </c>
      <c r="H3" s="1">
        <v>70</v>
      </c>
      <c r="I3" s="1">
        <v>140</v>
      </c>
      <c r="J3" s="1">
        <v>70</v>
      </c>
    </row>
    <row r="4" spans="1:10" x14ac:dyDescent="0.35">
      <c r="A4" s="1" t="s">
        <v>68</v>
      </c>
      <c r="B4" s="1">
        <v>10</v>
      </c>
      <c r="C4" s="1">
        <v>1</v>
      </c>
      <c r="D4" s="1">
        <v>1</v>
      </c>
      <c r="E4" s="1">
        <v>4</v>
      </c>
      <c r="F4" s="1">
        <v>2</v>
      </c>
      <c r="G4" s="30">
        <v>1</v>
      </c>
      <c r="H4" s="1">
        <v>3</v>
      </c>
      <c r="I4" s="1">
        <v>8</v>
      </c>
      <c r="J4" s="1">
        <v>1</v>
      </c>
    </row>
    <row r="5" spans="1:10" x14ac:dyDescent="0.35">
      <c r="A5" s="1" t="s">
        <v>69</v>
      </c>
      <c r="B5" s="8">
        <f t="shared" ref="B5:G5" si="0">B3/SUM(B3:B4)</f>
        <v>0.93333333333333335</v>
      </c>
      <c r="C5" s="8">
        <f t="shared" si="0"/>
        <v>0.9859154929577465</v>
      </c>
      <c r="D5" s="8">
        <f t="shared" si="0"/>
        <v>0.9859154929577465</v>
      </c>
      <c r="E5" s="8">
        <f t="shared" si="0"/>
        <v>0.97222222222222221</v>
      </c>
      <c r="F5" s="8">
        <f t="shared" si="0"/>
        <v>0.97222222222222221</v>
      </c>
      <c r="G5" s="31">
        <f t="shared" si="0"/>
        <v>0.9859154929577465</v>
      </c>
      <c r="H5" s="8">
        <f t="shared" ref="H5:J5" si="1">H3/SUM(H3:H4)</f>
        <v>0.95890410958904104</v>
      </c>
      <c r="I5" s="8">
        <f t="shared" si="1"/>
        <v>0.94594594594594594</v>
      </c>
      <c r="J5" s="8">
        <f t="shared" si="1"/>
        <v>0.9859154929577465</v>
      </c>
    </row>
    <row r="7" spans="1:10" x14ac:dyDescent="0.35">
      <c r="A7" s="10" t="s">
        <v>75</v>
      </c>
      <c r="B7" s="9">
        <f>B8*D8*F8</f>
        <v>0.87300000000000011</v>
      </c>
    </row>
    <row r="8" spans="1:10" ht="14.5" customHeight="1" x14ac:dyDescent="0.35">
      <c r="A8" s="10" t="s">
        <v>69</v>
      </c>
      <c r="B8" s="14">
        <f>B9/B10</f>
        <v>0.99082452574525748</v>
      </c>
      <c r="C8" s="1" t="s">
        <v>79</v>
      </c>
      <c r="D8" s="8">
        <f>D9*D10</f>
        <v>0.90833439889172818</v>
      </c>
      <c r="E8" s="1" t="s">
        <v>82</v>
      </c>
      <c r="F8" s="8">
        <v>0.97</v>
      </c>
      <c r="G8" s="33" t="s">
        <v>100</v>
      </c>
      <c r="H8" s="33"/>
      <c r="I8" s="33"/>
    </row>
    <row r="9" spans="1:10" ht="14.5" customHeight="1" x14ac:dyDescent="0.35">
      <c r="A9" s="10" t="s">
        <v>78</v>
      </c>
      <c r="B9" s="5">
        <f>B10-B11</f>
        <v>6.7706342592592588</v>
      </c>
      <c r="C9" s="1" t="s">
        <v>80</v>
      </c>
      <c r="D9" s="8">
        <f>('P. Rendimiento'!F5*'P. Rendimiento'!B9*1.1*0.9)/(B9*60)</f>
        <v>0.99916783878090099</v>
      </c>
      <c r="G9" s="33"/>
      <c r="H9" s="33"/>
      <c r="I9" s="33"/>
    </row>
    <row r="10" spans="1:10" x14ac:dyDescent="0.35">
      <c r="A10" s="10" t="s">
        <v>76</v>
      </c>
      <c r="B10" s="1">
        <f>8-B12</f>
        <v>6.833333333333333</v>
      </c>
      <c r="C10" s="1" t="s">
        <v>81</v>
      </c>
      <c r="D10" s="8">
        <f>1/1.1</f>
        <v>0.90909090909090906</v>
      </c>
      <c r="G10" s="33"/>
      <c r="H10" s="33"/>
      <c r="I10" s="33"/>
    </row>
    <row r="11" spans="1:10" x14ac:dyDescent="0.35">
      <c r="A11" s="10" t="s">
        <v>99</v>
      </c>
      <c r="B11" s="5">
        <f>VSM!K10/3600</f>
        <v>6.269907407407406E-2</v>
      </c>
      <c r="G11" s="33"/>
      <c r="H11" s="33"/>
      <c r="I11" s="33"/>
    </row>
    <row r="12" spans="1:10" x14ac:dyDescent="0.35">
      <c r="A12" s="10" t="s">
        <v>77</v>
      </c>
      <c r="B12" s="5">
        <f xml:space="preserve"> 70/60</f>
        <v>1.1666666666666667</v>
      </c>
    </row>
    <row r="13" spans="1:10" x14ac:dyDescent="0.35">
      <c r="G13" s="1" t="s">
        <v>92</v>
      </c>
    </row>
  </sheetData>
  <mergeCells count="2">
    <mergeCell ref="A1:J1"/>
    <mergeCell ref="G8:I1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2025-02-10T20:45:33Z</dcterms:modified>
</cp:coreProperties>
</file>