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yovan\Desktop\APM\ausol-apm.github.io\project\Documents\"/>
    </mc:Choice>
  </mc:AlternateContent>
  <xr:revisionPtr revIDLastSave="0" documentId="13_ncr:1_{4D28C2EF-1F77-4B6B-BA33-D4B747E02C5E}" xr6:coauthVersionLast="47" xr6:coauthVersionMax="47" xr10:uidLastSave="{00000000-0000-0000-0000-000000000000}"/>
  <bookViews>
    <workbookView xWindow="-110" yWindow="-110" windowWidth="19420" windowHeight="10300" activeTab="2" xr2:uid="{00000000-000D-0000-FFFF-FFFF00000000}"/>
  </bookViews>
  <sheets>
    <sheet name="Tiempos" sheetId="2" r:id="rId1"/>
    <sheet name="VSM" sheetId="4" r:id="rId2"/>
    <sheet name="P. Rendimiento" sheetId="1" r:id="rId3"/>
    <sheet name="E.G. Equipamiento"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9" i="4"/>
  <c r="I23" i="1"/>
  <c r="D11" i="3" s="1"/>
  <c r="J18" i="1"/>
  <c r="I18" i="1"/>
  <c r="H5" i="3"/>
  <c r="F2" i="1"/>
  <c r="G2" i="1" s="1"/>
  <c r="H2" i="1" s="1"/>
  <c r="F3" i="1"/>
  <c r="G3" i="1" s="1"/>
  <c r="F4" i="1"/>
  <c r="D10" i="3"/>
  <c r="G4" i="1"/>
  <c r="J7" i="4"/>
  <c r="K7" i="4" s="1"/>
  <c r="L7" i="4" s="1"/>
  <c r="C22" i="4"/>
  <c r="D22" i="4" s="1"/>
  <c r="C21" i="4"/>
  <c r="D21" i="4" s="1"/>
  <c r="C20" i="4"/>
  <c r="D20" i="4" s="1"/>
  <c r="C19" i="4"/>
  <c r="D19" i="4" s="1"/>
  <c r="C16" i="4"/>
  <c r="D16" i="4" s="1"/>
  <c r="C17" i="4"/>
  <c r="D17" i="4" s="1"/>
  <c r="G5" i="4"/>
  <c r="J8" i="4"/>
  <c r="J6" i="4"/>
  <c r="K6" i="4" s="1"/>
  <c r="L6" i="4" s="1"/>
  <c r="J5" i="4"/>
  <c r="K5" i="4" s="1"/>
  <c r="L5" i="4" s="1"/>
  <c r="J4" i="4"/>
  <c r="J3" i="4"/>
  <c r="J2" i="4"/>
  <c r="K2" i="4" s="1"/>
  <c r="L2" i="4" s="1"/>
  <c r="C11" i="4"/>
  <c r="C12" i="4"/>
  <c r="C10" i="4"/>
  <c r="C3" i="4"/>
  <c r="C2" i="4"/>
  <c r="C6" i="4"/>
  <c r="C7" i="4"/>
  <c r="C8" i="4"/>
  <c r="C5" i="4"/>
  <c r="C2" i="1"/>
  <c r="B12" i="3"/>
  <c r="B10" i="3" s="1"/>
  <c r="B21" i="1"/>
  <c r="C4" i="1"/>
  <c r="C5" i="1" s="1"/>
  <c r="B5" i="1" s="1"/>
  <c r="C34" i="2"/>
  <c r="F5" i="3"/>
  <c r="J5" i="3"/>
  <c r="G5" i="3"/>
  <c r="I5" i="3"/>
  <c r="E5" i="3"/>
  <c r="D5" i="3"/>
  <c r="C5" i="3"/>
  <c r="B5" i="3"/>
  <c r="E4" i="2"/>
  <c r="E5" i="2"/>
  <c r="B3" i="1"/>
  <c r="E17" i="2"/>
  <c r="E16" i="2"/>
  <c r="E15" i="2"/>
  <c r="E6" i="2"/>
  <c r="E7" i="2"/>
  <c r="E8" i="2"/>
  <c r="E9" i="2"/>
  <c r="E10" i="2"/>
  <c r="E11" i="2"/>
  <c r="E12" i="2"/>
  <c r="E14" i="2"/>
  <c r="E13" i="2"/>
  <c r="E3" i="2"/>
  <c r="C13" i="4" l="1"/>
  <c r="K3" i="4"/>
  <c r="L3" i="4" s="1"/>
  <c r="K4" i="4"/>
  <c r="L4" i="4" s="1"/>
  <c r="C18" i="4"/>
  <c r="D18" i="4" s="1"/>
  <c r="F10" i="1"/>
  <c r="F5" i="1"/>
  <c r="E18" i="2"/>
  <c r="G5" i="1"/>
  <c r="I19" i="1" s="1"/>
  <c r="F18" i="1" l="1"/>
  <c r="G11" i="4"/>
  <c r="G6" i="1"/>
  <c r="J19" i="1" s="1"/>
  <c r="B9" i="1"/>
  <c r="B10" i="1" l="1"/>
  <c r="B11" i="1" s="1"/>
  <c r="B12" i="1" s="1"/>
  <c r="F7" i="1" s="1"/>
  <c r="I7" i="1" s="1"/>
  <c r="I3" i="1"/>
  <c r="L8" i="4"/>
  <c r="C23" i="4"/>
  <c r="D23" i="4" s="1"/>
  <c r="G12" i="4"/>
  <c r="B20" i="1"/>
  <c r="C20" i="1" s="1"/>
  <c r="C24" i="4" l="1"/>
  <c r="C25" i="4" s="1"/>
  <c r="K9" i="4"/>
  <c r="L9" i="4" s="1"/>
  <c r="K8" i="4"/>
  <c r="K10" i="4" s="1"/>
  <c r="L11" i="4"/>
  <c r="D24" i="4" l="1"/>
  <c r="D26" i="4" s="1"/>
  <c r="G17" i="4"/>
  <c r="G16" i="4" s="1"/>
  <c r="B11" i="3" s="1"/>
  <c r="B9" i="3" s="1"/>
  <c r="D9" i="3" s="1"/>
  <c r="G15" i="4" l="1"/>
  <c r="B8" i="3"/>
  <c r="D8" i="3"/>
  <c r="B7" i="3" l="1"/>
</calcChain>
</file>

<file path=xl/sharedStrings.xml><?xml version="1.0" encoding="utf-8"?>
<sst xmlns="http://schemas.openxmlformats.org/spreadsheetml/2006/main" count="201" uniqueCount="157">
  <si>
    <t>Etapa</t>
  </si>
  <si>
    <t>N°</t>
  </si>
  <si>
    <t>Proceso (s)</t>
  </si>
  <si>
    <t>Set-up (s)</t>
  </si>
  <si>
    <t>Separación</t>
  </si>
  <si>
    <t>Acabados</t>
  </si>
  <si>
    <t>Ensamble paredes</t>
  </si>
  <si>
    <t>Ensamble timon</t>
  </si>
  <si>
    <t>Ensamble moto</t>
  </si>
  <si>
    <t>Ensamble barco</t>
  </si>
  <si>
    <t>Ensamble casa</t>
  </si>
  <si>
    <t>Control de calidad</t>
  </si>
  <si>
    <t>Empaquetado</t>
  </si>
  <si>
    <t>Total</t>
  </si>
  <si>
    <t>Palletizado</t>
  </si>
  <si>
    <t>Estaciones</t>
  </si>
  <si>
    <t>Transporte</t>
  </si>
  <si>
    <t>Tiempo</t>
  </si>
  <si>
    <t>Despacho</t>
  </si>
  <si>
    <t>1 a 2</t>
  </si>
  <si>
    <t>2 a 3</t>
  </si>
  <si>
    <t>3 a 4</t>
  </si>
  <si>
    <t>4 a 5</t>
  </si>
  <si>
    <t>5 a 6</t>
  </si>
  <si>
    <t>6 a 7</t>
  </si>
  <si>
    <t>7 a 8</t>
  </si>
  <si>
    <t>8 a 9</t>
  </si>
  <si>
    <t>Descripción detallada</t>
  </si>
  <si>
    <t>Negro y rojo a separación</t>
  </si>
  <si>
    <t>Azul a separación</t>
  </si>
  <si>
    <t>Negro y rojo a acabados</t>
  </si>
  <si>
    <t>Azul a acabados</t>
  </si>
  <si>
    <t>Paredes y timon buffers</t>
  </si>
  <si>
    <t>Acabos a buffer</t>
  </si>
  <si>
    <t>Buffers a bufferAssembler</t>
  </si>
  <si>
    <t>Unidades por tanda</t>
  </si>
  <si>
    <t>Motos</t>
  </si>
  <si>
    <t>Casas</t>
  </si>
  <si>
    <t>Barcos</t>
  </si>
  <si>
    <t>Ubicación</t>
  </si>
  <si>
    <t>Empaquetado a robot</t>
  </si>
  <si>
    <t>Rp (un/hora)</t>
  </si>
  <si>
    <t>Tp (min/un)</t>
  </si>
  <si>
    <t>Tb (min/lote)</t>
  </si>
  <si>
    <t>Tsu (min/lote)</t>
  </si>
  <si>
    <t>Tc (min/un)</t>
  </si>
  <si>
    <t>Indicadores</t>
  </si>
  <si>
    <t>Valor</t>
  </si>
  <si>
    <t>Tandas por día (tandas/dia)</t>
  </si>
  <si>
    <t>Lote en tandas (tandas/lote)</t>
  </si>
  <si>
    <t>Inyección rojo</t>
  </si>
  <si>
    <t>Inyección negro</t>
  </si>
  <si>
    <t>Inyección azul</t>
  </si>
  <si>
    <t>Q(un/lote)</t>
  </si>
  <si>
    <t>PC</t>
  </si>
  <si>
    <t>n</t>
  </si>
  <si>
    <t>S</t>
  </si>
  <si>
    <t>H</t>
  </si>
  <si>
    <t>U</t>
  </si>
  <si>
    <t>Se asume un suministro constante</t>
  </si>
  <si>
    <t>Un por lote</t>
  </si>
  <si>
    <t>MLT (min)</t>
  </si>
  <si>
    <t>Tno (min)</t>
  </si>
  <si>
    <t>Dias de turnos (turnos/lote)</t>
  </si>
  <si>
    <t>Turnos</t>
  </si>
  <si>
    <t>Tiempo entre turnos</t>
  </si>
  <si>
    <t>Jornada (h)</t>
  </si>
  <si>
    <t>MTBF (UT) (h)</t>
  </si>
  <si>
    <t>MTTM (DT) (h)</t>
  </si>
  <si>
    <t>A</t>
  </si>
  <si>
    <t>Disponibilidad por estación</t>
  </si>
  <si>
    <t>Separado</t>
  </si>
  <si>
    <t>Inyección</t>
  </si>
  <si>
    <t>Ensamble general</t>
  </si>
  <si>
    <t>Calidad</t>
  </si>
  <si>
    <t>OEE</t>
  </si>
  <si>
    <t>TEP (h)</t>
  </si>
  <si>
    <t>TIP (h)</t>
  </si>
  <si>
    <t>TER (h)</t>
  </si>
  <si>
    <t>PE</t>
  </si>
  <si>
    <t>RE</t>
  </si>
  <si>
    <t>SE</t>
  </si>
  <si>
    <t>Q</t>
  </si>
  <si>
    <t>Acabado</t>
  </si>
  <si>
    <t>Tandas por lote</t>
  </si>
  <si>
    <t>Separar</t>
  </si>
  <si>
    <t>Ensamble</t>
  </si>
  <si>
    <t>Paletizado</t>
  </si>
  <si>
    <t>Relación valor</t>
  </si>
  <si>
    <t>Relación transporte</t>
  </si>
  <si>
    <t>Los tiempos en el VSM son por tanda… Ya que es una tarea dispendiosa, hacerlo por unidad</t>
  </si>
  <si>
    <t>No es posible encontrar la relación real entre las inyectoras y los moldes de manera directa. Entonces, se parte de los resultados de Tecnomatix, para la obtención de esos tiempos, partiendo de un la suma los productos sobre el tiempo requerido para su producción</t>
  </si>
  <si>
    <t xml:space="preserve"> </t>
  </si>
  <si>
    <t>Tampografía</t>
  </si>
  <si>
    <t>Assembler a tampografía</t>
  </si>
  <si>
    <t>Tampografía a calidad</t>
  </si>
  <si>
    <t>Calidad a empaquetado</t>
  </si>
  <si>
    <t>Valor en pelletSource</t>
  </si>
  <si>
    <t>Takt (s)</t>
  </si>
  <si>
    <t>TINP (h)</t>
  </si>
  <si>
    <t>Piezas moto</t>
  </si>
  <si>
    <t>Cantidad por tanda</t>
  </si>
  <si>
    <t>Juguete</t>
  </si>
  <si>
    <t>Moto</t>
  </si>
  <si>
    <t>Barco</t>
  </si>
  <si>
    <t>Casa</t>
  </si>
  <si>
    <t>Cantidad</t>
  </si>
  <si>
    <t>Rueda</t>
  </si>
  <si>
    <t>Chasis</t>
  </si>
  <si>
    <t>Piezas Barco</t>
  </si>
  <si>
    <t>Timon 1</t>
  </si>
  <si>
    <t>Timon 2</t>
  </si>
  <si>
    <t>Superior</t>
  </si>
  <si>
    <t>Inferior</t>
  </si>
  <si>
    <t>Por tanda</t>
  </si>
  <si>
    <t>Piezas Casa</t>
  </si>
  <si>
    <t>Paredes</t>
  </si>
  <si>
    <t>Puerta</t>
  </si>
  <si>
    <t>Techo</t>
  </si>
  <si>
    <t>Moldes por tanda</t>
  </si>
  <si>
    <t>Empaquetado a caja</t>
  </si>
  <si>
    <t>Proceso</t>
  </si>
  <si>
    <t>Inyectora a separación</t>
  </si>
  <si>
    <t>Separación a acabados</t>
  </si>
  <si>
    <t>Acabados a ensamble</t>
  </si>
  <si>
    <t>Ensamble a pintura</t>
  </si>
  <si>
    <t>Pintura a calidad</t>
  </si>
  <si>
    <t>Cajas a robot</t>
  </si>
  <si>
    <t>Tiempo total por tanda (s)</t>
  </si>
  <si>
    <t>Tiempo medio (s)</t>
  </si>
  <si>
    <t>Robot a despacho</t>
  </si>
  <si>
    <t>Total tiempo</t>
  </si>
  <si>
    <t>Total (h)</t>
  </si>
  <si>
    <t>Tp (s)</t>
  </si>
  <si>
    <t>Tandas reales (tandas/dia)</t>
  </si>
  <si>
    <t>Día (h)</t>
  </si>
  <si>
    <t>Total (s)</t>
  </si>
  <si>
    <t>Juguetes por caja</t>
  </si>
  <si>
    <t>Cajas por pallet</t>
  </si>
  <si>
    <t>Unidades por dia</t>
  </si>
  <si>
    <t>Total cajas (día)</t>
  </si>
  <si>
    <t>Total pallets (día)</t>
  </si>
  <si>
    <t>Salida de producto real</t>
  </si>
  <si>
    <t>Salida semanal (Max)</t>
  </si>
  <si>
    <t>Salida mensual (Max)</t>
  </si>
  <si>
    <t>Defectuosos</t>
  </si>
  <si>
    <t>% de error</t>
  </si>
  <si>
    <t>Mensual</t>
  </si>
  <si>
    <t>9 a 10</t>
  </si>
  <si>
    <t>Por día (h)</t>
  </si>
  <si>
    <t>Material</t>
  </si>
  <si>
    <t>Cajas</t>
  </si>
  <si>
    <t>Pintura</t>
  </si>
  <si>
    <t>Polipropileno</t>
  </si>
  <si>
    <t>Peso</t>
  </si>
  <si>
    <t>Tanda</t>
  </si>
  <si>
    <t>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</si>
</sst>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2"/>
        <bgColor indexed="64"/>
      </patternFill>
    </fill>
    <fill>
      <patternFill patternType="solid">
        <fgColor theme="7" tint="0.79998168889431442"/>
        <bgColor indexed="64"/>
      </patternFill>
    </fill>
    <fill>
      <patternFill patternType="solid">
        <fgColor theme="7"/>
        <bgColor theme="7"/>
      </patternFill>
    </fill>
  </fills>
  <borders count="6">
    <border>
      <left/>
      <right/>
      <top/>
      <bottom/>
      <diagonal/>
    </border>
    <border>
      <left/>
      <right style="thin">
        <color theme="9"/>
      </right>
      <top style="thin">
        <color theme="9"/>
      </top>
      <bottom/>
      <diagonal/>
    </border>
    <border>
      <left/>
      <right style="thin">
        <color theme="9"/>
      </right>
      <top style="thin">
        <color theme="9"/>
      </top>
      <bottom style="thin">
        <color theme="9"/>
      </bottom>
      <diagonal/>
    </border>
    <border>
      <left/>
      <right/>
      <top style="thin">
        <color theme="7"/>
      </top>
      <bottom/>
      <diagonal/>
    </border>
    <border>
      <left/>
      <right/>
      <top style="thin">
        <color theme="7"/>
      </top>
      <bottom style="thin">
        <color theme="7"/>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164" fontId="0" fillId="3" borderId="0" xfId="0" applyNumberFormat="1" applyFill="1" applyAlignment="1">
      <alignment horizontal="center" vertical="center"/>
    </xf>
    <xf numFmtId="10" fontId="0" fillId="0" borderId="0" xfId="1" applyNumberFormat="1" applyFont="1" applyAlignment="1">
      <alignment horizontal="center" vertical="center"/>
    </xf>
    <xf numFmtId="10" fontId="0" fillId="0" borderId="0" xfId="0" applyNumberFormat="1" applyAlignment="1">
      <alignment horizontal="center" vertical="center"/>
    </xf>
    <xf numFmtId="0" fontId="2" fillId="0" borderId="0" xfId="0" applyFont="1" applyAlignment="1">
      <alignment horizontal="center" vertical="center"/>
    </xf>
    <xf numFmtId="10" fontId="0" fillId="0" borderId="0" xfId="1" applyNumberFormat="1" applyFont="1"/>
    <xf numFmtId="0" fontId="0" fillId="0" borderId="0" xfId="0" applyAlignment="1">
      <alignment vertical="center" wrapText="1"/>
    </xf>
    <xf numFmtId="0" fontId="3" fillId="0" borderId="0" xfId="0" applyFont="1" applyAlignment="1">
      <alignment vertical="center" wrapText="1"/>
    </xf>
    <xf numFmtId="10" fontId="1" fillId="0" borderId="0" xfId="1" applyNumberFormat="1" applyFon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 fontId="0" fillId="2" borderId="0" xfId="1" applyNumberFormat="1" applyFont="1" applyFill="1" applyAlignment="1">
      <alignment horizontal="center" vertical="center"/>
    </xf>
    <xf numFmtId="165" fontId="0" fillId="2" borderId="0" xfId="1" applyNumberFormat="1" applyFont="1" applyFill="1" applyAlignment="1">
      <alignment horizontal="center" vertical="center"/>
    </xf>
    <xf numFmtId="0" fontId="0" fillId="6" borderId="0" xfId="0" applyFill="1" applyAlignment="1">
      <alignment horizontal="center" vertical="center"/>
    </xf>
    <xf numFmtId="2" fontId="0" fillId="2" borderId="0" xfId="0" applyNumberFormat="1" applyFill="1" applyAlignment="1">
      <alignment horizontal="center" vertical="center"/>
    </xf>
    <xf numFmtId="0" fontId="0" fillId="0" borderId="0" xfId="0" applyAlignment="1">
      <alignment horizontal="center"/>
    </xf>
    <xf numFmtId="0" fontId="4" fillId="4"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wrapText="1"/>
    </xf>
    <xf numFmtId="0" fontId="0" fillId="0" borderId="0" xfId="0" quotePrefix="1" applyAlignment="1">
      <alignment horizontal="center"/>
    </xf>
    <xf numFmtId="2" fontId="0" fillId="0" borderId="0" xfId="0" applyNumberFormat="1"/>
    <xf numFmtId="0" fontId="4" fillId="7" borderId="3" xfId="0" applyFont="1" applyFill="1" applyBorder="1" applyAlignment="1">
      <alignment horizontal="center" vertical="center"/>
    </xf>
    <xf numFmtId="0" fontId="0" fillId="0" borderId="3" xfId="0" applyBorder="1" applyAlignment="1">
      <alignment horizontal="center" vertical="center"/>
    </xf>
    <xf numFmtId="10" fontId="0" fillId="0" borderId="4" xfId="1" applyNumberFormat="1" applyFont="1" applyBorder="1" applyAlignment="1">
      <alignment horizontal="center" vertical="center"/>
    </xf>
    <xf numFmtId="2" fontId="0" fillId="0" borderId="0" xfId="0" applyNumberFormat="1" applyAlignment="1">
      <alignment horizontal="right"/>
    </xf>
    <xf numFmtId="2" fontId="0" fillId="0" borderId="0" xfId="0" quotePrefix="1" applyNumberFormat="1" applyAlignment="1">
      <alignment horizontal="right"/>
    </xf>
    <xf numFmtId="0" fontId="0" fillId="0" borderId="0" xfId="0"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10" fontId="0" fillId="0" borderId="5" xfId="1" applyNumberFormat="1" applyFont="1" applyBorder="1" applyAlignment="1">
      <alignment horizontal="center" vertical="center"/>
    </xf>
  </cellXfs>
  <cellStyles count="2">
    <cellStyle name="Normal" xfId="0" builtinId="0"/>
    <cellStyle name="Porcentaje" xfId="1" builtinId="5"/>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323645</xdr:colOff>
      <xdr:row>12</xdr:row>
      <xdr:rowOff>55313</xdr:rowOff>
    </xdr:from>
    <xdr:to>
      <xdr:col>2</xdr:col>
      <xdr:colOff>635000</xdr:colOff>
      <xdr:row>17</xdr:row>
      <xdr:rowOff>162013</xdr:rowOff>
    </xdr:to>
    <xdr:pic>
      <xdr:nvPicPr>
        <xdr:cNvPr id="2" name="Imagen 1">
          <a:extLst>
            <a:ext uri="{FF2B5EF4-FFF2-40B4-BE49-F238E27FC236}">
              <a16:creationId xmlns:a16="http://schemas.microsoft.com/office/drawing/2014/main" id="{F779402D-D268-D79F-73F4-96C8E11F5E2A}"/>
            </a:ext>
          </a:extLst>
        </xdr:cNvPr>
        <xdr:cNvPicPr>
          <a:picLocks noChangeAspect="1"/>
        </xdr:cNvPicPr>
      </xdr:nvPicPr>
      <xdr:blipFill>
        <a:blip xmlns:r="http://schemas.openxmlformats.org/officeDocument/2006/relationships" r:embed="rId1"/>
        <a:stretch>
          <a:fillRect/>
        </a:stretch>
      </xdr:blipFill>
      <xdr:spPr>
        <a:xfrm>
          <a:off x="323645" y="2265113"/>
          <a:ext cx="2819605" cy="1027450"/>
        </a:xfrm>
        <a:prstGeom prst="rect">
          <a:avLst/>
        </a:prstGeom>
      </xdr:spPr>
    </xdr:pic>
    <xdr:clientData/>
  </xdr:twoCellAnchor>
  <xdr:twoCellAnchor editAs="oneCell">
    <xdr:from>
      <xdr:col>2</xdr:col>
      <xdr:colOff>2044701</xdr:colOff>
      <xdr:row>10</xdr:row>
      <xdr:rowOff>73453</xdr:rowOff>
    </xdr:from>
    <xdr:to>
      <xdr:col>6</xdr:col>
      <xdr:colOff>482601</xdr:colOff>
      <xdr:row>14</xdr:row>
      <xdr:rowOff>95457</xdr:rowOff>
    </xdr:to>
    <xdr:pic>
      <xdr:nvPicPr>
        <xdr:cNvPr id="3" name="Imagen 2">
          <a:extLst>
            <a:ext uri="{FF2B5EF4-FFF2-40B4-BE49-F238E27FC236}">
              <a16:creationId xmlns:a16="http://schemas.microsoft.com/office/drawing/2014/main" id="{9B7F10DC-8793-7DC3-E160-EA27335B4519}"/>
            </a:ext>
          </a:extLst>
        </xdr:cNvPr>
        <xdr:cNvPicPr>
          <a:picLocks noChangeAspect="1"/>
        </xdr:cNvPicPr>
      </xdr:nvPicPr>
      <xdr:blipFill>
        <a:blip xmlns:r="http://schemas.openxmlformats.org/officeDocument/2006/relationships" r:embed="rId2"/>
        <a:stretch>
          <a:fillRect/>
        </a:stretch>
      </xdr:blipFill>
      <xdr:spPr>
        <a:xfrm>
          <a:off x="4552951" y="1914953"/>
          <a:ext cx="3276600" cy="758604"/>
        </a:xfrm>
        <a:prstGeom prst="rect">
          <a:avLst/>
        </a:prstGeom>
      </xdr:spPr>
    </xdr:pic>
    <xdr:clientData/>
  </xdr:twoCellAnchor>
  <xdr:twoCellAnchor editAs="oneCell">
    <xdr:from>
      <xdr:col>6</xdr:col>
      <xdr:colOff>260350</xdr:colOff>
      <xdr:row>7</xdr:row>
      <xdr:rowOff>92383</xdr:rowOff>
    </xdr:from>
    <xdr:to>
      <xdr:col>9</xdr:col>
      <xdr:colOff>309324</xdr:colOff>
      <xdr:row>10</xdr:row>
      <xdr:rowOff>63733</xdr:rowOff>
    </xdr:to>
    <xdr:pic>
      <xdr:nvPicPr>
        <xdr:cNvPr id="4" name="Imagen 3">
          <a:extLst>
            <a:ext uri="{FF2B5EF4-FFF2-40B4-BE49-F238E27FC236}">
              <a16:creationId xmlns:a16="http://schemas.microsoft.com/office/drawing/2014/main" id="{2D0F781B-C547-78A8-7F86-EACCD50BF84E}"/>
            </a:ext>
          </a:extLst>
        </xdr:cNvPr>
        <xdr:cNvPicPr>
          <a:picLocks noChangeAspect="1"/>
        </xdr:cNvPicPr>
      </xdr:nvPicPr>
      <xdr:blipFill>
        <a:blip xmlns:r="http://schemas.openxmlformats.org/officeDocument/2006/relationships" r:embed="rId3"/>
        <a:stretch>
          <a:fillRect/>
        </a:stretch>
      </xdr:blipFill>
      <xdr:spPr>
        <a:xfrm>
          <a:off x="7607300" y="1381433"/>
          <a:ext cx="3020774" cy="523800"/>
        </a:xfrm>
        <a:prstGeom prst="rect">
          <a:avLst/>
        </a:prstGeom>
      </xdr:spPr>
    </xdr:pic>
    <xdr:clientData/>
  </xdr:twoCellAnchor>
  <xdr:twoCellAnchor editAs="oneCell">
    <xdr:from>
      <xdr:col>3</xdr:col>
      <xdr:colOff>203201</xdr:colOff>
      <xdr:row>18</xdr:row>
      <xdr:rowOff>157857</xdr:rowOff>
    </xdr:from>
    <xdr:to>
      <xdr:col>6</xdr:col>
      <xdr:colOff>534565</xdr:colOff>
      <xdr:row>22</xdr:row>
      <xdr:rowOff>0</xdr:rowOff>
    </xdr:to>
    <xdr:pic>
      <xdr:nvPicPr>
        <xdr:cNvPr id="5" name="Imagen 4">
          <a:extLst>
            <a:ext uri="{FF2B5EF4-FFF2-40B4-BE49-F238E27FC236}">
              <a16:creationId xmlns:a16="http://schemas.microsoft.com/office/drawing/2014/main" id="{755EF70A-E39F-7F65-FA66-053D1D9CF1BE}"/>
            </a:ext>
          </a:extLst>
        </xdr:cNvPr>
        <xdr:cNvPicPr>
          <a:picLocks noChangeAspect="1"/>
        </xdr:cNvPicPr>
      </xdr:nvPicPr>
      <xdr:blipFill>
        <a:blip xmlns:r="http://schemas.openxmlformats.org/officeDocument/2006/relationships" r:embed="rId4"/>
        <a:stretch>
          <a:fillRect/>
        </a:stretch>
      </xdr:blipFill>
      <xdr:spPr>
        <a:xfrm>
          <a:off x="4775201" y="3472557"/>
          <a:ext cx="3106314" cy="578743"/>
        </a:xfrm>
        <a:prstGeom prst="rect">
          <a:avLst/>
        </a:prstGeom>
      </xdr:spPr>
    </xdr:pic>
    <xdr:clientData/>
  </xdr:twoCellAnchor>
  <xdr:twoCellAnchor editAs="oneCell">
    <xdr:from>
      <xdr:col>0</xdr:col>
      <xdr:colOff>292100</xdr:colOff>
      <xdr:row>21</xdr:row>
      <xdr:rowOff>95250</xdr:rowOff>
    </xdr:from>
    <xdr:to>
      <xdr:col>2</xdr:col>
      <xdr:colOff>1109342</xdr:colOff>
      <xdr:row>25</xdr:row>
      <xdr:rowOff>168754</xdr:rowOff>
    </xdr:to>
    <xdr:pic>
      <xdr:nvPicPr>
        <xdr:cNvPr id="6" name="Imagen 5">
          <a:extLst>
            <a:ext uri="{FF2B5EF4-FFF2-40B4-BE49-F238E27FC236}">
              <a16:creationId xmlns:a16="http://schemas.microsoft.com/office/drawing/2014/main" id="{1DD559EF-9011-9EB5-75BD-A2C9BD4FAC3B}"/>
            </a:ext>
          </a:extLst>
        </xdr:cNvPr>
        <xdr:cNvPicPr>
          <a:picLocks noChangeAspect="1"/>
        </xdr:cNvPicPr>
      </xdr:nvPicPr>
      <xdr:blipFill rotWithShape="1">
        <a:blip xmlns:r="http://schemas.openxmlformats.org/officeDocument/2006/relationships" r:embed="rId5"/>
        <a:srcRect t="35691"/>
        <a:stretch/>
      </xdr:blipFill>
      <xdr:spPr>
        <a:xfrm>
          <a:off x="292100" y="3962400"/>
          <a:ext cx="3325492" cy="810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130917</xdr:rowOff>
    </xdr:from>
    <xdr:to>
      <xdr:col>4</xdr:col>
      <xdr:colOff>361950</xdr:colOff>
      <xdr:row>20</xdr:row>
      <xdr:rowOff>111439</xdr:rowOff>
    </xdr:to>
    <xdr:pic>
      <xdr:nvPicPr>
        <xdr:cNvPr id="6" name="Imagen 5">
          <a:extLst>
            <a:ext uri="{FF2B5EF4-FFF2-40B4-BE49-F238E27FC236}">
              <a16:creationId xmlns:a16="http://schemas.microsoft.com/office/drawing/2014/main" id="{0A7E52C5-BF86-DC06-DB4F-C438C5C7DC71}"/>
            </a:ext>
          </a:extLst>
        </xdr:cNvPr>
        <xdr:cNvPicPr>
          <a:picLocks noChangeAspect="1"/>
        </xdr:cNvPicPr>
      </xdr:nvPicPr>
      <xdr:blipFill>
        <a:blip xmlns:r="http://schemas.openxmlformats.org/officeDocument/2006/relationships" r:embed="rId1"/>
        <a:stretch>
          <a:fillRect/>
        </a:stretch>
      </xdr:blipFill>
      <xdr:spPr>
        <a:xfrm>
          <a:off x="0" y="2524867"/>
          <a:ext cx="3543300" cy="1269572"/>
        </a:xfrm>
        <a:prstGeom prst="rect">
          <a:avLst/>
        </a:prstGeom>
      </xdr:spPr>
    </xdr:pic>
    <xdr:clientData/>
  </xdr:twoCellAnchor>
  <xdr:twoCellAnchor editAs="oneCell">
    <xdr:from>
      <xdr:col>10</xdr:col>
      <xdr:colOff>25400</xdr:colOff>
      <xdr:row>0</xdr:row>
      <xdr:rowOff>53109</xdr:rowOff>
    </xdr:from>
    <xdr:to>
      <xdr:col>14</xdr:col>
      <xdr:colOff>114300</xdr:colOff>
      <xdr:row>5</xdr:row>
      <xdr:rowOff>61097</xdr:rowOff>
    </xdr:to>
    <xdr:pic>
      <xdr:nvPicPr>
        <xdr:cNvPr id="2" name="Imagen 1">
          <a:extLst>
            <a:ext uri="{FF2B5EF4-FFF2-40B4-BE49-F238E27FC236}">
              <a16:creationId xmlns:a16="http://schemas.microsoft.com/office/drawing/2014/main" id="{03DD5D32-88F9-0E81-AD50-DCED44275BDE}"/>
            </a:ext>
          </a:extLst>
        </xdr:cNvPr>
        <xdr:cNvPicPr>
          <a:picLocks noChangeAspect="1"/>
        </xdr:cNvPicPr>
      </xdr:nvPicPr>
      <xdr:blipFill>
        <a:blip xmlns:r="http://schemas.openxmlformats.org/officeDocument/2006/relationships" r:embed="rId2"/>
        <a:stretch>
          <a:fillRect/>
        </a:stretch>
      </xdr:blipFill>
      <xdr:spPr>
        <a:xfrm>
          <a:off x="8591550" y="53109"/>
          <a:ext cx="3136900" cy="928738"/>
        </a:xfrm>
        <a:prstGeom prst="rect">
          <a:avLst/>
        </a:prstGeom>
      </xdr:spPr>
    </xdr:pic>
    <xdr:clientData/>
  </xdr:twoCellAnchor>
  <xdr:twoCellAnchor editAs="oneCell">
    <xdr:from>
      <xdr:col>4</xdr:col>
      <xdr:colOff>165100</xdr:colOff>
      <xdr:row>6</xdr:row>
      <xdr:rowOff>49024</xdr:rowOff>
    </xdr:from>
    <xdr:to>
      <xdr:col>7</xdr:col>
      <xdr:colOff>600808</xdr:colOff>
      <xdr:row>12</xdr:row>
      <xdr:rowOff>63791</xdr:rowOff>
    </xdr:to>
    <xdr:pic>
      <xdr:nvPicPr>
        <xdr:cNvPr id="3" name="Imagen 2">
          <a:extLst>
            <a:ext uri="{FF2B5EF4-FFF2-40B4-BE49-F238E27FC236}">
              <a16:creationId xmlns:a16="http://schemas.microsoft.com/office/drawing/2014/main" id="{4E8E81E2-3142-7205-9593-F43065456F9F}"/>
            </a:ext>
          </a:extLst>
        </xdr:cNvPr>
        <xdr:cNvPicPr>
          <a:picLocks noChangeAspect="1"/>
        </xdr:cNvPicPr>
      </xdr:nvPicPr>
      <xdr:blipFill>
        <a:blip xmlns:r="http://schemas.openxmlformats.org/officeDocument/2006/relationships" r:embed="rId3"/>
        <a:stretch>
          <a:fillRect/>
        </a:stretch>
      </xdr:blipFill>
      <xdr:spPr>
        <a:xfrm>
          <a:off x="3346450" y="1153924"/>
          <a:ext cx="2804258" cy="1119667"/>
        </a:xfrm>
        <a:prstGeom prst="rect">
          <a:avLst/>
        </a:prstGeom>
      </xdr:spPr>
    </xdr:pic>
    <xdr:clientData/>
  </xdr:twoCellAnchor>
  <xdr:twoCellAnchor editAs="oneCell">
    <xdr:from>
      <xdr:col>7</xdr:col>
      <xdr:colOff>171450</xdr:colOff>
      <xdr:row>15</xdr:row>
      <xdr:rowOff>91051</xdr:rowOff>
    </xdr:from>
    <xdr:to>
      <xdr:col>10</xdr:col>
      <xdr:colOff>397927</xdr:colOff>
      <xdr:row>19</xdr:row>
      <xdr:rowOff>111419</xdr:rowOff>
    </xdr:to>
    <xdr:pic>
      <xdr:nvPicPr>
        <xdr:cNvPr id="4" name="Imagen 3">
          <a:extLst>
            <a:ext uri="{FF2B5EF4-FFF2-40B4-BE49-F238E27FC236}">
              <a16:creationId xmlns:a16="http://schemas.microsoft.com/office/drawing/2014/main" id="{C63D3C0D-51F1-9492-8533-CA1853032D54}"/>
            </a:ext>
          </a:extLst>
        </xdr:cNvPr>
        <xdr:cNvPicPr>
          <a:picLocks noChangeAspect="1"/>
        </xdr:cNvPicPr>
      </xdr:nvPicPr>
      <xdr:blipFill>
        <a:blip xmlns:r="http://schemas.openxmlformats.org/officeDocument/2006/relationships" r:embed="rId4"/>
        <a:stretch>
          <a:fillRect/>
        </a:stretch>
      </xdr:blipFill>
      <xdr:spPr>
        <a:xfrm>
          <a:off x="6121400" y="2853301"/>
          <a:ext cx="2702977" cy="756968"/>
        </a:xfrm>
        <a:prstGeom prst="rect">
          <a:avLst/>
        </a:prstGeom>
      </xdr:spPr>
    </xdr:pic>
    <xdr:clientData/>
  </xdr:twoCellAnchor>
  <xdr:twoCellAnchor editAs="oneCell">
    <xdr:from>
      <xdr:col>4</xdr:col>
      <xdr:colOff>495300</xdr:colOff>
      <xdr:row>13</xdr:row>
      <xdr:rowOff>149675</xdr:rowOff>
    </xdr:from>
    <xdr:to>
      <xdr:col>7</xdr:col>
      <xdr:colOff>501650</xdr:colOff>
      <xdr:row>20</xdr:row>
      <xdr:rowOff>66815</xdr:rowOff>
    </xdr:to>
    <xdr:pic>
      <xdr:nvPicPr>
        <xdr:cNvPr id="5" name="Imagen 4">
          <a:extLst>
            <a:ext uri="{FF2B5EF4-FFF2-40B4-BE49-F238E27FC236}">
              <a16:creationId xmlns:a16="http://schemas.microsoft.com/office/drawing/2014/main" id="{95AA463E-68E1-DBAE-54F8-CE215954866D}"/>
            </a:ext>
          </a:extLst>
        </xdr:cNvPr>
        <xdr:cNvPicPr>
          <a:picLocks noChangeAspect="1"/>
        </xdr:cNvPicPr>
      </xdr:nvPicPr>
      <xdr:blipFill>
        <a:blip xmlns:r="http://schemas.openxmlformats.org/officeDocument/2006/relationships" r:embed="rId5"/>
        <a:stretch>
          <a:fillRect/>
        </a:stretch>
      </xdr:blipFill>
      <xdr:spPr>
        <a:xfrm>
          <a:off x="3676650" y="2543625"/>
          <a:ext cx="2374900" cy="12061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8C99A6-A7D5-417D-A109-187311EB94FC}" name="Tabla1" displayName="Tabla1" ref="A2:E17" totalsRowShown="0" headerRowDxfId="21" dataDxfId="20">
  <autoFilter ref="A2:E17" xr:uid="{E18C99A6-A7D5-417D-A109-187311EB94FC}">
    <filterColumn colId="0" hiddenButton="1"/>
    <filterColumn colId="1" hiddenButton="1"/>
    <filterColumn colId="2" hiddenButton="1"/>
    <filterColumn colId="3" hiddenButton="1"/>
    <filterColumn colId="4" hiddenButton="1"/>
  </autoFilter>
  <sortState xmlns:xlrd2="http://schemas.microsoft.com/office/spreadsheetml/2017/richdata2" ref="A3:E16">
    <sortCondition ref="A2:A16"/>
  </sortState>
  <tableColumns count="5">
    <tableColumn id="1" xr3:uid="{19CD4D76-1CC5-48BF-9617-AC7EBCBF03D9}" name="N°" dataDxfId="19"/>
    <tableColumn id="2" xr3:uid="{060C4D4C-E2DC-4A58-8261-94F68CD86310}" name="Etapa" dataDxfId="18"/>
    <tableColumn id="3" xr3:uid="{F5886262-8B66-44DE-A8CA-CCD44FAC65B8}" name="Proceso (s)" dataDxfId="17"/>
    <tableColumn id="4" xr3:uid="{62AD91F2-5982-477A-8D8D-CF99BCF1C482}" name="Set-up (s)" dataDxfId="16"/>
    <tableColumn id="5" xr3:uid="{E66446FC-83A2-4C34-BC92-FE1238C0EFCC}" name="Total" dataDxfId="15">
      <calculatedColumnFormula>C3+D3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8768C-2D7E-4818-B4AA-BDD95BDEC2CD}" name="Tabla13" displayName="Tabla13" ref="A20:D33" totalsRowShown="0" headerRowDxfId="14" dataDxfId="13">
  <autoFilter ref="A20:D33" xr:uid="{BC58768C-2D7E-4818-B4AA-BDD95BDEC2CD}">
    <filterColumn colId="0" hiddenButton="1"/>
    <filterColumn colId="1" hiddenButton="1"/>
    <filterColumn colId="2" hiddenButton="1"/>
    <filterColumn colId="3" hiddenButton="1"/>
  </autoFilter>
  <sortState xmlns:xlrd2="http://schemas.microsoft.com/office/spreadsheetml/2017/richdata2" ref="A21:D32">
    <sortCondition ref="A20:A32"/>
  </sortState>
  <tableColumns count="4">
    <tableColumn id="1" xr3:uid="{2E55E79A-A296-47B0-B232-9DFF752231C2}" name="N°" dataDxfId="12"/>
    <tableColumn id="2" xr3:uid="{E7AA5353-4CAE-4333-85DE-D237E1BC7118}" name="Ubicación" dataDxfId="11"/>
    <tableColumn id="3" xr3:uid="{CD0B87CE-1351-44F6-9ACE-B3E8564515ED}" name="Tiempo" dataDxfId="10"/>
    <tableColumn id="7" xr3:uid="{CDF80DF5-5F66-4BE8-9877-EFFB1C20A674}" name="Descripción detallada" dataDxfId="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7802E5-DEBF-4605-AC7B-EFF1F76CF9FB}" name="Tabla4" displayName="Tabla4" ref="B15:D24" totalsRowShown="0" headerRowDxfId="8" dataDxfId="7">
  <autoFilter ref="B15:D24" xr:uid="{1E7802E5-DEBF-4605-AC7B-EFF1F76CF9FB}">
    <filterColumn colId="0" hiddenButton="1"/>
    <filterColumn colId="1" hiddenButton="1"/>
    <filterColumn colId="2" hiddenButton="1"/>
  </autoFilter>
  <tableColumns count="3">
    <tableColumn id="1" xr3:uid="{DD8BD99A-55EB-43B2-85C0-40D72F09E04F}" name="Proceso" dataDxfId="6"/>
    <tableColumn id="2" xr3:uid="{C3DCC130-017E-4F1E-92EB-E315A1AEBA87}" name="Tp (s)" dataDxfId="5">
      <calculatedColumnFormula>Tiempos!E5*VSM!$G$7</calculatedColumnFormula>
    </tableColumn>
    <tableColumn id="7" xr3:uid="{F2156E13-D132-4894-A3B0-34414D91D3A9}" name="Día (h)" dataDxfId="4">
      <calculatedColumnFormula>Tabla4[[#This Row],[Tp (s)]]*'P. Rendimiento'!$B$1/3600</calculatedColumnFormula>
    </tableColum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29FE5-C33B-4E02-A4C8-0A378815E268}" name="Tabla3" displayName="Tabla3" ref="A2:J5" totalsRowShown="0" headerRowDxfId="3">
  <autoFilter ref="A2:J5" xr:uid="{5B029FE5-C33B-4E02-A4C8-0A378815E2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FD3036A3-92C4-47AD-AEAD-4738A5E2A4E3}" name="Indicadores" dataDxfId="2"/>
    <tableColumn id="2" xr3:uid="{45921F43-9ADF-496E-9A01-4F8D3E6BB354}" name="Inyección"/>
    <tableColumn id="3" xr3:uid="{CD10CB41-58D2-422E-98F4-84460853D09E}" name="Separado"/>
    <tableColumn id="4" xr3:uid="{304B0503-DEFE-4B0F-A316-C8BCC301392D}" name="Acabado"/>
    <tableColumn id="6" xr3:uid="{1369ADB9-7C04-46C0-8463-92CC60AD6ED2}" name="Ensamble general"/>
    <tableColumn id="7" xr3:uid="{74D6D253-8C91-4922-A738-A64961372299}" name="Tampografía" dataDxfId="1"/>
    <tableColumn id="5" xr3:uid="{DF0B388F-BE48-4DC1-9DFA-156D535A63E3}" name="Calidad" dataDxfId="0"/>
    <tableColumn id="8" xr3:uid="{A6F638C7-33A8-4B22-8E0B-18452822789D}" name="Empaquetado"/>
    <tableColumn id="9" xr3:uid="{108E8E86-038E-46DE-B6EC-0298F9BA78D8}" name="Palletizado"/>
    <tableColumn id="10" xr3:uid="{B6D79683-564E-46DA-BB68-BAC4B4264CC9}" name="Despacho"/>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2503-A03D-4A72-A530-385213610AD9}">
  <dimension ref="A1:H34"/>
  <sheetViews>
    <sheetView topLeftCell="A7" workbookViewId="0">
      <selection activeCell="F16" sqref="F16"/>
    </sheetView>
  </sheetViews>
  <sheetFormatPr baseColWidth="10" defaultColWidth="10.90625" defaultRowHeight="14.5" x14ac:dyDescent="0.35"/>
  <cols>
    <col min="1" max="1" width="7.36328125" style="1" bestFit="1" customWidth="1"/>
    <col min="2" max="2" width="16.1796875" style="1" bestFit="1" customWidth="1"/>
    <col min="3" max="3" width="14.54296875" style="1" bestFit="1" customWidth="1"/>
    <col min="4" max="4" width="24.81640625" style="1" bestFit="1" customWidth="1"/>
    <col min="5" max="5" width="11.1796875" style="1" bestFit="1" customWidth="1"/>
    <col min="6" max="6" width="20.81640625" style="1" bestFit="1" customWidth="1"/>
    <col min="7" max="7" width="26.6328125" style="1" bestFit="1" customWidth="1"/>
    <col min="8" max="8" width="13.36328125" style="1" customWidth="1"/>
    <col min="9" max="9" width="24.81640625" style="1" bestFit="1" customWidth="1"/>
    <col min="10" max="16384" width="10.90625" style="1"/>
  </cols>
  <sheetData>
    <row r="1" spans="1:8" x14ac:dyDescent="0.35">
      <c r="A1" s="35" t="s">
        <v>15</v>
      </c>
      <c r="B1" s="35"/>
      <c r="C1" s="35"/>
      <c r="D1" s="35"/>
      <c r="E1" s="35"/>
      <c r="G1" s="35"/>
      <c r="H1" s="35"/>
    </row>
    <row r="2" spans="1:8" ht="14.5" customHeight="1" x14ac:dyDescent="0.35">
      <c r="A2" s="1" t="s">
        <v>1</v>
      </c>
      <c r="B2" s="1" t="s">
        <v>0</v>
      </c>
      <c r="C2" s="1" t="s">
        <v>2</v>
      </c>
      <c r="D2" s="1" t="s">
        <v>3</v>
      </c>
      <c r="E2" s="1" t="s">
        <v>13</v>
      </c>
      <c r="G2" s="36" t="s">
        <v>91</v>
      </c>
      <c r="H2" s="36"/>
    </row>
    <row r="3" spans="1:8" x14ac:dyDescent="0.35">
      <c r="A3" s="1">
        <v>1.1000000000000001</v>
      </c>
      <c r="B3" s="1" t="s">
        <v>51</v>
      </c>
      <c r="C3" s="1">
        <v>20</v>
      </c>
      <c r="D3" s="1">
        <v>20</v>
      </c>
      <c r="E3" s="1">
        <f>C3+D3</f>
        <v>40</v>
      </c>
      <c r="G3" s="36"/>
      <c r="H3" s="36"/>
    </row>
    <row r="4" spans="1:8" x14ac:dyDescent="0.35">
      <c r="A4" s="1">
        <v>1.2</v>
      </c>
      <c r="B4" s="1" t="s">
        <v>50</v>
      </c>
      <c r="C4" s="1">
        <v>20</v>
      </c>
      <c r="D4" s="1">
        <v>20</v>
      </c>
      <c r="E4" s="1">
        <f t="shared" ref="E4:E5" si="0">C4+D4</f>
        <v>40</v>
      </c>
      <c r="G4" s="36"/>
      <c r="H4" s="36"/>
    </row>
    <row r="5" spans="1:8" x14ac:dyDescent="0.35">
      <c r="A5" s="1">
        <v>1.3</v>
      </c>
      <c r="B5" s="1" t="s">
        <v>52</v>
      </c>
      <c r="C5" s="1">
        <v>20</v>
      </c>
      <c r="D5" s="1">
        <v>20</v>
      </c>
      <c r="E5" s="1">
        <f t="shared" si="0"/>
        <v>40</v>
      </c>
      <c r="G5" s="36"/>
      <c r="H5" s="36"/>
    </row>
    <row r="6" spans="1:8" x14ac:dyDescent="0.35">
      <c r="A6" s="1">
        <v>2</v>
      </c>
      <c r="B6" s="1" t="s">
        <v>4</v>
      </c>
      <c r="C6" s="1">
        <v>5</v>
      </c>
      <c r="D6" s="1">
        <v>1</v>
      </c>
      <c r="E6" s="1">
        <f t="shared" ref="E6:E17" si="1">C6+D6</f>
        <v>6</v>
      </c>
      <c r="G6" s="36"/>
      <c r="H6" s="36"/>
    </row>
    <row r="7" spans="1:8" x14ac:dyDescent="0.35">
      <c r="A7" s="1">
        <v>3</v>
      </c>
      <c r="B7" s="1" t="s">
        <v>5</v>
      </c>
      <c r="C7" s="1">
        <v>3</v>
      </c>
      <c r="D7" s="1">
        <v>1</v>
      </c>
      <c r="E7" s="1">
        <f t="shared" si="1"/>
        <v>4</v>
      </c>
      <c r="G7" s="36"/>
      <c r="H7" s="36"/>
    </row>
    <row r="8" spans="1:8" x14ac:dyDescent="0.35">
      <c r="A8" s="1">
        <v>3.1</v>
      </c>
      <c r="B8" s="1" t="s">
        <v>6</v>
      </c>
      <c r="C8" s="1">
        <v>10</v>
      </c>
      <c r="D8" s="1">
        <v>0</v>
      </c>
      <c r="E8" s="1">
        <f t="shared" si="1"/>
        <v>10</v>
      </c>
      <c r="G8" s="36"/>
      <c r="H8" s="36"/>
    </row>
    <row r="9" spans="1:8" x14ac:dyDescent="0.35">
      <c r="A9" s="1">
        <v>3.2</v>
      </c>
      <c r="B9" s="1" t="s">
        <v>7</v>
      </c>
      <c r="C9" s="1">
        <v>2.5</v>
      </c>
      <c r="D9" s="1">
        <v>0</v>
      </c>
      <c r="E9" s="1">
        <f t="shared" si="1"/>
        <v>2.5</v>
      </c>
      <c r="G9" s="13"/>
    </row>
    <row r="10" spans="1:8" x14ac:dyDescent="0.35">
      <c r="A10" s="1">
        <v>4.0999999999999996</v>
      </c>
      <c r="B10" s="1" t="s">
        <v>8</v>
      </c>
      <c r="C10" s="1">
        <v>2</v>
      </c>
      <c r="D10" s="1">
        <v>1</v>
      </c>
      <c r="E10" s="1">
        <f t="shared" si="1"/>
        <v>3</v>
      </c>
      <c r="G10" s="12"/>
    </row>
    <row r="11" spans="1:8" x14ac:dyDescent="0.35">
      <c r="A11" s="1">
        <v>4.2</v>
      </c>
      <c r="B11" s="1" t="s">
        <v>9</v>
      </c>
      <c r="C11" s="1">
        <v>2.5</v>
      </c>
      <c r="D11" s="1">
        <v>1</v>
      </c>
      <c r="E11" s="1">
        <f t="shared" si="1"/>
        <v>3.5</v>
      </c>
      <c r="G11" s="12"/>
    </row>
    <row r="12" spans="1:8" x14ac:dyDescent="0.35">
      <c r="A12" s="1">
        <v>4.3</v>
      </c>
      <c r="B12" s="1" t="s">
        <v>10</v>
      </c>
      <c r="C12" s="1">
        <v>2</v>
      </c>
      <c r="D12" s="1">
        <v>1</v>
      </c>
      <c r="E12" s="1">
        <f t="shared" si="1"/>
        <v>3</v>
      </c>
    </row>
    <row r="13" spans="1:8" x14ac:dyDescent="0.35">
      <c r="A13" s="1">
        <v>6</v>
      </c>
      <c r="B13" s="1" t="s">
        <v>93</v>
      </c>
      <c r="C13" s="1">
        <v>6</v>
      </c>
      <c r="D13" s="1">
        <v>1</v>
      </c>
      <c r="E13" s="1">
        <f>C13+D13</f>
        <v>7</v>
      </c>
    </row>
    <row r="14" spans="1:8" ht="15.5" customHeight="1" x14ac:dyDescent="0.35">
      <c r="A14" s="1">
        <v>5</v>
      </c>
      <c r="B14" s="1" t="s">
        <v>11</v>
      </c>
      <c r="C14" s="1">
        <v>5</v>
      </c>
      <c r="D14" s="1">
        <v>1</v>
      </c>
      <c r="E14" s="1">
        <f>C14+D14</f>
        <v>6</v>
      </c>
    </row>
    <row r="15" spans="1:8" x14ac:dyDescent="0.35">
      <c r="A15" s="1">
        <v>7</v>
      </c>
      <c r="B15" s="1" t="s">
        <v>12</v>
      </c>
      <c r="C15" s="1">
        <v>4</v>
      </c>
      <c r="D15" s="1">
        <v>2</v>
      </c>
      <c r="E15" s="1">
        <f t="shared" si="1"/>
        <v>6</v>
      </c>
    </row>
    <row r="16" spans="1:8" x14ac:dyDescent="0.35">
      <c r="A16" s="1">
        <v>8</v>
      </c>
      <c r="B16" s="1" t="s">
        <v>14</v>
      </c>
      <c r="C16" s="1">
        <v>5.03</v>
      </c>
      <c r="D16" s="1">
        <v>5.03</v>
      </c>
      <c r="E16" s="1">
        <f t="shared" si="1"/>
        <v>10.06</v>
      </c>
    </row>
    <row r="17" spans="1:5" x14ac:dyDescent="0.35">
      <c r="A17" s="1">
        <v>9</v>
      </c>
      <c r="B17" s="1" t="s">
        <v>18</v>
      </c>
      <c r="C17" s="1">
        <v>30</v>
      </c>
      <c r="D17" s="1">
        <v>10</v>
      </c>
      <c r="E17" s="1">
        <f t="shared" si="1"/>
        <v>40</v>
      </c>
    </row>
    <row r="18" spans="1:5" x14ac:dyDescent="0.35">
      <c r="D18" s="1" t="s">
        <v>13</v>
      </c>
      <c r="E18" s="1">
        <f>SUM(Tabla1[Total])</f>
        <v>221.06</v>
      </c>
    </row>
    <row r="19" spans="1:5" x14ac:dyDescent="0.35">
      <c r="A19" s="35" t="s">
        <v>16</v>
      </c>
      <c r="B19" s="35"/>
      <c r="C19" s="35"/>
      <c r="D19" s="35"/>
    </row>
    <row r="20" spans="1:5" x14ac:dyDescent="0.35">
      <c r="A20" s="1" t="s">
        <v>1</v>
      </c>
      <c r="B20" s="1" t="s">
        <v>39</v>
      </c>
      <c r="C20" s="1" t="s">
        <v>17</v>
      </c>
      <c r="D20" s="1" t="s">
        <v>27</v>
      </c>
    </row>
    <row r="21" spans="1:5" x14ac:dyDescent="0.35">
      <c r="A21" s="1">
        <v>1.1000000000000001</v>
      </c>
      <c r="B21" s="3" t="s">
        <v>19</v>
      </c>
      <c r="C21" s="1">
        <v>10</v>
      </c>
      <c r="D21" s="1" t="s">
        <v>28</v>
      </c>
    </row>
    <row r="22" spans="1:5" x14ac:dyDescent="0.35">
      <c r="A22" s="1">
        <v>1.2</v>
      </c>
      <c r="B22" s="1" t="s">
        <v>19</v>
      </c>
      <c r="C22" s="1">
        <v>20</v>
      </c>
      <c r="D22" s="1" t="s">
        <v>29</v>
      </c>
    </row>
    <row r="23" spans="1:5" x14ac:dyDescent="0.35">
      <c r="A23" s="4">
        <v>2.1</v>
      </c>
      <c r="B23" s="4" t="s">
        <v>20</v>
      </c>
      <c r="C23" s="4">
        <v>20</v>
      </c>
      <c r="D23" s="4" t="s">
        <v>30</v>
      </c>
    </row>
    <row r="24" spans="1:5" x14ac:dyDescent="0.35">
      <c r="A24" s="4">
        <v>2.2000000000000002</v>
      </c>
      <c r="B24" s="4" t="s">
        <v>20</v>
      </c>
      <c r="C24" s="4">
        <v>10</v>
      </c>
      <c r="D24" s="4" t="s">
        <v>31</v>
      </c>
    </row>
    <row r="25" spans="1:5" x14ac:dyDescent="0.35">
      <c r="A25" s="1">
        <v>3.1</v>
      </c>
      <c r="B25" s="1" t="s">
        <v>21</v>
      </c>
      <c r="C25" s="1">
        <v>16</v>
      </c>
      <c r="D25" s="1" t="s">
        <v>33</v>
      </c>
    </row>
    <row r="26" spans="1:5" x14ac:dyDescent="0.35">
      <c r="A26" s="1">
        <v>3.2</v>
      </c>
      <c r="B26" s="1" t="s">
        <v>21</v>
      </c>
      <c r="C26" s="1">
        <v>16</v>
      </c>
      <c r="D26" s="1" t="s">
        <v>32</v>
      </c>
    </row>
    <row r="27" spans="1:5" x14ac:dyDescent="0.35">
      <c r="A27" s="4">
        <v>4</v>
      </c>
      <c r="B27" s="4" t="s">
        <v>22</v>
      </c>
      <c r="C27" s="4">
        <v>2</v>
      </c>
      <c r="D27" s="4" t="s">
        <v>34</v>
      </c>
    </row>
    <row r="28" spans="1:5" x14ac:dyDescent="0.35">
      <c r="A28" s="4">
        <v>5</v>
      </c>
      <c r="B28" s="4" t="s">
        <v>23</v>
      </c>
      <c r="C28" s="4">
        <v>15</v>
      </c>
      <c r="D28" s="4" t="s">
        <v>94</v>
      </c>
    </row>
    <row r="29" spans="1:5" x14ac:dyDescent="0.35">
      <c r="A29" s="1">
        <v>6</v>
      </c>
      <c r="B29" s="1" t="s">
        <v>24</v>
      </c>
      <c r="C29" s="1">
        <v>10</v>
      </c>
      <c r="D29" s="1" t="s">
        <v>95</v>
      </c>
    </row>
    <row r="30" spans="1:5" x14ac:dyDescent="0.35">
      <c r="A30" s="1">
        <v>7</v>
      </c>
      <c r="B30" s="1" t="s">
        <v>25</v>
      </c>
      <c r="C30" s="1">
        <v>4</v>
      </c>
      <c r="D30" s="1" t="s">
        <v>96</v>
      </c>
    </row>
    <row r="31" spans="1:5" x14ac:dyDescent="0.35">
      <c r="A31" s="1">
        <v>8</v>
      </c>
      <c r="B31" s="1" t="s">
        <v>26</v>
      </c>
      <c r="C31" s="1">
        <v>2</v>
      </c>
      <c r="D31" s="1" t="s">
        <v>120</v>
      </c>
    </row>
    <row r="32" spans="1:5" x14ac:dyDescent="0.35">
      <c r="A32" s="4">
        <v>9</v>
      </c>
      <c r="B32" s="4" t="s">
        <v>26</v>
      </c>
      <c r="C32" s="4">
        <v>14</v>
      </c>
      <c r="D32" s="4" t="s">
        <v>40</v>
      </c>
    </row>
    <row r="33" spans="1:4" x14ac:dyDescent="0.35">
      <c r="A33" s="1">
        <v>10</v>
      </c>
      <c r="B33" s="1" t="s">
        <v>148</v>
      </c>
      <c r="C33" s="1">
        <v>10</v>
      </c>
      <c r="D33" s="1" t="s">
        <v>130</v>
      </c>
    </row>
    <row r="34" spans="1:4" x14ac:dyDescent="0.35">
      <c r="B34" s="1" t="s">
        <v>13</v>
      </c>
      <c r="C34" s="1">
        <f>SUM(Tabla13[Tiempo])</f>
        <v>149</v>
      </c>
    </row>
  </sheetData>
  <mergeCells count="4">
    <mergeCell ref="A1:E1"/>
    <mergeCell ref="G1:H1"/>
    <mergeCell ref="A19:D19"/>
    <mergeCell ref="G2:H8"/>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B93E-6A43-49FD-BECD-E21C2093DF0D}">
  <dimension ref="A1:L26"/>
  <sheetViews>
    <sheetView workbookViewId="0">
      <selection activeCell="L13" sqref="L13"/>
    </sheetView>
  </sheetViews>
  <sheetFormatPr baseColWidth="10" defaultRowHeight="14.5" x14ac:dyDescent="0.35"/>
  <cols>
    <col min="1" max="1" width="11.08984375" style="1" bestFit="1" customWidth="1"/>
    <col min="2" max="2" width="12.54296875" style="1" bestFit="1" customWidth="1"/>
    <col min="3" max="3" width="8.90625" style="1" bestFit="1" customWidth="1"/>
    <col min="4" max="4" width="11.81640625" style="1" bestFit="1" customWidth="1"/>
    <col min="5" max="5" width="4.08984375" style="1" customWidth="1"/>
    <col min="6" max="6" width="17.1796875" style="22" bestFit="1" customWidth="1"/>
    <col min="7" max="7" width="17" style="22" bestFit="1" customWidth="1"/>
    <col min="8" max="8" width="6.81640625" customWidth="1"/>
    <col min="9" max="9" width="20.81640625" bestFit="1" customWidth="1"/>
    <col min="10" max="10" width="15.36328125" style="22" bestFit="1" customWidth="1"/>
    <col min="11" max="11" width="22.81640625" style="22" bestFit="1" customWidth="1"/>
    <col min="12" max="12" width="10.90625" style="34"/>
    <col min="14" max="14" width="7.90625" customWidth="1"/>
    <col min="15" max="15" width="17.1796875" bestFit="1" customWidth="1"/>
  </cols>
  <sheetData>
    <row r="1" spans="1:12" x14ac:dyDescent="0.35">
      <c r="A1" s="1" t="s">
        <v>100</v>
      </c>
      <c r="B1" s="1" t="s">
        <v>106</v>
      </c>
      <c r="C1" s="1" t="s">
        <v>114</v>
      </c>
      <c r="F1" s="1" t="s">
        <v>102</v>
      </c>
      <c r="G1" s="1" t="s">
        <v>101</v>
      </c>
      <c r="I1" s="1" t="s">
        <v>16</v>
      </c>
      <c r="J1" s="1" t="s">
        <v>129</v>
      </c>
      <c r="K1" s="1" t="s">
        <v>128</v>
      </c>
      <c r="L1" s="1" t="s">
        <v>149</v>
      </c>
    </row>
    <row r="2" spans="1:12" x14ac:dyDescent="0.35">
      <c r="A2" s="1" t="s">
        <v>107</v>
      </c>
      <c r="B2" s="1">
        <v>4</v>
      </c>
      <c r="C2" s="22">
        <f>$G$2*B2</f>
        <v>32</v>
      </c>
      <c r="F2" s="1" t="s">
        <v>103</v>
      </c>
      <c r="G2" s="1">
        <v>8</v>
      </c>
      <c r="I2" t="s">
        <v>122</v>
      </c>
      <c r="J2" s="1">
        <f>AVERAGE(Tiempos!C21:C22)</f>
        <v>15</v>
      </c>
      <c r="K2" s="22">
        <f>J2*$G$7</f>
        <v>45</v>
      </c>
      <c r="L2" s="32">
        <f>K2*'P. Rendimiento'!$B$1/3600</f>
        <v>1.1875</v>
      </c>
    </row>
    <row r="3" spans="1:12" x14ac:dyDescent="0.35">
      <c r="A3" s="1" t="s">
        <v>108</v>
      </c>
      <c r="B3" s="1">
        <v>1</v>
      </c>
      <c r="C3" s="22">
        <f>$G$2*B3</f>
        <v>8</v>
      </c>
      <c r="F3" s="1" t="s">
        <v>104</v>
      </c>
      <c r="G3" s="1">
        <v>7</v>
      </c>
      <c r="I3" t="s">
        <v>123</v>
      </c>
      <c r="J3" s="1">
        <f>AVERAGE(Tiempos!C23:C24)</f>
        <v>15</v>
      </c>
      <c r="K3" s="22">
        <f>J3*$C$13/40</f>
        <v>36.75</v>
      </c>
      <c r="L3" s="32">
        <f>K3*'P. Rendimiento'!$B$1/3600</f>
        <v>0.96979166666666672</v>
      </c>
    </row>
    <row r="4" spans="1:12" x14ac:dyDescent="0.35">
      <c r="A4" s="1" t="s">
        <v>109</v>
      </c>
      <c r="B4" s="1" t="s">
        <v>106</v>
      </c>
      <c r="C4" s="1" t="s">
        <v>114</v>
      </c>
      <c r="F4" s="1" t="s">
        <v>105</v>
      </c>
      <c r="G4" s="1">
        <v>5</v>
      </c>
      <c r="I4" s="1" t="s">
        <v>124</v>
      </c>
      <c r="J4" s="1">
        <f>AVERAGE(Tiempos!C25:C27)</f>
        <v>11.333333333333334</v>
      </c>
      <c r="K4" s="22">
        <f>J4*$C$13/40</f>
        <v>27.766666666666669</v>
      </c>
      <c r="L4" s="32">
        <f>K4*'P. Rendimiento'!$B$1/3600</f>
        <v>0.73273148148148148</v>
      </c>
    </row>
    <row r="5" spans="1:12" x14ac:dyDescent="0.35">
      <c r="A5" s="1" t="s">
        <v>110</v>
      </c>
      <c r="B5" s="1">
        <v>1</v>
      </c>
      <c r="C5" s="22">
        <f>$G$3*B5</f>
        <v>7</v>
      </c>
      <c r="F5" s="1" t="s">
        <v>13</v>
      </c>
      <c r="G5" s="22">
        <f>SUM(G2:G4)</f>
        <v>20</v>
      </c>
      <c r="I5" s="1" t="s">
        <v>125</v>
      </c>
      <c r="J5" s="1">
        <f>Tiempos!C28</f>
        <v>15</v>
      </c>
      <c r="K5" s="22">
        <f>J5*$G$5/$G$5</f>
        <v>15</v>
      </c>
      <c r="L5" s="32">
        <f>K5*'P. Rendimiento'!$B$1/3600</f>
        <v>0.39583333333333331</v>
      </c>
    </row>
    <row r="6" spans="1:12" ht="14.5" customHeight="1" x14ac:dyDescent="0.35">
      <c r="A6" s="1" t="s">
        <v>111</v>
      </c>
      <c r="B6" s="1">
        <v>1</v>
      </c>
      <c r="C6" s="22">
        <f>$G$3*B6</f>
        <v>7</v>
      </c>
      <c r="I6" s="1" t="s">
        <v>126</v>
      </c>
      <c r="J6" s="1">
        <f>Tiempos!C29</f>
        <v>10</v>
      </c>
      <c r="K6" s="22">
        <f>J6*$G$5/$G$5</f>
        <v>10</v>
      </c>
      <c r="L6" s="32">
        <f>K6*'P. Rendimiento'!$B$1/3600</f>
        <v>0.2638888888888889</v>
      </c>
    </row>
    <row r="7" spans="1:12" x14ac:dyDescent="0.35">
      <c r="A7" s="1" t="s">
        <v>112</v>
      </c>
      <c r="B7" s="1">
        <v>1</v>
      </c>
      <c r="C7" s="22">
        <f>$G$3*B7</f>
        <v>7</v>
      </c>
      <c r="F7" s="1" t="s">
        <v>119</v>
      </c>
      <c r="G7" s="1">
        <v>3</v>
      </c>
      <c r="I7" s="1" t="s">
        <v>96</v>
      </c>
      <c r="J7" s="1">
        <f>Tiempos!C30</f>
        <v>4</v>
      </c>
      <c r="K7" s="22">
        <f>J7*$G$5</f>
        <v>80</v>
      </c>
      <c r="L7" s="32">
        <f>K7*'P. Rendimiento'!$B$1/3600</f>
        <v>2.1111111111111112</v>
      </c>
    </row>
    <row r="8" spans="1:12" x14ac:dyDescent="0.35">
      <c r="A8" s="1" t="s">
        <v>113</v>
      </c>
      <c r="B8" s="1">
        <v>1</v>
      </c>
      <c r="C8" s="22">
        <f>$G$3*B8</f>
        <v>7</v>
      </c>
      <c r="I8" s="1" t="s">
        <v>127</v>
      </c>
      <c r="J8" s="1">
        <f>Tiempos!C32</f>
        <v>14</v>
      </c>
      <c r="K8" s="22">
        <f>L8*3600/'P. Rendimiento'!B1</f>
        <v>11.2</v>
      </c>
      <c r="L8" s="33">
        <f>J8*G11/3600</f>
        <v>0.29555555555555557</v>
      </c>
    </row>
    <row r="9" spans="1:12" x14ac:dyDescent="0.35">
      <c r="A9" s="1" t="s">
        <v>115</v>
      </c>
      <c r="B9" s="1" t="s">
        <v>106</v>
      </c>
      <c r="C9" s="1" t="s">
        <v>114</v>
      </c>
      <c r="F9" s="1" t="s">
        <v>137</v>
      </c>
      <c r="G9" s="22">
        <v>25</v>
      </c>
      <c r="I9" s="1" t="s">
        <v>130</v>
      </c>
      <c r="J9" s="1">
        <f>Tiempos!C33</f>
        <v>10</v>
      </c>
      <c r="K9" s="27">
        <f>J9*G12</f>
        <v>38</v>
      </c>
      <c r="L9" s="32">
        <f>K9*'P. Rendimiento'!$B$1/3600</f>
        <v>1.0027777777777778</v>
      </c>
    </row>
    <row r="10" spans="1:12" x14ac:dyDescent="0.35">
      <c r="A10" s="1" t="s">
        <v>116</v>
      </c>
      <c r="B10" s="1">
        <v>4</v>
      </c>
      <c r="C10" s="1">
        <f>B10*$G$4</f>
        <v>20</v>
      </c>
      <c r="F10" s="22" t="s">
        <v>138</v>
      </c>
      <c r="G10" s="22">
        <v>20</v>
      </c>
      <c r="J10" s="1" t="s">
        <v>136</v>
      </c>
      <c r="K10" s="22">
        <f>SUM(K2:K9)</f>
        <v>263.71666666666664</v>
      </c>
    </row>
    <row r="11" spans="1:12" x14ac:dyDescent="0.35">
      <c r="A11" s="1" t="s">
        <v>117</v>
      </c>
      <c r="B11" s="1">
        <v>1</v>
      </c>
      <c r="C11" s="1">
        <f>B11*$G$4</f>
        <v>5</v>
      </c>
      <c r="F11" s="22" t="s">
        <v>140</v>
      </c>
      <c r="G11" s="22">
        <f>'P. Rendimiento'!$F$5/VSM!G9</f>
        <v>76</v>
      </c>
      <c r="K11" s="22" t="s">
        <v>132</v>
      </c>
      <c r="L11" s="34">
        <f>SUM(L2:L9)</f>
        <v>6.959189814814815</v>
      </c>
    </row>
    <row r="12" spans="1:12" x14ac:dyDescent="0.35">
      <c r="A12" s="1" t="s">
        <v>118</v>
      </c>
      <c r="B12" s="1">
        <v>1</v>
      </c>
      <c r="C12" s="1">
        <f>B12*$G$4</f>
        <v>5</v>
      </c>
      <c r="F12" s="22" t="s">
        <v>141</v>
      </c>
      <c r="G12" s="22">
        <f>G11/G10</f>
        <v>3.8</v>
      </c>
    </row>
    <row r="13" spans="1:12" x14ac:dyDescent="0.35">
      <c r="B13" s="1" t="s">
        <v>13</v>
      </c>
      <c r="C13" s="1">
        <f>SUM(C2:C3)+SUM(C5:C8)+SUM(C10:C12)</f>
        <v>98</v>
      </c>
      <c r="I13" t="s">
        <v>102</v>
      </c>
      <c r="J13" s="22" t="s">
        <v>154</v>
      </c>
      <c r="K13" s="22" t="s">
        <v>155</v>
      </c>
      <c r="L13" s="34" t="s">
        <v>156</v>
      </c>
    </row>
    <row r="14" spans="1:12" x14ac:dyDescent="0.35">
      <c r="I14" t="s">
        <v>103</v>
      </c>
      <c r="J14" s="1">
        <v>0.155</v>
      </c>
    </row>
    <row r="15" spans="1:12" x14ac:dyDescent="0.35">
      <c r="A15" s="23" t="s">
        <v>1</v>
      </c>
      <c r="B15" s="1" t="s">
        <v>121</v>
      </c>
      <c r="C15" s="1" t="s">
        <v>133</v>
      </c>
      <c r="D15" s="1" t="s">
        <v>135</v>
      </c>
      <c r="F15" s="22" t="s">
        <v>88</v>
      </c>
      <c r="G15" s="11">
        <f>C25/G17</f>
        <v>0.78846788342752883</v>
      </c>
      <c r="I15" t="s">
        <v>104</v>
      </c>
      <c r="J15" s="1">
        <v>0.115</v>
      </c>
      <c r="K15"/>
    </row>
    <row r="16" spans="1:12" x14ac:dyDescent="0.35">
      <c r="A16" s="24">
        <v>1</v>
      </c>
      <c r="B16" s="1" t="s">
        <v>72</v>
      </c>
      <c r="C16" s="1">
        <f>Tiempos!E5*VSM!$G$7</f>
        <v>120</v>
      </c>
      <c r="D16" s="5">
        <f>Tabla4[[#This Row],[Tp (s)]]*'P. Rendimiento'!$B$1/3600</f>
        <v>3.1666666666666665</v>
      </c>
      <c r="F16" s="22" t="s">
        <v>89</v>
      </c>
      <c r="G16" s="11">
        <f>K10/G17</f>
        <v>0.21153211657247115</v>
      </c>
      <c r="I16" t="s">
        <v>105</v>
      </c>
      <c r="J16" s="1">
        <v>0.51200000000000001</v>
      </c>
      <c r="K16"/>
    </row>
    <row r="17" spans="1:11" x14ac:dyDescent="0.35">
      <c r="A17" s="24">
        <v>2</v>
      </c>
      <c r="B17" s="1" t="s">
        <v>85</v>
      </c>
      <c r="C17" s="1">
        <f>Tiempos!E6*VSM!$G$7</f>
        <v>18</v>
      </c>
      <c r="D17" s="5">
        <f>Tabla4[[#This Row],[Tp (s)]]*'P. Rendimiento'!$B$1/3600</f>
        <v>0.47499999999999998</v>
      </c>
      <c r="F17" s="22" t="s">
        <v>131</v>
      </c>
      <c r="G17" s="28">
        <f>C25+K10</f>
        <v>1246.6980000000001</v>
      </c>
      <c r="J17"/>
      <c r="K17"/>
    </row>
    <row r="18" spans="1:11" x14ac:dyDescent="0.35">
      <c r="A18" s="24">
        <v>3</v>
      </c>
      <c r="B18" s="1" t="s">
        <v>83</v>
      </c>
      <c r="C18" s="1">
        <f>Tiempos!E7*$C$13</f>
        <v>392</v>
      </c>
      <c r="D18" s="5">
        <f>Tabla4[[#This Row],[Tp (s)]]*'P. Rendimiento'!$B$1/3600</f>
        <v>10.344444444444445</v>
      </c>
      <c r="I18" s="22" t="s">
        <v>150</v>
      </c>
      <c r="J18" t="s">
        <v>155</v>
      </c>
      <c r="K18" t="s">
        <v>156</v>
      </c>
    </row>
    <row r="19" spans="1:11" ht="14.5" customHeight="1" x14ac:dyDescent="0.35">
      <c r="A19" s="24">
        <v>4</v>
      </c>
      <c r="B19" s="1" t="s">
        <v>86</v>
      </c>
      <c r="C19" s="1">
        <f>AVERAGE(Tiempos!E10:E12)*G5</f>
        <v>63.333333333333329</v>
      </c>
      <c r="D19" s="5">
        <f>Tabla4[[#This Row],[Tp (s)]]*'P. Rendimiento'!$B$1/3600</f>
        <v>1.6712962962962961</v>
      </c>
      <c r="F19" s="37" t="s">
        <v>90</v>
      </c>
      <c r="G19" s="37"/>
      <c r="I19" s="22" t="s">
        <v>151</v>
      </c>
      <c r="J19">
        <f>J14*G2</f>
        <v>1.24</v>
      </c>
      <c r="K19"/>
    </row>
    <row r="20" spans="1:11" x14ac:dyDescent="0.35">
      <c r="A20" s="24">
        <v>5</v>
      </c>
      <c r="B20" s="1" t="s">
        <v>93</v>
      </c>
      <c r="C20" s="1">
        <f>Tiempos!E13*G5</f>
        <v>140</v>
      </c>
      <c r="D20" s="5">
        <f>Tabla4[[#This Row],[Tp (s)]]*'P. Rendimiento'!$B$1/3600</f>
        <v>3.6944444444444446</v>
      </c>
      <c r="F20" s="37"/>
      <c r="G20" s="37"/>
      <c r="I20" s="22" t="s">
        <v>152</v>
      </c>
      <c r="J20"/>
      <c r="K20"/>
    </row>
    <row r="21" spans="1:11" x14ac:dyDescent="0.35">
      <c r="A21" s="24">
        <v>6</v>
      </c>
      <c r="B21" s="1" t="s">
        <v>74</v>
      </c>
      <c r="C21" s="1">
        <f>Tiempos!E14*G5</f>
        <v>120</v>
      </c>
      <c r="D21" s="5">
        <f>Tabla4[[#This Row],[Tp (s)]]*'P. Rendimiento'!$B$1/3600</f>
        <v>3.1666666666666665</v>
      </c>
      <c r="F21" s="37"/>
      <c r="G21" s="37"/>
      <c r="I21" s="22" t="s">
        <v>153</v>
      </c>
      <c r="J21"/>
      <c r="K21"/>
    </row>
    <row r="22" spans="1:11" x14ac:dyDescent="0.35">
      <c r="A22" s="24">
        <v>7</v>
      </c>
      <c r="B22" s="1" t="s">
        <v>12</v>
      </c>
      <c r="C22" s="1">
        <f>Tiempos!E15*G5</f>
        <v>120</v>
      </c>
      <c r="D22" s="5">
        <f>Tabla4[[#This Row],[Tp (s)]]*'P. Rendimiento'!$B$1/3600</f>
        <v>3.1666666666666665</v>
      </c>
      <c r="F22" s="1"/>
      <c r="G22" s="26"/>
      <c r="H22" s="26"/>
      <c r="I22" s="22"/>
      <c r="J22"/>
      <c r="K22"/>
    </row>
    <row r="23" spans="1:11" x14ac:dyDescent="0.35">
      <c r="A23" s="24">
        <v>8</v>
      </c>
      <c r="B23" s="1" t="s">
        <v>87</v>
      </c>
      <c r="C23" s="1">
        <f>Tiempos!E16*G11/'P. Rendimiento'!B1</f>
        <v>8.048</v>
      </c>
      <c r="D23" s="5">
        <f>Tabla4[[#This Row],[Tp (s)]]*'P. Rendimiento'!$B$1/3600</f>
        <v>0.2123777777777778</v>
      </c>
      <c r="F23" s="1"/>
      <c r="H23" s="22"/>
      <c r="I23" s="22"/>
      <c r="J23"/>
      <c r="K23"/>
    </row>
    <row r="24" spans="1:11" x14ac:dyDescent="0.35">
      <c r="A24" s="25">
        <v>9</v>
      </c>
      <c r="B24" s="1" t="s">
        <v>18</v>
      </c>
      <c r="C24" s="1">
        <f>Tiempos!E17*G12/'P. Rendimiento'!B1</f>
        <v>1.6</v>
      </c>
      <c r="D24" s="5">
        <f>Tabla4[[#This Row],[Tp (s)]]*'P. Rendimiento'!$B$1/3600</f>
        <v>4.2222222222222223E-2</v>
      </c>
      <c r="F24" s="1"/>
      <c r="G24"/>
      <c r="H24" s="22"/>
      <c r="I24" s="22"/>
      <c r="J24"/>
      <c r="K24"/>
    </row>
    <row r="25" spans="1:11" x14ac:dyDescent="0.35">
      <c r="A25"/>
      <c r="B25" s="1" t="s">
        <v>136</v>
      </c>
      <c r="C25" s="1">
        <f>SUM(Tabla4[Tp (s)])</f>
        <v>982.9813333333334</v>
      </c>
      <c r="F25" s="5"/>
    </row>
    <row r="26" spans="1:11" x14ac:dyDescent="0.35">
      <c r="C26" s="1" t="s">
        <v>132</v>
      </c>
      <c r="D26" s="5">
        <f>SUM(Tabla4[Día (h)])</f>
        <v>25.939785185185187</v>
      </c>
    </row>
  </sheetData>
  <mergeCells count="1">
    <mergeCell ref="F19:G2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tabSelected="1" workbookViewId="0">
      <selection activeCell="D8" sqref="D8"/>
    </sheetView>
  </sheetViews>
  <sheetFormatPr baseColWidth="10" defaultColWidth="8.81640625" defaultRowHeight="14.5" x14ac:dyDescent="0.35"/>
  <cols>
    <col min="1" max="1" width="24.08984375" style="1" bestFit="1" customWidth="1"/>
    <col min="2" max="2" width="11.81640625" style="1" bestFit="1" customWidth="1"/>
    <col min="3" max="3" width="29.54296875" style="1" bestFit="1" customWidth="1"/>
    <col min="4" max="4" width="8.453125" style="1" customWidth="1"/>
    <col min="5" max="5" width="13.90625" style="1" bestFit="1" customWidth="1"/>
    <col min="6" max="6" width="17.36328125" style="1" bestFit="1" customWidth="1"/>
    <col min="7" max="7" width="10.1796875" style="1" bestFit="1" customWidth="1"/>
    <col min="8" max="8" width="13.81640625" style="1" bestFit="1" customWidth="1"/>
    <col min="9" max="9" width="18.6328125" style="1" bestFit="1" customWidth="1"/>
    <col min="10" max="10" width="18.7265625" style="1" bestFit="1" customWidth="1"/>
    <col min="11" max="16384" width="8.81640625" style="1"/>
  </cols>
  <sheetData>
    <row r="1" spans="1:13" x14ac:dyDescent="0.35">
      <c r="A1" s="1" t="s">
        <v>48</v>
      </c>
      <c r="B1" s="1">
        <v>95</v>
      </c>
      <c r="C1" s="1" t="s">
        <v>66</v>
      </c>
      <c r="D1" s="35" t="s">
        <v>35</v>
      </c>
      <c r="E1" s="35"/>
      <c r="F1" s="1" t="s">
        <v>139</v>
      </c>
      <c r="G1" s="1" t="s">
        <v>60</v>
      </c>
      <c r="H1" s="1" t="s">
        <v>84</v>
      </c>
    </row>
    <row r="2" spans="1:13" x14ac:dyDescent="0.35">
      <c r="A2" s="1" t="s">
        <v>63</v>
      </c>
      <c r="B2" s="1">
        <v>5</v>
      </c>
      <c r="C2" s="5">
        <f>8 - 70/60</f>
        <v>6.833333333333333</v>
      </c>
      <c r="D2" s="1" t="s">
        <v>36</v>
      </c>
      <c r="E2" s="1">
        <v>8</v>
      </c>
      <c r="F2" s="1">
        <f>E2*$B$1</f>
        <v>760</v>
      </c>
      <c r="G2" s="1">
        <f t="shared" ref="G2:G3" si="0">F2*$B$2</f>
        <v>3800</v>
      </c>
      <c r="H2" s="1">
        <f>G2/8</f>
        <v>475</v>
      </c>
    </row>
    <row r="3" spans="1:13" x14ac:dyDescent="0.35">
      <c r="A3" s="1" t="s">
        <v>49</v>
      </c>
      <c r="B3" s="1">
        <f>B2*B1</f>
        <v>475</v>
      </c>
      <c r="C3" s="16" t="s">
        <v>97</v>
      </c>
      <c r="D3" s="1" t="s">
        <v>38</v>
      </c>
      <c r="E3" s="1">
        <v>7</v>
      </c>
      <c r="F3" s="1">
        <f t="shared" ref="F3:F4" si="1">E3*$B$1</f>
        <v>665</v>
      </c>
      <c r="G3" s="1">
        <f t="shared" si="0"/>
        <v>3325</v>
      </c>
      <c r="I3" s="1">
        <f>(I23*B9)/(C2*5*60)</f>
        <v>0.93842105263157893</v>
      </c>
    </row>
    <row r="4" spans="1:13" x14ac:dyDescent="0.35">
      <c r="C4" s="16">
        <f>(B1*3)</f>
        <v>285</v>
      </c>
      <c r="D4" s="1" t="s">
        <v>37</v>
      </c>
      <c r="E4" s="1">
        <v>5</v>
      </c>
      <c r="F4" s="1">
        <f t="shared" si="1"/>
        <v>475</v>
      </c>
      <c r="G4" s="1">
        <f>F4*$B$2</f>
        <v>2375</v>
      </c>
    </row>
    <row r="5" spans="1:13" x14ac:dyDescent="0.35">
      <c r="A5" s="1" t="s">
        <v>134</v>
      </c>
      <c r="B5" s="15">
        <f>C5/3</f>
        <v>97.850000000000009</v>
      </c>
      <c r="C5" s="17">
        <f>C4*1.03</f>
        <v>293.55</v>
      </c>
      <c r="E5" s="1" t="s">
        <v>139</v>
      </c>
      <c r="F5" s="1">
        <f>SUM(F2:F4)</f>
        <v>1900</v>
      </c>
      <c r="G5" s="20">
        <f>SUM(G2:G4)</f>
        <v>9500</v>
      </c>
      <c r="H5" s="20" t="s">
        <v>53</v>
      </c>
    </row>
    <row r="6" spans="1:13" x14ac:dyDescent="0.35">
      <c r="F6" s="1" t="s">
        <v>147</v>
      </c>
      <c r="G6" s="1">
        <f>G5*4</f>
        <v>38000</v>
      </c>
    </row>
    <row r="7" spans="1:13" x14ac:dyDescent="0.35">
      <c r="A7" s="1" t="s">
        <v>46</v>
      </c>
      <c r="B7" s="1" t="s">
        <v>47</v>
      </c>
      <c r="E7" s="2" t="s">
        <v>54</v>
      </c>
      <c r="F7" s="2">
        <f>F8*F9*F10*B12</f>
        <v>9500</v>
      </c>
      <c r="H7" s="2" t="s">
        <v>58</v>
      </c>
      <c r="I7" s="19">
        <f>G5/F7</f>
        <v>1</v>
      </c>
    </row>
    <row r="8" spans="1:13" x14ac:dyDescent="0.35">
      <c r="A8" s="1" t="s">
        <v>44</v>
      </c>
      <c r="B8" s="5">
        <v>0</v>
      </c>
      <c r="C8" s="6" t="s">
        <v>59</v>
      </c>
      <c r="E8" s="1" t="s">
        <v>55</v>
      </c>
      <c r="F8" s="1">
        <v>1</v>
      </c>
    </row>
    <row r="9" spans="1:13" x14ac:dyDescent="0.35">
      <c r="A9" s="1" t="s">
        <v>45</v>
      </c>
      <c r="B9" s="5">
        <f>(C10*C2*60)/G5</f>
        <v>0.21578947368421053</v>
      </c>
      <c r="C9" s="4" t="s">
        <v>64</v>
      </c>
      <c r="E9" s="1" t="s">
        <v>56</v>
      </c>
      <c r="F9" s="1">
        <v>5</v>
      </c>
    </row>
    <row r="10" spans="1:13" x14ac:dyDescent="0.35">
      <c r="A10" s="1" t="s">
        <v>43</v>
      </c>
      <c r="B10" s="5">
        <f>B9*G5</f>
        <v>2050</v>
      </c>
      <c r="C10" s="7">
        <v>5</v>
      </c>
      <c r="E10" s="1" t="s">
        <v>57</v>
      </c>
      <c r="F10" s="1">
        <f>C2</f>
        <v>6.833333333333333</v>
      </c>
    </row>
    <row r="11" spans="1:13" x14ac:dyDescent="0.35">
      <c r="A11" s="1" t="s">
        <v>42</v>
      </c>
      <c r="B11" s="5">
        <f>B10/G5</f>
        <v>0.21578947368421053</v>
      </c>
    </row>
    <row r="12" spans="1:13" ht="14.5" customHeight="1" x14ac:dyDescent="0.35">
      <c r="A12" s="2" t="s">
        <v>41</v>
      </c>
      <c r="B12" s="18">
        <f>60/B11</f>
        <v>278.04878048780489</v>
      </c>
      <c r="H12" s="38" t="s">
        <v>142</v>
      </c>
      <c r="I12" s="38"/>
      <c r="J12" s="38"/>
      <c r="K12" s="12"/>
      <c r="L12" s="12"/>
      <c r="M12" s="12"/>
    </row>
    <row r="13" spans="1:13" x14ac:dyDescent="0.35">
      <c r="H13" s="38"/>
      <c r="I13" s="38"/>
      <c r="J13" s="38"/>
      <c r="K13" s="12"/>
      <c r="L13" s="12"/>
      <c r="M13" s="12"/>
    </row>
    <row r="14" spans="1:13" x14ac:dyDescent="0.35">
      <c r="H14" s="39" t="s">
        <v>102</v>
      </c>
      <c r="I14" s="39" t="s">
        <v>143</v>
      </c>
      <c r="J14" s="39" t="s">
        <v>144</v>
      </c>
    </row>
    <row r="15" spans="1:13" x14ac:dyDescent="0.35">
      <c r="H15" s="39" t="s">
        <v>36</v>
      </c>
      <c r="I15" s="39">
        <v>3474</v>
      </c>
      <c r="J15" s="39">
        <v>14757</v>
      </c>
    </row>
    <row r="16" spans="1:13" x14ac:dyDescent="0.35">
      <c r="H16" s="39" t="s">
        <v>38</v>
      </c>
      <c r="I16" s="39">
        <v>3033</v>
      </c>
      <c r="J16" s="39">
        <v>12873</v>
      </c>
    </row>
    <row r="17" spans="1:10" x14ac:dyDescent="0.35">
      <c r="H17" s="39" t="s">
        <v>37</v>
      </c>
      <c r="I17" s="39">
        <v>2141</v>
      </c>
      <c r="J17" s="39">
        <v>9086</v>
      </c>
    </row>
    <row r="18" spans="1:10" x14ac:dyDescent="0.35">
      <c r="E18" s="2" t="s">
        <v>98</v>
      </c>
      <c r="F18" s="21">
        <f>C2*60*60/F5</f>
        <v>12.947368421052632</v>
      </c>
      <c r="H18" s="39" t="s">
        <v>13</v>
      </c>
      <c r="I18" s="39">
        <f>SUM(I15:I17)</f>
        <v>8648</v>
      </c>
      <c r="J18" s="39">
        <f>SUM(J15:J17)</f>
        <v>36716</v>
      </c>
    </row>
    <row r="19" spans="1:10" x14ac:dyDescent="0.35">
      <c r="H19" s="39" t="s">
        <v>146</v>
      </c>
      <c r="I19" s="40">
        <f>1-I18/G5</f>
        <v>8.9684210526315811E-2</v>
      </c>
      <c r="J19" s="40">
        <f>1-J18/G6</f>
        <v>3.378947368421048E-2</v>
      </c>
    </row>
    <row r="20" spans="1:10" x14ac:dyDescent="0.35">
      <c r="A20" s="2" t="s">
        <v>61</v>
      </c>
      <c r="B20" s="2">
        <f>F8*(B8+G5*B9+B21)</f>
        <v>9730</v>
      </c>
      <c r="C20" s="5">
        <f>B20/60/24</f>
        <v>6.7569444444444438</v>
      </c>
    </row>
    <row r="21" spans="1:10" x14ac:dyDescent="0.35">
      <c r="A21" s="1" t="s">
        <v>62</v>
      </c>
      <c r="B21" s="1">
        <f xml:space="preserve"> (16*5 + 48)*60</f>
        <v>7680</v>
      </c>
      <c r="C21" s="1" t="s">
        <v>65</v>
      </c>
    </row>
    <row r="22" spans="1:10" x14ac:dyDescent="0.35">
      <c r="H22" s="1" t="s">
        <v>145</v>
      </c>
      <c r="I22" s="1">
        <v>267</v>
      </c>
    </row>
    <row r="23" spans="1:10" x14ac:dyDescent="0.35">
      <c r="H23" s="1" t="s">
        <v>13</v>
      </c>
      <c r="I23" s="1">
        <f>I18+I22</f>
        <v>8915</v>
      </c>
    </row>
  </sheetData>
  <mergeCells count="2">
    <mergeCell ref="H12:J13"/>
    <mergeCell ref="D1:E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10CC-D191-4B84-AC9A-C3DC17F5F4F7}">
  <dimension ref="A1:J13"/>
  <sheetViews>
    <sheetView zoomScaleNormal="100" workbookViewId="0">
      <selection activeCell="J9" sqref="J9"/>
    </sheetView>
  </sheetViews>
  <sheetFormatPr baseColWidth="10" defaultColWidth="10.90625" defaultRowHeight="14.5" x14ac:dyDescent="0.35"/>
  <cols>
    <col min="1" max="1" width="13.08984375" style="1" bestFit="1" customWidth="1"/>
    <col min="2" max="2" width="10.6328125" style="1" customWidth="1"/>
    <col min="3" max="4" width="10.90625" style="1"/>
    <col min="5" max="5" width="15.54296875" style="1" bestFit="1" customWidth="1"/>
    <col min="6" max="6" width="11.36328125" style="1" bestFit="1" customWidth="1"/>
    <col min="7" max="7" width="7" style="1" bestFit="1" customWidth="1"/>
    <col min="8" max="8" width="12.6328125" style="1" bestFit="1" customWidth="1"/>
    <col min="9" max="9" width="11.81640625" style="1" customWidth="1"/>
    <col min="10" max="10" width="11" style="1" customWidth="1"/>
    <col min="11" max="16384" width="10.90625" style="1"/>
  </cols>
  <sheetData>
    <row r="1" spans="1:10" x14ac:dyDescent="0.35">
      <c r="A1" s="35" t="s">
        <v>70</v>
      </c>
      <c r="B1" s="35"/>
      <c r="C1" s="35"/>
      <c r="D1" s="35"/>
      <c r="E1" s="35"/>
      <c r="F1" s="35"/>
      <c r="G1" s="35"/>
      <c r="H1" s="35"/>
      <c r="I1" s="35"/>
      <c r="J1" s="35"/>
    </row>
    <row r="2" spans="1:10" x14ac:dyDescent="0.35">
      <c r="A2" s="1" t="s">
        <v>46</v>
      </c>
      <c r="B2" s="1" t="s">
        <v>72</v>
      </c>
      <c r="C2" s="1" t="s">
        <v>71</v>
      </c>
      <c r="D2" s="1" t="s">
        <v>83</v>
      </c>
      <c r="E2" s="1" t="s">
        <v>73</v>
      </c>
      <c r="F2" s="1" t="s">
        <v>93</v>
      </c>
      <c r="G2" s="29" t="s">
        <v>74</v>
      </c>
      <c r="H2" s="1" t="s">
        <v>12</v>
      </c>
      <c r="I2" s="1" t="s">
        <v>14</v>
      </c>
      <c r="J2" s="1" t="s">
        <v>18</v>
      </c>
    </row>
    <row r="3" spans="1:10" x14ac:dyDescent="0.35">
      <c r="A3" s="1" t="s">
        <v>67</v>
      </c>
      <c r="B3" s="1">
        <v>272</v>
      </c>
      <c r="C3" s="1">
        <v>136</v>
      </c>
      <c r="D3" s="1">
        <v>136</v>
      </c>
      <c r="E3" s="1">
        <v>272</v>
      </c>
      <c r="F3" s="1">
        <v>272</v>
      </c>
      <c r="G3" s="1">
        <v>136</v>
      </c>
      <c r="H3" s="1">
        <v>272</v>
      </c>
      <c r="I3" s="1">
        <v>272</v>
      </c>
      <c r="J3" s="1">
        <v>136</v>
      </c>
    </row>
    <row r="4" spans="1:10" x14ac:dyDescent="0.35">
      <c r="A4" s="1" t="s">
        <v>68</v>
      </c>
      <c r="B4" s="1">
        <v>6</v>
      </c>
      <c r="C4" s="1">
        <v>1</v>
      </c>
      <c r="D4" s="1">
        <v>1</v>
      </c>
      <c r="E4" s="1">
        <v>3</v>
      </c>
      <c r="F4" s="1">
        <v>3</v>
      </c>
      <c r="G4" s="30">
        <v>1</v>
      </c>
      <c r="H4" s="1">
        <v>3</v>
      </c>
      <c r="I4" s="1">
        <v>6</v>
      </c>
      <c r="J4" s="1">
        <v>1</v>
      </c>
    </row>
    <row r="5" spans="1:10" x14ac:dyDescent="0.35">
      <c r="A5" s="1" t="s">
        <v>69</v>
      </c>
      <c r="B5" s="8">
        <f t="shared" ref="B5:G5" si="0">B3/SUM(B3:B4)</f>
        <v>0.97841726618705038</v>
      </c>
      <c r="C5" s="8">
        <f t="shared" si="0"/>
        <v>0.99270072992700731</v>
      </c>
      <c r="D5" s="8">
        <f t="shared" si="0"/>
        <v>0.99270072992700731</v>
      </c>
      <c r="E5" s="8">
        <f t="shared" si="0"/>
        <v>0.98909090909090913</v>
      </c>
      <c r="F5" s="8">
        <f t="shared" si="0"/>
        <v>0.98909090909090913</v>
      </c>
      <c r="G5" s="31">
        <f t="shared" si="0"/>
        <v>0.99270072992700731</v>
      </c>
      <c r="H5" s="8">
        <f t="shared" ref="H5:J5" si="1">H3/SUM(H3:H4)</f>
        <v>0.98909090909090913</v>
      </c>
      <c r="I5" s="8">
        <f t="shared" si="1"/>
        <v>0.97841726618705038</v>
      </c>
      <c r="J5" s="8">
        <f t="shared" si="1"/>
        <v>0.99270072992700731</v>
      </c>
    </row>
    <row r="7" spans="1:10" x14ac:dyDescent="0.35">
      <c r="A7" s="10" t="s">
        <v>75</v>
      </c>
      <c r="B7" s="9">
        <f>B8*D8*D11</f>
        <v>0.82755980861244005</v>
      </c>
    </row>
    <row r="8" spans="1:10" ht="14.5" customHeight="1" x14ac:dyDescent="0.35">
      <c r="A8" s="10" t="s">
        <v>69</v>
      </c>
      <c r="B8" s="14">
        <f>B9/B10</f>
        <v>0.78846788342752894</v>
      </c>
      <c r="C8" s="1" t="s">
        <v>79</v>
      </c>
      <c r="D8" s="8">
        <f>D9*D10</f>
        <v>1.0819845243897019</v>
      </c>
    </row>
    <row r="9" spans="1:10" ht="14.5" customHeight="1" x14ac:dyDescent="0.35">
      <c r="A9" s="10" t="s">
        <v>78</v>
      </c>
      <c r="B9" s="5">
        <f>B10-B11</f>
        <v>5.3878638700881138</v>
      </c>
      <c r="C9" s="1" t="s">
        <v>80</v>
      </c>
      <c r="D9" s="8">
        <f>('P. Rendimiento'!I23*'P. Rendimiento'!B9)/(B9*5*60)</f>
        <v>1.1901829768286722</v>
      </c>
    </row>
    <row r="10" spans="1:10" x14ac:dyDescent="0.35">
      <c r="A10" s="10" t="s">
        <v>76</v>
      </c>
      <c r="B10" s="1">
        <f>8-B12</f>
        <v>6.833333333333333</v>
      </c>
      <c r="C10" s="1" t="s">
        <v>81</v>
      </c>
      <c r="D10" s="8">
        <f>1/1.1</f>
        <v>0.90909090909090906</v>
      </c>
    </row>
    <row r="11" spans="1:10" x14ac:dyDescent="0.35">
      <c r="A11" s="10" t="s">
        <v>99</v>
      </c>
      <c r="B11" s="5">
        <f>B10*VSM!G16</f>
        <v>1.4454694632452194</v>
      </c>
      <c r="C11" s="1" t="s">
        <v>82</v>
      </c>
      <c r="D11" s="8">
        <f>('P. Rendimiento'!I23-'P. Rendimiento'!I22)/'P. Rendimiento'!I23</f>
        <v>0.97005047672462141</v>
      </c>
    </row>
    <row r="12" spans="1:10" x14ac:dyDescent="0.35">
      <c r="A12" s="10" t="s">
        <v>77</v>
      </c>
      <c r="B12" s="5">
        <f xml:space="preserve"> 70/60</f>
        <v>1.1666666666666667</v>
      </c>
    </row>
    <row r="13" spans="1:10" x14ac:dyDescent="0.35">
      <c r="G13" s="1" t="s">
        <v>92</v>
      </c>
    </row>
  </sheetData>
  <mergeCells count="1">
    <mergeCell ref="A1:J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Tiempos</vt:lpstr>
      <vt:lpstr>VSM</vt:lpstr>
      <vt:lpstr>P. Rendimiento</vt:lpstr>
      <vt:lpstr>E.G. Equipamiento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Yovany Vargas</dc:creator>
  <cp:lastModifiedBy>Yovany Vargas</cp:lastModifiedBy>
  <dcterms:created xsi:type="dcterms:W3CDTF">2015-06-05T18:19:34Z</dcterms:created>
  <dcterms:modified xsi:type="dcterms:W3CDTF">2025-02-11T18:29:25Z</dcterms:modified>
</cp:coreProperties>
</file>