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<sst xmlns="http://schemas.openxmlformats.org/spreadsheetml/2006/main" count="22" uniqueCount="18">
  <si>
    <t>sample_id</t>
  </si>
  <si>
    <t>sample_name</t>
  </si>
  <si>
    <t>No more than 1000 samples can be entered in this worksheet.  If you need to submit metadata for &gt;1000 samples, please contact CMI directly.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</si>
  <si>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</si>
  <si>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</si>
  <si>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</si>
  <si>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</si>
  <si>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</si>
  <si>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</si>
  <si>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</si>
  <si>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</si>
  <si>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</si>
  <si>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</si>
  <si>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</si>
  <si>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</si>
  <si>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 xml:space="preserve">sample_name:
  empty: false
  is_phi: false
  regex: ^[a-zA-Z0-9\.]+$
  required: true
  type: string
  unique: true
</t>
  </si>
  <si>
    <t xml:space="preserve">{}
</t>
  </si>
  <si>
    <t>This file was created by QIIMP v0.3 at 2021-04-08 13:14:21.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</si>
</sst>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</cols>
  <sheetData>
    <row r="1" spans="1:2">
      <c r="A1" s="2" t="s">
        <v>0</v>
      </c>
      <c r="B1" s="2" t="s">
        <v>1</v>
      </c>
    </row>
    <row r="2" spans="1:2">
      <c r="A2">
        <f>IF(COUNTBLANK(B2)&lt;&gt;COLUMNS(B2),1,"")</f>
        <v>0</v>
      </c>
    </row>
    <row r="3" spans="1:2">
      <c r="A3">
        <f>IF(COUNTBLANK(B3)&lt;&gt;COLUMNS(B3),2,"")</f>
        <v>0</v>
      </c>
    </row>
    <row r="4" spans="1:2">
      <c r="A4">
        <f>IF(COUNTBLANK(B4)&lt;&gt;COLUMNS(B4),3,"")</f>
        <v>0</v>
      </c>
    </row>
    <row r="5" spans="1:2">
      <c r="A5">
        <f>IF(COUNTBLANK(B5)&lt;&gt;COLUMNS(B5),4,"")</f>
        <v>0</v>
      </c>
    </row>
    <row r="6" spans="1:2">
      <c r="A6">
        <f>IF(COUNTBLANK(B6)&lt;&gt;COLUMNS(B6),5,"")</f>
        <v>0</v>
      </c>
    </row>
    <row r="7" spans="1:2">
      <c r="A7">
        <f>IF(COUNTBLANK(B7)&lt;&gt;COLUMNS(B7),6,"")</f>
        <v>0</v>
      </c>
    </row>
    <row r="8" spans="1:2">
      <c r="A8">
        <f>IF(COUNTBLANK(B8)&lt;&gt;COLUMNS(B8),7,"")</f>
        <v>0</v>
      </c>
    </row>
    <row r="9" spans="1:2">
      <c r="A9">
        <f>IF(COUNTBLANK(B9)&lt;&gt;COLUMNS(B9),8,"")</f>
        <v>0</v>
      </c>
    </row>
    <row r="10" spans="1:2">
      <c r="A10">
        <f>IF(COUNTBLANK(B10)&lt;&gt;COLUMNS(B10),9,"")</f>
        <v>0</v>
      </c>
    </row>
    <row r="11" spans="1:2">
      <c r="A11">
        <f>IF(COUNTBLANK(B11)&lt;&gt;COLUMNS(B11),10,"")</f>
        <v>0</v>
      </c>
    </row>
    <row r="12" spans="1:2">
      <c r="A12">
        <f>IF(COUNTBLANK(B12)&lt;&gt;COLUMNS(B12),11,"")</f>
        <v>0</v>
      </c>
    </row>
    <row r="13" spans="1:2">
      <c r="A13">
        <f>IF(COUNTBLANK(B13)&lt;&gt;COLUMNS(B13),12,"")</f>
        <v>0</v>
      </c>
    </row>
    <row r="14" spans="1:2">
      <c r="A14">
        <f>IF(COUNTBLANK(B14)&lt;&gt;COLUMNS(B14),13,"")</f>
        <v>0</v>
      </c>
    </row>
    <row r="15" spans="1:2">
      <c r="A15">
        <f>IF(COUNTBLANK(B15)&lt;&gt;COLUMNS(B15),14,"")</f>
        <v>0</v>
      </c>
    </row>
    <row r="16" spans="1:2">
      <c r="A16">
        <f>IF(COUNTBLANK(B16)&lt;&gt;COLUMNS(B16),15,"")</f>
        <v>0</v>
      </c>
    </row>
    <row r="17" spans="1:1">
      <c r="A17">
        <f>IF(COUNTBLANK(B17)&lt;&gt;COLUMNS(B17),16,"")</f>
        <v>0</v>
      </c>
    </row>
    <row r="18" spans="1:1">
      <c r="A18">
        <f>IF(COUNTBLANK(B18)&lt;&gt;COLUMNS(B18),17,"")</f>
        <v>0</v>
      </c>
    </row>
    <row r="19" spans="1:1">
      <c r="A19">
        <f>IF(COUNTBLANK(B19)&lt;&gt;COLUMNS(B19),18,"")</f>
        <v>0</v>
      </c>
    </row>
    <row r="20" spans="1:1">
      <c r="A20">
        <f>IF(COUNTBLANK(B20)&lt;&gt;COLUMNS(B20),19,"")</f>
        <v>0</v>
      </c>
    </row>
    <row r="21" spans="1:1">
      <c r="A21">
        <f>IF(COUNTBLANK(B21)&lt;&gt;COLUMNS(B21),20,"")</f>
        <v>0</v>
      </c>
    </row>
    <row r="22" spans="1:1">
      <c r="A22">
        <f>IF(COUNTBLANK(B22)&lt;&gt;COLUMNS(B22),21,"")</f>
        <v>0</v>
      </c>
    </row>
    <row r="23" spans="1:1">
      <c r="A23">
        <f>IF(COUNTBLANK(B23)&lt;&gt;COLUMNS(B23),22,"")</f>
        <v>0</v>
      </c>
    </row>
    <row r="24" spans="1:1">
      <c r="A24">
        <f>IF(COUNTBLANK(B24)&lt;&gt;COLUMNS(B24),23,"")</f>
        <v>0</v>
      </c>
    </row>
    <row r="25" spans="1:1">
      <c r="A25">
        <f>IF(COUNTBLANK(B25)&lt;&gt;COLUMNS(B25),24,"")</f>
        <v>0</v>
      </c>
    </row>
    <row r="26" spans="1:1">
      <c r="A26">
        <f>IF(COUNTBLANK(B26)&lt;&gt;COLUMNS(B26),25,"")</f>
        <v>0</v>
      </c>
    </row>
    <row r="27" spans="1:1">
      <c r="A27">
        <f>IF(COUNTBLANK(B27)&lt;&gt;COLUMNS(B27),26,"")</f>
        <v>0</v>
      </c>
    </row>
    <row r="28" spans="1:1">
      <c r="A28">
        <f>IF(COUNTBLANK(B28)&lt;&gt;COLUMNS(B28),27,"")</f>
        <v>0</v>
      </c>
    </row>
    <row r="29" spans="1:1">
      <c r="A29">
        <f>IF(COUNTBLANK(B29)&lt;&gt;COLUMNS(B29),28,"")</f>
        <v>0</v>
      </c>
    </row>
    <row r="30" spans="1:1">
      <c r="A30">
        <f>IF(COUNTBLANK(B30)&lt;&gt;COLUMNS(B30),29,"")</f>
        <v>0</v>
      </c>
    </row>
    <row r="31" spans="1:1">
      <c r="A31">
        <f>IF(COUNTBLANK(B31)&lt;&gt;COLUMNS(B31),30,"")</f>
        <v>0</v>
      </c>
    </row>
    <row r="32" spans="1:1">
      <c r="A32">
        <f>IF(COUNTBLANK(B32)&lt;&gt;COLUMNS(B32),31,"")</f>
        <v>0</v>
      </c>
    </row>
    <row r="33" spans="1:1">
      <c r="A33">
        <f>IF(COUNTBLANK(B33)&lt;&gt;COLUMNS(B33),32,"")</f>
        <v>0</v>
      </c>
    </row>
    <row r="34" spans="1:1">
      <c r="A34">
        <f>IF(COUNTBLANK(B34)&lt;&gt;COLUMNS(B34),33,"")</f>
        <v>0</v>
      </c>
    </row>
    <row r="35" spans="1:1">
      <c r="A35">
        <f>IF(COUNTBLANK(B35)&lt;&gt;COLUMNS(B35),34,"")</f>
        <v>0</v>
      </c>
    </row>
    <row r="36" spans="1:1">
      <c r="A36">
        <f>IF(COUNTBLANK(B36)&lt;&gt;COLUMNS(B36),35,"")</f>
        <v>0</v>
      </c>
    </row>
    <row r="37" spans="1:1">
      <c r="A37">
        <f>IF(COUNTBLANK(B37)&lt;&gt;COLUMNS(B37),36,"")</f>
        <v>0</v>
      </c>
    </row>
    <row r="38" spans="1:1">
      <c r="A38">
        <f>IF(COUNTBLANK(B38)&lt;&gt;COLUMNS(B38),37,"")</f>
        <v>0</v>
      </c>
    </row>
    <row r="39" spans="1:1">
      <c r="A39">
        <f>IF(COUNTBLANK(B39)&lt;&gt;COLUMNS(B39),38,"")</f>
        <v>0</v>
      </c>
    </row>
    <row r="40" spans="1:1">
      <c r="A40">
        <f>IF(COUNTBLANK(B40)&lt;&gt;COLUMNS(B40),39,"")</f>
        <v>0</v>
      </c>
    </row>
    <row r="41" spans="1:1">
      <c r="A41">
        <f>IF(COUNTBLANK(B41)&lt;&gt;COLUMNS(B41),40,"")</f>
        <v>0</v>
      </c>
    </row>
    <row r="42" spans="1:1">
      <c r="A42">
        <f>IF(COUNTBLANK(B42)&lt;&gt;COLUMNS(B42),41,"")</f>
        <v>0</v>
      </c>
    </row>
    <row r="43" spans="1:1">
      <c r="A43">
        <f>IF(COUNTBLANK(B43)&lt;&gt;COLUMNS(B43),42,"")</f>
        <v>0</v>
      </c>
    </row>
    <row r="44" spans="1:1">
      <c r="A44">
        <f>IF(COUNTBLANK(B44)&lt;&gt;COLUMNS(B44),43,"")</f>
        <v>0</v>
      </c>
    </row>
    <row r="45" spans="1:1">
      <c r="A45">
        <f>IF(COUNTBLANK(B45)&lt;&gt;COLUMNS(B45),44,"")</f>
        <v>0</v>
      </c>
    </row>
    <row r="46" spans="1:1">
      <c r="A46">
        <f>IF(COUNTBLANK(B46)&lt;&gt;COLUMNS(B46),45,"")</f>
        <v>0</v>
      </c>
    </row>
    <row r="47" spans="1:1">
      <c r="A47">
        <f>IF(COUNTBLANK(B47)&lt;&gt;COLUMNS(B47),46,"")</f>
        <v>0</v>
      </c>
    </row>
    <row r="48" spans="1:1">
      <c r="A48">
        <f>IF(COUNTBLANK(B48)&lt;&gt;COLUMNS(B48),47,"")</f>
        <v>0</v>
      </c>
    </row>
    <row r="49" spans="1:1">
      <c r="A49">
        <f>IF(COUNTBLANK(B49)&lt;&gt;COLUMNS(B49),48,"")</f>
        <v>0</v>
      </c>
    </row>
    <row r="50" spans="1:1">
      <c r="A50">
        <f>IF(COUNTBLANK(B50)&lt;&gt;COLUMNS(B50),49,"")</f>
        <v>0</v>
      </c>
    </row>
    <row r="51" spans="1:1">
      <c r="A51">
        <f>IF(COUNTBLANK(B51)&lt;&gt;COLUMNS(B51),50,"")</f>
        <v>0</v>
      </c>
    </row>
    <row r="52" spans="1:1">
      <c r="A52">
        <f>IF(COUNTBLANK(B52)&lt;&gt;COLUMNS(B52),51,"")</f>
        <v>0</v>
      </c>
    </row>
    <row r="53" spans="1:1">
      <c r="A53">
        <f>IF(COUNTBLANK(B53)&lt;&gt;COLUMNS(B53),52,"")</f>
        <v>0</v>
      </c>
    </row>
    <row r="54" spans="1:1">
      <c r="A54">
        <f>IF(COUNTBLANK(B54)&lt;&gt;COLUMNS(B54),53,"")</f>
        <v>0</v>
      </c>
    </row>
    <row r="55" spans="1:1">
      <c r="A55">
        <f>IF(COUNTBLANK(B55)&lt;&gt;COLUMNS(B55),54,"")</f>
        <v>0</v>
      </c>
    </row>
    <row r="56" spans="1:1">
      <c r="A56">
        <f>IF(COUNTBLANK(B56)&lt;&gt;COLUMNS(B56),55,"")</f>
        <v>0</v>
      </c>
    </row>
    <row r="57" spans="1:1">
      <c r="A57">
        <f>IF(COUNTBLANK(B57)&lt;&gt;COLUMNS(B57),56,"")</f>
        <v>0</v>
      </c>
    </row>
    <row r="58" spans="1:1">
      <c r="A58">
        <f>IF(COUNTBLANK(B58)&lt;&gt;COLUMNS(B58),57,"")</f>
        <v>0</v>
      </c>
    </row>
    <row r="59" spans="1:1">
      <c r="A59">
        <f>IF(COUNTBLANK(B59)&lt;&gt;COLUMNS(B59),58,"")</f>
        <v>0</v>
      </c>
    </row>
    <row r="60" spans="1:1">
      <c r="A60">
        <f>IF(COUNTBLANK(B60)&lt;&gt;COLUMNS(B60),59,"")</f>
        <v>0</v>
      </c>
    </row>
    <row r="61" spans="1:1">
      <c r="A61">
        <f>IF(COUNTBLANK(B61)&lt;&gt;COLUMNS(B61),60,"")</f>
        <v>0</v>
      </c>
    </row>
    <row r="62" spans="1:1">
      <c r="A62">
        <f>IF(COUNTBLANK(B62)&lt;&gt;COLUMNS(B62),61,"")</f>
        <v>0</v>
      </c>
    </row>
    <row r="63" spans="1:1">
      <c r="A63">
        <f>IF(COUNTBLANK(B63)&lt;&gt;COLUMNS(B63),62,"")</f>
        <v>0</v>
      </c>
    </row>
    <row r="64" spans="1:1">
      <c r="A64">
        <f>IF(COUNTBLANK(B64)&lt;&gt;COLUMNS(B64),63,"")</f>
        <v>0</v>
      </c>
    </row>
    <row r="65" spans="1:1">
      <c r="A65">
        <f>IF(COUNTBLANK(B65)&lt;&gt;COLUMNS(B65),64,"")</f>
        <v>0</v>
      </c>
    </row>
    <row r="66" spans="1:1">
      <c r="A66">
        <f>IF(COUNTBLANK(B66)&lt;&gt;COLUMNS(B66),65,"")</f>
        <v>0</v>
      </c>
    </row>
    <row r="67" spans="1:1">
      <c r="A67">
        <f>IF(COUNTBLANK(B67)&lt;&gt;COLUMNS(B67),66,"")</f>
        <v>0</v>
      </c>
    </row>
    <row r="68" spans="1:1">
      <c r="A68">
        <f>IF(COUNTBLANK(B68)&lt;&gt;COLUMNS(B68),67,"")</f>
        <v>0</v>
      </c>
    </row>
    <row r="69" spans="1:1">
      <c r="A69">
        <f>IF(COUNTBLANK(B69)&lt;&gt;COLUMNS(B69),68,"")</f>
        <v>0</v>
      </c>
    </row>
    <row r="70" spans="1:1">
      <c r="A70">
        <f>IF(COUNTBLANK(B70)&lt;&gt;COLUMNS(B70),69,"")</f>
        <v>0</v>
      </c>
    </row>
    <row r="71" spans="1:1">
      <c r="A71">
        <f>IF(COUNTBLANK(B71)&lt;&gt;COLUMNS(B71),70,"")</f>
        <v>0</v>
      </c>
    </row>
    <row r="72" spans="1:1">
      <c r="A72">
        <f>IF(COUNTBLANK(B72)&lt;&gt;COLUMNS(B72),71,"")</f>
        <v>0</v>
      </c>
    </row>
    <row r="73" spans="1:1">
      <c r="A73">
        <f>IF(COUNTBLANK(B73)&lt;&gt;COLUMNS(B73),72,"")</f>
        <v>0</v>
      </c>
    </row>
    <row r="74" spans="1:1">
      <c r="A74">
        <f>IF(COUNTBLANK(B74)&lt;&gt;COLUMNS(B74),73,"")</f>
        <v>0</v>
      </c>
    </row>
    <row r="75" spans="1:1">
      <c r="A75">
        <f>IF(COUNTBLANK(B75)&lt;&gt;COLUMNS(B75),74,"")</f>
        <v>0</v>
      </c>
    </row>
    <row r="76" spans="1:1">
      <c r="A76">
        <f>IF(COUNTBLANK(B76)&lt;&gt;COLUMNS(B76),75,"")</f>
        <v>0</v>
      </c>
    </row>
    <row r="77" spans="1:1">
      <c r="A77">
        <f>IF(COUNTBLANK(B77)&lt;&gt;COLUMNS(B77),76,"")</f>
        <v>0</v>
      </c>
    </row>
    <row r="78" spans="1:1">
      <c r="A78">
        <f>IF(COUNTBLANK(B78)&lt;&gt;COLUMNS(B78),77,"")</f>
        <v>0</v>
      </c>
    </row>
    <row r="79" spans="1:1">
      <c r="A79">
        <f>IF(COUNTBLANK(B79)&lt;&gt;COLUMNS(B79),78,"")</f>
        <v>0</v>
      </c>
    </row>
    <row r="80" spans="1:1">
      <c r="A80">
        <f>IF(COUNTBLANK(B80)&lt;&gt;COLUMNS(B80),79,"")</f>
        <v>0</v>
      </c>
    </row>
    <row r="81" spans="1:1">
      <c r="A81">
        <f>IF(COUNTBLANK(B81)&lt;&gt;COLUMNS(B81),80,"")</f>
        <v>0</v>
      </c>
    </row>
    <row r="82" spans="1:1">
      <c r="A82">
        <f>IF(COUNTBLANK(B82)&lt;&gt;COLUMNS(B82),81,"")</f>
        <v>0</v>
      </c>
    </row>
    <row r="83" spans="1:1">
      <c r="A83">
        <f>IF(COUNTBLANK(B83)&lt;&gt;COLUMNS(B83),82,"")</f>
        <v>0</v>
      </c>
    </row>
    <row r="84" spans="1:1">
      <c r="A84">
        <f>IF(COUNTBLANK(B84)&lt;&gt;COLUMNS(B84),83,"")</f>
        <v>0</v>
      </c>
    </row>
    <row r="85" spans="1:1">
      <c r="A85">
        <f>IF(COUNTBLANK(B85)&lt;&gt;COLUMNS(B85),84,"")</f>
        <v>0</v>
      </c>
    </row>
    <row r="86" spans="1:1">
      <c r="A86">
        <f>IF(COUNTBLANK(B86)&lt;&gt;COLUMNS(B86),85,"")</f>
        <v>0</v>
      </c>
    </row>
    <row r="87" spans="1:1">
      <c r="A87">
        <f>IF(COUNTBLANK(B87)&lt;&gt;COLUMNS(B87),86,"")</f>
        <v>0</v>
      </c>
    </row>
    <row r="88" spans="1:1">
      <c r="A88">
        <f>IF(COUNTBLANK(B88)&lt;&gt;COLUMNS(B88),87,"")</f>
        <v>0</v>
      </c>
    </row>
    <row r="89" spans="1:1">
      <c r="A89">
        <f>IF(COUNTBLANK(B89)&lt;&gt;COLUMNS(B89),88,"")</f>
        <v>0</v>
      </c>
    </row>
    <row r="90" spans="1:1">
      <c r="A90">
        <f>IF(COUNTBLANK(B90)&lt;&gt;COLUMNS(B90),89,"")</f>
        <v>0</v>
      </c>
    </row>
    <row r="91" spans="1:1">
      <c r="A91">
        <f>IF(COUNTBLANK(B91)&lt;&gt;COLUMNS(B91),90,"")</f>
        <v>0</v>
      </c>
    </row>
    <row r="92" spans="1:1">
      <c r="A92">
        <f>IF(COUNTBLANK(B92)&lt;&gt;COLUMNS(B92),91,"")</f>
        <v>0</v>
      </c>
    </row>
    <row r="93" spans="1:1">
      <c r="A93">
        <f>IF(COUNTBLANK(B93)&lt;&gt;COLUMNS(B93),92,"")</f>
        <v>0</v>
      </c>
    </row>
    <row r="94" spans="1:1">
      <c r="A94">
        <f>IF(COUNTBLANK(B94)&lt;&gt;COLUMNS(B94),93,"")</f>
        <v>0</v>
      </c>
    </row>
    <row r="95" spans="1:1">
      <c r="A95">
        <f>IF(COUNTBLANK(B95)&lt;&gt;COLUMNS(B95),94,"")</f>
        <v>0</v>
      </c>
    </row>
    <row r="96" spans="1:1">
      <c r="A96">
        <f>IF(COUNTBLANK(B96)&lt;&gt;COLUMNS(B96),95,"")</f>
        <v>0</v>
      </c>
    </row>
    <row r="97" spans="1:1">
      <c r="A97">
        <f>IF(COUNTBLANK(B97)&lt;&gt;COLUMNS(B97),96,"")</f>
        <v>0</v>
      </c>
    </row>
    <row r="98" spans="1:1">
      <c r="A98">
        <f>IF(COUNTBLANK(B98)&lt;&gt;COLUMNS(B98),97,"")</f>
        <v>0</v>
      </c>
    </row>
    <row r="99" spans="1:1">
      <c r="A99">
        <f>IF(COUNTBLANK(B99)&lt;&gt;COLUMNS(B99),98,"")</f>
        <v>0</v>
      </c>
    </row>
    <row r="100" spans="1:1">
      <c r="A100">
        <f>IF(COUNTBLANK(B100)&lt;&gt;COLUMNS(B100),99,"")</f>
        <v>0</v>
      </c>
    </row>
    <row r="101" spans="1:1">
      <c r="A101">
        <f>IF(COUNTBLANK(B101)&lt;&gt;COLUMNS(B101),100,"")</f>
        <v>0</v>
      </c>
    </row>
    <row r="102" spans="1:1">
      <c r="A102">
        <f>IF(COUNTBLANK(B102)&lt;&gt;COLUMNS(B102),101,"")</f>
        <v>0</v>
      </c>
    </row>
    <row r="103" spans="1:1">
      <c r="A103">
        <f>IF(COUNTBLANK(B103)&lt;&gt;COLUMNS(B103),102,"")</f>
        <v>0</v>
      </c>
    </row>
    <row r="104" spans="1:1">
      <c r="A104">
        <f>IF(COUNTBLANK(B104)&lt;&gt;COLUMNS(B104),103,"")</f>
        <v>0</v>
      </c>
    </row>
    <row r="105" spans="1:1">
      <c r="A105">
        <f>IF(COUNTBLANK(B105)&lt;&gt;COLUMNS(B105),104,"")</f>
        <v>0</v>
      </c>
    </row>
    <row r="106" spans="1:1">
      <c r="A106">
        <f>IF(COUNTBLANK(B106)&lt;&gt;COLUMNS(B106),105,"")</f>
        <v>0</v>
      </c>
    </row>
    <row r="107" spans="1:1">
      <c r="A107">
        <f>IF(COUNTBLANK(B107)&lt;&gt;COLUMNS(B107),106,"")</f>
        <v>0</v>
      </c>
    </row>
    <row r="108" spans="1:1">
      <c r="A108">
        <f>IF(COUNTBLANK(B108)&lt;&gt;COLUMNS(B108),107,"")</f>
        <v>0</v>
      </c>
    </row>
    <row r="109" spans="1:1">
      <c r="A109">
        <f>IF(COUNTBLANK(B109)&lt;&gt;COLUMNS(B109),108,"")</f>
        <v>0</v>
      </c>
    </row>
    <row r="110" spans="1:1">
      <c r="A110">
        <f>IF(COUNTBLANK(B110)&lt;&gt;COLUMNS(B110),109,"")</f>
        <v>0</v>
      </c>
    </row>
    <row r="111" spans="1:1">
      <c r="A111">
        <f>IF(COUNTBLANK(B111)&lt;&gt;COLUMNS(B111),110,"")</f>
        <v>0</v>
      </c>
    </row>
    <row r="112" spans="1:1">
      <c r="A112">
        <f>IF(COUNTBLANK(B112)&lt;&gt;COLUMNS(B112),111,"")</f>
        <v>0</v>
      </c>
    </row>
    <row r="113" spans="1:1">
      <c r="A113">
        <f>IF(COUNTBLANK(B113)&lt;&gt;COLUMNS(B113),112,"")</f>
        <v>0</v>
      </c>
    </row>
    <row r="114" spans="1:1">
      <c r="A114">
        <f>IF(COUNTBLANK(B114)&lt;&gt;COLUMNS(B114),113,"")</f>
        <v>0</v>
      </c>
    </row>
    <row r="115" spans="1:1">
      <c r="A115">
        <f>IF(COUNTBLANK(B115)&lt;&gt;COLUMNS(B115),114,"")</f>
        <v>0</v>
      </c>
    </row>
    <row r="116" spans="1:1">
      <c r="A116">
        <f>IF(COUNTBLANK(B116)&lt;&gt;COLUMNS(B116),115,"")</f>
        <v>0</v>
      </c>
    </row>
    <row r="117" spans="1:1">
      <c r="A117">
        <f>IF(COUNTBLANK(B117)&lt;&gt;COLUMNS(B117),116,"")</f>
        <v>0</v>
      </c>
    </row>
    <row r="118" spans="1:1">
      <c r="A118">
        <f>IF(COUNTBLANK(B118)&lt;&gt;COLUMNS(B118),117,"")</f>
        <v>0</v>
      </c>
    </row>
    <row r="119" spans="1:1">
      <c r="A119">
        <f>IF(COUNTBLANK(B119)&lt;&gt;COLUMNS(B119),118,"")</f>
        <v>0</v>
      </c>
    </row>
    <row r="120" spans="1:1">
      <c r="A120">
        <f>IF(COUNTBLANK(B120)&lt;&gt;COLUMNS(B120),119,"")</f>
        <v>0</v>
      </c>
    </row>
    <row r="121" spans="1:1">
      <c r="A121">
        <f>IF(COUNTBLANK(B121)&lt;&gt;COLUMNS(B121),120,"")</f>
        <v>0</v>
      </c>
    </row>
    <row r="122" spans="1:1">
      <c r="A122">
        <f>IF(COUNTBLANK(B122)&lt;&gt;COLUMNS(B122),121,"")</f>
        <v>0</v>
      </c>
    </row>
    <row r="123" spans="1:1">
      <c r="A123">
        <f>IF(COUNTBLANK(B123)&lt;&gt;COLUMNS(B123),122,"")</f>
        <v>0</v>
      </c>
    </row>
    <row r="124" spans="1:1">
      <c r="A124">
        <f>IF(COUNTBLANK(B124)&lt;&gt;COLUMNS(B124),123,"")</f>
        <v>0</v>
      </c>
    </row>
    <row r="125" spans="1:1">
      <c r="A125">
        <f>IF(COUNTBLANK(B125)&lt;&gt;COLUMNS(B125),124,"")</f>
        <v>0</v>
      </c>
    </row>
    <row r="126" spans="1:1">
      <c r="A126">
        <f>IF(COUNTBLANK(B126)&lt;&gt;COLUMNS(B126),125,"")</f>
        <v>0</v>
      </c>
    </row>
    <row r="127" spans="1:1">
      <c r="A127">
        <f>IF(COUNTBLANK(B127)&lt;&gt;COLUMNS(B127),126,"")</f>
        <v>0</v>
      </c>
    </row>
    <row r="128" spans="1:1">
      <c r="A128">
        <f>IF(COUNTBLANK(B128)&lt;&gt;COLUMNS(B128),127,"")</f>
        <v>0</v>
      </c>
    </row>
    <row r="129" spans="1:1">
      <c r="A129">
        <f>IF(COUNTBLANK(B129)&lt;&gt;COLUMNS(B129),128,"")</f>
        <v>0</v>
      </c>
    </row>
    <row r="130" spans="1:1">
      <c r="A130">
        <f>IF(COUNTBLANK(B130)&lt;&gt;COLUMNS(B130),129,"")</f>
        <v>0</v>
      </c>
    </row>
    <row r="131" spans="1:1">
      <c r="A131">
        <f>IF(COUNTBLANK(B131)&lt;&gt;COLUMNS(B131),130,"")</f>
        <v>0</v>
      </c>
    </row>
    <row r="132" spans="1:1">
      <c r="A132">
        <f>IF(COUNTBLANK(B132)&lt;&gt;COLUMNS(B132),131,"")</f>
        <v>0</v>
      </c>
    </row>
    <row r="133" spans="1:1">
      <c r="A133">
        <f>IF(COUNTBLANK(B133)&lt;&gt;COLUMNS(B133),132,"")</f>
        <v>0</v>
      </c>
    </row>
    <row r="134" spans="1:1">
      <c r="A134">
        <f>IF(COUNTBLANK(B134)&lt;&gt;COLUMNS(B134),133,"")</f>
        <v>0</v>
      </c>
    </row>
    <row r="135" spans="1:1">
      <c r="A135">
        <f>IF(COUNTBLANK(B135)&lt;&gt;COLUMNS(B135),134,"")</f>
        <v>0</v>
      </c>
    </row>
    <row r="136" spans="1:1">
      <c r="A136">
        <f>IF(COUNTBLANK(B136)&lt;&gt;COLUMNS(B136),135,"")</f>
        <v>0</v>
      </c>
    </row>
    <row r="137" spans="1:1">
      <c r="A137">
        <f>IF(COUNTBLANK(B137)&lt;&gt;COLUMNS(B137),136,"")</f>
        <v>0</v>
      </c>
    </row>
    <row r="138" spans="1:1">
      <c r="A138">
        <f>IF(COUNTBLANK(B138)&lt;&gt;COLUMNS(B138),137,"")</f>
        <v>0</v>
      </c>
    </row>
    <row r="139" spans="1:1">
      <c r="A139">
        <f>IF(COUNTBLANK(B139)&lt;&gt;COLUMNS(B139),138,"")</f>
        <v>0</v>
      </c>
    </row>
    <row r="140" spans="1:1">
      <c r="A140">
        <f>IF(COUNTBLANK(B140)&lt;&gt;COLUMNS(B140),139,"")</f>
        <v>0</v>
      </c>
    </row>
    <row r="141" spans="1:1">
      <c r="A141">
        <f>IF(COUNTBLANK(B141)&lt;&gt;COLUMNS(B141),140,"")</f>
        <v>0</v>
      </c>
    </row>
    <row r="142" spans="1:1">
      <c r="A142">
        <f>IF(COUNTBLANK(B142)&lt;&gt;COLUMNS(B142),141,"")</f>
        <v>0</v>
      </c>
    </row>
    <row r="143" spans="1:1">
      <c r="A143">
        <f>IF(COUNTBLANK(B143)&lt;&gt;COLUMNS(B143),142,"")</f>
        <v>0</v>
      </c>
    </row>
    <row r="144" spans="1:1">
      <c r="A144">
        <f>IF(COUNTBLANK(B144)&lt;&gt;COLUMNS(B144),143,"")</f>
        <v>0</v>
      </c>
    </row>
    <row r="145" spans="1:1">
      <c r="A145">
        <f>IF(COUNTBLANK(B145)&lt;&gt;COLUMNS(B145),144,"")</f>
        <v>0</v>
      </c>
    </row>
    <row r="146" spans="1:1">
      <c r="A146">
        <f>IF(COUNTBLANK(B146)&lt;&gt;COLUMNS(B146),145,"")</f>
        <v>0</v>
      </c>
    </row>
    <row r="147" spans="1:1">
      <c r="A147">
        <f>IF(COUNTBLANK(B147)&lt;&gt;COLUMNS(B147),146,"")</f>
        <v>0</v>
      </c>
    </row>
    <row r="148" spans="1:1">
      <c r="A148">
        <f>IF(COUNTBLANK(B148)&lt;&gt;COLUMNS(B148),147,"")</f>
        <v>0</v>
      </c>
    </row>
    <row r="149" spans="1:1">
      <c r="A149">
        <f>IF(COUNTBLANK(B149)&lt;&gt;COLUMNS(B149),148,"")</f>
        <v>0</v>
      </c>
    </row>
    <row r="150" spans="1:1">
      <c r="A150">
        <f>IF(COUNTBLANK(B150)&lt;&gt;COLUMNS(B150),149,"")</f>
        <v>0</v>
      </c>
    </row>
    <row r="151" spans="1:1">
      <c r="A151">
        <f>IF(COUNTBLANK(B151)&lt;&gt;COLUMNS(B151),150,"")</f>
        <v>0</v>
      </c>
    </row>
    <row r="152" spans="1:1">
      <c r="A152">
        <f>IF(COUNTBLANK(B152)&lt;&gt;COLUMNS(B152),151,"")</f>
        <v>0</v>
      </c>
    </row>
    <row r="153" spans="1:1">
      <c r="A153">
        <f>IF(COUNTBLANK(B153)&lt;&gt;COLUMNS(B153),152,"")</f>
        <v>0</v>
      </c>
    </row>
    <row r="154" spans="1:1">
      <c r="A154">
        <f>IF(COUNTBLANK(B154)&lt;&gt;COLUMNS(B154),153,"")</f>
        <v>0</v>
      </c>
    </row>
    <row r="155" spans="1:1">
      <c r="A155">
        <f>IF(COUNTBLANK(B155)&lt;&gt;COLUMNS(B155),154,"")</f>
        <v>0</v>
      </c>
    </row>
    <row r="156" spans="1:1">
      <c r="A156">
        <f>IF(COUNTBLANK(B156)&lt;&gt;COLUMNS(B156),155,"")</f>
        <v>0</v>
      </c>
    </row>
    <row r="157" spans="1:1">
      <c r="A157">
        <f>IF(COUNTBLANK(B157)&lt;&gt;COLUMNS(B157),156,"")</f>
        <v>0</v>
      </c>
    </row>
    <row r="158" spans="1:1">
      <c r="A158">
        <f>IF(COUNTBLANK(B158)&lt;&gt;COLUMNS(B158),157,"")</f>
        <v>0</v>
      </c>
    </row>
    <row r="159" spans="1:1">
      <c r="A159">
        <f>IF(COUNTBLANK(B159)&lt;&gt;COLUMNS(B159),158,"")</f>
        <v>0</v>
      </c>
    </row>
    <row r="160" spans="1:1">
      <c r="A160">
        <f>IF(COUNTBLANK(B160)&lt;&gt;COLUMNS(B160),159,"")</f>
        <v>0</v>
      </c>
    </row>
    <row r="161" spans="1:1">
      <c r="A161">
        <f>IF(COUNTBLANK(B161)&lt;&gt;COLUMNS(B161),160,"")</f>
        <v>0</v>
      </c>
    </row>
    <row r="162" spans="1:1">
      <c r="A162">
        <f>IF(COUNTBLANK(B162)&lt;&gt;COLUMNS(B162),161,"")</f>
        <v>0</v>
      </c>
    </row>
    <row r="163" spans="1:1">
      <c r="A163">
        <f>IF(COUNTBLANK(B163)&lt;&gt;COLUMNS(B163),162,"")</f>
        <v>0</v>
      </c>
    </row>
    <row r="164" spans="1:1">
      <c r="A164">
        <f>IF(COUNTBLANK(B164)&lt;&gt;COLUMNS(B164),163,"")</f>
        <v>0</v>
      </c>
    </row>
    <row r="165" spans="1:1">
      <c r="A165">
        <f>IF(COUNTBLANK(B165)&lt;&gt;COLUMNS(B165),164,"")</f>
        <v>0</v>
      </c>
    </row>
    <row r="166" spans="1:1">
      <c r="A166">
        <f>IF(COUNTBLANK(B166)&lt;&gt;COLUMNS(B166),165,"")</f>
        <v>0</v>
      </c>
    </row>
    <row r="167" spans="1:1">
      <c r="A167">
        <f>IF(COUNTBLANK(B167)&lt;&gt;COLUMNS(B167),166,"")</f>
        <v>0</v>
      </c>
    </row>
    <row r="168" spans="1:1">
      <c r="A168">
        <f>IF(COUNTBLANK(B168)&lt;&gt;COLUMNS(B168),167,"")</f>
        <v>0</v>
      </c>
    </row>
    <row r="169" spans="1:1">
      <c r="A169">
        <f>IF(COUNTBLANK(B169)&lt;&gt;COLUMNS(B169),168,"")</f>
        <v>0</v>
      </c>
    </row>
    <row r="170" spans="1:1">
      <c r="A170">
        <f>IF(COUNTBLANK(B170)&lt;&gt;COLUMNS(B170),169,"")</f>
        <v>0</v>
      </c>
    </row>
    <row r="171" spans="1:1">
      <c r="A171">
        <f>IF(COUNTBLANK(B171)&lt;&gt;COLUMNS(B171),170,"")</f>
        <v>0</v>
      </c>
    </row>
    <row r="172" spans="1:1">
      <c r="A172">
        <f>IF(COUNTBLANK(B172)&lt;&gt;COLUMNS(B172),171,"")</f>
        <v>0</v>
      </c>
    </row>
    <row r="173" spans="1:1">
      <c r="A173">
        <f>IF(COUNTBLANK(B173)&lt;&gt;COLUMNS(B173),172,"")</f>
        <v>0</v>
      </c>
    </row>
    <row r="174" spans="1:1">
      <c r="A174">
        <f>IF(COUNTBLANK(B174)&lt;&gt;COLUMNS(B174),173,"")</f>
        <v>0</v>
      </c>
    </row>
    <row r="175" spans="1:1">
      <c r="A175">
        <f>IF(COUNTBLANK(B175)&lt;&gt;COLUMNS(B175),174,"")</f>
        <v>0</v>
      </c>
    </row>
    <row r="176" spans="1:1">
      <c r="A176">
        <f>IF(COUNTBLANK(B176)&lt;&gt;COLUMNS(B176),175,"")</f>
        <v>0</v>
      </c>
    </row>
    <row r="177" spans="1:1">
      <c r="A177">
        <f>IF(COUNTBLANK(B177)&lt;&gt;COLUMNS(B177),176,"")</f>
        <v>0</v>
      </c>
    </row>
    <row r="178" spans="1:1">
      <c r="A178">
        <f>IF(COUNTBLANK(B178)&lt;&gt;COLUMNS(B178),177,"")</f>
        <v>0</v>
      </c>
    </row>
    <row r="179" spans="1:1">
      <c r="A179">
        <f>IF(COUNTBLANK(B179)&lt;&gt;COLUMNS(B179),178,"")</f>
        <v>0</v>
      </c>
    </row>
    <row r="180" spans="1:1">
      <c r="A180">
        <f>IF(COUNTBLANK(B180)&lt;&gt;COLUMNS(B180),179,"")</f>
        <v>0</v>
      </c>
    </row>
    <row r="181" spans="1:1">
      <c r="A181">
        <f>IF(COUNTBLANK(B181)&lt;&gt;COLUMNS(B181),180,"")</f>
        <v>0</v>
      </c>
    </row>
    <row r="182" spans="1:1">
      <c r="A182">
        <f>IF(COUNTBLANK(B182)&lt;&gt;COLUMNS(B182),181,"")</f>
        <v>0</v>
      </c>
    </row>
    <row r="183" spans="1:1">
      <c r="A183">
        <f>IF(COUNTBLANK(B183)&lt;&gt;COLUMNS(B183),182,"")</f>
        <v>0</v>
      </c>
    </row>
    <row r="184" spans="1:1">
      <c r="A184">
        <f>IF(COUNTBLANK(B184)&lt;&gt;COLUMNS(B184),183,"")</f>
        <v>0</v>
      </c>
    </row>
    <row r="185" spans="1:1">
      <c r="A185">
        <f>IF(COUNTBLANK(B185)&lt;&gt;COLUMNS(B185),184,"")</f>
        <v>0</v>
      </c>
    </row>
    <row r="186" spans="1:1">
      <c r="A186">
        <f>IF(COUNTBLANK(B186)&lt;&gt;COLUMNS(B186),185,"")</f>
        <v>0</v>
      </c>
    </row>
    <row r="187" spans="1:1">
      <c r="A187">
        <f>IF(COUNTBLANK(B187)&lt;&gt;COLUMNS(B187),186,"")</f>
        <v>0</v>
      </c>
    </row>
    <row r="188" spans="1:1">
      <c r="A188">
        <f>IF(COUNTBLANK(B188)&lt;&gt;COLUMNS(B188),187,"")</f>
        <v>0</v>
      </c>
    </row>
    <row r="189" spans="1:1">
      <c r="A189">
        <f>IF(COUNTBLANK(B189)&lt;&gt;COLUMNS(B189),188,"")</f>
        <v>0</v>
      </c>
    </row>
    <row r="190" spans="1:1">
      <c r="A190">
        <f>IF(COUNTBLANK(B190)&lt;&gt;COLUMNS(B190),189,"")</f>
        <v>0</v>
      </c>
    </row>
    <row r="191" spans="1:1">
      <c r="A191">
        <f>IF(COUNTBLANK(B191)&lt;&gt;COLUMNS(B191),190,"")</f>
        <v>0</v>
      </c>
    </row>
    <row r="192" spans="1:1">
      <c r="A192">
        <f>IF(COUNTBLANK(B192)&lt;&gt;COLUMNS(B192),191,"")</f>
        <v>0</v>
      </c>
    </row>
    <row r="193" spans="1:1">
      <c r="A193">
        <f>IF(COUNTBLANK(B193)&lt;&gt;COLUMNS(B193),192,"")</f>
        <v>0</v>
      </c>
    </row>
    <row r="194" spans="1:1">
      <c r="A194">
        <f>IF(COUNTBLANK(B194)&lt;&gt;COLUMNS(B194),193,"")</f>
        <v>0</v>
      </c>
    </row>
    <row r="195" spans="1:1">
      <c r="A195">
        <f>IF(COUNTBLANK(B195)&lt;&gt;COLUMNS(B195),194,"")</f>
        <v>0</v>
      </c>
    </row>
    <row r="196" spans="1:1">
      <c r="A196">
        <f>IF(COUNTBLANK(B196)&lt;&gt;COLUMNS(B196),195,"")</f>
        <v>0</v>
      </c>
    </row>
    <row r="197" spans="1:1">
      <c r="A197">
        <f>IF(COUNTBLANK(B197)&lt;&gt;COLUMNS(B197),196,"")</f>
        <v>0</v>
      </c>
    </row>
    <row r="198" spans="1:1">
      <c r="A198">
        <f>IF(COUNTBLANK(B198)&lt;&gt;COLUMNS(B198),197,"")</f>
        <v>0</v>
      </c>
    </row>
    <row r="199" spans="1:1">
      <c r="A199">
        <f>IF(COUNTBLANK(B199)&lt;&gt;COLUMNS(B199),198,"")</f>
        <v>0</v>
      </c>
    </row>
    <row r="200" spans="1:1">
      <c r="A200">
        <f>IF(COUNTBLANK(B200)&lt;&gt;COLUMNS(B200),199,"")</f>
        <v>0</v>
      </c>
    </row>
    <row r="201" spans="1:1">
      <c r="A201">
        <f>IF(COUNTBLANK(B201)&lt;&gt;COLUMNS(B201),200,"")</f>
        <v>0</v>
      </c>
    </row>
    <row r="202" spans="1:1">
      <c r="A202">
        <f>IF(COUNTBLANK(B202)&lt;&gt;COLUMNS(B202),201,"")</f>
        <v>0</v>
      </c>
    </row>
    <row r="203" spans="1:1">
      <c r="A203">
        <f>IF(COUNTBLANK(B203)&lt;&gt;COLUMNS(B203),202,"")</f>
        <v>0</v>
      </c>
    </row>
    <row r="204" spans="1:1">
      <c r="A204">
        <f>IF(COUNTBLANK(B204)&lt;&gt;COLUMNS(B204),203,"")</f>
        <v>0</v>
      </c>
    </row>
    <row r="205" spans="1:1">
      <c r="A205">
        <f>IF(COUNTBLANK(B205)&lt;&gt;COLUMNS(B205),204,"")</f>
        <v>0</v>
      </c>
    </row>
    <row r="206" spans="1:1">
      <c r="A206">
        <f>IF(COUNTBLANK(B206)&lt;&gt;COLUMNS(B206),205,"")</f>
        <v>0</v>
      </c>
    </row>
    <row r="207" spans="1:1">
      <c r="A207">
        <f>IF(COUNTBLANK(B207)&lt;&gt;COLUMNS(B207),206,"")</f>
        <v>0</v>
      </c>
    </row>
    <row r="208" spans="1:1">
      <c r="A208">
        <f>IF(COUNTBLANK(B208)&lt;&gt;COLUMNS(B208),207,"")</f>
        <v>0</v>
      </c>
    </row>
    <row r="209" spans="1:1">
      <c r="A209">
        <f>IF(COUNTBLANK(B209)&lt;&gt;COLUMNS(B209),208,"")</f>
        <v>0</v>
      </c>
    </row>
    <row r="210" spans="1:1">
      <c r="A210">
        <f>IF(COUNTBLANK(B210)&lt;&gt;COLUMNS(B210),209,"")</f>
        <v>0</v>
      </c>
    </row>
    <row r="211" spans="1:1">
      <c r="A211">
        <f>IF(COUNTBLANK(B211)&lt;&gt;COLUMNS(B211),210,"")</f>
        <v>0</v>
      </c>
    </row>
    <row r="212" spans="1:1">
      <c r="A212">
        <f>IF(COUNTBLANK(B212)&lt;&gt;COLUMNS(B212),211,"")</f>
        <v>0</v>
      </c>
    </row>
    <row r="213" spans="1:1">
      <c r="A213">
        <f>IF(COUNTBLANK(B213)&lt;&gt;COLUMNS(B213),212,"")</f>
        <v>0</v>
      </c>
    </row>
    <row r="214" spans="1:1">
      <c r="A214">
        <f>IF(COUNTBLANK(B214)&lt;&gt;COLUMNS(B214),213,"")</f>
        <v>0</v>
      </c>
    </row>
    <row r="215" spans="1:1">
      <c r="A215">
        <f>IF(COUNTBLANK(B215)&lt;&gt;COLUMNS(B215),214,"")</f>
        <v>0</v>
      </c>
    </row>
    <row r="216" spans="1:1">
      <c r="A216">
        <f>IF(COUNTBLANK(B216)&lt;&gt;COLUMNS(B216),215,"")</f>
        <v>0</v>
      </c>
    </row>
    <row r="217" spans="1:1">
      <c r="A217">
        <f>IF(COUNTBLANK(B217)&lt;&gt;COLUMNS(B217),216,"")</f>
        <v>0</v>
      </c>
    </row>
    <row r="218" spans="1:1">
      <c r="A218">
        <f>IF(COUNTBLANK(B218)&lt;&gt;COLUMNS(B218),217,"")</f>
        <v>0</v>
      </c>
    </row>
    <row r="219" spans="1:1">
      <c r="A219">
        <f>IF(COUNTBLANK(B219)&lt;&gt;COLUMNS(B219),218,"")</f>
        <v>0</v>
      </c>
    </row>
    <row r="220" spans="1:1">
      <c r="A220">
        <f>IF(COUNTBLANK(B220)&lt;&gt;COLUMNS(B220),219,"")</f>
        <v>0</v>
      </c>
    </row>
    <row r="221" spans="1:1">
      <c r="A221">
        <f>IF(COUNTBLANK(B221)&lt;&gt;COLUMNS(B221),220,"")</f>
        <v>0</v>
      </c>
    </row>
    <row r="222" spans="1:1">
      <c r="A222">
        <f>IF(COUNTBLANK(B222)&lt;&gt;COLUMNS(B222),221,"")</f>
        <v>0</v>
      </c>
    </row>
    <row r="223" spans="1:1">
      <c r="A223">
        <f>IF(COUNTBLANK(B223)&lt;&gt;COLUMNS(B223),222,"")</f>
        <v>0</v>
      </c>
    </row>
    <row r="224" spans="1:1">
      <c r="A224">
        <f>IF(COUNTBLANK(B224)&lt;&gt;COLUMNS(B224),223,"")</f>
        <v>0</v>
      </c>
    </row>
    <row r="225" spans="1:1">
      <c r="A225">
        <f>IF(COUNTBLANK(B225)&lt;&gt;COLUMNS(B225),224,"")</f>
        <v>0</v>
      </c>
    </row>
    <row r="226" spans="1:1">
      <c r="A226">
        <f>IF(COUNTBLANK(B226)&lt;&gt;COLUMNS(B226),225,"")</f>
        <v>0</v>
      </c>
    </row>
    <row r="227" spans="1:1">
      <c r="A227">
        <f>IF(COUNTBLANK(B227)&lt;&gt;COLUMNS(B227),226,"")</f>
        <v>0</v>
      </c>
    </row>
    <row r="228" spans="1:1">
      <c r="A228">
        <f>IF(COUNTBLANK(B228)&lt;&gt;COLUMNS(B228),227,"")</f>
        <v>0</v>
      </c>
    </row>
    <row r="229" spans="1:1">
      <c r="A229">
        <f>IF(COUNTBLANK(B229)&lt;&gt;COLUMNS(B229),228,"")</f>
        <v>0</v>
      </c>
    </row>
    <row r="230" spans="1:1">
      <c r="A230">
        <f>IF(COUNTBLANK(B230)&lt;&gt;COLUMNS(B230),229,"")</f>
        <v>0</v>
      </c>
    </row>
    <row r="231" spans="1:1">
      <c r="A231">
        <f>IF(COUNTBLANK(B231)&lt;&gt;COLUMNS(B231),230,"")</f>
        <v>0</v>
      </c>
    </row>
    <row r="232" spans="1:1">
      <c r="A232">
        <f>IF(COUNTBLANK(B232)&lt;&gt;COLUMNS(B232),231,"")</f>
        <v>0</v>
      </c>
    </row>
    <row r="233" spans="1:1">
      <c r="A233">
        <f>IF(COUNTBLANK(B233)&lt;&gt;COLUMNS(B233),232,"")</f>
        <v>0</v>
      </c>
    </row>
    <row r="234" spans="1:1">
      <c r="A234">
        <f>IF(COUNTBLANK(B234)&lt;&gt;COLUMNS(B234),233,"")</f>
        <v>0</v>
      </c>
    </row>
    <row r="235" spans="1:1">
      <c r="A235">
        <f>IF(COUNTBLANK(B235)&lt;&gt;COLUMNS(B235),234,"")</f>
        <v>0</v>
      </c>
    </row>
    <row r="236" spans="1:1">
      <c r="A236">
        <f>IF(COUNTBLANK(B236)&lt;&gt;COLUMNS(B236),235,"")</f>
        <v>0</v>
      </c>
    </row>
    <row r="237" spans="1:1">
      <c r="A237">
        <f>IF(COUNTBLANK(B237)&lt;&gt;COLUMNS(B237),236,"")</f>
        <v>0</v>
      </c>
    </row>
    <row r="238" spans="1:1">
      <c r="A238">
        <f>IF(COUNTBLANK(B238)&lt;&gt;COLUMNS(B238),237,"")</f>
        <v>0</v>
      </c>
    </row>
    <row r="239" spans="1:1">
      <c r="A239">
        <f>IF(COUNTBLANK(B239)&lt;&gt;COLUMNS(B239),238,"")</f>
        <v>0</v>
      </c>
    </row>
    <row r="240" spans="1:1">
      <c r="A240">
        <f>IF(COUNTBLANK(B240)&lt;&gt;COLUMNS(B240),239,"")</f>
        <v>0</v>
      </c>
    </row>
    <row r="241" spans="1:1">
      <c r="A241">
        <f>IF(COUNTBLANK(B241)&lt;&gt;COLUMNS(B241),240,"")</f>
        <v>0</v>
      </c>
    </row>
    <row r="242" spans="1:1">
      <c r="A242">
        <f>IF(COUNTBLANK(B242)&lt;&gt;COLUMNS(B242),241,"")</f>
        <v>0</v>
      </c>
    </row>
    <row r="243" spans="1:1">
      <c r="A243">
        <f>IF(COUNTBLANK(B243)&lt;&gt;COLUMNS(B243),242,"")</f>
        <v>0</v>
      </c>
    </row>
    <row r="244" spans="1:1">
      <c r="A244">
        <f>IF(COUNTBLANK(B244)&lt;&gt;COLUMNS(B244),243,"")</f>
        <v>0</v>
      </c>
    </row>
    <row r="245" spans="1:1">
      <c r="A245">
        <f>IF(COUNTBLANK(B245)&lt;&gt;COLUMNS(B245),244,"")</f>
        <v>0</v>
      </c>
    </row>
    <row r="246" spans="1:1">
      <c r="A246">
        <f>IF(COUNTBLANK(B246)&lt;&gt;COLUMNS(B246),245,"")</f>
        <v>0</v>
      </c>
    </row>
    <row r="247" spans="1:1">
      <c r="A247">
        <f>IF(COUNTBLANK(B247)&lt;&gt;COLUMNS(B247),246,"")</f>
        <v>0</v>
      </c>
    </row>
    <row r="248" spans="1:1">
      <c r="A248">
        <f>IF(COUNTBLANK(B248)&lt;&gt;COLUMNS(B248),247,"")</f>
        <v>0</v>
      </c>
    </row>
    <row r="249" spans="1:1">
      <c r="A249">
        <f>IF(COUNTBLANK(B249)&lt;&gt;COLUMNS(B249),248,"")</f>
        <v>0</v>
      </c>
    </row>
    <row r="250" spans="1:1">
      <c r="A250">
        <f>IF(COUNTBLANK(B250)&lt;&gt;COLUMNS(B250),249,"")</f>
        <v>0</v>
      </c>
    </row>
    <row r="251" spans="1:1">
      <c r="A251">
        <f>IF(COUNTBLANK(B251)&lt;&gt;COLUMNS(B251),250,"")</f>
        <v>0</v>
      </c>
    </row>
    <row r="252" spans="1:1">
      <c r="A252">
        <f>IF(COUNTBLANK(B252)&lt;&gt;COLUMNS(B252),251,"")</f>
        <v>0</v>
      </c>
    </row>
    <row r="253" spans="1:1">
      <c r="A253">
        <f>IF(COUNTBLANK(B253)&lt;&gt;COLUMNS(B253),252,"")</f>
        <v>0</v>
      </c>
    </row>
    <row r="254" spans="1:1">
      <c r="A254">
        <f>IF(COUNTBLANK(B254)&lt;&gt;COLUMNS(B254),253,"")</f>
        <v>0</v>
      </c>
    </row>
    <row r="255" spans="1:1">
      <c r="A255">
        <f>IF(COUNTBLANK(B255)&lt;&gt;COLUMNS(B255),254,"")</f>
        <v>0</v>
      </c>
    </row>
    <row r="256" spans="1:1">
      <c r="A256">
        <f>IF(COUNTBLANK(B256)&lt;&gt;COLUMNS(B256),255,"")</f>
        <v>0</v>
      </c>
    </row>
    <row r="257" spans="1:1">
      <c r="A257">
        <f>IF(COUNTBLANK(B257)&lt;&gt;COLUMNS(B257),256,"")</f>
        <v>0</v>
      </c>
    </row>
    <row r="258" spans="1:1">
      <c r="A258">
        <f>IF(COUNTBLANK(B258)&lt;&gt;COLUMNS(B258),257,"")</f>
        <v>0</v>
      </c>
    </row>
    <row r="259" spans="1:1">
      <c r="A259">
        <f>IF(COUNTBLANK(B259)&lt;&gt;COLUMNS(B259),258,"")</f>
        <v>0</v>
      </c>
    </row>
    <row r="260" spans="1:1">
      <c r="A260">
        <f>IF(COUNTBLANK(B260)&lt;&gt;COLUMNS(B260),259,"")</f>
        <v>0</v>
      </c>
    </row>
    <row r="261" spans="1:1">
      <c r="A261">
        <f>IF(COUNTBLANK(B261)&lt;&gt;COLUMNS(B261),260,"")</f>
        <v>0</v>
      </c>
    </row>
    <row r="262" spans="1:1">
      <c r="A262">
        <f>IF(COUNTBLANK(B262)&lt;&gt;COLUMNS(B262),261,"")</f>
        <v>0</v>
      </c>
    </row>
    <row r="263" spans="1:1">
      <c r="A263">
        <f>IF(COUNTBLANK(B263)&lt;&gt;COLUMNS(B263),262,"")</f>
        <v>0</v>
      </c>
    </row>
    <row r="264" spans="1:1">
      <c r="A264">
        <f>IF(COUNTBLANK(B264)&lt;&gt;COLUMNS(B264),263,"")</f>
        <v>0</v>
      </c>
    </row>
    <row r="265" spans="1:1">
      <c r="A265">
        <f>IF(COUNTBLANK(B265)&lt;&gt;COLUMNS(B265),264,"")</f>
        <v>0</v>
      </c>
    </row>
    <row r="266" spans="1:1">
      <c r="A266">
        <f>IF(COUNTBLANK(B266)&lt;&gt;COLUMNS(B266),265,"")</f>
        <v>0</v>
      </c>
    </row>
    <row r="267" spans="1:1">
      <c r="A267">
        <f>IF(COUNTBLANK(B267)&lt;&gt;COLUMNS(B267),266,"")</f>
        <v>0</v>
      </c>
    </row>
    <row r="268" spans="1:1">
      <c r="A268">
        <f>IF(COUNTBLANK(B268)&lt;&gt;COLUMNS(B268),267,"")</f>
        <v>0</v>
      </c>
    </row>
    <row r="269" spans="1:1">
      <c r="A269">
        <f>IF(COUNTBLANK(B269)&lt;&gt;COLUMNS(B269),268,"")</f>
        <v>0</v>
      </c>
    </row>
    <row r="270" spans="1:1">
      <c r="A270">
        <f>IF(COUNTBLANK(B270)&lt;&gt;COLUMNS(B270),269,"")</f>
        <v>0</v>
      </c>
    </row>
    <row r="271" spans="1:1">
      <c r="A271">
        <f>IF(COUNTBLANK(B271)&lt;&gt;COLUMNS(B271),270,"")</f>
        <v>0</v>
      </c>
    </row>
    <row r="272" spans="1:1">
      <c r="A272">
        <f>IF(COUNTBLANK(B272)&lt;&gt;COLUMNS(B272),271,"")</f>
        <v>0</v>
      </c>
    </row>
    <row r="273" spans="1:1">
      <c r="A273">
        <f>IF(COUNTBLANK(B273)&lt;&gt;COLUMNS(B273),272,"")</f>
        <v>0</v>
      </c>
    </row>
    <row r="274" spans="1:1">
      <c r="A274">
        <f>IF(COUNTBLANK(B274)&lt;&gt;COLUMNS(B274),273,"")</f>
        <v>0</v>
      </c>
    </row>
    <row r="275" spans="1:1">
      <c r="A275">
        <f>IF(COUNTBLANK(B275)&lt;&gt;COLUMNS(B275),274,"")</f>
        <v>0</v>
      </c>
    </row>
    <row r="276" spans="1:1">
      <c r="A276">
        <f>IF(COUNTBLANK(B276)&lt;&gt;COLUMNS(B276),275,"")</f>
        <v>0</v>
      </c>
    </row>
    <row r="277" spans="1:1">
      <c r="A277">
        <f>IF(COUNTBLANK(B277)&lt;&gt;COLUMNS(B277),276,"")</f>
        <v>0</v>
      </c>
    </row>
    <row r="278" spans="1:1">
      <c r="A278">
        <f>IF(COUNTBLANK(B278)&lt;&gt;COLUMNS(B278),277,"")</f>
        <v>0</v>
      </c>
    </row>
    <row r="279" spans="1:1">
      <c r="A279">
        <f>IF(COUNTBLANK(B279)&lt;&gt;COLUMNS(B279),278,"")</f>
        <v>0</v>
      </c>
    </row>
    <row r="280" spans="1:1">
      <c r="A280">
        <f>IF(COUNTBLANK(B280)&lt;&gt;COLUMNS(B280),279,"")</f>
        <v>0</v>
      </c>
    </row>
    <row r="281" spans="1:1">
      <c r="A281">
        <f>IF(COUNTBLANK(B281)&lt;&gt;COLUMNS(B281),280,"")</f>
        <v>0</v>
      </c>
    </row>
    <row r="282" spans="1:1">
      <c r="A282">
        <f>IF(COUNTBLANK(B282)&lt;&gt;COLUMNS(B282),281,"")</f>
        <v>0</v>
      </c>
    </row>
    <row r="283" spans="1:1">
      <c r="A283">
        <f>IF(COUNTBLANK(B283)&lt;&gt;COLUMNS(B283),282,"")</f>
        <v>0</v>
      </c>
    </row>
    <row r="284" spans="1:1">
      <c r="A284">
        <f>IF(COUNTBLANK(B284)&lt;&gt;COLUMNS(B284),283,"")</f>
        <v>0</v>
      </c>
    </row>
    <row r="285" spans="1:1">
      <c r="A285">
        <f>IF(COUNTBLANK(B285)&lt;&gt;COLUMNS(B285),284,"")</f>
        <v>0</v>
      </c>
    </row>
    <row r="286" spans="1:1">
      <c r="A286">
        <f>IF(COUNTBLANK(B286)&lt;&gt;COLUMNS(B286),285,"")</f>
        <v>0</v>
      </c>
    </row>
    <row r="287" spans="1:1">
      <c r="A287">
        <f>IF(COUNTBLANK(B287)&lt;&gt;COLUMNS(B287),286,"")</f>
        <v>0</v>
      </c>
    </row>
    <row r="288" spans="1:1">
      <c r="A288">
        <f>IF(COUNTBLANK(B288)&lt;&gt;COLUMNS(B288),287,"")</f>
        <v>0</v>
      </c>
    </row>
    <row r="289" spans="1:1">
      <c r="A289">
        <f>IF(COUNTBLANK(B289)&lt;&gt;COLUMNS(B289),288,"")</f>
        <v>0</v>
      </c>
    </row>
    <row r="290" spans="1:1">
      <c r="A290">
        <f>IF(COUNTBLANK(B290)&lt;&gt;COLUMNS(B290),289,"")</f>
        <v>0</v>
      </c>
    </row>
    <row r="291" spans="1:1">
      <c r="A291">
        <f>IF(COUNTBLANK(B291)&lt;&gt;COLUMNS(B291),290,"")</f>
        <v>0</v>
      </c>
    </row>
    <row r="292" spans="1:1">
      <c r="A292">
        <f>IF(COUNTBLANK(B292)&lt;&gt;COLUMNS(B292),291,"")</f>
        <v>0</v>
      </c>
    </row>
    <row r="293" spans="1:1">
      <c r="A293">
        <f>IF(COUNTBLANK(B293)&lt;&gt;COLUMNS(B293),292,"")</f>
        <v>0</v>
      </c>
    </row>
    <row r="294" spans="1:1">
      <c r="A294">
        <f>IF(COUNTBLANK(B294)&lt;&gt;COLUMNS(B294),293,"")</f>
        <v>0</v>
      </c>
    </row>
    <row r="295" spans="1:1">
      <c r="A295">
        <f>IF(COUNTBLANK(B295)&lt;&gt;COLUMNS(B295),294,"")</f>
        <v>0</v>
      </c>
    </row>
    <row r="296" spans="1:1">
      <c r="A296">
        <f>IF(COUNTBLANK(B296)&lt;&gt;COLUMNS(B296),295,"")</f>
        <v>0</v>
      </c>
    </row>
    <row r="297" spans="1:1">
      <c r="A297">
        <f>IF(COUNTBLANK(B297)&lt;&gt;COLUMNS(B297),296,"")</f>
        <v>0</v>
      </c>
    </row>
    <row r="298" spans="1:1">
      <c r="A298">
        <f>IF(COUNTBLANK(B298)&lt;&gt;COLUMNS(B298),297,"")</f>
        <v>0</v>
      </c>
    </row>
    <row r="299" spans="1:1">
      <c r="A299">
        <f>IF(COUNTBLANK(B299)&lt;&gt;COLUMNS(B299),298,"")</f>
        <v>0</v>
      </c>
    </row>
    <row r="300" spans="1:1">
      <c r="A300">
        <f>IF(COUNTBLANK(B300)&lt;&gt;COLUMNS(B300),299,"")</f>
        <v>0</v>
      </c>
    </row>
    <row r="301" spans="1:1">
      <c r="A301">
        <f>IF(COUNTBLANK(B301)&lt;&gt;COLUMNS(B301),300,"")</f>
        <v>0</v>
      </c>
    </row>
    <row r="302" spans="1:1">
      <c r="A302">
        <f>IF(COUNTBLANK(B302)&lt;&gt;COLUMNS(B302),301,"")</f>
        <v>0</v>
      </c>
    </row>
    <row r="303" spans="1:1">
      <c r="A303">
        <f>IF(COUNTBLANK(B303)&lt;&gt;COLUMNS(B303),302,"")</f>
        <v>0</v>
      </c>
    </row>
    <row r="304" spans="1:1">
      <c r="A304">
        <f>IF(COUNTBLANK(B304)&lt;&gt;COLUMNS(B304),303,"")</f>
        <v>0</v>
      </c>
    </row>
    <row r="305" spans="1:1">
      <c r="A305">
        <f>IF(COUNTBLANK(B305)&lt;&gt;COLUMNS(B305),304,"")</f>
        <v>0</v>
      </c>
    </row>
    <row r="306" spans="1:1">
      <c r="A306">
        <f>IF(COUNTBLANK(B306)&lt;&gt;COLUMNS(B306),305,"")</f>
        <v>0</v>
      </c>
    </row>
    <row r="307" spans="1:1">
      <c r="A307">
        <f>IF(COUNTBLANK(B307)&lt;&gt;COLUMNS(B307),306,"")</f>
        <v>0</v>
      </c>
    </row>
    <row r="308" spans="1:1">
      <c r="A308">
        <f>IF(COUNTBLANK(B308)&lt;&gt;COLUMNS(B308),307,"")</f>
        <v>0</v>
      </c>
    </row>
    <row r="309" spans="1:1">
      <c r="A309">
        <f>IF(COUNTBLANK(B309)&lt;&gt;COLUMNS(B309),308,"")</f>
        <v>0</v>
      </c>
    </row>
    <row r="310" spans="1:1">
      <c r="A310">
        <f>IF(COUNTBLANK(B310)&lt;&gt;COLUMNS(B310),309,"")</f>
        <v>0</v>
      </c>
    </row>
    <row r="311" spans="1:1">
      <c r="A311">
        <f>IF(COUNTBLANK(B311)&lt;&gt;COLUMNS(B311),310,"")</f>
        <v>0</v>
      </c>
    </row>
    <row r="312" spans="1:1">
      <c r="A312">
        <f>IF(COUNTBLANK(B312)&lt;&gt;COLUMNS(B312),311,"")</f>
        <v>0</v>
      </c>
    </row>
    <row r="313" spans="1:1">
      <c r="A313">
        <f>IF(COUNTBLANK(B313)&lt;&gt;COLUMNS(B313),312,"")</f>
        <v>0</v>
      </c>
    </row>
    <row r="314" spans="1:1">
      <c r="A314">
        <f>IF(COUNTBLANK(B314)&lt;&gt;COLUMNS(B314),313,"")</f>
        <v>0</v>
      </c>
    </row>
    <row r="315" spans="1:1">
      <c r="A315">
        <f>IF(COUNTBLANK(B315)&lt;&gt;COLUMNS(B315),314,"")</f>
        <v>0</v>
      </c>
    </row>
    <row r="316" spans="1:1">
      <c r="A316">
        <f>IF(COUNTBLANK(B316)&lt;&gt;COLUMNS(B316),315,"")</f>
        <v>0</v>
      </c>
    </row>
    <row r="317" spans="1:1">
      <c r="A317">
        <f>IF(COUNTBLANK(B317)&lt;&gt;COLUMNS(B317),316,"")</f>
        <v>0</v>
      </c>
    </row>
    <row r="318" spans="1:1">
      <c r="A318">
        <f>IF(COUNTBLANK(B318)&lt;&gt;COLUMNS(B318),317,"")</f>
        <v>0</v>
      </c>
    </row>
    <row r="319" spans="1:1">
      <c r="A319">
        <f>IF(COUNTBLANK(B319)&lt;&gt;COLUMNS(B319),318,"")</f>
        <v>0</v>
      </c>
    </row>
    <row r="320" spans="1:1">
      <c r="A320">
        <f>IF(COUNTBLANK(B320)&lt;&gt;COLUMNS(B320),319,"")</f>
        <v>0</v>
      </c>
    </row>
    <row r="321" spans="1:1">
      <c r="A321">
        <f>IF(COUNTBLANK(B321)&lt;&gt;COLUMNS(B321),320,"")</f>
        <v>0</v>
      </c>
    </row>
    <row r="322" spans="1:1">
      <c r="A322">
        <f>IF(COUNTBLANK(B322)&lt;&gt;COLUMNS(B322),321,"")</f>
        <v>0</v>
      </c>
    </row>
    <row r="323" spans="1:1">
      <c r="A323">
        <f>IF(COUNTBLANK(B323)&lt;&gt;COLUMNS(B323),322,"")</f>
        <v>0</v>
      </c>
    </row>
    <row r="324" spans="1:1">
      <c r="A324">
        <f>IF(COUNTBLANK(B324)&lt;&gt;COLUMNS(B324),323,"")</f>
        <v>0</v>
      </c>
    </row>
    <row r="325" spans="1:1">
      <c r="A325">
        <f>IF(COUNTBLANK(B325)&lt;&gt;COLUMNS(B325),324,"")</f>
        <v>0</v>
      </c>
    </row>
    <row r="326" spans="1:1">
      <c r="A326">
        <f>IF(COUNTBLANK(B326)&lt;&gt;COLUMNS(B326),325,"")</f>
        <v>0</v>
      </c>
    </row>
    <row r="327" spans="1:1">
      <c r="A327">
        <f>IF(COUNTBLANK(B327)&lt;&gt;COLUMNS(B327),326,"")</f>
        <v>0</v>
      </c>
    </row>
    <row r="328" spans="1:1">
      <c r="A328">
        <f>IF(COUNTBLANK(B328)&lt;&gt;COLUMNS(B328),327,"")</f>
        <v>0</v>
      </c>
    </row>
    <row r="329" spans="1:1">
      <c r="A329">
        <f>IF(COUNTBLANK(B329)&lt;&gt;COLUMNS(B329),328,"")</f>
        <v>0</v>
      </c>
    </row>
    <row r="330" spans="1:1">
      <c r="A330">
        <f>IF(COUNTBLANK(B330)&lt;&gt;COLUMNS(B330),329,"")</f>
        <v>0</v>
      </c>
    </row>
    <row r="331" spans="1:1">
      <c r="A331">
        <f>IF(COUNTBLANK(B331)&lt;&gt;COLUMNS(B331),330,"")</f>
        <v>0</v>
      </c>
    </row>
    <row r="332" spans="1:1">
      <c r="A332">
        <f>IF(COUNTBLANK(B332)&lt;&gt;COLUMNS(B332),331,"")</f>
        <v>0</v>
      </c>
    </row>
    <row r="333" spans="1:1">
      <c r="A333">
        <f>IF(COUNTBLANK(B333)&lt;&gt;COLUMNS(B333),332,"")</f>
        <v>0</v>
      </c>
    </row>
    <row r="334" spans="1:1">
      <c r="A334">
        <f>IF(COUNTBLANK(B334)&lt;&gt;COLUMNS(B334),333,"")</f>
        <v>0</v>
      </c>
    </row>
    <row r="335" spans="1:1">
      <c r="A335">
        <f>IF(COUNTBLANK(B335)&lt;&gt;COLUMNS(B335),334,"")</f>
        <v>0</v>
      </c>
    </row>
    <row r="336" spans="1:1">
      <c r="A336">
        <f>IF(COUNTBLANK(B336)&lt;&gt;COLUMNS(B336),335,"")</f>
        <v>0</v>
      </c>
    </row>
    <row r="337" spans="1:1">
      <c r="A337">
        <f>IF(COUNTBLANK(B337)&lt;&gt;COLUMNS(B337),336,"")</f>
        <v>0</v>
      </c>
    </row>
    <row r="338" spans="1:1">
      <c r="A338">
        <f>IF(COUNTBLANK(B338)&lt;&gt;COLUMNS(B338),337,"")</f>
        <v>0</v>
      </c>
    </row>
    <row r="339" spans="1:1">
      <c r="A339">
        <f>IF(COUNTBLANK(B339)&lt;&gt;COLUMNS(B339),338,"")</f>
        <v>0</v>
      </c>
    </row>
    <row r="340" spans="1:1">
      <c r="A340">
        <f>IF(COUNTBLANK(B340)&lt;&gt;COLUMNS(B340),339,"")</f>
        <v>0</v>
      </c>
    </row>
    <row r="341" spans="1:1">
      <c r="A341">
        <f>IF(COUNTBLANK(B341)&lt;&gt;COLUMNS(B341),340,"")</f>
        <v>0</v>
      </c>
    </row>
    <row r="342" spans="1:1">
      <c r="A342">
        <f>IF(COUNTBLANK(B342)&lt;&gt;COLUMNS(B342),341,"")</f>
        <v>0</v>
      </c>
    </row>
    <row r="343" spans="1:1">
      <c r="A343">
        <f>IF(COUNTBLANK(B343)&lt;&gt;COLUMNS(B343),342,"")</f>
        <v>0</v>
      </c>
    </row>
    <row r="344" spans="1:1">
      <c r="A344">
        <f>IF(COUNTBLANK(B344)&lt;&gt;COLUMNS(B344),343,"")</f>
        <v>0</v>
      </c>
    </row>
    <row r="345" spans="1:1">
      <c r="A345">
        <f>IF(COUNTBLANK(B345)&lt;&gt;COLUMNS(B345),344,"")</f>
        <v>0</v>
      </c>
    </row>
    <row r="346" spans="1:1">
      <c r="A346">
        <f>IF(COUNTBLANK(B346)&lt;&gt;COLUMNS(B346),345,"")</f>
        <v>0</v>
      </c>
    </row>
    <row r="347" spans="1:1">
      <c r="A347">
        <f>IF(COUNTBLANK(B347)&lt;&gt;COLUMNS(B347),346,"")</f>
        <v>0</v>
      </c>
    </row>
    <row r="348" spans="1:1">
      <c r="A348">
        <f>IF(COUNTBLANK(B348)&lt;&gt;COLUMNS(B348),347,"")</f>
        <v>0</v>
      </c>
    </row>
    <row r="349" spans="1:1">
      <c r="A349">
        <f>IF(COUNTBLANK(B349)&lt;&gt;COLUMNS(B349),348,"")</f>
        <v>0</v>
      </c>
    </row>
    <row r="350" spans="1:1">
      <c r="A350">
        <f>IF(COUNTBLANK(B350)&lt;&gt;COLUMNS(B350),349,"")</f>
        <v>0</v>
      </c>
    </row>
    <row r="351" spans="1:1">
      <c r="A351">
        <f>IF(COUNTBLANK(B351)&lt;&gt;COLUMNS(B351),350,"")</f>
        <v>0</v>
      </c>
    </row>
    <row r="352" spans="1:1">
      <c r="A352">
        <f>IF(COUNTBLANK(B352)&lt;&gt;COLUMNS(B352),351,"")</f>
        <v>0</v>
      </c>
    </row>
    <row r="353" spans="1:1">
      <c r="A353">
        <f>IF(COUNTBLANK(B353)&lt;&gt;COLUMNS(B353),352,"")</f>
        <v>0</v>
      </c>
    </row>
    <row r="354" spans="1:1">
      <c r="A354">
        <f>IF(COUNTBLANK(B354)&lt;&gt;COLUMNS(B354),353,"")</f>
        <v>0</v>
      </c>
    </row>
    <row r="355" spans="1:1">
      <c r="A355">
        <f>IF(COUNTBLANK(B355)&lt;&gt;COLUMNS(B355),354,"")</f>
        <v>0</v>
      </c>
    </row>
    <row r="356" spans="1:1">
      <c r="A356">
        <f>IF(COUNTBLANK(B356)&lt;&gt;COLUMNS(B356),355,"")</f>
        <v>0</v>
      </c>
    </row>
    <row r="357" spans="1:1">
      <c r="A357">
        <f>IF(COUNTBLANK(B357)&lt;&gt;COLUMNS(B357),356,"")</f>
        <v>0</v>
      </c>
    </row>
    <row r="358" spans="1:1">
      <c r="A358">
        <f>IF(COUNTBLANK(B358)&lt;&gt;COLUMNS(B358),357,"")</f>
        <v>0</v>
      </c>
    </row>
    <row r="359" spans="1:1">
      <c r="A359">
        <f>IF(COUNTBLANK(B359)&lt;&gt;COLUMNS(B359),358,"")</f>
        <v>0</v>
      </c>
    </row>
    <row r="360" spans="1:1">
      <c r="A360">
        <f>IF(COUNTBLANK(B360)&lt;&gt;COLUMNS(B360),359,"")</f>
        <v>0</v>
      </c>
    </row>
    <row r="361" spans="1:1">
      <c r="A361">
        <f>IF(COUNTBLANK(B361)&lt;&gt;COLUMNS(B361),360,"")</f>
        <v>0</v>
      </c>
    </row>
    <row r="362" spans="1:1">
      <c r="A362">
        <f>IF(COUNTBLANK(B362)&lt;&gt;COLUMNS(B362),361,"")</f>
        <v>0</v>
      </c>
    </row>
    <row r="363" spans="1:1">
      <c r="A363">
        <f>IF(COUNTBLANK(B363)&lt;&gt;COLUMNS(B363),362,"")</f>
        <v>0</v>
      </c>
    </row>
    <row r="364" spans="1:1">
      <c r="A364">
        <f>IF(COUNTBLANK(B364)&lt;&gt;COLUMNS(B364),363,"")</f>
        <v>0</v>
      </c>
    </row>
    <row r="365" spans="1:1">
      <c r="A365">
        <f>IF(COUNTBLANK(B365)&lt;&gt;COLUMNS(B365),364,"")</f>
        <v>0</v>
      </c>
    </row>
    <row r="366" spans="1:1">
      <c r="A366">
        <f>IF(COUNTBLANK(B366)&lt;&gt;COLUMNS(B366),365,"")</f>
        <v>0</v>
      </c>
    </row>
    <row r="367" spans="1:1">
      <c r="A367">
        <f>IF(COUNTBLANK(B367)&lt;&gt;COLUMNS(B367),366,"")</f>
        <v>0</v>
      </c>
    </row>
    <row r="368" spans="1:1">
      <c r="A368">
        <f>IF(COUNTBLANK(B368)&lt;&gt;COLUMNS(B368),367,"")</f>
        <v>0</v>
      </c>
    </row>
    <row r="369" spans="1:1">
      <c r="A369">
        <f>IF(COUNTBLANK(B369)&lt;&gt;COLUMNS(B369),368,"")</f>
        <v>0</v>
      </c>
    </row>
    <row r="370" spans="1:1">
      <c r="A370">
        <f>IF(COUNTBLANK(B370)&lt;&gt;COLUMNS(B370),369,"")</f>
        <v>0</v>
      </c>
    </row>
    <row r="371" spans="1:1">
      <c r="A371">
        <f>IF(COUNTBLANK(B371)&lt;&gt;COLUMNS(B371),370,"")</f>
        <v>0</v>
      </c>
    </row>
    <row r="372" spans="1:1">
      <c r="A372">
        <f>IF(COUNTBLANK(B372)&lt;&gt;COLUMNS(B372),371,"")</f>
        <v>0</v>
      </c>
    </row>
    <row r="373" spans="1:1">
      <c r="A373">
        <f>IF(COUNTBLANK(B373)&lt;&gt;COLUMNS(B373),372,"")</f>
        <v>0</v>
      </c>
    </row>
    <row r="374" spans="1:1">
      <c r="A374">
        <f>IF(COUNTBLANK(B374)&lt;&gt;COLUMNS(B374),373,"")</f>
        <v>0</v>
      </c>
    </row>
    <row r="375" spans="1:1">
      <c r="A375">
        <f>IF(COUNTBLANK(B375)&lt;&gt;COLUMNS(B375),374,"")</f>
        <v>0</v>
      </c>
    </row>
    <row r="376" spans="1:1">
      <c r="A376">
        <f>IF(COUNTBLANK(B376)&lt;&gt;COLUMNS(B376),375,"")</f>
        <v>0</v>
      </c>
    </row>
    <row r="377" spans="1:1">
      <c r="A377">
        <f>IF(COUNTBLANK(B377)&lt;&gt;COLUMNS(B377),376,"")</f>
        <v>0</v>
      </c>
    </row>
    <row r="378" spans="1:1">
      <c r="A378">
        <f>IF(COUNTBLANK(B378)&lt;&gt;COLUMNS(B378),377,"")</f>
        <v>0</v>
      </c>
    </row>
    <row r="379" spans="1:1">
      <c r="A379">
        <f>IF(COUNTBLANK(B379)&lt;&gt;COLUMNS(B379),378,"")</f>
        <v>0</v>
      </c>
    </row>
    <row r="380" spans="1:1">
      <c r="A380">
        <f>IF(COUNTBLANK(B380)&lt;&gt;COLUMNS(B380),379,"")</f>
        <v>0</v>
      </c>
    </row>
    <row r="381" spans="1:1">
      <c r="A381">
        <f>IF(COUNTBLANK(B381)&lt;&gt;COLUMNS(B381),380,"")</f>
        <v>0</v>
      </c>
    </row>
    <row r="382" spans="1:1">
      <c r="A382">
        <f>IF(COUNTBLANK(B382)&lt;&gt;COLUMNS(B382),381,"")</f>
        <v>0</v>
      </c>
    </row>
    <row r="383" spans="1:1">
      <c r="A383">
        <f>IF(COUNTBLANK(B383)&lt;&gt;COLUMNS(B383),382,"")</f>
        <v>0</v>
      </c>
    </row>
    <row r="384" spans="1:1">
      <c r="A384">
        <f>IF(COUNTBLANK(B384)&lt;&gt;COLUMNS(B384),383,"")</f>
        <v>0</v>
      </c>
    </row>
    <row r="385" spans="1:1">
      <c r="A385">
        <f>IF(COUNTBLANK(B385)&lt;&gt;COLUMNS(B385),384,"")</f>
        <v>0</v>
      </c>
    </row>
    <row r="386" spans="1:1">
      <c r="A386">
        <f>IF(COUNTBLANK(B386)&lt;&gt;COLUMNS(B386),385,"")</f>
        <v>0</v>
      </c>
    </row>
    <row r="387" spans="1:1">
      <c r="A387">
        <f>IF(COUNTBLANK(B387)&lt;&gt;COLUMNS(B387),386,"")</f>
        <v>0</v>
      </c>
    </row>
    <row r="388" spans="1:1">
      <c r="A388">
        <f>IF(COUNTBLANK(B388)&lt;&gt;COLUMNS(B388),387,"")</f>
        <v>0</v>
      </c>
    </row>
    <row r="389" spans="1:1">
      <c r="A389">
        <f>IF(COUNTBLANK(B389)&lt;&gt;COLUMNS(B389),388,"")</f>
        <v>0</v>
      </c>
    </row>
    <row r="390" spans="1:1">
      <c r="A390">
        <f>IF(COUNTBLANK(B390)&lt;&gt;COLUMNS(B390),389,"")</f>
        <v>0</v>
      </c>
    </row>
    <row r="391" spans="1:1">
      <c r="A391">
        <f>IF(COUNTBLANK(B391)&lt;&gt;COLUMNS(B391),390,"")</f>
        <v>0</v>
      </c>
    </row>
    <row r="392" spans="1:1">
      <c r="A392">
        <f>IF(COUNTBLANK(B392)&lt;&gt;COLUMNS(B392),391,"")</f>
        <v>0</v>
      </c>
    </row>
    <row r="393" spans="1:1">
      <c r="A393">
        <f>IF(COUNTBLANK(B393)&lt;&gt;COLUMNS(B393),392,"")</f>
        <v>0</v>
      </c>
    </row>
    <row r="394" spans="1:1">
      <c r="A394">
        <f>IF(COUNTBLANK(B394)&lt;&gt;COLUMNS(B394),393,"")</f>
        <v>0</v>
      </c>
    </row>
    <row r="395" spans="1:1">
      <c r="A395">
        <f>IF(COUNTBLANK(B395)&lt;&gt;COLUMNS(B395),394,"")</f>
        <v>0</v>
      </c>
    </row>
    <row r="396" spans="1:1">
      <c r="A396">
        <f>IF(COUNTBLANK(B396)&lt;&gt;COLUMNS(B396),395,"")</f>
        <v>0</v>
      </c>
    </row>
    <row r="397" spans="1:1">
      <c r="A397">
        <f>IF(COUNTBLANK(B397)&lt;&gt;COLUMNS(B397),396,"")</f>
        <v>0</v>
      </c>
    </row>
    <row r="398" spans="1:1">
      <c r="A398">
        <f>IF(COUNTBLANK(B398)&lt;&gt;COLUMNS(B398),397,"")</f>
        <v>0</v>
      </c>
    </row>
    <row r="399" spans="1:1">
      <c r="A399">
        <f>IF(COUNTBLANK(B399)&lt;&gt;COLUMNS(B399),398,"")</f>
        <v>0</v>
      </c>
    </row>
    <row r="400" spans="1:1">
      <c r="A400">
        <f>IF(COUNTBLANK(B400)&lt;&gt;COLUMNS(B400),399,"")</f>
        <v>0</v>
      </c>
    </row>
    <row r="401" spans="1:1">
      <c r="A401">
        <f>IF(COUNTBLANK(B401)&lt;&gt;COLUMNS(B401),400,"")</f>
        <v>0</v>
      </c>
    </row>
    <row r="402" spans="1:1">
      <c r="A402">
        <f>IF(COUNTBLANK(B402)&lt;&gt;COLUMNS(B402),401,"")</f>
        <v>0</v>
      </c>
    </row>
    <row r="403" spans="1:1">
      <c r="A403">
        <f>IF(COUNTBLANK(B403)&lt;&gt;COLUMNS(B403),402,"")</f>
        <v>0</v>
      </c>
    </row>
    <row r="404" spans="1:1">
      <c r="A404">
        <f>IF(COUNTBLANK(B404)&lt;&gt;COLUMNS(B404),403,"")</f>
        <v>0</v>
      </c>
    </row>
    <row r="405" spans="1:1">
      <c r="A405">
        <f>IF(COUNTBLANK(B405)&lt;&gt;COLUMNS(B405),404,"")</f>
        <v>0</v>
      </c>
    </row>
    <row r="406" spans="1:1">
      <c r="A406">
        <f>IF(COUNTBLANK(B406)&lt;&gt;COLUMNS(B406),405,"")</f>
        <v>0</v>
      </c>
    </row>
    <row r="407" spans="1:1">
      <c r="A407">
        <f>IF(COUNTBLANK(B407)&lt;&gt;COLUMNS(B407),406,"")</f>
        <v>0</v>
      </c>
    </row>
    <row r="408" spans="1:1">
      <c r="A408">
        <f>IF(COUNTBLANK(B408)&lt;&gt;COLUMNS(B408),407,"")</f>
        <v>0</v>
      </c>
    </row>
    <row r="409" spans="1:1">
      <c r="A409">
        <f>IF(COUNTBLANK(B409)&lt;&gt;COLUMNS(B409),408,"")</f>
        <v>0</v>
      </c>
    </row>
    <row r="410" spans="1:1">
      <c r="A410">
        <f>IF(COUNTBLANK(B410)&lt;&gt;COLUMNS(B410),409,"")</f>
        <v>0</v>
      </c>
    </row>
    <row r="411" spans="1:1">
      <c r="A411">
        <f>IF(COUNTBLANK(B411)&lt;&gt;COLUMNS(B411),410,"")</f>
        <v>0</v>
      </c>
    </row>
    <row r="412" spans="1:1">
      <c r="A412">
        <f>IF(COUNTBLANK(B412)&lt;&gt;COLUMNS(B412),411,"")</f>
        <v>0</v>
      </c>
    </row>
    <row r="413" spans="1:1">
      <c r="A413">
        <f>IF(COUNTBLANK(B413)&lt;&gt;COLUMNS(B413),412,"")</f>
        <v>0</v>
      </c>
    </row>
    <row r="414" spans="1:1">
      <c r="A414">
        <f>IF(COUNTBLANK(B414)&lt;&gt;COLUMNS(B414),413,"")</f>
        <v>0</v>
      </c>
    </row>
    <row r="415" spans="1:1">
      <c r="A415">
        <f>IF(COUNTBLANK(B415)&lt;&gt;COLUMNS(B415),414,"")</f>
        <v>0</v>
      </c>
    </row>
    <row r="416" spans="1:1">
      <c r="A416">
        <f>IF(COUNTBLANK(B416)&lt;&gt;COLUMNS(B416),415,"")</f>
        <v>0</v>
      </c>
    </row>
    <row r="417" spans="1:1">
      <c r="A417">
        <f>IF(COUNTBLANK(B417)&lt;&gt;COLUMNS(B417),416,"")</f>
        <v>0</v>
      </c>
    </row>
    <row r="418" spans="1:1">
      <c r="A418">
        <f>IF(COUNTBLANK(B418)&lt;&gt;COLUMNS(B418),417,"")</f>
        <v>0</v>
      </c>
    </row>
    <row r="419" spans="1:1">
      <c r="A419">
        <f>IF(COUNTBLANK(B419)&lt;&gt;COLUMNS(B419),418,"")</f>
        <v>0</v>
      </c>
    </row>
    <row r="420" spans="1:1">
      <c r="A420">
        <f>IF(COUNTBLANK(B420)&lt;&gt;COLUMNS(B420),419,"")</f>
        <v>0</v>
      </c>
    </row>
    <row r="421" spans="1:1">
      <c r="A421">
        <f>IF(COUNTBLANK(B421)&lt;&gt;COLUMNS(B421),420,"")</f>
        <v>0</v>
      </c>
    </row>
    <row r="422" spans="1:1">
      <c r="A422">
        <f>IF(COUNTBLANK(B422)&lt;&gt;COLUMNS(B422),421,"")</f>
        <v>0</v>
      </c>
    </row>
    <row r="423" spans="1:1">
      <c r="A423">
        <f>IF(COUNTBLANK(B423)&lt;&gt;COLUMNS(B423),422,"")</f>
        <v>0</v>
      </c>
    </row>
    <row r="424" spans="1:1">
      <c r="A424">
        <f>IF(COUNTBLANK(B424)&lt;&gt;COLUMNS(B424),423,"")</f>
        <v>0</v>
      </c>
    </row>
    <row r="425" spans="1:1">
      <c r="A425">
        <f>IF(COUNTBLANK(B425)&lt;&gt;COLUMNS(B425),424,"")</f>
        <v>0</v>
      </c>
    </row>
    <row r="426" spans="1:1">
      <c r="A426">
        <f>IF(COUNTBLANK(B426)&lt;&gt;COLUMNS(B426),425,"")</f>
        <v>0</v>
      </c>
    </row>
    <row r="427" spans="1:1">
      <c r="A427">
        <f>IF(COUNTBLANK(B427)&lt;&gt;COLUMNS(B427),426,"")</f>
        <v>0</v>
      </c>
    </row>
    <row r="428" spans="1:1">
      <c r="A428">
        <f>IF(COUNTBLANK(B428)&lt;&gt;COLUMNS(B428),427,"")</f>
        <v>0</v>
      </c>
    </row>
    <row r="429" spans="1:1">
      <c r="A429">
        <f>IF(COUNTBLANK(B429)&lt;&gt;COLUMNS(B429),428,"")</f>
        <v>0</v>
      </c>
    </row>
    <row r="430" spans="1:1">
      <c r="A430">
        <f>IF(COUNTBLANK(B430)&lt;&gt;COLUMNS(B430),429,"")</f>
        <v>0</v>
      </c>
    </row>
    <row r="431" spans="1:1">
      <c r="A431">
        <f>IF(COUNTBLANK(B431)&lt;&gt;COLUMNS(B431),430,"")</f>
        <v>0</v>
      </c>
    </row>
    <row r="432" spans="1:1">
      <c r="A432">
        <f>IF(COUNTBLANK(B432)&lt;&gt;COLUMNS(B432),431,"")</f>
        <v>0</v>
      </c>
    </row>
    <row r="433" spans="1:1">
      <c r="A433">
        <f>IF(COUNTBLANK(B433)&lt;&gt;COLUMNS(B433),432,"")</f>
        <v>0</v>
      </c>
    </row>
    <row r="434" spans="1:1">
      <c r="A434">
        <f>IF(COUNTBLANK(B434)&lt;&gt;COLUMNS(B434),433,"")</f>
        <v>0</v>
      </c>
    </row>
    <row r="435" spans="1:1">
      <c r="A435">
        <f>IF(COUNTBLANK(B435)&lt;&gt;COLUMNS(B435),434,"")</f>
        <v>0</v>
      </c>
    </row>
    <row r="436" spans="1:1">
      <c r="A436">
        <f>IF(COUNTBLANK(B436)&lt;&gt;COLUMNS(B436),435,"")</f>
        <v>0</v>
      </c>
    </row>
    <row r="437" spans="1:1">
      <c r="A437">
        <f>IF(COUNTBLANK(B437)&lt;&gt;COLUMNS(B437),436,"")</f>
        <v>0</v>
      </c>
    </row>
    <row r="438" spans="1:1">
      <c r="A438">
        <f>IF(COUNTBLANK(B438)&lt;&gt;COLUMNS(B438),437,"")</f>
        <v>0</v>
      </c>
    </row>
    <row r="439" spans="1:1">
      <c r="A439">
        <f>IF(COUNTBLANK(B439)&lt;&gt;COLUMNS(B439),438,"")</f>
        <v>0</v>
      </c>
    </row>
    <row r="440" spans="1:1">
      <c r="A440">
        <f>IF(COUNTBLANK(B440)&lt;&gt;COLUMNS(B440),439,"")</f>
        <v>0</v>
      </c>
    </row>
    <row r="441" spans="1:1">
      <c r="A441">
        <f>IF(COUNTBLANK(B441)&lt;&gt;COLUMNS(B441),440,"")</f>
        <v>0</v>
      </c>
    </row>
    <row r="442" spans="1:1">
      <c r="A442">
        <f>IF(COUNTBLANK(B442)&lt;&gt;COLUMNS(B442),441,"")</f>
        <v>0</v>
      </c>
    </row>
    <row r="443" spans="1:1">
      <c r="A443">
        <f>IF(COUNTBLANK(B443)&lt;&gt;COLUMNS(B443),442,"")</f>
        <v>0</v>
      </c>
    </row>
    <row r="444" spans="1:1">
      <c r="A444">
        <f>IF(COUNTBLANK(B444)&lt;&gt;COLUMNS(B444),443,"")</f>
        <v>0</v>
      </c>
    </row>
    <row r="445" spans="1:1">
      <c r="A445">
        <f>IF(COUNTBLANK(B445)&lt;&gt;COLUMNS(B445),444,"")</f>
        <v>0</v>
      </c>
    </row>
    <row r="446" spans="1:1">
      <c r="A446">
        <f>IF(COUNTBLANK(B446)&lt;&gt;COLUMNS(B446),445,"")</f>
        <v>0</v>
      </c>
    </row>
    <row r="447" spans="1:1">
      <c r="A447">
        <f>IF(COUNTBLANK(B447)&lt;&gt;COLUMNS(B447),446,"")</f>
        <v>0</v>
      </c>
    </row>
    <row r="448" spans="1:1">
      <c r="A448">
        <f>IF(COUNTBLANK(B448)&lt;&gt;COLUMNS(B448),447,"")</f>
        <v>0</v>
      </c>
    </row>
    <row r="449" spans="1:1">
      <c r="A449">
        <f>IF(COUNTBLANK(B449)&lt;&gt;COLUMNS(B449),448,"")</f>
        <v>0</v>
      </c>
    </row>
    <row r="450" spans="1:1">
      <c r="A450">
        <f>IF(COUNTBLANK(B450)&lt;&gt;COLUMNS(B450),449,"")</f>
        <v>0</v>
      </c>
    </row>
    <row r="451" spans="1:1">
      <c r="A451">
        <f>IF(COUNTBLANK(B451)&lt;&gt;COLUMNS(B451),450,"")</f>
        <v>0</v>
      </c>
    </row>
    <row r="452" spans="1:1">
      <c r="A452">
        <f>IF(COUNTBLANK(B452)&lt;&gt;COLUMNS(B452),451,"")</f>
        <v>0</v>
      </c>
    </row>
    <row r="453" spans="1:1">
      <c r="A453">
        <f>IF(COUNTBLANK(B453)&lt;&gt;COLUMNS(B453),452,"")</f>
        <v>0</v>
      </c>
    </row>
    <row r="454" spans="1:1">
      <c r="A454">
        <f>IF(COUNTBLANK(B454)&lt;&gt;COLUMNS(B454),453,"")</f>
        <v>0</v>
      </c>
    </row>
    <row r="455" spans="1:1">
      <c r="A455">
        <f>IF(COUNTBLANK(B455)&lt;&gt;COLUMNS(B455),454,"")</f>
        <v>0</v>
      </c>
    </row>
    <row r="456" spans="1:1">
      <c r="A456">
        <f>IF(COUNTBLANK(B456)&lt;&gt;COLUMNS(B456),455,"")</f>
        <v>0</v>
      </c>
    </row>
    <row r="457" spans="1:1">
      <c r="A457">
        <f>IF(COUNTBLANK(B457)&lt;&gt;COLUMNS(B457),456,"")</f>
        <v>0</v>
      </c>
    </row>
    <row r="458" spans="1:1">
      <c r="A458">
        <f>IF(COUNTBLANK(B458)&lt;&gt;COLUMNS(B458),457,"")</f>
        <v>0</v>
      </c>
    </row>
    <row r="459" spans="1:1">
      <c r="A459">
        <f>IF(COUNTBLANK(B459)&lt;&gt;COLUMNS(B459),458,"")</f>
        <v>0</v>
      </c>
    </row>
    <row r="460" spans="1:1">
      <c r="A460">
        <f>IF(COUNTBLANK(B460)&lt;&gt;COLUMNS(B460),459,"")</f>
        <v>0</v>
      </c>
    </row>
    <row r="461" spans="1:1">
      <c r="A461">
        <f>IF(COUNTBLANK(B461)&lt;&gt;COLUMNS(B461),460,"")</f>
        <v>0</v>
      </c>
    </row>
    <row r="462" spans="1:1">
      <c r="A462">
        <f>IF(COUNTBLANK(B462)&lt;&gt;COLUMNS(B462),461,"")</f>
        <v>0</v>
      </c>
    </row>
    <row r="463" spans="1:1">
      <c r="A463">
        <f>IF(COUNTBLANK(B463)&lt;&gt;COLUMNS(B463),462,"")</f>
        <v>0</v>
      </c>
    </row>
    <row r="464" spans="1:1">
      <c r="A464">
        <f>IF(COUNTBLANK(B464)&lt;&gt;COLUMNS(B464),463,"")</f>
        <v>0</v>
      </c>
    </row>
    <row r="465" spans="1:1">
      <c r="A465">
        <f>IF(COUNTBLANK(B465)&lt;&gt;COLUMNS(B465),464,"")</f>
        <v>0</v>
      </c>
    </row>
    <row r="466" spans="1:1">
      <c r="A466">
        <f>IF(COUNTBLANK(B466)&lt;&gt;COLUMNS(B466),465,"")</f>
        <v>0</v>
      </c>
    </row>
    <row r="467" spans="1:1">
      <c r="A467">
        <f>IF(COUNTBLANK(B467)&lt;&gt;COLUMNS(B467),466,"")</f>
        <v>0</v>
      </c>
    </row>
    <row r="468" spans="1:1">
      <c r="A468">
        <f>IF(COUNTBLANK(B468)&lt;&gt;COLUMNS(B468),467,"")</f>
        <v>0</v>
      </c>
    </row>
    <row r="469" spans="1:1">
      <c r="A469">
        <f>IF(COUNTBLANK(B469)&lt;&gt;COLUMNS(B469),468,"")</f>
        <v>0</v>
      </c>
    </row>
    <row r="470" spans="1:1">
      <c r="A470">
        <f>IF(COUNTBLANK(B470)&lt;&gt;COLUMNS(B470),469,"")</f>
        <v>0</v>
      </c>
    </row>
    <row r="471" spans="1:1">
      <c r="A471">
        <f>IF(COUNTBLANK(B471)&lt;&gt;COLUMNS(B471),470,"")</f>
        <v>0</v>
      </c>
    </row>
    <row r="472" spans="1:1">
      <c r="A472">
        <f>IF(COUNTBLANK(B472)&lt;&gt;COLUMNS(B472),471,"")</f>
        <v>0</v>
      </c>
    </row>
    <row r="473" spans="1:1">
      <c r="A473">
        <f>IF(COUNTBLANK(B473)&lt;&gt;COLUMNS(B473),472,"")</f>
        <v>0</v>
      </c>
    </row>
    <row r="474" spans="1:1">
      <c r="A474">
        <f>IF(COUNTBLANK(B474)&lt;&gt;COLUMNS(B474),473,"")</f>
        <v>0</v>
      </c>
    </row>
    <row r="475" spans="1:1">
      <c r="A475">
        <f>IF(COUNTBLANK(B475)&lt;&gt;COLUMNS(B475),474,"")</f>
        <v>0</v>
      </c>
    </row>
    <row r="476" spans="1:1">
      <c r="A476">
        <f>IF(COUNTBLANK(B476)&lt;&gt;COLUMNS(B476),475,"")</f>
        <v>0</v>
      </c>
    </row>
    <row r="477" spans="1:1">
      <c r="A477">
        <f>IF(COUNTBLANK(B477)&lt;&gt;COLUMNS(B477),476,"")</f>
        <v>0</v>
      </c>
    </row>
    <row r="478" spans="1:1">
      <c r="A478">
        <f>IF(COUNTBLANK(B478)&lt;&gt;COLUMNS(B478),477,"")</f>
        <v>0</v>
      </c>
    </row>
    <row r="479" spans="1:1">
      <c r="A479">
        <f>IF(COUNTBLANK(B479)&lt;&gt;COLUMNS(B479),478,"")</f>
        <v>0</v>
      </c>
    </row>
    <row r="480" spans="1:1">
      <c r="A480">
        <f>IF(COUNTBLANK(B480)&lt;&gt;COLUMNS(B480),479,"")</f>
        <v>0</v>
      </c>
    </row>
    <row r="481" spans="1:1">
      <c r="A481">
        <f>IF(COUNTBLANK(B481)&lt;&gt;COLUMNS(B481),480,"")</f>
        <v>0</v>
      </c>
    </row>
    <row r="482" spans="1:1">
      <c r="A482">
        <f>IF(COUNTBLANK(B482)&lt;&gt;COLUMNS(B482),481,"")</f>
        <v>0</v>
      </c>
    </row>
    <row r="483" spans="1:1">
      <c r="A483">
        <f>IF(COUNTBLANK(B483)&lt;&gt;COLUMNS(B483),482,"")</f>
        <v>0</v>
      </c>
    </row>
    <row r="484" spans="1:1">
      <c r="A484">
        <f>IF(COUNTBLANK(B484)&lt;&gt;COLUMNS(B484),483,"")</f>
        <v>0</v>
      </c>
    </row>
    <row r="485" spans="1:1">
      <c r="A485">
        <f>IF(COUNTBLANK(B485)&lt;&gt;COLUMNS(B485),484,"")</f>
        <v>0</v>
      </c>
    </row>
    <row r="486" spans="1:1">
      <c r="A486">
        <f>IF(COUNTBLANK(B486)&lt;&gt;COLUMNS(B486),485,"")</f>
        <v>0</v>
      </c>
    </row>
    <row r="487" spans="1:1">
      <c r="A487">
        <f>IF(COUNTBLANK(B487)&lt;&gt;COLUMNS(B487),486,"")</f>
        <v>0</v>
      </c>
    </row>
    <row r="488" spans="1:1">
      <c r="A488">
        <f>IF(COUNTBLANK(B488)&lt;&gt;COLUMNS(B488),487,"")</f>
        <v>0</v>
      </c>
    </row>
    <row r="489" spans="1:1">
      <c r="A489">
        <f>IF(COUNTBLANK(B489)&lt;&gt;COLUMNS(B489),488,"")</f>
        <v>0</v>
      </c>
    </row>
    <row r="490" spans="1:1">
      <c r="A490">
        <f>IF(COUNTBLANK(B490)&lt;&gt;COLUMNS(B490),489,"")</f>
        <v>0</v>
      </c>
    </row>
    <row r="491" spans="1:1">
      <c r="A491">
        <f>IF(COUNTBLANK(B491)&lt;&gt;COLUMNS(B491),490,"")</f>
        <v>0</v>
      </c>
    </row>
    <row r="492" spans="1:1">
      <c r="A492">
        <f>IF(COUNTBLANK(B492)&lt;&gt;COLUMNS(B492),491,"")</f>
        <v>0</v>
      </c>
    </row>
    <row r="493" spans="1:1">
      <c r="A493">
        <f>IF(COUNTBLANK(B493)&lt;&gt;COLUMNS(B493),492,"")</f>
        <v>0</v>
      </c>
    </row>
    <row r="494" spans="1:1">
      <c r="A494">
        <f>IF(COUNTBLANK(B494)&lt;&gt;COLUMNS(B494),493,"")</f>
        <v>0</v>
      </c>
    </row>
    <row r="495" spans="1:1">
      <c r="A495">
        <f>IF(COUNTBLANK(B495)&lt;&gt;COLUMNS(B495),494,"")</f>
        <v>0</v>
      </c>
    </row>
    <row r="496" spans="1:1">
      <c r="A496">
        <f>IF(COUNTBLANK(B496)&lt;&gt;COLUMNS(B496),495,"")</f>
        <v>0</v>
      </c>
    </row>
    <row r="497" spans="1:1">
      <c r="A497">
        <f>IF(COUNTBLANK(B497)&lt;&gt;COLUMNS(B497),496,"")</f>
        <v>0</v>
      </c>
    </row>
    <row r="498" spans="1:1">
      <c r="A498">
        <f>IF(COUNTBLANK(B498)&lt;&gt;COLUMNS(B498),497,"")</f>
        <v>0</v>
      </c>
    </row>
    <row r="499" spans="1:1">
      <c r="A499">
        <f>IF(COUNTBLANK(B499)&lt;&gt;COLUMNS(B499),498,"")</f>
        <v>0</v>
      </c>
    </row>
    <row r="500" spans="1:1">
      <c r="A500">
        <f>IF(COUNTBLANK(B500)&lt;&gt;COLUMNS(B500),499,"")</f>
        <v>0</v>
      </c>
    </row>
    <row r="501" spans="1:1">
      <c r="A501">
        <f>IF(COUNTBLANK(B501)&lt;&gt;COLUMNS(B501),500,"")</f>
        <v>0</v>
      </c>
    </row>
    <row r="502" spans="1:1">
      <c r="A502">
        <f>IF(COUNTBLANK(B502)&lt;&gt;COLUMNS(B502),501,"")</f>
        <v>0</v>
      </c>
    </row>
    <row r="503" spans="1:1">
      <c r="A503">
        <f>IF(COUNTBLANK(B503)&lt;&gt;COLUMNS(B503),502,"")</f>
        <v>0</v>
      </c>
    </row>
    <row r="504" spans="1:1">
      <c r="A504">
        <f>IF(COUNTBLANK(B504)&lt;&gt;COLUMNS(B504),503,"")</f>
        <v>0</v>
      </c>
    </row>
    <row r="505" spans="1:1">
      <c r="A505">
        <f>IF(COUNTBLANK(B505)&lt;&gt;COLUMNS(B505),504,"")</f>
        <v>0</v>
      </c>
    </row>
    <row r="506" spans="1:1">
      <c r="A506">
        <f>IF(COUNTBLANK(B506)&lt;&gt;COLUMNS(B506),505,"")</f>
        <v>0</v>
      </c>
    </row>
    <row r="507" spans="1:1">
      <c r="A507">
        <f>IF(COUNTBLANK(B507)&lt;&gt;COLUMNS(B507),506,"")</f>
        <v>0</v>
      </c>
    </row>
    <row r="508" spans="1:1">
      <c r="A508">
        <f>IF(COUNTBLANK(B508)&lt;&gt;COLUMNS(B508),507,"")</f>
        <v>0</v>
      </c>
    </row>
    <row r="509" spans="1:1">
      <c r="A509">
        <f>IF(COUNTBLANK(B509)&lt;&gt;COLUMNS(B509),508,"")</f>
        <v>0</v>
      </c>
    </row>
    <row r="510" spans="1:1">
      <c r="A510">
        <f>IF(COUNTBLANK(B510)&lt;&gt;COLUMNS(B510),509,"")</f>
        <v>0</v>
      </c>
    </row>
    <row r="511" spans="1:1">
      <c r="A511">
        <f>IF(COUNTBLANK(B511)&lt;&gt;COLUMNS(B511),510,"")</f>
        <v>0</v>
      </c>
    </row>
    <row r="512" spans="1:1">
      <c r="A512">
        <f>IF(COUNTBLANK(B512)&lt;&gt;COLUMNS(B512),511,"")</f>
        <v>0</v>
      </c>
    </row>
    <row r="513" spans="1:1">
      <c r="A513">
        <f>IF(COUNTBLANK(B513)&lt;&gt;COLUMNS(B513),512,"")</f>
        <v>0</v>
      </c>
    </row>
    <row r="514" spans="1:1">
      <c r="A514">
        <f>IF(COUNTBLANK(B514)&lt;&gt;COLUMNS(B514),513,"")</f>
        <v>0</v>
      </c>
    </row>
    <row r="515" spans="1:1">
      <c r="A515">
        <f>IF(COUNTBLANK(B515)&lt;&gt;COLUMNS(B515),514,"")</f>
        <v>0</v>
      </c>
    </row>
    <row r="516" spans="1:1">
      <c r="A516">
        <f>IF(COUNTBLANK(B516)&lt;&gt;COLUMNS(B516),515,"")</f>
        <v>0</v>
      </c>
    </row>
    <row r="517" spans="1:1">
      <c r="A517">
        <f>IF(COUNTBLANK(B517)&lt;&gt;COLUMNS(B517),516,"")</f>
        <v>0</v>
      </c>
    </row>
    <row r="518" spans="1:1">
      <c r="A518">
        <f>IF(COUNTBLANK(B518)&lt;&gt;COLUMNS(B518),517,"")</f>
        <v>0</v>
      </c>
    </row>
    <row r="519" spans="1:1">
      <c r="A519">
        <f>IF(COUNTBLANK(B519)&lt;&gt;COLUMNS(B519),518,"")</f>
        <v>0</v>
      </c>
    </row>
    <row r="520" spans="1:1">
      <c r="A520">
        <f>IF(COUNTBLANK(B520)&lt;&gt;COLUMNS(B520),519,"")</f>
        <v>0</v>
      </c>
    </row>
    <row r="521" spans="1:1">
      <c r="A521">
        <f>IF(COUNTBLANK(B521)&lt;&gt;COLUMNS(B521),520,"")</f>
        <v>0</v>
      </c>
    </row>
    <row r="522" spans="1:1">
      <c r="A522">
        <f>IF(COUNTBLANK(B522)&lt;&gt;COLUMNS(B522),521,"")</f>
        <v>0</v>
      </c>
    </row>
    <row r="523" spans="1:1">
      <c r="A523">
        <f>IF(COUNTBLANK(B523)&lt;&gt;COLUMNS(B523),522,"")</f>
        <v>0</v>
      </c>
    </row>
    <row r="524" spans="1:1">
      <c r="A524">
        <f>IF(COUNTBLANK(B524)&lt;&gt;COLUMNS(B524),523,"")</f>
        <v>0</v>
      </c>
    </row>
    <row r="525" spans="1:1">
      <c r="A525">
        <f>IF(COUNTBLANK(B525)&lt;&gt;COLUMNS(B525),524,"")</f>
        <v>0</v>
      </c>
    </row>
    <row r="526" spans="1:1">
      <c r="A526">
        <f>IF(COUNTBLANK(B526)&lt;&gt;COLUMNS(B526),525,"")</f>
        <v>0</v>
      </c>
    </row>
    <row r="527" spans="1:1">
      <c r="A527">
        <f>IF(COUNTBLANK(B527)&lt;&gt;COLUMNS(B527),526,"")</f>
        <v>0</v>
      </c>
    </row>
    <row r="528" spans="1:1">
      <c r="A528">
        <f>IF(COUNTBLANK(B528)&lt;&gt;COLUMNS(B528),527,"")</f>
        <v>0</v>
      </c>
    </row>
    <row r="529" spans="1:1">
      <c r="A529">
        <f>IF(COUNTBLANK(B529)&lt;&gt;COLUMNS(B529),528,"")</f>
        <v>0</v>
      </c>
    </row>
    <row r="530" spans="1:1">
      <c r="A530">
        <f>IF(COUNTBLANK(B530)&lt;&gt;COLUMNS(B530),529,"")</f>
        <v>0</v>
      </c>
    </row>
    <row r="531" spans="1:1">
      <c r="A531">
        <f>IF(COUNTBLANK(B531)&lt;&gt;COLUMNS(B531),530,"")</f>
        <v>0</v>
      </c>
    </row>
    <row r="532" spans="1:1">
      <c r="A532">
        <f>IF(COUNTBLANK(B532)&lt;&gt;COLUMNS(B532),531,"")</f>
        <v>0</v>
      </c>
    </row>
    <row r="533" spans="1:1">
      <c r="A533">
        <f>IF(COUNTBLANK(B533)&lt;&gt;COLUMNS(B533),532,"")</f>
        <v>0</v>
      </c>
    </row>
    <row r="534" spans="1:1">
      <c r="A534">
        <f>IF(COUNTBLANK(B534)&lt;&gt;COLUMNS(B534),533,"")</f>
        <v>0</v>
      </c>
    </row>
    <row r="535" spans="1:1">
      <c r="A535">
        <f>IF(COUNTBLANK(B535)&lt;&gt;COLUMNS(B535),534,"")</f>
        <v>0</v>
      </c>
    </row>
    <row r="536" spans="1:1">
      <c r="A536">
        <f>IF(COUNTBLANK(B536)&lt;&gt;COLUMNS(B536),535,"")</f>
        <v>0</v>
      </c>
    </row>
    <row r="537" spans="1:1">
      <c r="A537">
        <f>IF(COUNTBLANK(B537)&lt;&gt;COLUMNS(B537),536,"")</f>
        <v>0</v>
      </c>
    </row>
    <row r="538" spans="1:1">
      <c r="A538">
        <f>IF(COUNTBLANK(B538)&lt;&gt;COLUMNS(B538),537,"")</f>
        <v>0</v>
      </c>
    </row>
    <row r="539" spans="1:1">
      <c r="A539">
        <f>IF(COUNTBLANK(B539)&lt;&gt;COLUMNS(B539),538,"")</f>
        <v>0</v>
      </c>
    </row>
    <row r="540" spans="1:1">
      <c r="A540">
        <f>IF(COUNTBLANK(B540)&lt;&gt;COLUMNS(B540),539,"")</f>
        <v>0</v>
      </c>
    </row>
    <row r="541" spans="1:1">
      <c r="A541">
        <f>IF(COUNTBLANK(B541)&lt;&gt;COLUMNS(B541),540,"")</f>
        <v>0</v>
      </c>
    </row>
    <row r="542" spans="1:1">
      <c r="A542">
        <f>IF(COUNTBLANK(B542)&lt;&gt;COLUMNS(B542),541,"")</f>
        <v>0</v>
      </c>
    </row>
    <row r="543" spans="1:1">
      <c r="A543">
        <f>IF(COUNTBLANK(B543)&lt;&gt;COLUMNS(B543),542,"")</f>
        <v>0</v>
      </c>
    </row>
    <row r="544" spans="1:1">
      <c r="A544">
        <f>IF(COUNTBLANK(B544)&lt;&gt;COLUMNS(B544),543,"")</f>
        <v>0</v>
      </c>
    </row>
    <row r="545" spans="1:1">
      <c r="A545">
        <f>IF(COUNTBLANK(B545)&lt;&gt;COLUMNS(B545),544,"")</f>
        <v>0</v>
      </c>
    </row>
    <row r="546" spans="1:1">
      <c r="A546">
        <f>IF(COUNTBLANK(B546)&lt;&gt;COLUMNS(B546),545,"")</f>
        <v>0</v>
      </c>
    </row>
    <row r="547" spans="1:1">
      <c r="A547">
        <f>IF(COUNTBLANK(B547)&lt;&gt;COLUMNS(B547),546,"")</f>
        <v>0</v>
      </c>
    </row>
    <row r="548" spans="1:1">
      <c r="A548">
        <f>IF(COUNTBLANK(B548)&lt;&gt;COLUMNS(B548),547,"")</f>
        <v>0</v>
      </c>
    </row>
    <row r="549" spans="1:1">
      <c r="A549">
        <f>IF(COUNTBLANK(B549)&lt;&gt;COLUMNS(B549),548,"")</f>
        <v>0</v>
      </c>
    </row>
    <row r="550" spans="1:1">
      <c r="A550">
        <f>IF(COUNTBLANK(B550)&lt;&gt;COLUMNS(B550),549,"")</f>
        <v>0</v>
      </c>
    </row>
    <row r="551" spans="1:1">
      <c r="A551">
        <f>IF(COUNTBLANK(B551)&lt;&gt;COLUMNS(B551),550,"")</f>
        <v>0</v>
      </c>
    </row>
    <row r="552" spans="1:1">
      <c r="A552">
        <f>IF(COUNTBLANK(B552)&lt;&gt;COLUMNS(B552),551,"")</f>
        <v>0</v>
      </c>
    </row>
    <row r="553" spans="1:1">
      <c r="A553">
        <f>IF(COUNTBLANK(B553)&lt;&gt;COLUMNS(B553),552,"")</f>
        <v>0</v>
      </c>
    </row>
    <row r="554" spans="1:1">
      <c r="A554">
        <f>IF(COUNTBLANK(B554)&lt;&gt;COLUMNS(B554),553,"")</f>
        <v>0</v>
      </c>
    </row>
    <row r="555" spans="1:1">
      <c r="A555">
        <f>IF(COUNTBLANK(B555)&lt;&gt;COLUMNS(B555),554,"")</f>
        <v>0</v>
      </c>
    </row>
    <row r="556" spans="1:1">
      <c r="A556">
        <f>IF(COUNTBLANK(B556)&lt;&gt;COLUMNS(B556),555,"")</f>
        <v>0</v>
      </c>
    </row>
    <row r="557" spans="1:1">
      <c r="A557">
        <f>IF(COUNTBLANK(B557)&lt;&gt;COLUMNS(B557),556,"")</f>
        <v>0</v>
      </c>
    </row>
    <row r="558" spans="1:1">
      <c r="A558">
        <f>IF(COUNTBLANK(B558)&lt;&gt;COLUMNS(B558),557,"")</f>
        <v>0</v>
      </c>
    </row>
    <row r="559" spans="1:1">
      <c r="A559">
        <f>IF(COUNTBLANK(B559)&lt;&gt;COLUMNS(B559),558,"")</f>
        <v>0</v>
      </c>
    </row>
    <row r="560" spans="1:1">
      <c r="A560">
        <f>IF(COUNTBLANK(B560)&lt;&gt;COLUMNS(B560),559,"")</f>
        <v>0</v>
      </c>
    </row>
    <row r="561" spans="1:1">
      <c r="A561">
        <f>IF(COUNTBLANK(B561)&lt;&gt;COLUMNS(B561),560,"")</f>
        <v>0</v>
      </c>
    </row>
    <row r="562" spans="1:1">
      <c r="A562">
        <f>IF(COUNTBLANK(B562)&lt;&gt;COLUMNS(B562),561,"")</f>
        <v>0</v>
      </c>
    </row>
    <row r="563" spans="1:1">
      <c r="A563">
        <f>IF(COUNTBLANK(B563)&lt;&gt;COLUMNS(B563),562,"")</f>
        <v>0</v>
      </c>
    </row>
    <row r="564" spans="1:1">
      <c r="A564">
        <f>IF(COUNTBLANK(B564)&lt;&gt;COLUMNS(B564),563,"")</f>
        <v>0</v>
      </c>
    </row>
    <row r="565" spans="1:1">
      <c r="A565">
        <f>IF(COUNTBLANK(B565)&lt;&gt;COLUMNS(B565),564,"")</f>
        <v>0</v>
      </c>
    </row>
    <row r="566" spans="1:1">
      <c r="A566">
        <f>IF(COUNTBLANK(B566)&lt;&gt;COLUMNS(B566),565,"")</f>
        <v>0</v>
      </c>
    </row>
    <row r="567" spans="1:1">
      <c r="A567">
        <f>IF(COUNTBLANK(B567)&lt;&gt;COLUMNS(B567),566,"")</f>
        <v>0</v>
      </c>
    </row>
    <row r="568" spans="1:1">
      <c r="A568">
        <f>IF(COUNTBLANK(B568)&lt;&gt;COLUMNS(B568),567,"")</f>
        <v>0</v>
      </c>
    </row>
    <row r="569" spans="1:1">
      <c r="A569">
        <f>IF(COUNTBLANK(B569)&lt;&gt;COLUMNS(B569),568,"")</f>
        <v>0</v>
      </c>
    </row>
    <row r="570" spans="1:1">
      <c r="A570">
        <f>IF(COUNTBLANK(B570)&lt;&gt;COLUMNS(B570),569,"")</f>
        <v>0</v>
      </c>
    </row>
    <row r="571" spans="1:1">
      <c r="A571">
        <f>IF(COUNTBLANK(B571)&lt;&gt;COLUMNS(B571),570,"")</f>
        <v>0</v>
      </c>
    </row>
    <row r="572" spans="1:1">
      <c r="A572">
        <f>IF(COUNTBLANK(B572)&lt;&gt;COLUMNS(B572),571,"")</f>
        <v>0</v>
      </c>
    </row>
    <row r="573" spans="1:1">
      <c r="A573">
        <f>IF(COUNTBLANK(B573)&lt;&gt;COLUMNS(B573),572,"")</f>
        <v>0</v>
      </c>
    </row>
    <row r="574" spans="1:1">
      <c r="A574">
        <f>IF(COUNTBLANK(B574)&lt;&gt;COLUMNS(B574),573,"")</f>
        <v>0</v>
      </c>
    </row>
    <row r="575" spans="1:1">
      <c r="A575">
        <f>IF(COUNTBLANK(B575)&lt;&gt;COLUMNS(B575),574,"")</f>
        <v>0</v>
      </c>
    </row>
    <row r="576" spans="1:1">
      <c r="A576">
        <f>IF(COUNTBLANK(B576)&lt;&gt;COLUMNS(B576),575,"")</f>
        <v>0</v>
      </c>
    </row>
    <row r="577" spans="1:1">
      <c r="A577">
        <f>IF(COUNTBLANK(B577)&lt;&gt;COLUMNS(B577),576,"")</f>
        <v>0</v>
      </c>
    </row>
    <row r="578" spans="1:1">
      <c r="A578">
        <f>IF(COUNTBLANK(B578)&lt;&gt;COLUMNS(B578),577,"")</f>
        <v>0</v>
      </c>
    </row>
    <row r="579" spans="1:1">
      <c r="A579">
        <f>IF(COUNTBLANK(B579)&lt;&gt;COLUMNS(B579),578,"")</f>
        <v>0</v>
      </c>
    </row>
    <row r="580" spans="1:1">
      <c r="A580">
        <f>IF(COUNTBLANK(B580)&lt;&gt;COLUMNS(B580),579,"")</f>
        <v>0</v>
      </c>
    </row>
    <row r="581" spans="1:1">
      <c r="A581">
        <f>IF(COUNTBLANK(B581)&lt;&gt;COLUMNS(B581),580,"")</f>
        <v>0</v>
      </c>
    </row>
    <row r="582" spans="1:1">
      <c r="A582">
        <f>IF(COUNTBLANK(B582)&lt;&gt;COLUMNS(B582),581,"")</f>
        <v>0</v>
      </c>
    </row>
    <row r="583" spans="1:1">
      <c r="A583">
        <f>IF(COUNTBLANK(B583)&lt;&gt;COLUMNS(B583),582,"")</f>
        <v>0</v>
      </c>
    </row>
    <row r="584" spans="1:1">
      <c r="A584">
        <f>IF(COUNTBLANK(B584)&lt;&gt;COLUMNS(B584),583,"")</f>
        <v>0</v>
      </c>
    </row>
    <row r="585" spans="1:1">
      <c r="A585">
        <f>IF(COUNTBLANK(B585)&lt;&gt;COLUMNS(B585),584,"")</f>
        <v>0</v>
      </c>
    </row>
    <row r="586" spans="1:1">
      <c r="A586">
        <f>IF(COUNTBLANK(B586)&lt;&gt;COLUMNS(B586),585,"")</f>
        <v>0</v>
      </c>
    </row>
    <row r="587" spans="1:1">
      <c r="A587">
        <f>IF(COUNTBLANK(B587)&lt;&gt;COLUMNS(B587),586,"")</f>
        <v>0</v>
      </c>
    </row>
    <row r="588" spans="1:1">
      <c r="A588">
        <f>IF(COUNTBLANK(B588)&lt;&gt;COLUMNS(B588),587,"")</f>
        <v>0</v>
      </c>
    </row>
    <row r="589" spans="1:1">
      <c r="A589">
        <f>IF(COUNTBLANK(B589)&lt;&gt;COLUMNS(B589),588,"")</f>
        <v>0</v>
      </c>
    </row>
    <row r="590" spans="1:1">
      <c r="A590">
        <f>IF(COUNTBLANK(B590)&lt;&gt;COLUMNS(B590),589,"")</f>
        <v>0</v>
      </c>
    </row>
    <row r="591" spans="1:1">
      <c r="A591">
        <f>IF(COUNTBLANK(B591)&lt;&gt;COLUMNS(B591),590,"")</f>
        <v>0</v>
      </c>
    </row>
    <row r="592" spans="1:1">
      <c r="A592">
        <f>IF(COUNTBLANK(B592)&lt;&gt;COLUMNS(B592),591,"")</f>
        <v>0</v>
      </c>
    </row>
    <row r="593" spans="1:1">
      <c r="A593">
        <f>IF(COUNTBLANK(B593)&lt;&gt;COLUMNS(B593),592,"")</f>
        <v>0</v>
      </c>
    </row>
    <row r="594" spans="1:1">
      <c r="A594">
        <f>IF(COUNTBLANK(B594)&lt;&gt;COLUMNS(B594),593,"")</f>
        <v>0</v>
      </c>
    </row>
    <row r="595" spans="1:1">
      <c r="A595">
        <f>IF(COUNTBLANK(B595)&lt;&gt;COLUMNS(B595),594,"")</f>
        <v>0</v>
      </c>
    </row>
    <row r="596" spans="1:1">
      <c r="A596">
        <f>IF(COUNTBLANK(B596)&lt;&gt;COLUMNS(B596),595,"")</f>
        <v>0</v>
      </c>
    </row>
    <row r="597" spans="1:1">
      <c r="A597">
        <f>IF(COUNTBLANK(B597)&lt;&gt;COLUMNS(B597),596,"")</f>
        <v>0</v>
      </c>
    </row>
    <row r="598" spans="1:1">
      <c r="A598">
        <f>IF(COUNTBLANK(B598)&lt;&gt;COLUMNS(B598),597,"")</f>
        <v>0</v>
      </c>
    </row>
    <row r="599" spans="1:1">
      <c r="A599">
        <f>IF(COUNTBLANK(B599)&lt;&gt;COLUMNS(B599),598,"")</f>
        <v>0</v>
      </c>
    </row>
    <row r="600" spans="1:1">
      <c r="A600">
        <f>IF(COUNTBLANK(B600)&lt;&gt;COLUMNS(B600),599,"")</f>
        <v>0</v>
      </c>
    </row>
    <row r="601" spans="1:1">
      <c r="A601">
        <f>IF(COUNTBLANK(B601)&lt;&gt;COLUMNS(B601),600,"")</f>
        <v>0</v>
      </c>
    </row>
    <row r="602" spans="1:1">
      <c r="A602">
        <f>IF(COUNTBLANK(B602)&lt;&gt;COLUMNS(B602),601,"")</f>
        <v>0</v>
      </c>
    </row>
    <row r="603" spans="1:1">
      <c r="A603">
        <f>IF(COUNTBLANK(B603)&lt;&gt;COLUMNS(B603),602,"")</f>
        <v>0</v>
      </c>
    </row>
    <row r="604" spans="1:1">
      <c r="A604">
        <f>IF(COUNTBLANK(B604)&lt;&gt;COLUMNS(B604),603,"")</f>
        <v>0</v>
      </c>
    </row>
    <row r="605" spans="1:1">
      <c r="A605">
        <f>IF(COUNTBLANK(B605)&lt;&gt;COLUMNS(B605),604,"")</f>
        <v>0</v>
      </c>
    </row>
    <row r="606" spans="1:1">
      <c r="A606">
        <f>IF(COUNTBLANK(B606)&lt;&gt;COLUMNS(B606),605,"")</f>
        <v>0</v>
      </c>
    </row>
    <row r="607" spans="1:1">
      <c r="A607">
        <f>IF(COUNTBLANK(B607)&lt;&gt;COLUMNS(B607),606,"")</f>
        <v>0</v>
      </c>
    </row>
    <row r="608" spans="1:1">
      <c r="A608">
        <f>IF(COUNTBLANK(B608)&lt;&gt;COLUMNS(B608),607,"")</f>
        <v>0</v>
      </c>
    </row>
    <row r="609" spans="1:1">
      <c r="A609">
        <f>IF(COUNTBLANK(B609)&lt;&gt;COLUMNS(B609),608,"")</f>
        <v>0</v>
      </c>
    </row>
    <row r="610" spans="1:1">
      <c r="A610">
        <f>IF(COUNTBLANK(B610)&lt;&gt;COLUMNS(B610),609,"")</f>
        <v>0</v>
      </c>
    </row>
    <row r="611" spans="1:1">
      <c r="A611">
        <f>IF(COUNTBLANK(B611)&lt;&gt;COLUMNS(B611),610,"")</f>
        <v>0</v>
      </c>
    </row>
    <row r="612" spans="1:1">
      <c r="A612">
        <f>IF(COUNTBLANK(B612)&lt;&gt;COLUMNS(B612),611,"")</f>
        <v>0</v>
      </c>
    </row>
    <row r="613" spans="1:1">
      <c r="A613">
        <f>IF(COUNTBLANK(B613)&lt;&gt;COLUMNS(B613),612,"")</f>
        <v>0</v>
      </c>
    </row>
    <row r="614" spans="1:1">
      <c r="A614">
        <f>IF(COUNTBLANK(B614)&lt;&gt;COLUMNS(B614),613,"")</f>
        <v>0</v>
      </c>
    </row>
    <row r="615" spans="1:1">
      <c r="A615">
        <f>IF(COUNTBLANK(B615)&lt;&gt;COLUMNS(B615),614,"")</f>
        <v>0</v>
      </c>
    </row>
    <row r="616" spans="1:1">
      <c r="A616">
        <f>IF(COUNTBLANK(B616)&lt;&gt;COLUMNS(B616),615,"")</f>
        <v>0</v>
      </c>
    </row>
    <row r="617" spans="1:1">
      <c r="A617">
        <f>IF(COUNTBLANK(B617)&lt;&gt;COLUMNS(B617),616,"")</f>
        <v>0</v>
      </c>
    </row>
    <row r="618" spans="1:1">
      <c r="A618">
        <f>IF(COUNTBLANK(B618)&lt;&gt;COLUMNS(B618),617,"")</f>
        <v>0</v>
      </c>
    </row>
    <row r="619" spans="1:1">
      <c r="A619">
        <f>IF(COUNTBLANK(B619)&lt;&gt;COLUMNS(B619),618,"")</f>
        <v>0</v>
      </c>
    </row>
    <row r="620" spans="1:1">
      <c r="A620">
        <f>IF(COUNTBLANK(B620)&lt;&gt;COLUMNS(B620),619,"")</f>
        <v>0</v>
      </c>
    </row>
    <row r="621" spans="1:1">
      <c r="A621">
        <f>IF(COUNTBLANK(B621)&lt;&gt;COLUMNS(B621),620,"")</f>
        <v>0</v>
      </c>
    </row>
    <row r="622" spans="1:1">
      <c r="A622">
        <f>IF(COUNTBLANK(B622)&lt;&gt;COLUMNS(B622),621,"")</f>
        <v>0</v>
      </c>
    </row>
    <row r="623" spans="1:1">
      <c r="A623">
        <f>IF(COUNTBLANK(B623)&lt;&gt;COLUMNS(B623),622,"")</f>
        <v>0</v>
      </c>
    </row>
    <row r="624" spans="1:1">
      <c r="A624">
        <f>IF(COUNTBLANK(B624)&lt;&gt;COLUMNS(B624),623,"")</f>
        <v>0</v>
      </c>
    </row>
    <row r="625" spans="1:1">
      <c r="A625">
        <f>IF(COUNTBLANK(B625)&lt;&gt;COLUMNS(B625),624,"")</f>
        <v>0</v>
      </c>
    </row>
    <row r="626" spans="1:1">
      <c r="A626">
        <f>IF(COUNTBLANK(B626)&lt;&gt;COLUMNS(B626),625,"")</f>
        <v>0</v>
      </c>
    </row>
    <row r="627" spans="1:1">
      <c r="A627">
        <f>IF(COUNTBLANK(B627)&lt;&gt;COLUMNS(B627),626,"")</f>
        <v>0</v>
      </c>
    </row>
    <row r="628" spans="1:1">
      <c r="A628">
        <f>IF(COUNTBLANK(B628)&lt;&gt;COLUMNS(B628),627,"")</f>
        <v>0</v>
      </c>
    </row>
    <row r="629" spans="1:1">
      <c r="A629">
        <f>IF(COUNTBLANK(B629)&lt;&gt;COLUMNS(B629),628,"")</f>
        <v>0</v>
      </c>
    </row>
    <row r="630" spans="1:1">
      <c r="A630">
        <f>IF(COUNTBLANK(B630)&lt;&gt;COLUMNS(B630),629,"")</f>
        <v>0</v>
      </c>
    </row>
    <row r="631" spans="1:1">
      <c r="A631">
        <f>IF(COUNTBLANK(B631)&lt;&gt;COLUMNS(B631),630,"")</f>
        <v>0</v>
      </c>
    </row>
    <row r="632" spans="1:1">
      <c r="A632">
        <f>IF(COUNTBLANK(B632)&lt;&gt;COLUMNS(B632),631,"")</f>
        <v>0</v>
      </c>
    </row>
    <row r="633" spans="1:1">
      <c r="A633">
        <f>IF(COUNTBLANK(B633)&lt;&gt;COLUMNS(B633),632,"")</f>
        <v>0</v>
      </c>
    </row>
    <row r="634" spans="1:1">
      <c r="A634">
        <f>IF(COUNTBLANK(B634)&lt;&gt;COLUMNS(B634),633,"")</f>
        <v>0</v>
      </c>
    </row>
    <row r="635" spans="1:1">
      <c r="A635">
        <f>IF(COUNTBLANK(B635)&lt;&gt;COLUMNS(B635),634,"")</f>
        <v>0</v>
      </c>
    </row>
    <row r="636" spans="1:1">
      <c r="A636">
        <f>IF(COUNTBLANK(B636)&lt;&gt;COLUMNS(B636),635,"")</f>
        <v>0</v>
      </c>
    </row>
    <row r="637" spans="1:1">
      <c r="A637">
        <f>IF(COUNTBLANK(B637)&lt;&gt;COLUMNS(B637),636,"")</f>
        <v>0</v>
      </c>
    </row>
    <row r="638" spans="1:1">
      <c r="A638">
        <f>IF(COUNTBLANK(B638)&lt;&gt;COLUMNS(B638),637,"")</f>
        <v>0</v>
      </c>
    </row>
    <row r="639" spans="1:1">
      <c r="A639">
        <f>IF(COUNTBLANK(B639)&lt;&gt;COLUMNS(B639),638,"")</f>
        <v>0</v>
      </c>
    </row>
    <row r="640" spans="1:1">
      <c r="A640">
        <f>IF(COUNTBLANK(B640)&lt;&gt;COLUMNS(B640),639,"")</f>
        <v>0</v>
      </c>
    </row>
    <row r="641" spans="1:1">
      <c r="A641">
        <f>IF(COUNTBLANK(B641)&lt;&gt;COLUMNS(B641),640,"")</f>
        <v>0</v>
      </c>
    </row>
    <row r="642" spans="1:1">
      <c r="A642">
        <f>IF(COUNTBLANK(B642)&lt;&gt;COLUMNS(B642),641,"")</f>
        <v>0</v>
      </c>
    </row>
    <row r="643" spans="1:1">
      <c r="A643">
        <f>IF(COUNTBLANK(B643)&lt;&gt;COLUMNS(B643),642,"")</f>
        <v>0</v>
      </c>
    </row>
    <row r="644" spans="1:1">
      <c r="A644">
        <f>IF(COUNTBLANK(B644)&lt;&gt;COLUMNS(B644),643,"")</f>
        <v>0</v>
      </c>
    </row>
    <row r="645" spans="1:1">
      <c r="A645">
        <f>IF(COUNTBLANK(B645)&lt;&gt;COLUMNS(B645),644,"")</f>
        <v>0</v>
      </c>
    </row>
    <row r="646" spans="1:1">
      <c r="A646">
        <f>IF(COUNTBLANK(B646)&lt;&gt;COLUMNS(B646),645,"")</f>
        <v>0</v>
      </c>
    </row>
    <row r="647" spans="1:1">
      <c r="A647">
        <f>IF(COUNTBLANK(B647)&lt;&gt;COLUMNS(B647),646,"")</f>
        <v>0</v>
      </c>
    </row>
    <row r="648" spans="1:1">
      <c r="A648">
        <f>IF(COUNTBLANK(B648)&lt;&gt;COLUMNS(B648),647,"")</f>
        <v>0</v>
      </c>
    </row>
    <row r="649" spans="1:1">
      <c r="A649">
        <f>IF(COUNTBLANK(B649)&lt;&gt;COLUMNS(B649),648,"")</f>
        <v>0</v>
      </c>
    </row>
    <row r="650" spans="1:1">
      <c r="A650">
        <f>IF(COUNTBLANK(B650)&lt;&gt;COLUMNS(B650),649,"")</f>
        <v>0</v>
      </c>
    </row>
    <row r="651" spans="1:1">
      <c r="A651">
        <f>IF(COUNTBLANK(B651)&lt;&gt;COLUMNS(B651),650,"")</f>
        <v>0</v>
      </c>
    </row>
    <row r="652" spans="1:1">
      <c r="A652">
        <f>IF(COUNTBLANK(B652)&lt;&gt;COLUMNS(B652),651,"")</f>
        <v>0</v>
      </c>
    </row>
    <row r="653" spans="1:1">
      <c r="A653">
        <f>IF(COUNTBLANK(B653)&lt;&gt;COLUMNS(B653),652,"")</f>
        <v>0</v>
      </c>
    </row>
    <row r="654" spans="1:1">
      <c r="A654">
        <f>IF(COUNTBLANK(B654)&lt;&gt;COLUMNS(B654),653,"")</f>
        <v>0</v>
      </c>
    </row>
    <row r="655" spans="1:1">
      <c r="A655">
        <f>IF(COUNTBLANK(B655)&lt;&gt;COLUMNS(B655),654,"")</f>
        <v>0</v>
      </c>
    </row>
    <row r="656" spans="1:1">
      <c r="A656">
        <f>IF(COUNTBLANK(B656)&lt;&gt;COLUMNS(B656),655,"")</f>
        <v>0</v>
      </c>
    </row>
    <row r="657" spans="1:1">
      <c r="A657">
        <f>IF(COUNTBLANK(B657)&lt;&gt;COLUMNS(B657),656,"")</f>
        <v>0</v>
      </c>
    </row>
    <row r="658" spans="1:1">
      <c r="A658">
        <f>IF(COUNTBLANK(B658)&lt;&gt;COLUMNS(B658),657,"")</f>
        <v>0</v>
      </c>
    </row>
    <row r="659" spans="1:1">
      <c r="A659">
        <f>IF(COUNTBLANK(B659)&lt;&gt;COLUMNS(B659),658,"")</f>
        <v>0</v>
      </c>
    </row>
    <row r="660" spans="1:1">
      <c r="A660">
        <f>IF(COUNTBLANK(B660)&lt;&gt;COLUMNS(B660),659,"")</f>
        <v>0</v>
      </c>
    </row>
    <row r="661" spans="1:1">
      <c r="A661">
        <f>IF(COUNTBLANK(B661)&lt;&gt;COLUMNS(B661),660,"")</f>
        <v>0</v>
      </c>
    </row>
    <row r="662" spans="1:1">
      <c r="A662">
        <f>IF(COUNTBLANK(B662)&lt;&gt;COLUMNS(B662),661,"")</f>
        <v>0</v>
      </c>
    </row>
    <row r="663" spans="1:1">
      <c r="A663">
        <f>IF(COUNTBLANK(B663)&lt;&gt;COLUMNS(B663),662,"")</f>
        <v>0</v>
      </c>
    </row>
    <row r="664" spans="1:1">
      <c r="A664">
        <f>IF(COUNTBLANK(B664)&lt;&gt;COLUMNS(B664),663,"")</f>
        <v>0</v>
      </c>
    </row>
    <row r="665" spans="1:1">
      <c r="A665">
        <f>IF(COUNTBLANK(B665)&lt;&gt;COLUMNS(B665),664,"")</f>
        <v>0</v>
      </c>
    </row>
    <row r="666" spans="1:1">
      <c r="A666">
        <f>IF(COUNTBLANK(B666)&lt;&gt;COLUMNS(B666),665,"")</f>
        <v>0</v>
      </c>
    </row>
    <row r="667" spans="1:1">
      <c r="A667">
        <f>IF(COUNTBLANK(B667)&lt;&gt;COLUMNS(B667),666,"")</f>
        <v>0</v>
      </c>
    </row>
    <row r="668" spans="1:1">
      <c r="A668">
        <f>IF(COUNTBLANK(B668)&lt;&gt;COLUMNS(B668),667,"")</f>
        <v>0</v>
      </c>
    </row>
    <row r="669" spans="1:1">
      <c r="A669">
        <f>IF(COUNTBLANK(B669)&lt;&gt;COLUMNS(B669),668,"")</f>
        <v>0</v>
      </c>
    </row>
    <row r="670" spans="1:1">
      <c r="A670">
        <f>IF(COUNTBLANK(B670)&lt;&gt;COLUMNS(B670),669,"")</f>
        <v>0</v>
      </c>
    </row>
    <row r="671" spans="1:1">
      <c r="A671">
        <f>IF(COUNTBLANK(B671)&lt;&gt;COLUMNS(B671),670,"")</f>
        <v>0</v>
      </c>
    </row>
    <row r="672" spans="1:1">
      <c r="A672">
        <f>IF(COUNTBLANK(B672)&lt;&gt;COLUMNS(B672),671,"")</f>
        <v>0</v>
      </c>
    </row>
    <row r="673" spans="1:1">
      <c r="A673">
        <f>IF(COUNTBLANK(B673)&lt;&gt;COLUMNS(B673),672,"")</f>
        <v>0</v>
      </c>
    </row>
    <row r="674" spans="1:1">
      <c r="A674">
        <f>IF(COUNTBLANK(B674)&lt;&gt;COLUMNS(B674),673,"")</f>
        <v>0</v>
      </c>
    </row>
    <row r="675" spans="1:1">
      <c r="A675">
        <f>IF(COUNTBLANK(B675)&lt;&gt;COLUMNS(B675),674,"")</f>
        <v>0</v>
      </c>
    </row>
    <row r="676" spans="1:1">
      <c r="A676">
        <f>IF(COUNTBLANK(B676)&lt;&gt;COLUMNS(B676),675,"")</f>
        <v>0</v>
      </c>
    </row>
    <row r="677" spans="1:1">
      <c r="A677">
        <f>IF(COUNTBLANK(B677)&lt;&gt;COLUMNS(B677),676,"")</f>
        <v>0</v>
      </c>
    </row>
    <row r="678" spans="1:1">
      <c r="A678">
        <f>IF(COUNTBLANK(B678)&lt;&gt;COLUMNS(B678),677,"")</f>
        <v>0</v>
      </c>
    </row>
    <row r="679" spans="1:1">
      <c r="A679">
        <f>IF(COUNTBLANK(B679)&lt;&gt;COLUMNS(B679),678,"")</f>
        <v>0</v>
      </c>
    </row>
    <row r="680" spans="1:1">
      <c r="A680">
        <f>IF(COUNTBLANK(B680)&lt;&gt;COLUMNS(B680),679,"")</f>
        <v>0</v>
      </c>
    </row>
    <row r="681" spans="1:1">
      <c r="A681">
        <f>IF(COUNTBLANK(B681)&lt;&gt;COLUMNS(B681),680,"")</f>
        <v>0</v>
      </c>
    </row>
    <row r="682" spans="1:1">
      <c r="A682">
        <f>IF(COUNTBLANK(B682)&lt;&gt;COLUMNS(B682),681,"")</f>
        <v>0</v>
      </c>
    </row>
    <row r="683" spans="1:1">
      <c r="A683">
        <f>IF(COUNTBLANK(B683)&lt;&gt;COLUMNS(B683),682,"")</f>
        <v>0</v>
      </c>
    </row>
    <row r="684" spans="1:1">
      <c r="A684">
        <f>IF(COUNTBLANK(B684)&lt;&gt;COLUMNS(B684),683,"")</f>
        <v>0</v>
      </c>
    </row>
    <row r="685" spans="1:1">
      <c r="A685">
        <f>IF(COUNTBLANK(B685)&lt;&gt;COLUMNS(B685),684,"")</f>
        <v>0</v>
      </c>
    </row>
    <row r="686" spans="1:1">
      <c r="A686">
        <f>IF(COUNTBLANK(B686)&lt;&gt;COLUMNS(B686),685,"")</f>
        <v>0</v>
      </c>
    </row>
    <row r="687" spans="1:1">
      <c r="A687">
        <f>IF(COUNTBLANK(B687)&lt;&gt;COLUMNS(B687),686,"")</f>
        <v>0</v>
      </c>
    </row>
    <row r="688" spans="1:1">
      <c r="A688">
        <f>IF(COUNTBLANK(B688)&lt;&gt;COLUMNS(B688),687,"")</f>
        <v>0</v>
      </c>
    </row>
    <row r="689" spans="1:1">
      <c r="A689">
        <f>IF(COUNTBLANK(B689)&lt;&gt;COLUMNS(B689),688,"")</f>
        <v>0</v>
      </c>
    </row>
    <row r="690" spans="1:1">
      <c r="A690">
        <f>IF(COUNTBLANK(B690)&lt;&gt;COLUMNS(B690),689,"")</f>
        <v>0</v>
      </c>
    </row>
    <row r="691" spans="1:1">
      <c r="A691">
        <f>IF(COUNTBLANK(B691)&lt;&gt;COLUMNS(B691),690,"")</f>
        <v>0</v>
      </c>
    </row>
    <row r="692" spans="1:1">
      <c r="A692">
        <f>IF(COUNTBLANK(B692)&lt;&gt;COLUMNS(B692),691,"")</f>
        <v>0</v>
      </c>
    </row>
    <row r="693" spans="1:1">
      <c r="A693">
        <f>IF(COUNTBLANK(B693)&lt;&gt;COLUMNS(B693),692,"")</f>
        <v>0</v>
      </c>
    </row>
    <row r="694" spans="1:1">
      <c r="A694">
        <f>IF(COUNTBLANK(B694)&lt;&gt;COLUMNS(B694),693,"")</f>
        <v>0</v>
      </c>
    </row>
    <row r="695" spans="1:1">
      <c r="A695">
        <f>IF(COUNTBLANK(B695)&lt;&gt;COLUMNS(B695),694,"")</f>
        <v>0</v>
      </c>
    </row>
    <row r="696" spans="1:1">
      <c r="A696">
        <f>IF(COUNTBLANK(B696)&lt;&gt;COLUMNS(B696),695,"")</f>
        <v>0</v>
      </c>
    </row>
    <row r="697" spans="1:1">
      <c r="A697">
        <f>IF(COUNTBLANK(B697)&lt;&gt;COLUMNS(B697),696,"")</f>
        <v>0</v>
      </c>
    </row>
    <row r="698" spans="1:1">
      <c r="A698">
        <f>IF(COUNTBLANK(B698)&lt;&gt;COLUMNS(B698),697,"")</f>
        <v>0</v>
      </c>
    </row>
    <row r="699" spans="1:1">
      <c r="A699">
        <f>IF(COUNTBLANK(B699)&lt;&gt;COLUMNS(B699),698,"")</f>
        <v>0</v>
      </c>
    </row>
    <row r="700" spans="1:1">
      <c r="A700">
        <f>IF(COUNTBLANK(B700)&lt;&gt;COLUMNS(B700),699,"")</f>
        <v>0</v>
      </c>
    </row>
    <row r="701" spans="1:1">
      <c r="A701">
        <f>IF(COUNTBLANK(B701)&lt;&gt;COLUMNS(B701),700,"")</f>
        <v>0</v>
      </c>
    </row>
    <row r="702" spans="1:1">
      <c r="A702">
        <f>IF(COUNTBLANK(B702)&lt;&gt;COLUMNS(B702),701,"")</f>
        <v>0</v>
      </c>
    </row>
    <row r="703" spans="1:1">
      <c r="A703">
        <f>IF(COUNTBLANK(B703)&lt;&gt;COLUMNS(B703),702,"")</f>
        <v>0</v>
      </c>
    </row>
    <row r="704" spans="1:1">
      <c r="A704">
        <f>IF(COUNTBLANK(B704)&lt;&gt;COLUMNS(B704),703,"")</f>
        <v>0</v>
      </c>
    </row>
    <row r="705" spans="1:1">
      <c r="A705">
        <f>IF(COUNTBLANK(B705)&lt;&gt;COLUMNS(B705),704,"")</f>
        <v>0</v>
      </c>
    </row>
    <row r="706" spans="1:1">
      <c r="A706">
        <f>IF(COUNTBLANK(B706)&lt;&gt;COLUMNS(B706),705,"")</f>
        <v>0</v>
      </c>
    </row>
    <row r="707" spans="1:1">
      <c r="A707">
        <f>IF(COUNTBLANK(B707)&lt;&gt;COLUMNS(B707),706,"")</f>
        <v>0</v>
      </c>
    </row>
    <row r="708" spans="1:1">
      <c r="A708">
        <f>IF(COUNTBLANK(B708)&lt;&gt;COLUMNS(B708),707,"")</f>
        <v>0</v>
      </c>
    </row>
    <row r="709" spans="1:1">
      <c r="A709">
        <f>IF(COUNTBLANK(B709)&lt;&gt;COLUMNS(B709),708,"")</f>
        <v>0</v>
      </c>
    </row>
    <row r="710" spans="1:1">
      <c r="A710">
        <f>IF(COUNTBLANK(B710)&lt;&gt;COLUMNS(B710),709,"")</f>
        <v>0</v>
      </c>
    </row>
    <row r="711" spans="1:1">
      <c r="A711">
        <f>IF(COUNTBLANK(B711)&lt;&gt;COLUMNS(B711),710,"")</f>
        <v>0</v>
      </c>
    </row>
    <row r="712" spans="1:1">
      <c r="A712">
        <f>IF(COUNTBLANK(B712)&lt;&gt;COLUMNS(B712),711,"")</f>
        <v>0</v>
      </c>
    </row>
    <row r="713" spans="1:1">
      <c r="A713">
        <f>IF(COUNTBLANK(B713)&lt;&gt;COLUMNS(B713),712,"")</f>
        <v>0</v>
      </c>
    </row>
    <row r="714" spans="1:1">
      <c r="A714">
        <f>IF(COUNTBLANK(B714)&lt;&gt;COLUMNS(B714),713,"")</f>
        <v>0</v>
      </c>
    </row>
    <row r="715" spans="1:1">
      <c r="A715">
        <f>IF(COUNTBLANK(B715)&lt;&gt;COLUMNS(B715),714,"")</f>
        <v>0</v>
      </c>
    </row>
    <row r="716" spans="1:1">
      <c r="A716">
        <f>IF(COUNTBLANK(B716)&lt;&gt;COLUMNS(B716),715,"")</f>
        <v>0</v>
      </c>
    </row>
    <row r="717" spans="1:1">
      <c r="A717">
        <f>IF(COUNTBLANK(B717)&lt;&gt;COLUMNS(B717),716,"")</f>
        <v>0</v>
      </c>
    </row>
    <row r="718" spans="1:1">
      <c r="A718">
        <f>IF(COUNTBLANK(B718)&lt;&gt;COLUMNS(B718),717,"")</f>
        <v>0</v>
      </c>
    </row>
    <row r="719" spans="1:1">
      <c r="A719">
        <f>IF(COUNTBLANK(B719)&lt;&gt;COLUMNS(B719),718,"")</f>
        <v>0</v>
      </c>
    </row>
    <row r="720" spans="1:1">
      <c r="A720">
        <f>IF(COUNTBLANK(B720)&lt;&gt;COLUMNS(B720),719,"")</f>
        <v>0</v>
      </c>
    </row>
    <row r="721" spans="1:1">
      <c r="A721">
        <f>IF(COUNTBLANK(B721)&lt;&gt;COLUMNS(B721),720,"")</f>
        <v>0</v>
      </c>
    </row>
    <row r="722" spans="1:1">
      <c r="A722">
        <f>IF(COUNTBLANK(B722)&lt;&gt;COLUMNS(B722),721,"")</f>
        <v>0</v>
      </c>
    </row>
    <row r="723" spans="1:1">
      <c r="A723">
        <f>IF(COUNTBLANK(B723)&lt;&gt;COLUMNS(B723),722,"")</f>
        <v>0</v>
      </c>
    </row>
    <row r="724" spans="1:1">
      <c r="A724">
        <f>IF(COUNTBLANK(B724)&lt;&gt;COLUMNS(B724),723,"")</f>
        <v>0</v>
      </c>
    </row>
    <row r="725" spans="1:1">
      <c r="A725">
        <f>IF(COUNTBLANK(B725)&lt;&gt;COLUMNS(B725),724,"")</f>
        <v>0</v>
      </c>
    </row>
    <row r="726" spans="1:1">
      <c r="A726">
        <f>IF(COUNTBLANK(B726)&lt;&gt;COLUMNS(B726),725,"")</f>
        <v>0</v>
      </c>
    </row>
    <row r="727" spans="1:1">
      <c r="A727">
        <f>IF(COUNTBLANK(B727)&lt;&gt;COLUMNS(B727),726,"")</f>
        <v>0</v>
      </c>
    </row>
    <row r="728" spans="1:1">
      <c r="A728">
        <f>IF(COUNTBLANK(B728)&lt;&gt;COLUMNS(B728),727,"")</f>
        <v>0</v>
      </c>
    </row>
    <row r="729" spans="1:1">
      <c r="A729">
        <f>IF(COUNTBLANK(B729)&lt;&gt;COLUMNS(B729),728,"")</f>
        <v>0</v>
      </c>
    </row>
    <row r="730" spans="1:1">
      <c r="A730">
        <f>IF(COUNTBLANK(B730)&lt;&gt;COLUMNS(B730),729,"")</f>
        <v>0</v>
      </c>
    </row>
    <row r="731" spans="1:1">
      <c r="A731">
        <f>IF(COUNTBLANK(B731)&lt;&gt;COLUMNS(B731),730,"")</f>
        <v>0</v>
      </c>
    </row>
    <row r="732" spans="1:1">
      <c r="A732">
        <f>IF(COUNTBLANK(B732)&lt;&gt;COLUMNS(B732),731,"")</f>
        <v>0</v>
      </c>
    </row>
    <row r="733" spans="1:1">
      <c r="A733">
        <f>IF(COUNTBLANK(B733)&lt;&gt;COLUMNS(B733),732,"")</f>
        <v>0</v>
      </c>
    </row>
    <row r="734" spans="1:1">
      <c r="A734">
        <f>IF(COUNTBLANK(B734)&lt;&gt;COLUMNS(B734),733,"")</f>
        <v>0</v>
      </c>
    </row>
    <row r="735" spans="1:1">
      <c r="A735">
        <f>IF(COUNTBLANK(B735)&lt;&gt;COLUMNS(B735),734,"")</f>
        <v>0</v>
      </c>
    </row>
    <row r="736" spans="1:1">
      <c r="A736">
        <f>IF(COUNTBLANK(B736)&lt;&gt;COLUMNS(B736),735,"")</f>
        <v>0</v>
      </c>
    </row>
    <row r="737" spans="1:1">
      <c r="A737">
        <f>IF(COUNTBLANK(B737)&lt;&gt;COLUMNS(B737),736,"")</f>
        <v>0</v>
      </c>
    </row>
    <row r="738" spans="1:1">
      <c r="A738">
        <f>IF(COUNTBLANK(B738)&lt;&gt;COLUMNS(B738),737,"")</f>
        <v>0</v>
      </c>
    </row>
    <row r="739" spans="1:1">
      <c r="A739">
        <f>IF(COUNTBLANK(B739)&lt;&gt;COLUMNS(B739),738,"")</f>
        <v>0</v>
      </c>
    </row>
    <row r="740" spans="1:1">
      <c r="A740">
        <f>IF(COUNTBLANK(B740)&lt;&gt;COLUMNS(B740),739,"")</f>
        <v>0</v>
      </c>
    </row>
    <row r="741" spans="1:1">
      <c r="A741">
        <f>IF(COUNTBLANK(B741)&lt;&gt;COLUMNS(B741),740,"")</f>
        <v>0</v>
      </c>
    </row>
    <row r="742" spans="1:1">
      <c r="A742">
        <f>IF(COUNTBLANK(B742)&lt;&gt;COLUMNS(B742),741,"")</f>
        <v>0</v>
      </c>
    </row>
    <row r="743" spans="1:1">
      <c r="A743">
        <f>IF(COUNTBLANK(B743)&lt;&gt;COLUMNS(B743),742,"")</f>
        <v>0</v>
      </c>
    </row>
    <row r="744" spans="1:1">
      <c r="A744">
        <f>IF(COUNTBLANK(B744)&lt;&gt;COLUMNS(B744),743,"")</f>
        <v>0</v>
      </c>
    </row>
    <row r="745" spans="1:1">
      <c r="A745">
        <f>IF(COUNTBLANK(B745)&lt;&gt;COLUMNS(B745),744,"")</f>
        <v>0</v>
      </c>
    </row>
    <row r="746" spans="1:1">
      <c r="A746">
        <f>IF(COUNTBLANK(B746)&lt;&gt;COLUMNS(B746),745,"")</f>
        <v>0</v>
      </c>
    </row>
    <row r="747" spans="1:1">
      <c r="A747">
        <f>IF(COUNTBLANK(B747)&lt;&gt;COLUMNS(B747),746,"")</f>
        <v>0</v>
      </c>
    </row>
    <row r="748" spans="1:1">
      <c r="A748">
        <f>IF(COUNTBLANK(B748)&lt;&gt;COLUMNS(B748),747,"")</f>
        <v>0</v>
      </c>
    </row>
    <row r="749" spans="1:1">
      <c r="A749">
        <f>IF(COUNTBLANK(B749)&lt;&gt;COLUMNS(B749),748,"")</f>
        <v>0</v>
      </c>
    </row>
    <row r="750" spans="1:1">
      <c r="A750">
        <f>IF(COUNTBLANK(B750)&lt;&gt;COLUMNS(B750),749,"")</f>
        <v>0</v>
      </c>
    </row>
    <row r="751" spans="1:1">
      <c r="A751">
        <f>IF(COUNTBLANK(B751)&lt;&gt;COLUMNS(B751),750,"")</f>
        <v>0</v>
      </c>
    </row>
    <row r="752" spans="1:1">
      <c r="A752">
        <f>IF(COUNTBLANK(B752)&lt;&gt;COLUMNS(B752),751,"")</f>
        <v>0</v>
      </c>
    </row>
    <row r="753" spans="1:1">
      <c r="A753">
        <f>IF(COUNTBLANK(B753)&lt;&gt;COLUMNS(B753),752,"")</f>
        <v>0</v>
      </c>
    </row>
    <row r="754" spans="1:1">
      <c r="A754">
        <f>IF(COUNTBLANK(B754)&lt;&gt;COLUMNS(B754),753,"")</f>
        <v>0</v>
      </c>
    </row>
    <row r="755" spans="1:1">
      <c r="A755">
        <f>IF(COUNTBLANK(B755)&lt;&gt;COLUMNS(B755),754,"")</f>
        <v>0</v>
      </c>
    </row>
    <row r="756" spans="1:1">
      <c r="A756">
        <f>IF(COUNTBLANK(B756)&lt;&gt;COLUMNS(B756),755,"")</f>
        <v>0</v>
      </c>
    </row>
    <row r="757" spans="1:1">
      <c r="A757">
        <f>IF(COUNTBLANK(B757)&lt;&gt;COLUMNS(B757),756,"")</f>
        <v>0</v>
      </c>
    </row>
    <row r="758" spans="1:1">
      <c r="A758">
        <f>IF(COUNTBLANK(B758)&lt;&gt;COLUMNS(B758),757,"")</f>
        <v>0</v>
      </c>
    </row>
    <row r="759" spans="1:1">
      <c r="A759">
        <f>IF(COUNTBLANK(B759)&lt;&gt;COLUMNS(B759),758,"")</f>
        <v>0</v>
      </c>
    </row>
    <row r="760" spans="1:1">
      <c r="A760">
        <f>IF(COUNTBLANK(B760)&lt;&gt;COLUMNS(B760),759,"")</f>
        <v>0</v>
      </c>
    </row>
    <row r="761" spans="1:1">
      <c r="A761">
        <f>IF(COUNTBLANK(B761)&lt;&gt;COLUMNS(B761),760,"")</f>
        <v>0</v>
      </c>
    </row>
    <row r="762" spans="1:1">
      <c r="A762">
        <f>IF(COUNTBLANK(B762)&lt;&gt;COLUMNS(B762),761,"")</f>
        <v>0</v>
      </c>
    </row>
    <row r="763" spans="1:1">
      <c r="A763">
        <f>IF(COUNTBLANK(B763)&lt;&gt;COLUMNS(B763),762,"")</f>
        <v>0</v>
      </c>
    </row>
    <row r="764" spans="1:1">
      <c r="A764">
        <f>IF(COUNTBLANK(B764)&lt;&gt;COLUMNS(B764),763,"")</f>
        <v>0</v>
      </c>
    </row>
    <row r="765" spans="1:1">
      <c r="A765">
        <f>IF(COUNTBLANK(B765)&lt;&gt;COLUMNS(B765),764,"")</f>
        <v>0</v>
      </c>
    </row>
    <row r="766" spans="1:1">
      <c r="A766">
        <f>IF(COUNTBLANK(B766)&lt;&gt;COLUMNS(B766),765,"")</f>
        <v>0</v>
      </c>
    </row>
    <row r="767" spans="1:1">
      <c r="A767">
        <f>IF(COUNTBLANK(B767)&lt;&gt;COLUMNS(B767),766,"")</f>
        <v>0</v>
      </c>
    </row>
    <row r="768" spans="1:1">
      <c r="A768">
        <f>IF(COUNTBLANK(B768)&lt;&gt;COLUMNS(B768),767,"")</f>
        <v>0</v>
      </c>
    </row>
    <row r="769" spans="1:1">
      <c r="A769">
        <f>IF(COUNTBLANK(B769)&lt;&gt;COLUMNS(B769),768,"")</f>
        <v>0</v>
      </c>
    </row>
    <row r="770" spans="1:1">
      <c r="A770">
        <f>IF(COUNTBLANK(B770)&lt;&gt;COLUMNS(B770),769,"")</f>
        <v>0</v>
      </c>
    </row>
    <row r="771" spans="1:1">
      <c r="A771">
        <f>IF(COUNTBLANK(B771)&lt;&gt;COLUMNS(B771),770,"")</f>
        <v>0</v>
      </c>
    </row>
    <row r="772" spans="1:1">
      <c r="A772">
        <f>IF(COUNTBLANK(B772)&lt;&gt;COLUMNS(B772),771,"")</f>
        <v>0</v>
      </c>
    </row>
    <row r="773" spans="1:1">
      <c r="A773">
        <f>IF(COUNTBLANK(B773)&lt;&gt;COLUMNS(B773),772,"")</f>
        <v>0</v>
      </c>
    </row>
    <row r="774" spans="1:1">
      <c r="A774">
        <f>IF(COUNTBLANK(B774)&lt;&gt;COLUMNS(B774),773,"")</f>
        <v>0</v>
      </c>
    </row>
    <row r="775" spans="1:1">
      <c r="A775">
        <f>IF(COUNTBLANK(B775)&lt;&gt;COLUMNS(B775),774,"")</f>
        <v>0</v>
      </c>
    </row>
    <row r="776" spans="1:1">
      <c r="A776">
        <f>IF(COUNTBLANK(B776)&lt;&gt;COLUMNS(B776),775,"")</f>
        <v>0</v>
      </c>
    </row>
    <row r="777" spans="1:1">
      <c r="A777">
        <f>IF(COUNTBLANK(B777)&lt;&gt;COLUMNS(B777),776,"")</f>
        <v>0</v>
      </c>
    </row>
    <row r="778" spans="1:1">
      <c r="A778">
        <f>IF(COUNTBLANK(B778)&lt;&gt;COLUMNS(B778),777,"")</f>
        <v>0</v>
      </c>
    </row>
    <row r="779" spans="1:1">
      <c r="A779">
        <f>IF(COUNTBLANK(B779)&lt;&gt;COLUMNS(B779),778,"")</f>
        <v>0</v>
      </c>
    </row>
    <row r="780" spans="1:1">
      <c r="A780">
        <f>IF(COUNTBLANK(B780)&lt;&gt;COLUMNS(B780),779,"")</f>
        <v>0</v>
      </c>
    </row>
    <row r="781" spans="1:1">
      <c r="A781">
        <f>IF(COUNTBLANK(B781)&lt;&gt;COLUMNS(B781),780,"")</f>
        <v>0</v>
      </c>
    </row>
    <row r="782" spans="1:1">
      <c r="A782">
        <f>IF(COUNTBLANK(B782)&lt;&gt;COLUMNS(B782),781,"")</f>
        <v>0</v>
      </c>
    </row>
    <row r="783" spans="1:1">
      <c r="A783">
        <f>IF(COUNTBLANK(B783)&lt;&gt;COLUMNS(B783),782,"")</f>
        <v>0</v>
      </c>
    </row>
    <row r="784" spans="1:1">
      <c r="A784">
        <f>IF(COUNTBLANK(B784)&lt;&gt;COLUMNS(B784),783,"")</f>
        <v>0</v>
      </c>
    </row>
    <row r="785" spans="1:1">
      <c r="A785">
        <f>IF(COUNTBLANK(B785)&lt;&gt;COLUMNS(B785),784,"")</f>
        <v>0</v>
      </c>
    </row>
    <row r="786" spans="1:1">
      <c r="A786">
        <f>IF(COUNTBLANK(B786)&lt;&gt;COLUMNS(B786),785,"")</f>
        <v>0</v>
      </c>
    </row>
    <row r="787" spans="1:1">
      <c r="A787">
        <f>IF(COUNTBLANK(B787)&lt;&gt;COLUMNS(B787),786,"")</f>
        <v>0</v>
      </c>
    </row>
    <row r="788" spans="1:1">
      <c r="A788">
        <f>IF(COUNTBLANK(B788)&lt;&gt;COLUMNS(B788),787,"")</f>
        <v>0</v>
      </c>
    </row>
    <row r="789" spans="1:1">
      <c r="A789">
        <f>IF(COUNTBLANK(B789)&lt;&gt;COLUMNS(B789),788,"")</f>
        <v>0</v>
      </c>
    </row>
    <row r="790" spans="1:1">
      <c r="A790">
        <f>IF(COUNTBLANK(B790)&lt;&gt;COLUMNS(B790),789,"")</f>
        <v>0</v>
      </c>
    </row>
    <row r="791" spans="1:1">
      <c r="A791">
        <f>IF(COUNTBLANK(B791)&lt;&gt;COLUMNS(B791),790,"")</f>
        <v>0</v>
      </c>
    </row>
    <row r="792" spans="1:1">
      <c r="A792">
        <f>IF(COUNTBLANK(B792)&lt;&gt;COLUMNS(B792),791,"")</f>
        <v>0</v>
      </c>
    </row>
    <row r="793" spans="1:1">
      <c r="A793">
        <f>IF(COUNTBLANK(B793)&lt;&gt;COLUMNS(B793),792,"")</f>
        <v>0</v>
      </c>
    </row>
    <row r="794" spans="1:1">
      <c r="A794">
        <f>IF(COUNTBLANK(B794)&lt;&gt;COLUMNS(B794),793,"")</f>
        <v>0</v>
      </c>
    </row>
    <row r="795" spans="1:1">
      <c r="A795">
        <f>IF(COUNTBLANK(B795)&lt;&gt;COLUMNS(B795),794,"")</f>
        <v>0</v>
      </c>
    </row>
    <row r="796" spans="1:1">
      <c r="A796">
        <f>IF(COUNTBLANK(B796)&lt;&gt;COLUMNS(B796),795,"")</f>
        <v>0</v>
      </c>
    </row>
    <row r="797" spans="1:1">
      <c r="A797">
        <f>IF(COUNTBLANK(B797)&lt;&gt;COLUMNS(B797),796,"")</f>
        <v>0</v>
      </c>
    </row>
    <row r="798" spans="1:1">
      <c r="A798">
        <f>IF(COUNTBLANK(B798)&lt;&gt;COLUMNS(B798),797,"")</f>
        <v>0</v>
      </c>
    </row>
    <row r="799" spans="1:1">
      <c r="A799">
        <f>IF(COUNTBLANK(B799)&lt;&gt;COLUMNS(B799),798,"")</f>
        <v>0</v>
      </c>
    </row>
    <row r="800" spans="1:1">
      <c r="A800">
        <f>IF(COUNTBLANK(B800)&lt;&gt;COLUMNS(B800),799,"")</f>
        <v>0</v>
      </c>
    </row>
    <row r="801" spans="1:1">
      <c r="A801">
        <f>IF(COUNTBLANK(B801)&lt;&gt;COLUMNS(B801),800,"")</f>
        <v>0</v>
      </c>
    </row>
    <row r="802" spans="1:1">
      <c r="A802">
        <f>IF(COUNTBLANK(B802)&lt;&gt;COLUMNS(B802),801,"")</f>
        <v>0</v>
      </c>
    </row>
    <row r="803" spans="1:1">
      <c r="A803">
        <f>IF(COUNTBLANK(B803)&lt;&gt;COLUMNS(B803),802,"")</f>
        <v>0</v>
      </c>
    </row>
    <row r="804" spans="1:1">
      <c r="A804">
        <f>IF(COUNTBLANK(B804)&lt;&gt;COLUMNS(B804),803,"")</f>
        <v>0</v>
      </c>
    </row>
    <row r="805" spans="1:1">
      <c r="A805">
        <f>IF(COUNTBLANK(B805)&lt;&gt;COLUMNS(B805),804,"")</f>
        <v>0</v>
      </c>
    </row>
    <row r="806" spans="1:1">
      <c r="A806">
        <f>IF(COUNTBLANK(B806)&lt;&gt;COLUMNS(B806),805,"")</f>
        <v>0</v>
      </c>
    </row>
    <row r="807" spans="1:1">
      <c r="A807">
        <f>IF(COUNTBLANK(B807)&lt;&gt;COLUMNS(B807),806,"")</f>
        <v>0</v>
      </c>
    </row>
    <row r="808" spans="1:1">
      <c r="A808">
        <f>IF(COUNTBLANK(B808)&lt;&gt;COLUMNS(B808),807,"")</f>
        <v>0</v>
      </c>
    </row>
    <row r="809" spans="1:1">
      <c r="A809">
        <f>IF(COUNTBLANK(B809)&lt;&gt;COLUMNS(B809),808,"")</f>
        <v>0</v>
      </c>
    </row>
    <row r="810" spans="1:1">
      <c r="A810">
        <f>IF(COUNTBLANK(B810)&lt;&gt;COLUMNS(B810),809,"")</f>
        <v>0</v>
      </c>
    </row>
    <row r="811" spans="1:1">
      <c r="A811">
        <f>IF(COUNTBLANK(B811)&lt;&gt;COLUMNS(B811),810,"")</f>
        <v>0</v>
      </c>
    </row>
    <row r="812" spans="1:1">
      <c r="A812">
        <f>IF(COUNTBLANK(B812)&lt;&gt;COLUMNS(B812),811,"")</f>
        <v>0</v>
      </c>
    </row>
    <row r="813" spans="1:1">
      <c r="A813">
        <f>IF(COUNTBLANK(B813)&lt;&gt;COLUMNS(B813),812,"")</f>
        <v>0</v>
      </c>
    </row>
    <row r="814" spans="1:1">
      <c r="A814">
        <f>IF(COUNTBLANK(B814)&lt;&gt;COLUMNS(B814),813,"")</f>
        <v>0</v>
      </c>
    </row>
    <row r="815" spans="1:1">
      <c r="A815">
        <f>IF(COUNTBLANK(B815)&lt;&gt;COLUMNS(B815),814,"")</f>
        <v>0</v>
      </c>
    </row>
    <row r="816" spans="1:1">
      <c r="A816">
        <f>IF(COUNTBLANK(B816)&lt;&gt;COLUMNS(B816),815,"")</f>
        <v>0</v>
      </c>
    </row>
    <row r="817" spans="1:1">
      <c r="A817">
        <f>IF(COUNTBLANK(B817)&lt;&gt;COLUMNS(B817),816,"")</f>
        <v>0</v>
      </c>
    </row>
    <row r="818" spans="1:1">
      <c r="A818">
        <f>IF(COUNTBLANK(B818)&lt;&gt;COLUMNS(B818),817,"")</f>
        <v>0</v>
      </c>
    </row>
    <row r="819" spans="1:1">
      <c r="A819">
        <f>IF(COUNTBLANK(B819)&lt;&gt;COLUMNS(B819),818,"")</f>
        <v>0</v>
      </c>
    </row>
    <row r="820" spans="1:1">
      <c r="A820">
        <f>IF(COUNTBLANK(B820)&lt;&gt;COLUMNS(B820),819,"")</f>
        <v>0</v>
      </c>
    </row>
    <row r="821" spans="1:1">
      <c r="A821">
        <f>IF(COUNTBLANK(B821)&lt;&gt;COLUMNS(B821),820,"")</f>
        <v>0</v>
      </c>
    </row>
    <row r="822" spans="1:1">
      <c r="A822">
        <f>IF(COUNTBLANK(B822)&lt;&gt;COLUMNS(B822),821,"")</f>
        <v>0</v>
      </c>
    </row>
    <row r="823" spans="1:1">
      <c r="A823">
        <f>IF(COUNTBLANK(B823)&lt;&gt;COLUMNS(B823),822,"")</f>
        <v>0</v>
      </c>
    </row>
    <row r="824" spans="1:1">
      <c r="A824">
        <f>IF(COUNTBLANK(B824)&lt;&gt;COLUMNS(B824),823,"")</f>
        <v>0</v>
      </c>
    </row>
    <row r="825" spans="1:1">
      <c r="A825">
        <f>IF(COUNTBLANK(B825)&lt;&gt;COLUMNS(B825),824,"")</f>
        <v>0</v>
      </c>
    </row>
    <row r="826" spans="1:1">
      <c r="A826">
        <f>IF(COUNTBLANK(B826)&lt;&gt;COLUMNS(B826),825,"")</f>
        <v>0</v>
      </c>
    </row>
    <row r="827" spans="1:1">
      <c r="A827">
        <f>IF(COUNTBLANK(B827)&lt;&gt;COLUMNS(B827),826,"")</f>
        <v>0</v>
      </c>
    </row>
    <row r="828" spans="1:1">
      <c r="A828">
        <f>IF(COUNTBLANK(B828)&lt;&gt;COLUMNS(B828),827,"")</f>
        <v>0</v>
      </c>
    </row>
    <row r="829" spans="1:1">
      <c r="A829">
        <f>IF(COUNTBLANK(B829)&lt;&gt;COLUMNS(B829),828,"")</f>
        <v>0</v>
      </c>
    </row>
    <row r="830" spans="1:1">
      <c r="A830">
        <f>IF(COUNTBLANK(B830)&lt;&gt;COLUMNS(B830),829,"")</f>
        <v>0</v>
      </c>
    </row>
    <row r="831" spans="1:1">
      <c r="A831">
        <f>IF(COUNTBLANK(B831)&lt;&gt;COLUMNS(B831),830,"")</f>
        <v>0</v>
      </c>
    </row>
    <row r="832" spans="1:1">
      <c r="A832">
        <f>IF(COUNTBLANK(B832)&lt;&gt;COLUMNS(B832),831,"")</f>
        <v>0</v>
      </c>
    </row>
    <row r="833" spans="1:1">
      <c r="A833">
        <f>IF(COUNTBLANK(B833)&lt;&gt;COLUMNS(B833),832,"")</f>
        <v>0</v>
      </c>
    </row>
    <row r="834" spans="1:1">
      <c r="A834">
        <f>IF(COUNTBLANK(B834)&lt;&gt;COLUMNS(B834),833,"")</f>
        <v>0</v>
      </c>
    </row>
    <row r="835" spans="1:1">
      <c r="A835">
        <f>IF(COUNTBLANK(B835)&lt;&gt;COLUMNS(B835),834,"")</f>
        <v>0</v>
      </c>
    </row>
    <row r="836" spans="1:1">
      <c r="A836">
        <f>IF(COUNTBLANK(B836)&lt;&gt;COLUMNS(B836),835,"")</f>
        <v>0</v>
      </c>
    </row>
    <row r="837" spans="1:1">
      <c r="A837">
        <f>IF(COUNTBLANK(B837)&lt;&gt;COLUMNS(B837),836,"")</f>
        <v>0</v>
      </c>
    </row>
    <row r="838" spans="1:1">
      <c r="A838">
        <f>IF(COUNTBLANK(B838)&lt;&gt;COLUMNS(B838),837,"")</f>
        <v>0</v>
      </c>
    </row>
    <row r="839" spans="1:1">
      <c r="A839">
        <f>IF(COUNTBLANK(B839)&lt;&gt;COLUMNS(B839),838,"")</f>
        <v>0</v>
      </c>
    </row>
    <row r="840" spans="1:1">
      <c r="A840">
        <f>IF(COUNTBLANK(B840)&lt;&gt;COLUMNS(B840),839,"")</f>
        <v>0</v>
      </c>
    </row>
    <row r="841" spans="1:1">
      <c r="A841">
        <f>IF(COUNTBLANK(B841)&lt;&gt;COLUMNS(B841),840,"")</f>
        <v>0</v>
      </c>
    </row>
    <row r="842" spans="1:1">
      <c r="A842">
        <f>IF(COUNTBLANK(B842)&lt;&gt;COLUMNS(B842),841,"")</f>
        <v>0</v>
      </c>
    </row>
    <row r="843" spans="1:1">
      <c r="A843">
        <f>IF(COUNTBLANK(B843)&lt;&gt;COLUMNS(B843),842,"")</f>
        <v>0</v>
      </c>
    </row>
    <row r="844" spans="1:1">
      <c r="A844">
        <f>IF(COUNTBLANK(B844)&lt;&gt;COLUMNS(B844),843,"")</f>
        <v>0</v>
      </c>
    </row>
    <row r="845" spans="1:1">
      <c r="A845">
        <f>IF(COUNTBLANK(B845)&lt;&gt;COLUMNS(B845),844,"")</f>
        <v>0</v>
      </c>
    </row>
    <row r="846" spans="1:1">
      <c r="A846">
        <f>IF(COUNTBLANK(B846)&lt;&gt;COLUMNS(B846),845,"")</f>
        <v>0</v>
      </c>
    </row>
    <row r="847" spans="1:1">
      <c r="A847">
        <f>IF(COUNTBLANK(B847)&lt;&gt;COLUMNS(B847),846,"")</f>
        <v>0</v>
      </c>
    </row>
    <row r="848" spans="1:1">
      <c r="A848">
        <f>IF(COUNTBLANK(B848)&lt;&gt;COLUMNS(B848),847,"")</f>
        <v>0</v>
      </c>
    </row>
    <row r="849" spans="1:1">
      <c r="A849">
        <f>IF(COUNTBLANK(B849)&lt;&gt;COLUMNS(B849),848,"")</f>
        <v>0</v>
      </c>
    </row>
    <row r="850" spans="1:1">
      <c r="A850">
        <f>IF(COUNTBLANK(B850)&lt;&gt;COLUMNS(B850),849,"")</f>
        <v>0</v>
      </c>
    </row>
    <row r="851" spans="1:1">
      <c r="A851">
        <f>IF(COUNTBLANK(B851)&lt;&gt;COLUMNS(B851),850,"")</f>
        <v>0</v>
      </c>
    </row>
    <row r="852" spans="1:1">
      <c r="A852">
        <f>IF(COUNTBLANK(B852)&lt;&gt;COLUMNS(B852),851,"")</f>
        <v>0</v>
      </c>
    </row>
    <row r="853" spans="1:1">
      <c r="A853">
        <f>IF(COUNTBLANK(B853)&lt;&gt;COLUMNS(B853),852,"")</f>
        <v>0</v>
      </c>
    </row>
    <row r="854" spans="1:1">
      <c r="A854">
        <f>IF(COUNTBLANK(B854)&lt;&gt;COLUMNS(B854),853,"")</f>
        <v>0</v>
      </c>
    </row>
    <row r="855" spans="1:1">
      <c r="A855">
        <f>IF(COUNTBLANK(B855)&lt;&gt;COLUMNS(B855),854,"")</f>
        <v>0</v>
      </c>
    </row>
    <row r="856" spans="1:1">
      <c r="A856">
        <f>IF(COUNTBLANK(B856)&lt;&gt;COLUMNS(B856),855,"")</f>
        <v>0</v>
      </c>
    </row>
    <row r="857" spans="1:1">
      <c r="A857">
        <f>IF(COUNTBLANK(B857)&lt;&gt;COLUMNS(B857),856,"")</f>
        <v>0</v>
      </c>
    </row>
    <row r="858" spans="1:1">
      <c r="A858">
        <f>IF(COUNTBLANK(B858)&lt;&gt;COLUMNS(B858),857,"")</f>
        <v>0</v>
      </c>
    </row>
    <row r="859" spans="1:1">
      <c r="A859">
        <f>IF(COUNTBLANK(B859)&lt;&gt;COLUMNS(B859),858,"")</f>
        <v>0</v>
      </c>
    </row>
    <row r="860" spans="1:1">
      <c r="A860">
        <f>IF(COUNTBLANK(B860)&lt;&gt;COLUMNS(B860),859,"")</f>
        <v>0</v>
      </c>
    </row>
    <row r="861" spans="1:1">
      <c r="A861">
        <f>IF(COUNTBLANK(B861)&lt;&gt;COLUMNS(B861),860,"")</f>
        <v>0</v>
      </c>
    </row>
    <row r="862" spans="1:1">
      <c r="A862">
        <f>IF(COUNTBLANK(B862)&lt;&gt;COLUMNS(B862),861,"")</f>
        <v>0</v>
      </c>
    </row>
    <row r="863" spans="1:1">
      <c r="A863">
        <f>IF(COUNTBLANK(B863)&lt;&gt;COLUMNS(B863),862,"")</f>
        <v>0</v>
      </c>
    </row>
    <row r="864" spans="1:1">
      <c r="A864">
        <f>IF(COUNTBLANK(B864)&lt;&gt;COLUMNS(B864),863,"")</f>
        <v>0</v>
      </c>
    </row>
    <row r="865" spans="1:1">
      <c r="A865">
        <f>IF(COUNTBLANK(B865)&lt;&gt;COLUMNS(B865),864,"")</f>
        <v>0</v>
      </c>
    </row>
    <row r="866" spans="1:1">
      <c r="A866">
        <f>IF(COUNTBLANK(B866)&lt;&gt;COLUMNS(B866),865,"")</f>
        <v>0</v>
      </c>
    </row>
    <row r="867" spans="1:1">
      <c r="A867">
        <f>IF(COUNTBLANK(B867)&lt;&gt;COLUMNS(B867),866,"")</f>
        <v>0</v>
      </c>
    </row>
    <row r="868" spans="1:1">
      <c r="A868">
        <f>IF(COUNTBLANK(B868)&lt;&gt;COLUMNS(B868),867,"")</f>
        <v>0</v>
      </c>
    </row>
    <row r="869" spans="1:1">
      <c r="A869">
        <f>IF(COUNTBLANK(B869)&lt;&gt;COLUMNS(B869),868,"")</f>
        <v>0</v>
      </c>
    </row>
    <row r="870" spans="1:1">
      <c r="A870">
        <f>IF(COUNTBLANK(B870)&lt;&gt;COLUMNS(B870),869,"")</f>
        <v>0</v>
      </c>
    </row>
    <row r="871" spans="1:1">
      <c r="A871">
        <f>IF(COUNTBLANK(B871)&lt;&gt;COLUMNS(B871),870,"")</f>
        <v>0</v>
      </c>
    </row>
    <row r="872" spans="1:1">
      <c r="A872">
        <f>IF(COUNTBLANK(B872)&lt;&gt;COLUMNS(B872),871,"")</f>
        <v>0</v>
      </c>
    </row>
    <row r="873" spans="1:1">
      <c r="A873">
        <f>IF(COUNTBLANK(B873)&lt;&gt;COLUMNS(B873),872,"")</f>
        <v>0</v>
      </c>
    </row>
    <row r="874" spans="1:1">
      <c r="A874">
        <f>IF(COUNTBLANK(B874)&lt;&gt;COLUMNS(B874),873,"")</f>
        <v>0</v>
      </c>
    </row>
    <row r="875" spans="1:1">
      <c r="A875">
        <f>IF(COUNTBLANK(B875)&lt;&gt;COLUMNS(B875),874,"")</f>
        <v>0</v>
      </c>
    </row>
    <row r="876" spans="1:1">
      <c r="A876">
        <f>IF(COUNTBLANK(B876)&lt;&gt;COLUMNS(B876),875,"")</f>
        <v>0</v>
      </c>
    </row>
    <row r="877" spans="1:1">
      <c r="A877">
        <f>IF(COUNTBLANK(B877)&lt;&gt;COLUMNS(B877),876,"")</f>
        <v>0</v>
      </c>
    </row>
    <row r="878" spans="1:1">
      <c r="A878">
        <f>IF(COUNTBLANK(B878)&lt;&gt;COLUMNS(B878),877,"")</f>
        <v>0</v>
      </c>
    </row>
    <row r="879" spans="1:1">
      <c r="A879">
        <f>IF(COUNTBLANK(B879)&lt;&gt;COLUMNS(B879),878,"")</f>
        <v>0</v>
      </c>
    </row>
    <row r="880" spans="1:1">
      <c r="A880">
        <f>IF(COUNTBLANK(B880)&lt;&gt;COLUMNS(B880),879,"")</f>
        <v>0</v>
      </c>
    </row>
    <row r="881" spans="1:1">
      <c r="A881">
        <f>IF(COUNTBLANK(B881)&lt;&gt;COLUMNS(B881),880,"")</f>
        <v>0</v>
      </c>
    </row>
    <row r="882" spans="1:1">
      <c r="A882">
        <f>IF(COUNTBLANK(B882)&lt;&gt;COLUMNS(B882),881,"")</f>
        <v>0</v>
      </c>
    </row>
    <row r="883" spans="1:1">
      <c r="A883">
        <f>IF(COUNTBLANK(B883)&lt;&gt;COLUMNS(B883),882,"")</f>
        <v>0</v>
      </c>
    </row>
    <row r="884" spans="1:1">
      <c r="A884">
        <f>IF(COUNTBLANK(B884)&lt;&gt;COLUMNS(B884),883,"")</f>
        <v>0</v>
      </c>
    </row>
    <row r="885" spans="1:1">
      <c r="A885">
        <f>IF(COUNTBLANK(B885)&lt;&gt;COLUMNS(B885),884,"")</f>
        <v>0</v>
      </c>
    </row>
    <row r="886" spans="1:1">
      <c r="A886">
        <f>IF(COUNTBLANK(B886)&lt;&gt;COLUMNS(B886),885,"")</f>
        <v>0</v>
      </c>
    </row>
    <row r="887" spans="1:1">
      <c r="A887">
        <f>IF(COUNTBLANK(B887)&lt;&gt;COLUMNS(B887),886,"")</f>
        <v>0</v>
      </c>
    </row>
    <row r="888" spans="1:1">
      <c r="A888">
        <f>IF(COUNTBLANK(B888)&lt;&gt;COLUMNS(B888),887,"")</f>
        <v>0</v>
      </c>
    </row>
    <row r="889" spans="1:1">
      <c r="A889">
        <f>IF(COUNTBLANK(B889)&lt;&gt;COLUMNS(B889),888,"")</f>
        <v>0</v>
      </c>
    </row>
    <row r="890" spans="1:1">
      <c r="A890">
        <f>IF(COUNTBLANK(B890)&lt;&gt;COLUMNS(B890),889,"")</f>
        <v>0</v>
      </c>
    </row>
    <row r="891" spans="1:1">
      <c r="A891">
        <f>IF(COUNTBLANK(B891)&lt;&gt;COLUMNS(B891),890,"")</f>
        <v>0</v>
      </c>
    </row>
    <row r="892" spans="1:1">
      <c r="A892">
        <f>IF(COUNTBLANK(B892)&lt;&gt;COLUMNS(B892),891,"")</f>
        <v>0</v>
      </c>
    </row>
    <row r="893" spans="1:1">
      <c r="A893">
        <f>IF(COUNTBLANK(B893)&lt;&gt;COLUMNS(B893),892,"")</f>
        <v>0</v>
      </c>
    </row>
    <row r="894" spans="1:1">
      <c r="A894">
        <f>IF(COUNTBLANK(B894)&lt;&gt;COLUMNS(B894),893,"")</f>
        <v>0</v>
      </c>
    </row>
    <row r="895" spans="1:1">
      <c r="A895">
        <f>IF(COUNTBLANK(B895)&lt;&gt;COLUMNS(B895),894,"")</f>
        <v>0</v>
      </c>
    </row>
    <row r="896" spans="1:1">
      <c r="A896">
        <f>IF(COUNTBLANK(B896)&lt;&gt;COLUMNS(B896),895,"")</f>
        <v>0</v>
      </c>
    </row>
    <row r="897" spans="1:1">
      <c r="A897">
        <f>IF(COUNTBLANK(B897)&lt;&gt;COLUMNS(B897),896,"")</f>
        <v>0</v>
      </c>
    </row>
    <row r="898" spans="1:1">
      <c r="A898">
        <f>IF(COUNTBLANK(B898)&lt;&gt;COLUMNS(B898),897,"")</f>
        <v>0</v>
      </c>
    </row>
    <row r="899" spans="1:1">
      <c r="A899">
        <f>IF(COUNTBLANK(B899)&lt;&gt;COLUMNS(B899),898,"")</f>
        <v>0</v>
      </c>
    </row>
    <row r="900" spans="1:1">
      <c r="A900">
        <f>IF(COUNTBLANK(B900)&lt;&gt;COLUMNS(B900),899,"")</f>
        <v>0</v>
      </c>
    </row>
    <row r="901" spans="1:1">
      <c r="A901">
        <f>IF(COUNTBLANK(B901)&lt;&gt;COLUMNS(B901),900,"")</f>
        <v>0</v>
      </c>
    </row>
    <row r="902" spans="1:1">
      <c r="A902">
        <f>IF(COUNTBLANK(B902)&lt;&gt;COLUMNS(B902),901,"")</f>
        <v>0</v>
      </c>
    </row>
    <row r="903" spans="1:1">
      <c r="A903">
        <f>IF(COUNTBLANK(B903)&lt;&gt;COLUMNS(B903),902,"")</f>
        <v>0</v>
      </c>
    </row>
    <row r="904" spans="1:1">
      <c r="A904">
        <f>IF(COUNTBLANK(B904)&lt;&gt;COLUMNS(B904),903,"")</f>
        <v>0</v>
      </c>
    </row>
    <row r="905" spans="1:1">
      <c r="A905">
        <f>IF(COUNTBLANK(B905)&lt;&gt;COLUMNS(B905),904,"")</f>
        <v>0</v>
      </c>
    </row>
    <row r="906" spans="1:1">
      <c r="A906">
        <f>IF(COUNTBLANK(B906)&lt;&gt;COLUMNS(B906),905,"")</f>
        <v>0</v>
      </c>
    </row>
    <row r="907" spans="1:1">
      <c r="A907">
        <f>IF(COUNTBLANK(B907)&lt;&gt;COLUMNS(B907),906,"")</f>
        <v>0</v>
      </c>
    </row>
    <row r="908" spans="1:1">
      <c r="A908">
        <f>IF(COUNTBLANK(B908)&lt;&gt;COLUMNS(B908),907,"")</f>
        <v>0</v>
      </c>
    </row>
    <row r="909" spans="1:1">
      <c r="A909">
        <f>IF(COUNTBLANK(B909)&lt;&gt;COLUMNS(B909),908,"")</f>
        <v>0</v>
      </c>
    </row>
    <row r="910" spans="1:1">
      <c r="A910">
        <f>IF(COUNTBLANK(B910)&lt;&gt;COLUMNS(B910),909,"")</f>
        <v>0</v>
      </c>
    </row>
    <row r="911" spans="1:1">
      <c r="A911">
        <f>IF(COUNTBLANK(B911)&lt;&gt;COLUMNS(B911),910,"")</f>
        <v>0</v>
      </c>
    </row>
    <row r="912" spans="1:1">
      <c r="A912">
        <f>IF(COUNTBLANK(B912)&lt;&gt;COLUMNS(B912),911,"")</f>
        <v>0</v>
      </c>
    </row>
    <row r="913" spans="1:1">
      <c r="A913">
        <f>IF(COUNTBLANK(B913)&lt;&gt;COLUMNS(B913),912,"")</f>
        <v>0</v>
      </c>
    </row>
    <row r="914" spans="1:1">
      <c r="A914">
        <f>IF(COUNTBLANK(B914)&lt;&gt;COLUMNS(B914),913,"")</f>
        <v>0</v>
      </c>
    </row>
    <row r="915" spans="1:1">
      <c r="A915">
        <f>IF(COUNTBLANK(B915)&lt;&gt;COLUMNS(B915),914,"")</f>
        <v>0</v>
      </c>
    </row>
    <row r="916" spans="1:1">
      <c r="A916">
        <f>IF(COUNTBLANK(B916)&lt;&gt;COLUMNS(B916),915,"")</f>
        <v>0</v>
      </c>
    </row>
    <row r="917" spans="1:1">
      <c r="A917">
        <f>IF(COUNTBLANK(B917)&lt;&gt;COLUMNS(B917),916,"")</f>
        <v>0</v>
      </c>
    </row>
    <row r="918" spans="1:1">
      <c r="A918">
        <f>IF(COUNTBLANK(B918)&lt;&gt;COLUMNS(B918),917,"")</f>
        <v>0</v>
      </c>
    </row>
    <row r="919" spans="1:1">
      <c r="A919">
        <f>IF(COUNTBLANK(B919)&lt;&gt;COLUMNS(B919),918,"")</f>
        <v>0</v>
      </c>
    </row>
    <row r="920" spans="1:1">
      <c r="A920">
        <f>IF(COUNTBLANK(B920)&lt;&gt;COLUMNS(B920),919,"")</f>
        <v>0</v>
      </c>
    </row>
    <row r="921" spans="1:1">
      <c r="A921">
        <f>IF(COUNTBLANK(B921)&lt;&gt;COLUMNS(B921),920,"")</f>
        <v>0</v>
      </c>
    </row>
    <row r="922" spans="1:1">
      <c r="A922">
        <f>IF(COUNTBLANK(B922)&lt;&gt;COLUMNS(B922),921,"")</f>
        <v>0</v>
      </c>
    </row>
    <row r="923" spans="1:1">
      <c r="A923">
        <f>IF(COUNTBLANK(B923)&lt;&gt;COLUMNS(B923),922,"")</f>
        <v>0</v>
      </c>
    </row>
    <row r="924" spans="1:1">
      <c r="A924">
        <f>IF(COUNTBLANK(B924)&lt;&gt;COLUMNS(B924),923,"")</f>
        <v>0</v>
      </c>
    </row>
    <row r="925" spans="1:1">
      <c r="A925">
        <f>IF(COUNTBLANK(B925)&lt;&gt;COLUMNS(B925),924,"")</f>
        <v>0</v>
      </c>
    </row>
    <row r="926" spans="1:1">
      <c r="A926">
        <f>IF(COUNTBLANK(B926)&lt;&gt;COLUMNS(B926),925,"")</f>
        <v>0</v>
      </c>
    </row>
    <row r="927" spans="1:1">
      <c r="A927">
        <f>IF(COUNTBLANK(B927)&lt;&gt;COLUMNS(B927),926,"")</f>
        <v>0</v>
      </c>
    </row>
    <row r="928" spans="1:1">
      <c r="A928">
        <f>IF(COUNTBLANK(B928)&lt;&gt;COLUMNS(B928),927,"")</f>
        <v>0</v>
      </c>
    </row>
    <row r="929" spans="1:1">
      <c r="A929">
        <f>IF(COUNTBLANK(B929)&lt;&gt;COLUMNS(B929),928,"")</f>
        <v>0</v>
      </c>
    </row>
    <row r="930" spans="1:1">
      <c r="A930">
        <f>IF(COUNTBLANK(B930)&lt;&gt;COLUMNS(B930),929,"")</f>
        <v>0</v>
      </c>
    </row>
    <row r="931" spans="1:1">
      <c r="A931">
        <f>IF(COUNTBLANK(B931)&lt;&gt;COLUMNS(B931),930,"")</f>
        <v>0</v>
      </c>
    </row>
    <row r="932" spans="1:1">
      <c r="A932">
        <f>IF(COUNTBLANK(B932)&lt;&gt;COLUMNS(B932),931,"")</f>
        <v>0</v>
      </c>
    </row>
    <row r="933" spans="1:1">
      <c r="A933">
        <f>IF(COUNTBLANK(B933)&lt;&gt;COLUMNS(B933),932,"")</f>
        <v>0</v>
      </c>
    </row>
    <row r="934" spans="1:1">
      <c r="A934">
        <f>IF(COUNTBLANK(B934)&lt;&gt;COLUMNS(B934),933,"")</f>
        <v>0</v>
      </c>
    </row>
    <row r="935" spans="1:1">
      <c r="A935">
        <f>IF(COUNTBLANK(B935)&lt;&gt;COLUMNS(B935),934,"")</f>
        <v>0</v>
      </c>
    </row>
    <row r="936" spans="1:1">
      <c r="A936">
        <f>IF(COUNTBLANK(B936)&lt;&gt;COLUMNS(B936),935,"")</f>
        <v>0</v>
      </c>
    </row>
    <row r="937" spans="1:1">
      <c r="A937">
        <f>IF(COUNTBLANK(B937)&lt;&gt;COLUMNS(B937),936,"")</f>
        <v>0</v>
      </c>
    </row>
    <row r="938" spans="1:1">
      <c r="A938">
        <f>IF(COUNTBLANK(B938)&lt;&gt;COLUMNS(B938),937,"")</f>
        <v>0</v>
      </c>
    </row>
    <row r="939" spans="1:1">
      <c r="A939">
        <f>IF(COUNTBLANK(B939)&lt;&gt;COLUMNS(B939),938,"")</f>
        <v>0</v>
      </c>
    </row>
    <row r="940" spans="1:1">
      <c r="A940">
        <f>IF(COUNTBLANK(B940)&lt;&gt;COLUMNS(B940),939,"")</f>
        <v>0</v>
      </c>
    </row>
    <row r="941" spans="1:1">
      <c r="A941">
        <f>IF(COUNTBLANK(B941)&lt;&gt;COLUMNS(B941),940,"")</f>
        <v>0</v>
      </c>
    </row>
    <row r="942" spans="1:1">
      <c r="A942">
        <f>IF(COUNTBLANK(B942)&lt;&gt;COLUMNS(B942),941,"")</f>
        <v>0</v>
      </c>
    </row>
    <row r="943" spans="1:1">
      <c r="A943">
        <f>IF(COUNTBLANK(B943)&lt;&gt;COLUMNS(B943),942,"")</f>
        <v>0</v>
      </c>
    </row>
    <row r="944" spans="1:1">
      <c r="A944">
        <f>IF(COUNTBLANK(B944)&lt;&gt;COLUMNS(B944),943,"")</f>
        <v>0</v>
      </c>
    </row>
    <row r="945" spans="1:1">
      <c r="A945">
        <f>IF(COUNTBLANK(B945)&lt;&gt;COLUMNS(B945),944,"")</f>
        <v>0</v>
      </c>
    </row>
    <row r="946" spans="1:1">
      <c r="A946">
        <f>IF(COUNTBLANK(B946)&lt;&gt;COLUMNS(B946),945,"")</f>
        <v>0</v>
      </c>
    </row>
    <row r="947" spans="1:1">
      <c r="A947">
        <f>IF(COUNTBLANK(B947)&lt;&gt;COLUMNS(B947),946,"")</f>
        <v>0</v>
      </c>
    </row>
    <row r="948" spans="1:1">
      <c r="A948">
        <f>IF(COUNTBLANK(B948)&lt;&gt;COLUMNS(B948),947,"")</f>
        <v>0</v>
      </c>
    </row>
    <row r="949" spans="1:1">
      <c r="A949">
        <f>IF(COUNTBLANK(B949)&lt;&gt;COLUMNS(B949),948,"")</f>
        <v>0</v>
      </c>
    </row>
    <row r="950" spans="1:1">
      <c r="A950">
        <f>IF(COUNTBLANK(B950)&lt;&gt;COLUMNS(B950),949,"")</f>
        <v>0</v>
      </c>
    </row>
    <row r="951" spans="1:1">
      <c r="A951">
        <f>IF(COUNTBLANK(B951)&lt;&gt;COLUMNS(B951),950,"")</f>
        <v>0</v>
      </c>
    </row>
    <row r="952" spans="1:1">
      <c r="A952">
        <f>IF(COUNTBLANK(B952)&lt;&gt;COLUMNS(B952),951,"")</f>
        <v>0</v>
      </c>
    </row>
    <row r="953" spans="1:1">
      <c r="A953">
        <f>IF(COUNTBLANK(B953)&lt;&gt;COLUMNS(B953),952,"")</f>
        <v>0</v>
      </c>
    </row>
    <row r="954" spans="1:1">
      <c r="A954">
        <f>IF(COUNTBLANK(B954)&lt;&gt;COLUMNS(B954),953,"")</f>
        <v>0</v>
      </c>
    </row>
    <row r="955" spans="1:1">
      <c r="A955">
        <f>IF(COUNTBLANK(B955)&lt;&gt;COLUMNS(B955),954,"")</f>
        <v>0</v>
      </c>
    </row>
    <row r="956" spans="1:1">
      <c r="A956">
        <f>IF(COUNTBLANK(B956)&lt;&gt;COLUMNS(B956),955,"")</f>
        <v>0</v>
      </c>
    </row>
    <row r="957" spans="1:1">
      <c r="A957">
        <f>IF(COUNTBLANK(B957)&lt;&gt;COLUMNS(B957),956,"")</f>
        <v>0</v>
      </c>
    </row>
    <row r="958" spans="1:1">
      <c r="A958">
        <f>IF(COUNTBLANK(B958)&lt;&gt;COLUMNS(B958),957,"")</f>
        <v>0</v>
      </c>
    </row>
    <row r="959" spans="1:1">
      <c r="A959">
        <f>IF(COUNTBLANK(B959)&lt;&gt;COLUMNS(B959),958,"")</f>
        <v>0</v>
      </c>
    </row>
    <row r="960" spans="1:1">
      <c r="A960">
        <f>IF(COUNTBLANK(B960)&lt;&gt;COLUMNS(B960),959,"")</f>
        <v>0</v>
      </c>
    </row>
    <row r="961" spans="1:1">
      <c r="A961">
        <f>IF(COUNTBLANK(B961)&lt;&gt;COLUMNS(B961),960,"")</f>
        <v>0</v>
      </c>
    </row>
    <row r="962" spans="1:1">
      <c r="A962">
        <f>IF(COUNTBLANK(B962)&lt;&gt;COLUMNS(B962),961,"")</f>
        <v>0</v>
      </c>
    </row>
    <row r="963" spans="1:1">
      <c r="A963">
        <f>IF(COUNTBLANK(B963)&lt;&gt;COLUMNS(B963),962,"")</f>
        <v>0</v>
      </c>
    </row>
    <row r="964" spans="1:1">
      <c r="A964">
        <f>IF(COUNTBLANK(B964)&lt;&gt;COLUMNS(B964),963,"")</f>
        <v>0</v>
      </c>
    </row>
    <row r="965" spans="1:1">
      <c r="A965">
        <f>IF(COUNTBLANK(B965)&lt;&gt;COLUMNS(B965),964,"")</f>
        <v>0</v>
      </c>
    </row>
    <row r="966" spans="1:1">
      <c r="A966">
        <f>IF(COUNTBLANK(B966)&lt;&gt;COLUMNS(B966),965,"")</f>
        <v>0</v>
      </c>
    </row>
    <row r="967" spans="1:1">
      <c r="A967">
        <f>IF(COUNTBLANK(B967)&lt;&gt;COLUMNS(B967),966,"")</f>
        <v>0</v>
      </c>
    </row>
    <row r="968" spans="1:1">
      <c r="A968">
        <f>IF(COUNTBLANK(B968)&lt;&gt;COLUMNS(B968),967,"")</f>
        <v>0</v>
      </c>
    </row>
    <row r="969" spans="1:1">
      <c r="A969">
        <f>IF(COUNTBLANK(B969)&lt;&gt;COLUMNS(B969),968,"")</f>
        <v>0</v>
      </c>
    </row>
    <row r="970" spans="1:1">
      <c r="A970">
        <f>IF(COUNTBLANK(B970)&lt;&gt;COLUMNS(B970),969,"")</f>
        <v>0</v>
      </c>
    </row>
    <row r="971" spans="1:1">
      <c r="A971">
        <f>IF(COUNTBLANK(B971)&lt;&gt;COLUMNS(B971),970,"")</f>
        <v>0</v>
      </c>
    </row>
    <row r="972" spans="1:1">
      <c r="A972">
        <f>IF(COUNTBLANK(B972)&lt;&gt;COLUMNS(B972),971,"")</f>
        <v>0</v>
      </c>
    </row>
    <row r="973" spans="1:1">
      <c r="A973">
        <f>IF(COUNTBLANK(B973)&lt;&gt;COLUMNS(B973),972,"")</f>
        <v>0</v>
      </c>
    </row>
    <row r="974" spans="1:1">
      <c r="A974">
        <f>IF(COUNTBLANK(B974)&lt;&gt;COLUMNS(B974),973,"")</f>
        <v>0</v>
      </c>
    </row>
    <row r="975" spans="1:1">
      <c r="A975">
        <f>IF(COUNTBLANK(B975)&lt;&gt;COLUMNS(B975),974,"")</f>
        <v>0</v>
      </c>
    </row>
    <row r="976" spans="1:1">
      <c r="A976">
        <f>IF(COUNTBLANK(B976)&lt;&gt;COLUMNS(B976),975,"")</f>
        <v>0</v>
      </c>
    </row>
    <row r="977" spans="1:1">
      <c r="A977">
        <f>IF(COUNTBLANK(B977)&lt;&gt;COLUMNS(B977),976,"")</f>
        <v>0</v>
      </c>
    </row>
    <row r="978" spans="1:1">
      <c r="A978">
        <f>IF(COUNTBLANK(B978)&lt;&gt;COLUMNS(B978),977,"")</f>
        <v>0</v>
      </c>
    </row>
    <row r="979" spans="1:1">
      <c r="A979">
        <f>IF(COUNTBLANK(B979)&lt;&gt;COLUMNS(B979),978,"")</f>
        <v>0</v>
      </c>
    </row>
    <row r="980" spans="1:1">
      <c r="A980">
        <f>IF(COUNTBLANK(B980)&lt;&gt;COLUMNS(B980),979,"")</f>
        <v>0</v>
      </c>
    </row>
    <row r="981" spans="1:1">
      <c r="A981">
        <f>IF(COUNTBLANK(B981)&lt;&gt;COLUMNS(B981),980,"")</f>
        <v>0</v>
      </c>
    </row>
    <row r="982" spans="1:1">
      <c r="A982">
        <f>IF(COUNTBLANK(B982)&lt;&gt;COLUMNS(B982),981,"")</f>
        <v>0</v>
      </c>
    </row>
    <row r="983" spans="1:1">
      <c r="A983">
        <f>IF(COUNTBLANK(B983)&lt;&gt;COLUMNS(B983),982,"")</f>
        <v>0</v>
      </c>
    </row>
    <row r="984" spans="1:1">
      <c r="A984">
        <f>IF(COUNTBLANK(B984)&lt;&gt;COLUMNS(B984),983,"")</f>
        <v>0</v>
      </c>
    </row>
    <row r="985" spans="1:1">
      <c r="A985">
        <f>IF(COUNTBLANK(B985)&lt;&gt;COLUMNS(B985),984,"")</f>
        <v>0</v>
      </c>
    </row>
    <row r="986" spans="1:1">
      <c r="A986">
        <f>IF(COUNTBLANK(B986)&lt;&gt;COLUMNS(B986),985,"")</f>
        <v>0</v>
      </c>
    </row>
    <row r="987" spans="1:1">
      <c r="A987">
        <f>IF(COUNTBLANK(B987)&lt;&gt;COLUMNS(B987),986,"")</f>
        <v>0</v>
      </c>
    </row>
    <row r="988" spans="1:1">
      <c r="A988">
        <f>IF(COUNTBLANK(B988)&lt;&gt;COLUMNS(B988),987,"")</f>
        <v>0</v>
      </c>
    </row>
    <row r="989" spans="1:1">
      <c r="A989">
        <f>IF(COUNTBLANK(B989)&lt;&gt;COLUMNS(B989),988,"")</f>
        <v>0</v>
      </c>
    </row>
    <row r="990" spans="1:1">
      <c r="A990">
        <f>IF(COUNTBLANK(B990)&lt;&gt;COLUMNS(B990),989,"")</f>
        <v>0</v>
      </c>
    </row>
    <row r="991" spans="1:1">
      <c r="A991">
        <f>IF(COUNTBLANK(B991)&lt;&gt;COLUMNS(B991),990,"")</f>
        <v>0</v>
      </c>
    </row>
    <row r="992" spans="1:1">
      <c r="A992">
        <f>IF(COUNTBLANK(B992)&lt;&gt;COLUMNS(B992),991,"")</f>
        <v>0</v>
      </c>
    </row>
    <row r="993" spans="1:2">
      <c r="A993">
        <f>IF(COUNTBLANK(B993)&lt;&gt;COLUMNS(B993),992,"")</f>
        <v>0</v>
      </c>
    </row>
    <row r="994" spans="1:2">
      <c r="A994">
        <f>IF(COUNTBLANK(B994)&lt;&gt;COLUMNS(B994),993,"")</f>
        <v>0</v>
      </c>
    </row>
    <row r="995" spans="1:2">
      <c r="A995">
        <f>IF(COUNTBLANK(B995)&lt;&gt;COLUMNS(B995),994,"")</f>
        <v>0</v>
      </c>
    </row>
    <row r="996" spans="1:2">
      <c r="A996">
        <f>IF(COUNTBLANK(B996)&lt;&gt;COLUMNS(B996),995,"")</f>
        <v>0</v>
      </c>
    </row>
    <row r="997" spans="1:2">
      <c r="A997">
        <f>IF(COUNTBLANK(B997)&lt;&gt;COLUMNS(B997),996,"")</f>
        <v>0</v>
      </c>
    </row>
    <row r="998" spans="1:2">
      <c r="A998">
        <f>IF(COUNTBLANK(B998)&lt;&gt;COLUMNS(B998),997,"")</f>
        <v>0</v>
      </c>
    </row>
    <row r="999" spans="1:2">
      <c r="A999">
        <f>IF(COUNTBLANK(B999)&lt;&gt;COLUMNS(B999),998,"")</f>
        <v>0</v>
      </c>
    </row>
    <row r="1000" spans="1:2">
      <c r="A1000">
        <f>IF(COUNTBLANK(B1000)&lt;&gt;COLUMNS(B1000),999,"")</f>
        <v>0</v>
      </c>
    </row>
    <row r="1001" spans="1:2">
      <c r="A1001">
        <f>IF(COUNTBLANK(B1001)&lt;&gt;COLUMNS(B1001),1000,"")</f>
        <v>0</v>
      </c>
    </row>
    <row r="1002" spans="1:2">
      <c r="B1002" s="2" t="s">
        <v>2</v>
      </c>
    </row>
  </sheetData>
  <sheetProtection password="EE32" sheet="1" objects="1" scenarios="1" formatCells="0" formatColumns="0" formatRows="0"/>
  <dataValidations count="1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6" max="12" width="0" hidden="1" customWidth="1"/>
    <col min="13" max="13" width="0" hidden="1" customWidth="1"/>
  </cols>
  <sheetData>
    <row r="1" spans="1:13">
      <c r="A1" s="2" t="s">
        <v>1</v>
      </c>
      <c r="B1" s="2">
        <f>IF(B2=" ", " ", INDEX($M$1, 1, MATCH(COLUMNS($M$1006:M1006),$M$1006,0)))</f>
        <v>0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1</v>
      </c>
      <c r="M1" s="2" t="s">
        <v>1</v>
      </c>
    </row>
    <row r="2" spans="1:13">
      <c r="A2" s="3">
        <f>IF(B2=" "," ",HYPERLINK(CONCATENATE("#metadata!",ADDRESS(INDEX($H$2:$H$1001,MATCH(ROWS($F$2:F2),$F$2:$F$1001,0),0),2)),INDEX($K$2:$K$1001,MATCH(ROWS($F$2:F2),$F$2:$F$1001,0),0)))</f>
        <v>0</v>
      </c>
      <c r="B2" s="4">
        <f>IF(OR(INDEX($G$2:$G$1001,MATCH(ROWS($F$2:F2),$F$2:$F$1001,0),1)&gt;=100000,INDEX($M$1005,1,MATCH(COLUMNS($M$1006:M1006),$M$1006,0))&gt;=100000), " ",IF(INDEX($M$2:$M$1001,MATCH(ROWS($F$2:F2),$F$2:$F$1001,0),MATCH(COLUMNS($M$1006:M1006),$M$1006,0)), HYPERLINK("#",""), HYPERLINK(CONCATENATE("#Metadata!", ADDRESS(INDEX($H$2:$H$1001,MATCH(ROWS($F$2:F2),$F$2:$F$1001,0),0), INDEX($M$1004,1,MATCH(COLUMNS($M$1006:M1006),$M$1006,0)))),"Fix")))</f>
        <v>0</v>
      </c>
      <c r="F2">
        <f t="array" ref="F2:F1001">COUNTIF(G$2:G$1001,"&lt;="&amp;$G2:$G1001)</f>
        <v>0</v>
      </c>
      <c r="G2">
        <f t="array" ref="G2:G1001">INT(I2:I1001)*100000+$H$2:$H$1001</f>
        <v>0</v>
      </c>
      <c r="H2">
        <f t="array" ref="H2:H1001">ROW(Metadata!B2:B1001)</f>
        <v>0</v>
      </c>
      <c r="I2">
        <f>IF(J2,TRUE,AND(M2))</f>
        <v>0</v>
      </c>
      <c r="J2">
        <f>COUNTBLANK(Metadata!B2)=COLUMNS(Metadata!B2)</f>
        <v>0</v>
      </c>
      <c r="K2">
        <f t="array" ref="K2:K1001">IF(Metadata!B2:B1001="","",Metadata!B2:B1001)</f>
        <v>0</v>
      </c>
      <c r="M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</row>
    <row r="3" spans="1:13">
      <c r="A3" s="3">
        <f>IF(B3=" "," ",HYPERLINK(CONCATENATE("#metadata!",ADDRESS(INDEX($H$2:$H$1001,MATCH(ROWS($F$2:F3),$F$2:$F$1001,0),0),2)),INDEX($K$2:$K$1001,MATCH(ROWS($F$2:F3),$F$2:$F$1001,0),0)))</f>
        <v>0</v>
      </c>
      <c r="B3" s="4">
        <f>IF(OR(INDEX($G$2:$G$1001,MATCH(ROWS($F$2:F3),$F$2:$F$1001,0),1)&gt;=100000,INDEX($M$1005,1,MATCH(COLUMNS($M$1006:M1006),$M$1006,0))&gt;=100000), " ",IF(INDEX($M$2:$M$1001,MATCH(ROWS($F$2:F3),$F$2:$F$1001,0),MATCH(COLUMNS($M$1006:M1006),$M$1006,0)), HYPERLINK("#",""), HYPERLINK(CONCATENATE("#Metadata!", ADDRESS(INDEX($H$2:$H$1001,MATCH(ROWS($F$2:F3),$F$2:$F$1001,0),0), INDEX($M$1004,1,MATCH(COLUMNS($M$1006:M1006),$M$1006,0)))),"Fix")))</f>
        <v>0</v>
      </c>
      <c r="F3">
        <v>0</v>
      </c>
      <c r="G3">
        <v>0</v>
      </c>
      <c r="H3">
        <v>0</v>
      </c>
      <c r="I3">
        <f>IF(J3,TRUE,AND(M3))</f>
        <v>0</v>
      </c>
      <c r="J3">
        <f>COUNTBLANK(Metadata!B3)=COLUMNS(Metadata!B3)</f>
        <v>0</v>
      </c>
      <c r="K3">
        <v>0</v>
      </c>
      <c r="M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</row>
    <row r="4" spans="1:13">
      <c r="A4" s="3">
        <f>IF(B4=" "," ",HYPERLINK(CONCATENATE("#metadata!",ADDRESS(INDEX($H$2:$H$1001,MATCH(ROWS($F$2:F4),$F$2:$F$1001,0),0),2)),INDEX($K$2:$K$1001,MATCH(ROWS($F$2:F4),$F$2:$F$1001,0),0)))</f>
        <v>0</v>
      </c>
      <c r="B4" s="4">
        <f>IF(OR(INDEX($G$2:$G$1001,MATCH(ROWS($F$2:F4),$F$2:$F$1001,0),1)&gt;=100000,INDEX($M$1005,1,MATCH(COLUMNS($M$1006:M1006),$M$1006,0))&gt;=100000), " ",IF(INDEX($M$2:$M$1001,MATCH(ROWS($F$2:F4),$F$2:$F$1001,0),MATCH(COLUMNS($M$1006:M1006),$M$1006,0)), HYPERLINK("#",""), HYPERLINK(CONCATENATE("#Metadata!", ADDRESS(INDEX($H$2:$H$1001,MATCH(ROWS($F$2:F4),$F$2:$F$1001,0),0), INDEX($M$1004,1,MATCH(COLUMNS($M$1006:M1006),$M$1006,0)))),"Fix")))</f>
        <v>0</v>
      </c>
      <c r="F4">
        <v>0</v>
      </c>
      <c r="G4">
        <v>0</v>
      </c>
      <c r="H4">
        <v>0</v>
      </c>
      <c r="I4">
        <f>IF(J4,TRUE,AND(M4))</f>
        <v>0</v>
      </c>
      <c r="J4">
        <f>COUNTBLANK(Metadata!B4)=COLUMNS(Metadata!B4)</f>
        <v>0</v>
      </c>
      <c r="K4">
        <v>0</v>
      </c>
      <c r="M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</row>
    <row r="5" spans="1:13">
      <c r="A5" s="3">
        <f>IF(B5=" "," ",HYPERLINK(CONCATENATE("#metadata!",ADDRESS(INDEX($H$2:$H$1001,MATCH(ROWS($F$2:F5),$F$2:$F$1001,0),0),2)),INDEX($K$2:$K$1001,MATCH(ROWS($F$2:F5),$F$2:$F$1001,0),0)))</f>
        <v>0</v>
      </c>
      <c r="B5" s="4">
        <f>IF(OR(INDEX($G$2:$G$1001,MATCH(ROWS($F$2:F5),$F$2:$F$1001,0),1)&gt;=100000,INDEX($M$1005,1,MATCH(COLUMNS($M$1006:M1006),$M$1006,0))&gt;=100000), " ",IF(INDEX($M$2:$M$1001,MATCH(ROWS($F$2:F5),$F$2:$F$1001,0),MATCH(COLUMNS($M$1006:M1006),$M$1006,0)), HYPERLINK("#",""), HYPERLINK(CONCATENATE("#Metadata!", ADDRESS(INDEX($H$2:$H$1001,MATCH(ROWS($F$2:F5),$F$2:$F$1001,0),0), INDEX($M$1004,1,MATCH(COLUMNS($M$1006:M1006),$M$1006,0)))),"Fix")))</f>
        <v>0</v>
      </c>
      <c r="F5">
        <v>0</v>
      </c>
      <c r="G5">
        <v>0</v>
      </c>
      <c r="H5">
        <v>0</v>
      </c>
      <c r="I5">
        <f>IF(J5,TRUE,AND(M5))</f>
        <v>0</v>
      </c>
      <c r="J5">
        <f>COUNTBLANK(Metadata!B5)=COLUMNS(Metadata!B5)</f>
        <v>0</v>
      </c>
      <c r="K5">
        <v>0</v>
      </c>
      <c r="M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</row>
    <row r="6" spans="1:13">
      <c r="A6" s="3">
        <f>IF(B6=" "," ",HYPERLINK(CONCATENATE("#metadata!",ADDRESS(INDEX($H$2:$H$1001,MATCH(ROWS($F$2:F6),$F$2:$F$1001,0),0),2)),INDEX($K$2:$K$1001,MATCH(ROWS($F$2:F6),$F$2:$F$1001,0),0)))</f>
        <v>0</v>
      </c>
      <c r="B6" s="4">
        <f>IF(OR(INDEX($G$2:$G$1001,MATCH(ROWS($F$2:F6),$F$2:$F$1001,0),1)&gt;=100000,INDEX($M$1005,1,MATCH(COLUMNS($M$1006:M1006),$M$1006,0))&gt;=100000), " ",IF(INDEX($M$2:$M$1001,MATCH(ROWS($F$2:F6),$F$2:$F$1001,0),MATCH(COLUMNS($M$1006:M1006),$M$1006,0)), HYPERLINK("#",""), HYPERLINK(CONCATENATE("#Metadata!", ADDRESS(INDEX($H$2:$H$1001,MATCH(ROWS($F$2:F6),$F$2:$F$1001,0),0), INDEX($M$1004,1,MATCH(COLUMNS($M$1006:M1006),$M$1006,0)))),"Fix")))</f>
        <v>0</v>
      </c>
      <c r="F6">
        <v>0</v>
      </c>
      <c r="G6">
        <v>0</v>
      </c>
      <c r="H6">
        <v>0</v>
      </c>
      <c r="I6">
        <f>IF(J6,TRUE,AND(M6))</f>
        <v>0</v>
      </c>
      <c r="J6">
        <f>COUNTBLANK(Metadata!B6)=COLUMNS(Metadata!B6)</f>
        <v>0</v>
      </c>
      <c r="K6">
        <v>0</v>
      </c>
      <c r="M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</row>
    <row r="7" spans="1:13">
      <c r="A7" s="3">
        <f>IF(B7=" "," ",HYPERLINK(CONCATENATE("#metadata!",ADDRESS(INDEX($H$2:$H$1001,MATCH(ROWS($F$2:F7),$F$2:$F$1001,0),0),2)),INDEX($K$2:$K$1001,MATCH(ROWS($F$2:F7),$F$2:$F$1001,0),0)))</f>
        <v>0</v>
      </c>
      <c r="B7" s="4">
        <f>IF(OR(INDEX($G$2:$G$1001,MATCH(ROWS($F$2:F7),$F$2:$F$1001,0),1)&gt;=100000,INDEX($M$1005,1,MATCH(COLUMNS($M$1006:M1006),$M$1006,0))&gt;=100000), " ",IF(INDEX($M$2:$M$1001,MATCH(ROWS($F$2:F7),$F$2:$F$1001,0),MATCH(COLUMNS($M$1006:M1006),$M$1006,0)), HYPERLINK("#",""), HYPERLINK(CONCATENATE("#Metadata!", ADDRESS(INDEX($H$2:$H$1001,MATCH(ROWS($F$2:F7),$F$2:$F$1001,0),0), INDEX($M$1004,1,MATCH(COLUMNS($M$1006:M1006),$M$1006,0)))),"Fix")))</f>
        <v>0</v>
      </c>
      <c r="F7">
        <v>0</v>
      </c>
      <c r="G7">
        <v>0</v>
      </c>
      <c r="H7">
        <v>0</v>
      </c>
      <c r="I7">
        <f>IF(J7,TRUE,AND(M7))</f>
        <v>0</v>
      </c>
      <c r="J7">
        <f>COUNTBLANK(Metadata!B7)=COLUMNS(Metadata!B7)</f>
        <v>0</v>
      </c>
      <c r="K7">
        <v>0</v>
      </c>
      <c r="M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</row>
    <row r="8" spans="1:13">
      <c r="A8" s="3">
        <f>IF(B8=" "," ",HYPERLINK(CONCATENATE("#metadata!",ADDRESS(INDEX($H$2:$H$1001,MATCH(ROWS($F$2:F8),$F$2:$F$1001,0),0),2)),INDEX($K$2:$K$1001,MATCH(ROWS($F$2:F8),$F$2:$F$1001,0),0)))</f>
        <v>0</v>
      </c>
      <c r="B8" s="4">
        <f>IF(OR(INDEX($G$2:$G$1001,MATCH(ROWS($F$2:F8),$F$2:$F$1001,0),1)&gt;=100000,INDEX($M$1005,1,MATCH(COLUMNS($M$1006:M1006),$M$1006,0))&gt;=100000), " ",IF(INDEX($M$2:$M$1001,MATCH(ROWS($F$2:F8),$F$2:$F$1001,0),MATCH(COLUMNS($M$1006:M1006),$M$1006,0)), HYPERLINK("#",""), HYPERLINK(CONCATENATE("#Metadata!", ADDRESS(INDEX($H$2:$H$1001,MATCH(ROWS($F$2:F8),$F$2:$F$1001,0),0), INDEX($M$1004,1,MATCH(COLUMNS($M$1006:M1006),$M$1006,0)))),"Fix")))</f>
        <v>0</v>
      </c>
      <c r="F8">
        <v>0</v>
      </c>
      <c r="G8">
        <v>0</v>
      </c>
      <c r="H8">
        <v>0</v>
      </c>
      <c r="I8">
        <f>IF(J8,TRUE,AND(M8))</f>
        <v>0</v>
      </c>
      <c r="J8">
        <f>COUNTBLANK(Metadata!B8)=COLUMNS(Metadata!B8)</f>
        <v>0</v>
      </c>
      <c r="K8">
        <v>0</v>
      </c>
      <c r="M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</row>
    <row r="9" spans="1:13">
      <c r="A9" s="3">
        <f>IF(B9=" "," ",HYPERLINK(CONCATENATE("#metadata!",ADDRESS(INDEX($H$2:$H$1001,MATCH(ROWS($F$2:F9),$F$2:$F$1001,0),0),2)),INDEX($K$2:$K$1001,MATCH(ROWS($F$2:F9),$F$2:$F$1001,0),0)))</f>
        <v>0</v>
      </c>
      <c r="B9" s="4">
        <f>IF(OR(INDEX($G$2:$G$1001,MATCH(ROWS($F$2:F9),$F$2:$F$1001,0),1)&gt;=100000,INDEX($M$1005,1,MATCH(COLUMNS($M$1006:M1006),$M$1006,0))&gt;=100000), " ",IF(INDEX($M$2:$M$1001,MATCH(ROWS($F$2:F9),$F$2:$F$1001,0),MATCH(COLUMNS($M$1006:M1006),$M$1006,0)), HYPERLINK("#",""), HYPERLINK(CONCATENATE("#Metadata!", ADDRESS(INDEX($H$2:$H$1001,MATCH(ROWS($F$2:F9),$F$2:$F$1001,0),0), INDEX($M$1004,1,MATCH(COLUMNS($M$1006:M1006),$M$1006,0)))),"Fix")))</f>
        <v>0</v>
      </c>
      <c r="F9">
        <v>0</v>
      </c>
      <c r="G9">
        <v>0</v>
      </c>
      <c r="H9">
        <v>0</v>
      </c>
      <c r="I9">
        <f>IF(J9,TRUE,AND(M9))</f>
        <v>0</v>
      </c>
      <c r="J9">
        <f>COUNTBLANK(Metadata!B9)=COLUMNS(Metadata!B9)</f>
        <v>0</v>
      </c>
      <c r="K9">
        <v>0</v>
      </c>
      <c r="M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</row>
    <row r="10" spans="1:13">
      <c r="A10" s="3">
        <f>IF(B10=" "," ",HYPERLINK(CONCATENATE("#metadata!",ADDRESS(INDEX($H$2:$H$1001,MATCH(ROWS($F$2:F10),$F$2:$F$1001,0),0),2)),INDEX($K$2:$K$1001,MATCH(ROWS($F$2:F10),$F$2:$F$1001,0),0)))</f>
        <v>0</v>
      </c>
      <c r="B10" s="4">
        <f>IF(OR(INDEX($G$2:$G$1001,MATCH(ROWS($F$2:F10),$F$2:$F$1001,0),1)&gt;=100000,INDEX($M$1005,1,MATCH(COLUMNS($M$1006:M1006),$M$1006,0))&gt;=100000), " ",IF(INDEX($M$2:$M$1001,MATCH(ROWS($F$2:F10),$F$2:$F$1001,0),MATCH(COLUMNS($M$1006:M1006),$M$1006,0)), HYPERLINK("#",""), HYPERLINK(CONCATENATE("#Metadata!", ADDRESS(INDEX($H$2:$H$1001,MATCH(ROWS($F$2:F10),$F$2:$F$1001,0),0), INDEX($M$1004,1,MATCH(COLUMNS($M$1006:M1006),$M$1006,0)))),"Fix")))</f>
        <v>0</v>
      </c>
      <c r="F10">
        <v>0</v>
      </c>
      <c r="G10">
        <v>0</v>
      </c>
      <c r="H10">
        <v>0</v>
      </c>
      <c r="I10">
        <f>IF(J10,TRUE,AND(M10))</f>
        <v>0</v>
      </c>
      <c r="J10">
        <f>COUNTBLANK(Metadata!B10)=COLUMNS(Metadata!B10)</f>
        <v>0</v>
      </c>
      <c r="K10">
        <v>0</v>
      </c>
      <c r="M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</row>
    <row r="11" spans="1:13">
      <c r="A11" s="3">
        <f>IF(B11=" "," ",HYPERLINK(CONCATENATE("#metadata!",ADDRESS(INDEX($H$2:$H$1001,MATCH(ROWS($F$2:F11),$F$2:$F$1001,0),0),2)),INDEX($K$2:$K$1001,MATCH(ROWS($F$2:F11),$F$2:$F$1001,0),0)))</f>
        <v>0</v>
      </c>
      <c r="B11" s="4">
        <f>IF(OR(INDEX($G$2:$G$1001,MATCH(ROWS($F$2:F11),$F$2:$F$1001,0),1)&gt;=100000,INDEX($M$1005,1,MATCH(COLUMNS($M$1006:M1006),$M$1006,0))&gt;=100000), " ",IF(INDEX($M$2:$M$1001,MATCH(ROWS($F$2:F11),$F$2:$F$1001,0),MATCH(COLUMNS($M$1006:M1006),$M$1006,0)), HYPERLINK("#",""), HYPERLINK(CONCATENATE("#Metadata!", ADDRESS(INDEX($H$2:$H$1001,MATCH(ROWS($F$2:F11),$F$2:$F$1001,0),0), INDEX($M$1004,1,MATCH(COLUMNS($M$1006:M1006),$M$1006,0)))),"Fix")))</f>
        <v>0</v>
      </c>
      <c r="F11">
        <v>0</v>
      </c>
      <c r="G11">
        <v>0</v>
      </c>
      <c r="H11">
        <v>0</v>
      </c>
      <c r="I11">
        <f>IF(J11,TRUE,AND(M11))</f>
        <v>0</v>
      </c>
      <c r="J11">
        <f>COUNTBLANK(Metadata!B11)=COLUMNS(Metadata!B11)</f>
        <v>0</v>
      </c>
      <c r="K11">
        <v>0</v>
      </c>
      <c r="M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</row>
    <row r="12" spans="1:13">
      <c r="A12" s="3">
        <f>IF(B12=" "," ",HYPERLINK(CONCATENATE("#metadata!",ADDRESS(INDEX($H$2:$H$1001,MATCH(ROWS($F$2:F12),$F$2:$F$1001,0),0),2)),INDEX($K$2:$K$1001,MATCH(ROWS($F$2:F12),$F$2:$F$1001,0),0)))</f>
        <v>0</v>
      </c>
      <c r="B12" s="4">
        <f>IF(OR(INDEX($G$2:$G$1001,MATCH(ROWS($F$2:F12),$F$2:$F$1001,0),1)&gt;=100000,INDEX($M$1005,1,MATCH(COLUMNS($M$1006:M1006),$M$1006,0))&gt;=100000), " ",IF(INDEX($M$2:$M$1001,MATCH(ROWS($F$2:F12),$F$2:$F$1001,0),MATCH(COLUMNS($M$1006:M1006),$M$1006,0)), HYPERLINK("#",""), HYPERLINK(CONCATENATE("#Metadata!", ADDRESS(INDEX($H$2:$H$1001,MATCH(ROWS($F$2:F12),$F$2:$F$1001,0),0), INDEX($M$1004,1,MATCH(COLUMNS($M$1006:M1006),$M$1006,0)))),"Fix")))</f>
        <v>0</v>
      </c>
      <c r="F12">
        <v>0</v>
      </c>
      <c r="G12">
        <v>0</v>
      </c>
      <c r="H12">
        <v>0</v>
      </c>
      <c r="I12">
        <f>IF(J12,TRUE,AND(M12))</f>
        <v>0</v>
      </c>
      <c r="J12">
        <f>COUNTBLANK(Metadata!B12)=COLUMNS(Metadata!B12)</f>
        <v>0</v>
      </c>
      <c r="K12">
        <v>0</v>
      </c>
      <c r="M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</row>
    <row r="13" spans="1:13">
      <c r="A13" s="3">
        <f>IF(B13=" "," ",HYPERLINK(CONCATENATE("#metadata!",ADDRESS(INDEX($H$2:$H$1001,MATCH(ROWS($F$2:F13),$F$2:$F$1001,0),0),2)),INDEX($K$2:$K$1001,MATCH(ROWS($F$2:F13),$F$2:$F$1001,0),0)))</f>
        <v>0</v>
      </c>
      <c r="B13" s="4">
        <f>IF(OR(INDEX($G$2:$G$1001,MATCH(ROWS($F$2:F13),$F$2:$F$1001,0),1)&gt;=100000,INDEX($M$1005,1,MATCH(COLUMNS($M$1006:M1006),$M$1006,0))&gt;=100000), " ",IF(INDEX($M$2:$M$1001,MATCH(ROWS($F$2:F13),$F$2:$F$1001,0),MATCH(COLUMNS($M$1006:M1006),$M$1006,0)), HYPERLINK("#",""), HYPERLINK(CONCATENATE("#Metadata!", ADDRESS(INDEX($H$2:$H$1001,MATCH(ROWS($F$2:F13),$F$2:$F$1001,0),0), INDEX($M$1004,1,MATCH(COLUMNS($M$1006:M1006),$M$1006,0)))),"Fix")))</f>
        <v>0</v>
      </c>
      <c r="F13">
        <v>0</v>
      </c>
      <c r="G13">
        <v>0</v>
      </c>
      <c r="H13">
        <v>0</v>
      </c>
      <c r="I13">
        <f>IF(J13,TRUE,AND(M13))</f>
        <v>0</v>
      </c>
      <c r="J13">
        <f>COUNTBLANK(Metadata!B13)=COLUMNS(Metadata!B13)</f>
        <v>0</v>
      </c>
      <c r="K13">
        <v>0</v>
      </c>
      <c r="M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</row>
    <row r="14" spans="1:13">
      <c r="A14" s="3">
        <f>IF(B14=" "," ",HYPERLINK(CONCATENATE("#metadata!",ADDRESS(INDEX($H$2:$H$1001,MATCH(ROWS($F$2:F14),$F$2:$F$1001,0),0),2)),INDEX($K$2:$K$1001,MATCH(ROWS($F$2:F14),$F$2:$F$1001,0),0)))</f>
        <v>0</v>
      </c>
      <c r="B14" s="4">
        <f>IF(OR(INDEX($G$2:$G$1001,MATCH(ROWS($F$2:F14),$F$2:$F$1001,0),1)&gt;=100000,INDEX($M$1005,1,MATCH(COLUMNS($M$1006:M1006),$M$1006,0))&gt;=100000), " ",IF(INDEX($M$2:$M$1001,MATCH(ROWS($F$2:F14),$F$2:$F$1001,0),MATCH(COLUMNS($M$1006:M1006),$M$1006,0)), HYPERLINK("#",""), HYPERLINK(CONCATENATE("#Metadata!", ADDRESS(INDEX($H$2:$H$1001,MATCH(ROWS($F$2:F14),$F$2:$F$1001,0),0), INDEX($M$1004,1,MATCH(COLUMNS($M$1006:M1006),$M$1006,0)))),"Fix")))</f>
        <v>0</v>
      </c>
      <c r="F14">
        <v>0</v>
      </c>
      <c r="G14">
        <v>0</v>
      </c>
      <c r="H14">
        <v>0</v>
      </c>
      <c r="I14">
        <f>IF(J14,TRUE,AND(M14))</f>
        <v>0</v>
      </c>
      <c r="J14">
        <f>COUNTBLANK(Metadata!B14)=COLUMNS(Metadata!B14)</f>
        <v>0</v>
      </c>
      <c r="K14">
        <v>0</v>
      </c>
      <c r="M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</row>
    <row r="15" spans="1:13">
      <c r="A15" s="3">
        <f>IF(B15=" "," ",HYPERLINK(CONCATENATE("#metadata!",ADDRESS(INDEX($H$2:$H$1001,MATCH(ROWS($F$2:F15),$F$2:$F$1001,0),0),2)),INDEX($K$2:$K$1001,MATCH(ROWS($F$2:F15),$F$2:$F$1001,0),0)))</f>
        <v>0</v>
      </c>
      <c r="B15" s="4">
        <f>IF(OR(INDEX($G$2:$G$1001,MATCH(ROWS($F$2:F15),$F$2:$F$1001,0),1)&gt;=100000,INDEX($M$1005,1,MATCH(COLUMNS($M$1006:M1006),$M$1006,0))&gt;=100000), " ",IF(INDEX($M$2:$M$1001,MATCH(ROWS($F$2:F15),$F$2:$F$1001,0),MATCH(COLUMNS($M$1006:M1006),$M$1006,0)), HYPERLINK("#",""), HYPERLINK(CONCATENATE("#Metadata!", ADDRESS(INDEX($H$2:$H$1001,MATCH(ROWS($F$2:F15),$F$2:$F$1001,0),0), INDEX($M$1004,1,MATCH(COLUMNS($M$1006:M1006),$M$1006,0)))),"Fix")))</f>
        <v>0</v>
      </c>
      <c r="F15">
        <v>0</v>
      </c>
      <c r="G15">
        <v>0</v>
      </c>
      <c r="H15">
        <v>0</v>
      </c>
      <c r="I15">
        <f>IF(J15,TRUE,AND(M15))</f>
        <v>0</v>
      </c>
      <c r="J15">
        <f>COUNTBLANK(Metadata!B15)=COLUMNS(Metadata!B15)</f>
        <v>0</v>
      </c>
      <c r="K15">
        <v>0</v>
      </c>
      <c r="M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</row>
    <row r="16" spans="1:13">
      <c r="A16" s="3">
        <f>IF(B16=" "," ",HYPERLINK(CONCATENATE("#metadata!",ADDRESS(INDEX($H$2:$H$1001,MATCH(ROWS($F$2:F16),$F$2:$F$1001,0),0),2)),INDEX($K$2:$K$1001,MATCH(ROWS($F$2:F16),$F$2:$F$1001,0),0)))</f>
        <v>0</v>
      </c>
      <c r="B16" s="4">
        <f>IF(OR(INDEX($G$2:$G$1001,MATCH(ROWS($F$2:F16),$F$2:$F$1001,0),1)&gt;=100000,INDEX($M$1005,1,MATCH(COLUMNS($M$1006:M1006),$M$1006,0))&gt;=100000), " ",IF(INDEX($M$2:$M$1001,MATCH(ROWS($F$2:F16),$F$2:$F$1001,0),MATCH(COLUMNS($M$1006:M1006),$M$1006,0)), HYPERLINK("#",""), HYPERLINK(CONCATENATE("#Metadata!", ADDRESS(INDEX($H$2:$H$1001,MATCH(ROWS($F$2:F16),$F$2:$F$1001,0),0), INDEX($M$1004,1,MATCH(COLUMNS($M$1006:M1006),$M$1006,0)))),"Fix")))</f>
        <v>0</v>
      </c>
      <c r="F16">
        <v>0</v>
      </c>
      <c r="G16">
        <v>0</v>
      </c>
      <c r="H16">
        <v>0</v>
      </c>
      <c r="I16">
        <f>IF(J16,TRUE,AND(M16))</f>
        <v>0</v>
      </c>
      <c r="J16">
        <f>COUNTBLANK(Metadata!B16)=COLUMNS(Metadata!B16)</f>
        <v>0</v>
      </c>
      <c r="K16">
        <v>0</v>
      </c>
      <c r="M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</row>
    <row r="17" spans="1:13">
      <c r="A17" s="3">
        <f>IF(B17=" "," ",HYPERLINK(CONCATENATE("#metadata!",ADDRESS(INDEX($H$2:$H$1001,MATCH(ROWS($F$2:F17),$F$2:$F$1001,0),0),2)),INDEX($K$2:$K$1001,MATCH(ROWS($F$2:F17),$F$2:$F$1001,0),0)))</f>
        <v>0</v>
      </c>
      <c r="B17" s="4">
        <f>IF(OR(INDEX($G$2:$G$1001,MATCH(ROWS($F$2:F17),$F$2:$F$1001,0),1)&gt;=100000,INDEX($M$1005,1,MATCH(COLUMNS($M$1006:M1006),$M$1006,0))&gt;=100000), " ",IF(INDEX($M$2:$M$1001,MATCH(ROWS($F$2:F17),$F$2:$F$1001,0),MATCH(COLUMNS($M$1006:M1006),$M$1006,0)), HYPERLINK("#",""), HYPERLINK(CONCATENATE("#Metadata!", ADDRESS(INDEX($H$2:$H$1001,MATCH(ROWS($F$2:F17),$F$2:$F$1001,0),0), INDEX($M$1004,1,MATCH(COLUMNS($M$1006:M1006),$M$1006,0)))),"Fix")))</f>
        <v>0</v>
      </c>
      <c r="F17">
        <v>0</v>
      </c>
      <c r="G17">
        <v>0</v>
      </c>
      <c r="H17">
        <v>0</v>
      </c>
      <c r="I17">
        <f>IF(J17,TRUE,AND(M17))</f>
        <v>0</v>
      </c>
      <c r="J17">
        <f>COUNTBLANK(Metadata!B17)=COLUMNS(Metadata!B17)</f>
        <v>0</v>
      </c>
      <c r="K17">
        <v>0</v>
      </c>
      <c r="M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</row>
    <row r="18" spans="1:13">
      <c r="A18" s="3">
        <f>IF(B18=" "," ",HYPERLINK(CONCATENATE("#metadata!",ADDRESS(INDEX($H$2:$H$1001,MATCH(ROWS($F$2:F18),$F$2:$F$1001,0),0),2)),INDEX($K$2:$K$1001,MATCH(ROWS($F$2:F18),$F$2:$F$1001,0),0)))</f>
        <v>0</v>
      </c>
      <c r="B18" s="4">
        <f>IF(OR(INDEX($G$2:$G$1001,MATCH(ROWS($F$2:F18),$F$2:$F$1001,0),1)&gt;=100000,INDEX($M$1005,1,MATCH(COLUMNS($M$1006:M1006),$M$1006,0))&gt;=100000), " ",IF(INDEX($M$2:$M$1001,MATCH(ROWS($F$2:F18),$F$2:$F$1001,0),MATCH(COLUMNS($M$1006:M1006),$M$1006,0)), HYPERLINK("#",""), HYPERLINK(CONCATENATE("#Metadata!", ADDRESS(INDEX($H$2:$H$1001,MATCH(ROWS($F$2:F18),$F$2:$F$1001,0),0), INDEX($M$1004,1,MATCH(COLUMNS($M$1006:M1006),$M$1006,0)))),"Fix")))</f>
        <v>0</v>
      </c>
      <c r="F18">
        <v>0</v>
      </c>
      <c r="G18">
        <v>0</v>
      </c>
      <c r="H18">
        <v>0</v>
      </c>
      <c r="I18">
        <f>IF(J18,TRUE,AND(M18))</f>
        <v>0</v>
      </c>
      <c r="J18">
        <f>COUNTBLANK(Metadata!B18)=COLUMNS(Metadata!B18)</f>
        <v>0</v>
      </c>
      <c r="K18">
        <v>0</v>
      </c>
      <c r="M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</row>
    <row r="19" spans="1:13">
      <c r="A19" s="3">
        <f>IF(B19=" "," ",HYPERLINK(CONCATENATE("#metadata!",ADDRESS(INDEX($H$2:$H$1001,MATCH(ROWS($F$2:F19),$F$2:$F$1001,0),0),2)),INDEX($K$2:$K$1001,MATCH(ROWS($F$2:F19),$F$2:$F$1001,0),0)))</f>
        <v>0</v>
      </c>
      <c r="B19" s="4">
        <f>IF(OR(INDEX($G$2:$G$1001,MATCH(ROWS($F$2:F19),$F$2:$F$1001,0),1)&gt;=100000,INDEX($M$1005,1,MATCH(COLUMNS($M$1006:M1006),$M$1006,0))&gt;=100000), " ",IF(INDEX($M$2:$M$1001,MATCH(ROWS($F$2:F19),$F$2:$F$1001,0),MATCH(COLUMNS($M$1006:M1006),$M$1006,0)), HYPERLINK("#",""), HYPERLINK(CONCATENATE("#Metadata!", ADDRESS(INDEX($H$2:$H$1001,MATCH(ROWS($F$2:F19),$F$2:$F$1001,0),0), INDEX($M$1004,1,MATCH(COLUMNS($M$1006:M1006),$M$1006,0)))),"Fix")))</f>
        <v>0</v>
      </c>
      <c r="F19">
        <v>0</v>
      </c>
      <c r="G19">
        <v>0</v>
      </c>
      <c r="H19">
        <v>0</v>
      </c>
      <c r="I19">
        <f>IF(J19,TRUE,AND(M19))</f>
        <v>0</v>
      </c>
      <c r="J19">
        <f>COUNTBLANK(Metadata!B19)=COLUMNS(Metadata!B19)</f>
        <v>0</v>
      </c>
      <c r="K19">
        <v>0</v>
      </c>
      <c r="M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</row>
    <row r="20" spans="1:13">
      <c r="A20" s="3">
        <f>IF(B20=" "," ",HYPERLINK(CONCATENATE("#metadata!",ADDRESS(INDEX($H$2:$H$1001,MATCH(ROWS($F$2:F20),$F$2:$F$1001,0),0),2)),INDEX($K$2:$K$1001,MATCH(ROWS($F$2:F20),$F$2:$F$1001,0),0)))</f>
        <v>0</v>
      </c>
      <c r="B20" s="4">
        <f>IF(OR(INDEX($G$2:$G$1001,MATCH(ROWS($F$2:F20),$F$2:$F$1001,0),1)&gt;=100000,INDEX($M$1005,1,MATCH(COLUMNS($M$1006:M1006),$M$1006,0))&gt;=100000), " ",IF(INDEX($M$2:$M$1001,MATCH(ROWS($F$2:F20),$F$2:$F$1001,0),MATCH(COLUMNS($M$1006:M1006),$M$1006,0)), HYPERLINK("#",""), HYPERLINK(CONCATENATE("#Metadata!", ADDRESS(INDEX($H$2:$H$1001,MATCH(ROWS($F$2:F20),$F$2:$F$1001,0),0), INDEX($M$1004,1,MATCH(COLUMNS($M$1006:M1006),$M$1006,0)))),"Fix")))</f>
        <v>0</v>
      </c>
      <c r="F20">
        <v>0</v>
      </c>
      <c r="G20">
        <v>0</v>
      </c>
      <c r="H20">
        <v>0</v>
      </c>
      <c r="I20">
        <f>IF(J20,TRUE,AND(M20))</f>
        <v>0</v>
      </c>
      <c r="J20">
        <f>COUNTBLANK(Metadata!B20)=COLUMNS(Metadata!B20)</f>
        <v>0</v>
      </c>
      <c r="K20">
        <v>0</v>
      </c>
      <c r="M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</row>
    <row r="21" spans="1:13">
      <c r="A21" s="3">
        <f>IF(B21=" "," ",HYPERLINK(CONCATENATE("#metadata!",ADDRESS(INDEX($H$2:$H$1001,MATCH(ROWS($F$2:F21),$F$2:$F$1001,0),0),2)),INDEX($K$2:$K$1001,MATCH(ROWS($F$2:F21),$F$2:$F$1001,0),0)))</f>
        <v>0</v>
      </c>
      <c r="B21" s="4">
        <f>IF(OR(INDEX($G$2:$G$1001,MATCH(ROWS($F$2:F21),$F$2:$F$1001,0),1)&gt;=100000,INDEX($M$1005,1,MATCH(COLUMNS($M$1006:M1006),$M$1006,0))&gt;=100000), " ",IF(INDEX($M$2:$M$1001,MATCH(ROWS($F$2:F21),$F$2:$F$1001,0),MATCH(COLUMNS($M$1006:M1006),$M$1006,0)), HYPERLINK("#",""), HYPERLINK(CONCATENATE("#Metadata!", ADDRESS(INDEX($H$2:$H$1001,MATCH(ROWS($F$2:F21),$F$2:$F$1001,0),0), INDEX($M$1004,1,MATCH(COLUMNS($M$1006:M1006),$M$1006,0)))),"Fix")))</f>
        <v>0</v>
      </c>
      <c r="F21">
        <v>0</v>
      </c>
      <c r="G21">
        <v>0</v>
      </c>
      <c r="H21">
        <v>0</v>
      </c>
      <c r="I21">
        <f>IF(J21,TRUE,AND(M21))</f>
        <v>0</v>
      </c>
      <c r="J21">
        <f>COUNTBLANK(Metadata!B21)=COLUMNS(Metadata!B21)</f>
        <v>0</v>
      </c>
      <c r="K21">
        <v>0</v>
      </c>
      <c r="M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</row>
    <row r="22" spans="1:13">
      <c r="A22" s="3">
        <f>IF(B22=" "," ",HYPERLINK(CONCATENATE("#metadata!",ADDRESS(INDEX($H$2:$H$1001,MATCH(ROWS($F$2:F22),$F$2:$F$1001,0),0),2)),INDEX($K$2:$K$1001,MATCH(ROWS($F$2:F22),$F$2:$F$1001,0),0)))</f>
        <v>0</v>
      </c>
      <c r="B22" s="4">
        <f>IF(OR(INDEX($G$2:$G$1001,MATCH(ROWS($F$2:F22),$F$2:$F$1001,0),1)&gt;=100000,INDEX($M$1005,1,MATCH(COLUMNS($M$1006:M1006),$M$1006,0))&gt;=100000), " ",IF(INDEX($M$2:$M$1001,MATCH(ROWS($F$2:F22),$F$2:$F$1001,0),MATCH(COLUMNS($M$1006:M1006),$M$1006,0)), HYPERLINK("#",""), HYPERLINK(CONCATENATE("#Metadata!", ADDRESS(INDEX($H$2:$H$1001,MATCH(ROWS($F$2:F22),$F$2:$F$1001,0),0), INDEX($M$1004,1,MATCH(COLUMNS($M$1006:M1006),$M$1006,0)))),"Fix")))</f>
        <v>0</v>
      </c>
      <c r="F22">
        <v>0</v>
      </c>
      <c r="G22">
        <v>0</v>
      </c>
      <c r="H22">
        <v>0</v>
      </c>
      <c r="I22">
        <f>IF(J22,TRUE,AND(M22))</f>
        <v>0</v>
      </c>
      <c r="J22">
        <f>COUNTBLANK(Metadata!B22)=COLUMNS(Metadata!B22)</f>
        <v>0</v>
      </c>
      <c r="K22">
        <v>0</v>
      </c>
      <c r="M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</row>
    <row r="23" spans="1:13">
      <c r="A23" s="3">
        <f>IF(B23=" "," ",HYPERLINK(CONCATENATE("#metadata!",ADDRESS(INDEX($H$2:$H$1001,MATCH(ROWS($F$2:F23),$F$2:$F$1001,0),0),2)),INDEX($K$2:$K$1001,MATCH(ROWS($F$2:F23),$F$2:$F$1001,0),0)))</f>
        <v>0</v>
      </c>
      <c r="B23" s="4">
        <f>IF(OR(INDEX($G$2:$G$1001,MATCH(ROWS($F$2:F23),$F$2:$F$1001,0),1)&gt;=100000,INDEX($M$1005,1,MATCH(COLUMNS($M$1006:M1006),$M$1006,0))&gt;=100000), " ",IF(INDEX($M$2:$M$1001,MATCH(ROWS($F$2:F23),$F$2:$F$1001,0),MATCH(COLUMNS($M$1006:M1006),$M$1006,0)), HYPERLINK("#",""), HYPERLINK(CONCATENATE("#Metadata!", ADDRESS(INDEX($H$2:$H$1001,MATCH(ROWS($F$2:F23),$F$2:$F$1001,0),0), INDEX($M$1004,1,MATCH(COLUMNS($M$1006:M1006),$M$1006,0)))),"Fix")))</f>
        <v>0</v>
      </c>
      <c r="F23">
        <v>0</v>
      </c>
      <c r="G23">
        <v>0</v>
      </c>
      <c r="H23">
        <v>0</v>
      </c>
      <c r="I23">
        <f>IF(J23,TRUE,AND(M23))</f>
        <v>0</v>
      </c>
      <c r="J23">
        <f>COUNTBLANK(Metadata!B23)=COLUMNS(Metadata!B23)</f>
        <v>0</v>
      </c>
      <c r="K23">
        <v>0</v>
      </c>
      <c r="M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</row>
    <row r="24" spans="1:13">
      <c r="A24" s="3">
        <f>IF(B24=" "," ",HYPERLINK(CONCATENATE("#metadata!",ADDRESS(INDEX($H$2:$H$1001,MATCH(ROWS($F$2:F24),$F$2:$F$1001,0),0),2)),INDEX($K$2:$K$1001,MATCH(ROWS($F$2:F24),$F$2:$F$1001,0),0)))</f>
        <v>0</v>
      </c>
      <c r="B24" s="4">
        <f>IF(OR(INDEX($G$2:$G$1001,MATCH(ROWS($F$2:F24),$F$2:$F$1001,0),1)&gt;=100000,INDEX($M$1005,1,MATCH(COLUMNS($M$1006:M1006),$M$1006,0))&gt;=100000), " ",IF(INDEX($M$2:$M$1001,MATCH(ROWS($F$2:F24),$F$2:$F$1001,0),MATCH(COLUMNS($M$1006:M1006),$M$1006,0)), HYPERLINK("#",""), HYPERLINK(CONCATENATE("#Metadata!", ADDRESS(INDEX($H$2:$H$1001,MATCH(ROWS($F$2:F24),$F$2:$F$1001,0),0), INDEX($M$1004,1,MATCH(COLUMNS($M$1006:M1006),$M$1006,0)))),"Fix")))</f>
        <v>0</v>
      </c>
      <c r="F24">
        <v>0</v>
      </c>
      <c r="G24">
        <v>0</v>
      </c>
      <c r="H24">
        <v>0</v>
      </c>
      <c r="I24">
        <f>IF(J24,TRUE,AND(M24))</f>
        <v>0</v>
      </c>
      <c r="J24">
        <f>COUNTBLANK(Metadata!B24)=COLUMNS(Metadata!B24)</f>
        <v>0</v>
      </c>
      <c r="K24">
        <v>0</v>
      </c>
      <c r="M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</row>
    <row r="25" spans="1:13">
      <c r="A25" s="3">
        <f>IF(B25=" "," ",HYPERLINK(CONCATENATE("#metadata!",ADDRESS(INDEX($H$2:$H$1001,MATCH(ROWS($F$2:F25),$F$2:$F$1001,0),0),2)),INDEX($K$2:$K$1001,MATCH(ROWS($F$2:F25),$F$2:$F$1001,0),0)))</f>
        <v>0</v>
      </c>
      <c r="B25" s="4">
        <f>IF(OR(INDEX($G$2:$G$1001,MATCH(ROWS($F$2:F25),$F$2:$F$1001,0),1)&gt;=100000,INDEX($M$1005,1,MATCH(COLUMNS($M$1006:M1006),$M$1006,0))&gt;=100000), " ",IF(INDEX($M$2:$M$1001,MATCH(ROWS($F$2:F25),$F$2:$F$1001,0),MATCH(COLUMNS($M$1006:M1006),$M$1006,0)), HYPERLINK("#",""), HYPERLINK(CONCATENATE("#Metadata!", ADDRESS(INDEX($H$2:$H$1001,MATCH(ROWS($F$2:F25),$F$2:$F$1001,0),0), INDEX($M$1004,1,MATCH(COLUMNS($M$1006:M1006),$M$1006,0)))),"Fix")))</f>
        <v>0</v>
      </c>
      <c r="F25">
        <v>0</v>
      </c>
      <c r="G25">
        <v>0</v>
      </c>
      <c r="H25">
        <v>0</v>
      </c>
      <c r="I25">
        <f>IF(J25,TRUE,AND(M25))</f>
        <v>0</v>
      </c>
      <c r="J25">
        <f>COUNTBLANK(Metadata!B25)=COLUMNS(Metadata!B25)</f>
        <v>0</v>
      </c>
      <c r="K25">
        <v>0</v>
      </c>
      <c r="M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</row>
    <row r="26" spans="1:13">
      <c r="A26" s="3">
        <f>IF(B26=" "," ",HYPERLINK(CONCATENATE("#metadata!",ADDRESS(INDEX($H$2:$H$1001,MATCH(ROWS($F$2:F26),$F$2:$F$1001,0),0),2)),INDEX($K$2:$K$1001,MATCH(ROWS($F$2:F26),$F$2:$F$1001,0),0)))</f>
        <v>0</v>
      </c>
      <c r="B26" s="4">
        <f>IF(OR(INDEX($G$2:$G$1001,MATCH(ROWS($F$2:F26),$F$2:$F$1001,0),1)&gt;=100000,INDEX($M$1005,1,MATCH(COLUMNS($M$1006:M1006),$M$1006,0))&gt;=100000), " ",IF(INDEX($M$2:$M$1001,MATCH(ROWS($F$2:F26),$F$2:$F$1001,0),MATCH(COLUMNS($M$1006:M1006),$M$1006,0)), HYPERLINK("#",""), HYPERLINK(CONCATENATE("#Metadata!", ADDRESS(INDEX($H$2:$H$1001,MATCH(ROWS($F$2:F26),$F$2:$F$1001,0),0), INDEX($M$1004,1,MATCH(COLUMNS($M$1006:M1006),$M$1006,0)))),"Fix")))</f>
        <v>0</v>
      </c>
      <c r="F26">
        <v>0</v>
      </c>
      <c r="G26">
        <v>0</v>
      </c>
      <c r="H26">
        <v>0</v>
      </c>
      <c r="I26">
        <f>IF(J26,TRUE,AND(M26))</f>
        <v>0</v>
      </c>
      <c r="J26">
        <f>COUNTBLANK(Metadata!B26)=COLUMNS(Metadata!B26)</f>
        <v>0</v>
      </c>
      <c r="K26">
        <v>0</v>
      </c>
      <c r="M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</row>
    <row r="27" spans="1:13">
      <c r="A27" s="3">
        <f>IF(B27=" "," ",HYPERLINK(CONCATENATE("#metadata!",ADDRESS(INDEX($H$2:$H$1001,MATCH(ROWS($F$2:F27),$F$2:$F$1001,0),0),2)),INDEX($K$2:$K$1001,MATCH(ROWS($F$2:F27),$F$2:$F$1001,0),0)))</f>
        <v>0</v>
      </c>
      <c r="B27" s="4">
        <f>IF(OR(INDEX($G$2:$G$1001,MATCH(ROWS($F$2:F27),$F$2:$F$1001,0),1)&gt;=100000,INDEX($M$1005,1,MATCH(COLUMNS($M$1006:M1006),$M$1006,0))&gt;=100000), " ",IF(INDEX($M$2:$M$1001,MATCH(ROWS($F$2:F27),$F$2:$F$1001,0),MATCH(COLUMNS($M$1006:M1006),$M$1006,0)), HYPERLINK("#",""), HYPERLINK(CONCATENATE("#Metadata!", ADDRESS(INDEX($H$2:$H$1001,MATCH(ROWS($F$2:F27),$F$2:$F$1001,0),0), INDEX($M$1004,1,MATCH(COLUMNS($M$1006:M1006),$M$1006,0)))),"Fix")))</f>
        <v>0</v>
      </c>
      <c r="F27">
        <v>0</v>
      </c>
      <c r="G27">
        <v>0</v>
      </c>
      <c r="H27">
        <v>0</v>
      </c>
      <c r="I27">
        <f>IF(J27,TRUE,AND(M27))</f>
        <v>0</v>
      </c>
      <c r="J27">
        <f>COUNTBLANK(Metadata!B27)=COLUMNS(Metadata!B27)</f>
        <v>0</v>
      </c>
      <c r="K27">
        <v>0</v>
      </c>
      <c r="M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</row>
    <row r="28" spans="1:13">
      <c r="A28" s="3">
        <f>IF(B28=" "," ",HYPERLINK(CONCATENATE("#metadata!",ADDRESS(INDEX($H$2:$H$1001,MATCH(ROWS($F$2:F28),$F$2:$F$1001,0),0),2)),INDEX($K$2:$K$1001,MATCH(ROWS($F$2:F28),$F$2:$F$1001,0),0)))</f>
        <v>0</v>
      </c>
      <c r="B28" s="4">
        <f>IF(OR(INDEX($G$2:$G$1001,MATCH(ROWS($F$2:F28),$F$2:$F$1001,0),1)&gt;=100000,INDEX($M$1005,1,MATCH(COLUMNS($M$1006:M1006),$M$1006,0))&gt;=100000), " ",IF(INDEX($M$2:$M$1001,MATCH(ROWS($F$2:F28),$F$2:$F$1001,0),MATCH(COLUMNS($M$1006:M1006),$M$1006,0)), HYPERLINK("#",""), HYPERLINK(CONCATENATE("#Metadata!", ADDRESS(INDEX($H$2:$H$1001,MATCH(ROWS($F$2:F28),$F$2:$F$1001,0),0), INDEX($M$1004,1,MATCH(COLUMNS($M$1006:M1006),$M$1006,0)))),"Fix")))</f>
        <v>0</v>
      </c>
      <c r="F28">
        <v>0</v>
      </c>
      <c r="G28">
        <v>0</v>
      </c>
      <c r="H28">
        <v>0</v>
      </c>
      <c r="I28">
        <f>IF(J28,TRUE,AND(M28))</f>
        <v>0</v>
      </c>
      <c r="J28">
        <f>COUNTBLANK(Metadata!B28)=COLUMNS(Metadata!B28)</f>
        <v>0</v>
      </c>
      <c r="K28">
        <v>0</v>
      </c>
      <c r="M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</row>
    <row r="29" spans="1:13">
      <c r="A29" s="3">
        <f>IF(B29=" "," ",HYPERLINK(CONCATENATE("#metadata!",ADDRESS(INDEX($H$2:$H$1001,MATCH(ROWS($F$2:F29),$F$2:$F$1001,0),0),2)),INDEX($K$2:$K$1001,MATCH(ROWS($F$2:F29),$F$2:$F$1001,0),0)))</f>
        <v>0</v>
      </c>
      <c r="B29" s="4">
        <f>IF(OR(INDEX($G$2:$G$1001,MATCH(ROWS($F$2:F29),$F$2:$F$1001,0),1)&gt;=100000,INDEX($M$1005,1,MATCH(COLUMNS($M$1006:M1006),$M$1006,0))&gt;=100000), " ",IF(INDEX($M$2:$M$1001,MATCH(ROWS($F$2:F29),$F$2:$F$1001,0),MATCH(COLUMNS($M$1006:M1006),$M$1006,0)), HYPERLINK("#",""), HYPERLINK(CONCATENATE("#Metadata!", ADDRESS(INDEX($H$2:$H$1001,MATCH(ROWS($F$2:F29),$F$2:$F$1001,0),0), INDEX($M$1004,1,MATCH(COLUMNS($M$1006:M1006),$M$1006,0)))),"Fix")))</f>
        <v>0</v>
      </c>
      <c r="F29">
        <v>0</v>
      </c>
      <c r="G29">
        <v>0</v>
      </c>
      <c r="H29">
        <v>0</v>
      </c>
      <c r="I29">
        <f>IF(J29,TRUE,AND(M29))</f>
        <v>0</v>
      </c>
      <c r="J29">
        <f>COUNTBLANK(Metadata!B29)=COLUMNS(Metadata!B29)</f>
        <v>0</v>
      </c>
      <c r="K29">
        <v>0</v>
      </c>
      <c r="M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</row>
    <row r="30" spans="1:13">
      <c r="A30" s="3">
        <f>IF(B30=" "," ",HYPERLINK(CONCATENATE("#metadata!",ADDRESS(INDEX($H$2:$H$1001,MATCH(ROWS($F$2:F30),$F$2:$F$1001,0),0),2)),INDEX($K$2:$K$1001,MATCH(ROWS($F$2:F30),$F$2:$F$1001,0),0)))</f>
        <v>0</v>
      </c>
      <c r="B30" s="4">
        <f>IF(OR(INDEX($G$2:$G$1001,MATCH(ROWS($F$2:F30),$F$2:$F$1001,0),1)&gt;=100000,INDEX($M$1005,1,MATCH(COLUMNS($M$1006:M1006),$M$1006,0))&gt;=100000), " ",IF(INDEX($M$2:$M$1001,MATCH(ROWS($F$2:F30),$F$2:$F$1001,0),MATCH(COLUMNS($M$1006:M1006),$M$1006,0)), HYPERLINK("#",""), HYPERLINK(CONCATENATE("#Metadata!", ADDRESS(INDEX($H$2:$H$1001,MATCH(ROWS($F$2:F30),$F$2:$F$1001,0),0), INDEX($M$1004,1,MATCH(COLUMNS($M$1006:M1006),$M$1006,0)))),"Fix")))</f>
        <v>0</v>
      </c>
      <c r="F30">
        <v>0</v>
      </c>
      <c r="G30">
        <v>0</v>
      </c>
      <c r="H30">
        <v>0</v>
      </c>
      <c r="I30">
        <f>IF(J30,TRUE,AND(M30))</f>
        <v>0</v>
      </c>
      <c r="J30">
        <f>COUNTBLANK(Metadata!B30)=COLUMNS(Metadata!B30)</f>
        <v>0</v>
      </c>
      <c r="K30">
        <v>0</v>
      </c>
      <c r="M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</row>
    <row r="31" spans="1:13">
      <c r="A31" s="3">
        <f>IF(B31=" "," ",HYPERLINK(CONCATENATE("#metadata!",ADDRESS(INDEX($H$2:$H$1001,MATCH(ROWS($F$2:F31),$F$2:$F$1001,0),0),2)),INDEX($K$2:$K$1001,MATCH(ROWS($F$2:F31),$F$2:$F$1001,0),0)))</f>
        <v>0</v>
      </c>
      <c r="B31" s="4">
        <f>IF(OR(INDEX($G$2:$G$1001,MATCH(ROWS($F$2:F31),$F$2:$F$1001,0),1)&gt;=100000,INDEX($M$1005,1,MATCH(COLUMNS($M$1006:M1006),$M$1006,0))&gt;=100000), " ",IF(INDEX($M$2:$M$1001,MATCH(ROWS($F$2:F31),$F$2:$F$1001,0),MATCH(COLUMNS($M$1006:M1006),$M$1006,0)), HYPERLINK("#",""), HYPERLINK(CONCATENATE("#Metadata!", ADDRESS(INDEX($H$2:$H$1001,MATCH(ROWS($F$2:F31),$F$2:$F$1001,0),0), INDEX($M$1004,1,MATCH(COLUMNS($M$1006:M1006),$M$1006,0)))),"Fix")))</f>
        <v>0</v>
      </c>
      <c r="F31">
        <v>0</v>
      </c>
      <c r="G31">
        <v>0</v>
      </c>
      <c r="H31">
        <v>0</v>
      </c>
      <c r="I31">
        <f>IF(J31,TRUE,AND(M31))</f>
        <v>0</v>
      </c>
      <c r="J31">
        <f>COUNTBLANK(Metadata!B31)=COLUMNS(Metadata!B31)</f>
        <v>0</v>
      </c>
      <c r="K31">
        <v>0</v>
      </c>
      <c r="M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</row>
    <row r="32" spans="1:13">
      <c r="A32" s="3">
        <f>IF(B32=" "," ",HYPERLINK(CONCATENATE("#metadata!",ADDRESS(INDEX($H$2:$H$1001,MATCH(ROWS($F$2:F32),$F$2:$F$1001,0),0),2)),INDEX($K$2:$K$1001,MATCH(ROWS($F$2:F32),$F$2:$F$1001,0),0)))</f>
        <v>0</v>
      </c>
      <c r="B32" s="4">
        <f>IF(OR(INDEX($G$2:$G$1001,MATCH(ROWS($F$2:F32),$F$2:$F$1001,0),1)&gt;=100000,INDEX($M$1005,1,MATCH(COLUMNS($M$1006:M1006),$M$1006,0))&gt;=100000), " ",IF(INDEX($M$2:$M$1001,MATCH(ROWS($F$2:F32),$F$2:$F$1001,0),MATCH(COLUMNS($M$1006:M1006),$M$1006,0)), HYPERLINK("#",""), HYPERLINK(CONCATENATE("#Metadata!", ADDRESS(INDEX($H$2:$H$1001,MATCH(ROWS($F$2:F32),$F$2:$F$1001,0),0), INDEX($M$1004,1,MATCH(COLUMNS($M$1006:M1006),$M$1006,0)))),"Fix")))</f>
        <v>0</v>
      </c>
      <c r="F32">
        <v>0</v>
      </c>
      <c r="G32">
        <v>0</v>
      </c>
      <c r="H32">
        <v>0</v>
      </c>
      <c r="I32">
        <f>IF(J32,TRUE,AND(M32))</f>
        <v>0</v>
      </c>
      <c r="J32">
        <f>COUNTBLANK(Metadata!B32)=COLUMNS(Metadata!B32)</f>
        <v>0</v>
      </c>
      <c r="K32">
        <v>0</v>
      </c>
      <c r="M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</row>
    <row r="33" spans="1:13">
      <c r="A33" s="3">
        <f>IF(B33=" "," ",HYPERLINK(CONCATENATE("#metadata!",ADDRESS(INDEX($H$2:$H$1001,MATCH(ROWS($F$2:F33),$F$2:$F$1001,0),0),2)),INDEX($K$2:$K$1001,MATCH(ROWS($F$2:F33),$F$2:$F$1001,0),0)))</f>
        <v>0</v>
      </c>
      <c r="B33" s="4">
        <f>IF(OR(INDEX($G$2:$G$1001,MATCH(ROWS($F$2:F33),$F$2:$F$1001,0),1)&gt;=100000,INDEX($M$1005,1,MATCH(COLUMNS($M$1006:M1006),$M$1006,0))&gt;=100000), " ",IF(INDEX($M$2:$M$1001,MATCH(ROWS($F$2:F33),$F$2:$F$1001,0),MATCH(COLUMNS($M$1006:M1006),$M$1006,0)), HYPERLINK("#",""), HYPERLINK(CONCATENATE("#Metadata!", ADDRESS(INDEX($H$2:$H$1001,MATCH(ROWS($F$2:F33),$F$2:$F$1001,0),0), INDEX($M$1004,1,MATCH(COLUMNS($M$1006:M1006),$M$1006,0)))),"Fix")))</f>
        <v>0</v>
      </c>
      <c r="F33">
        <v>0</v>
      </c>
      <c r="G33">
        <v>0</v>
      </c>
      <c r="H33">
        <v>0</v>
      </c>
      <c r="I33">
        <f>IF(J33,TRUE,AND(M33))</f>
        <v>0</v>
      </c>
      <c r="J33">
        <f>COUNTBLANK(Metadata!B33)=COLUMNS(Metadata!B33)</f>
        <v>0</v>
      </c>
      <c r="K33">
        <v>0</v>
      </c>
      <c r="M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</row>
    <row r="34" spans="1:13">
      <c r="A34" s="3">
        <f>IF(B34=" "," ",HYPERLINK(CONCATENATE("#metadata!",ADDRESS(INDEX($H$2:$H$1001,MATCH(ROWS($F$2:F34),$F$2:$F$1001,0),0),2)),INDEX($K$2:$K$1001,MATCH(ROWS($F$2:F34),$F$2:$F$1001,0),0)))</f>
        <v>0</v>
      </c>
      <c r="B34" s="4">
        <f>IF(OR(INDEX($G$2:$G$1001,MATCH(ROWS($F$2:F34),$F$2:$F$1001,0),1)&gt;=100000,INDEX($M$1005,1,MATCH(COLUMNS($M$1006:M1006),$M$1006,0))&gt;=100000), " ",IF(INDEX($M$2:$M$1001,MATCH(ROWS($F$2:F34),$F$2:$F$1001,0),MATCH(COLUMNS($M$1006:M1006),$M$1006,0)), HYPERLINK("#",""), HYPERLINK(CONCATENATE("#Metadata!", ADDRESS(INDEX($H$2:$H$1001,MATCH(ROWS($F$2:F34),$F$2:$F$1001,0),0), INDEX($M$1004,1,MATCH(COLUMNS($M$1006:M1006),$M$1006,0)))),"Fix")))</f>
        <v>0</v>
      </c>
      <c r="F34">
        <v>0</v>
      </c>
      <c r="G34">
        <v>0</v>
      </c>
      <c r="H34">
        <v>0</v>
      </c>
      <c r="I34">
        <f>IF(J34,TRUE,AND(M34))</f>
        <v>0</v>
      </c>
      <c r="J34">
        <f>COUNTBLANK(Metadata!B34)=COLUMNS(Metadata!B34)</f>
        <v>0</v>
      </c>
      <c r="K34">
        <v>0</v>
      </c>
      <c r="M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</row>
    <row r="35" spans="1:13">
      <c r="A35" s="3">
        <f>IF(B35=" "," ",HYPERLINK(CONCATENATE("#metadata!",ADDRESS(INDEX($H$2:$H$1001,MATCH(ROWS($F$2:F35),$F$2:$F$1001,0),0),2)),INDEX($K$2:$K$1001,MATCH(ROWS($F$2:F35),$F$2:$F$1001,0),0)))</f>
        <v>0</v>
      </c>
      <c r="B35" s="4">
        <f>IF(OR(INDEX($G$2:$G$1001,MATCH(ROWS($F$2:F35),$F$2:$F$1001,0),1)&gt;=100000,INDEX($M$1005,1,MATCH(COLUMNS($M$1006:M1006),$M$1006,0))&gt;=100000), " ",IF(INDEX($M$2:$M$1001,MATCH(ROWS($F$2:F35),$F$2:$F$1001,0),MATCH(COLUMNS($M$1006:M1006),$M$1006,0)), HYPERLINK("#",""), HYPERLINK(CONCATENATE("#Metadata!", ADDRESS(INDEX($H$2:$H$1001,MATCH(ROWS($F$2:F35),$F$2:$F$1001,0),0), INDEX($M$1004,1,MATCH(COLUMNS($M$1006:M1006),$M$1006,0)))),"Fix")))</f>
        <v>0</v>
      </c>
      <c r="F35">
        <v>0</v>
      </c>
      <c r="G35">
        <v>0</v>
      </c>
      <c r="H35">
        <v>0</v>
      </c>
      <c r="I35">
        <f>IF(J35,TRUE,AND(M35))</f>
        <v>0</v>
      </c>
      <c r="J35">
        <f>COUNTBLANK(Metadata!B35)=COLUMNS(Metadata!B35)</f>
        <v>0</v>
      </c>
      <c r="K35">
        <v>0</v>
      </c>
      <c r="M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</row>
    <row r="36" spans="1:13">
      <c r="A36" s="3">
        <f>IF(B36=" "," ",HYPERLINK(CONCATENATE("#metadata!",ADDRESS(INDEX($H$2:$H$1001,MATCH(ROWS($F$2:F36),$F$2:$F$1001,0),0),2)),INDEX($K$2:$K$1001,MATCH(ROWS($F$2:F36),$F$2:$F$1001,0),0)))</f>
        <v>0</v>
      </c>
      <c r="B36" s="4">
        <f>IF(OR(INDEX($G$2:$G$1001,MATCH(ROWS($F$2:F36),$F$2:$F$1001,0),1)&gt;=100000,INDEX($M$1005,1,MATCH(COLUMNS($M$1006:M1006),$M$1006,0))&gt;=100000), " ",IF(INDEX($M$2:$M$1001,MATCH(ROWS($F$2:F36),$F$2:$F$1001,0),MATCH(COLUMNS($M$1006:M1006),$M$1006,0)), HYPERLINK("#",""), HYPERLINK(CONCATENATE("#Metadata!", ADDRESS(INDEX($H$2:$H$1001,MATCH(ROWS($F$2:F36),$F$2:$F$1001,0),0), INDEX($M$1004,1,MATCH(COLUMNS($M$1006:M1006),$M$1006,0)))),"Fix")))</f>
        <v>0</v>
      </c>
      <c r="F36">
        <v>0</v>
      </c>
      <c r="G36">
        <v>0</v>
      </c>
      <c r="H36">
        <v>0</v>
      </c>
      <c r="I36">
        <f>IF(J36,TRUE,AND(M36))</f>
        <v>0</v>
      </c>
      <c r="J36">
        <f>COUNTBLANK(Metadata!B36)=COLUMNS(Metadata!B36)</f>
        <v>0</v>
      </c>
      <c r="K36">
        <v>0</v>
      </c>
      <c r="M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</row>
    <row r="37" spans="1:13">
      <c r="A37" s="3">
        <f>IF(B37=" "," ",HYPERLINK(CONCATENATE("#metadata!",ADDRESS(INDEX($H$2:$H$1001,MATCH(ROWS($F$2:F37),$F$2:$F$1001,0),0),2)),INDEX($K$2:$K$1001,MATCH(ROWS($F$2:F37),$F$2:$F$1001,0),0)))</f>
        <v>0</v>
      </c>
      <c r="B37" s="4">
        <f>IF(OR(INDEX($G$2:$G$1001,MATCH(ROWS($F$2:F37),$F$2:$F$1001,0),1)&gt;=100000,INDEX($M$1005,1,MATCH(COLUMNS($M$1006:M1006),$M$1006,0))&gt;=100000), " ",IF(INDEX($M$2:$M$1001,MATCH(ROWS($F$2:F37),$F$2:$F$1001,0),MATCH(COLUMNS($M$1006:M1006),$M$1006,0)), HYPERLINK("#",""), HYPERLINK(CONCATENATE("#Metadata!", ADDRESS(INDEX($H$2:$H$1001,MATCH(ROWS($F$2:F37),$F$2:$F$1001,0),0), INDEX($M$1004,1,MATCH(COLUMNS($M$1006:M1006),$M$1006,0)))),"Fix")))</f>
        <v>0</v>
      </c>
      <c r="F37">
        <v>0</v>
      </c>
      <c r="G37">
        <v>0</v>
      </c>
      <c r="H37">
        <v>0</v>
      </c>
      <c r="I37">
        <f>IF(J37,TRUE,AND(M37))</f>
        <v>0</v>
      </c>
      <c r="J37">
        <f>COUNTBLANK(Metadata!B37)=COLUMNS(Metadata!B37)</f>
        <v>0</v>
      </c>
      <c r="K37">
        <v>0</v>
      </c>
      <c r="M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</row>
    <row r="38" spans="1:13">
      <c r="A38" s="3">
        <f>IF(B38=" "," ",HYPERLINK(CONCATENATE("#metadata!",ADDRESS(INDEX($H$2:$H$1001,MATCH(ROWS($F$2:F38),$F$2:$F$1001,0),0),2)),INDEX($K$2:$K$1001,MATCH(ROWS($F$2:F38),$F$2:$F$1001,0),0)))</f>
        <v>0</v>
      </c>
      <c r="B38" s="4">
        <f>IF(OR(INDEX($G$2:$G$1001,MATCH(ROWS($F$2:F38),$F$2:$F$1001,0),1)&gt;=100000,INDEX($M$1005,1,MATCH(COLUMNS($M$1006:M1006),$M$1006,0))&gt;=100000), " ",IF(INDEX($M$2:$M$1001,MATCH(ROWS($F$2:F38),$F$2:$F$1001,0),MATCH(COLUMNS($M$1006:M1006),$M$1006,0)), HYPERLINK("#",""), HYPERLINK(CONCATENATE("#Metadata!", ADDRESS(INDEX($H$2:$H$1001,MATCH(ROWS($F$2:F38),$F$2:$F$1001,0),0), INDEX($M$1004,1,MATCH(COLUMNS($M$1006:M1006),$M$1006,0)))),"Fix")))</f>
        <v>0</v>
      </c>
      <c r="F38">
        <v>0</v>
      </c>
      <c r="G38">
        <v>0</v>
      </c>
      <c r="H38">
        <v>0</v>
      </c>
      <c r="I38">
        <f>IF(J38,TRUE,AND(M38))</f>
        <v>0</v>
      </c>
      <c r="J38">
        <f>COUNTBLANK(Metadata!B38)=COLUMNS(Metadata!B38)</f>
        <v>0</v>
      </c>
      <c r="K38">
        <v>0</v>
      </c>
      <c r="M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</row>
    <row r="39" spans="1:13">
      <c r="A39" s="3">
        <f>IF(B39=" "," ",HYPERLINK(CONCATENATE("#metadata!",ADDRESS(INDEX($H$2:$H$1001,MATCH(ROWS($F$2:F39),$F$2:$F$1001,0),0),2)),INDEX($K$2:$K$1001,MATCH(ROWS($F$2:F39),$F$2:$F$1001,0),0)))</f>
        <v>0</v>
      </c>
      <c r="B39" s="4">
        <f>IF(OR(INDEX($G$2:$G$1001,MATCH(ROWS($F$2:F39),$F$2:$F$1001,0),1)&gt;=100000,INDEX($M$1005,1,MATCH(COLUMNS($M$1006:M1006),$M$1006,0))&gt;=100000), " ",IF(INDEX($M$2:$M$1001,MATCH(ROWS($F$2:F39),$F$2:$F$1001,0),MATCH(COLUMNS($M$1006:M1006),$M$1006,0)), HYPERLINK("#",""), HYPERLINK(CONCATENATE("#Metadata!", ADDRESS(INDEX($H$2:$H$1001,MATCH(ROWS($F$2:F39),$F$2:$F$1001,0),0), INDEX($M$1004,1,MATCH(COLUMNS($M$1006:M1006),$M$1006,0)))),"Fix")))</f>
        <v>0</v>
      </c>
      <c r="F39">
        <v>0</v>
      </c>
      <c r="G39">
        <v>0</v>
      </c>
      <c r="H39">
        <v>0</v>
      </c>
      <c r="I39">
        <f>IF(J39,TRUE,AND(M39))</f>
        <v>0</v>
      </c>
      <c r="J39">
        <f>COUNTBLANK(Metadata!B39)=COLUMNS(Metadata!B39)</f>
        <v>0</v>
      </c>
      <c r="K39">
        <v>0</v>
      </c>
      <c r="M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</row>
    <row r="40" spans="1:13">
      <c r="A40" s="3">
        <f>IF(B40=" "," ",HYPERLINK(CONCATENATE("#metadata!",ADDRESS(INDEX($H$2:$H$1001,MATCH(ROWS($F$2:F40),$F$2:$F$1001,0),0),2)),INDEX($K$2:$K$1001,MATCH(ROWS($F$2:F40),$F$2:$F$1001,0),0)))</f>
        <v>0</v>
      </c>
      <c r="B40" s="4">
        <f>IF(OR(INDEX($G$2:$G$1001,MATCH(ROWS($F$2:F40),$F$2:$F$1001,0),1)&gt;=100000,INDEX($M$1005,1,MATCH(COLUMNS($M$1006:M1006),$M$1006,0))&gt;=100000), " ",IF(INDEX($M$2:$M$1001,MATCH(ROWS($F$2:F40),$F$2:$F$1001,0),MATCH(COLUMNS($M$1006:M1006),$M$1006,0)), HYPERLINK("#",""), HYPERLINK(CONCATENATE("#Metadata!", ADDRESS(INDEX($H$2:$H$1001,MATCH(ROWS($F$2:F40),$F$2:$F$1001,0),0), INDEX($M$1004,1,MATCH(COLUMNS($M$1006:M1006),$M$1006,0)))),"Fix")))</f>
        <v>0</v>
      </c>
      <c r="F40">
        <v>0</v>
      </c>
      <c r="G40">
        <v>0</v>
      </c>
      <c r="H40">
        <v>0</v>
      </c>
      <c r="I40">
        <f>IF(J40,TRUE,AND(M40))</f>
        <v>0</v>
      </c>
      <c r="J40">
        <f>COUNTBLANK(Metadata!B40)=COLUMNS(Metadata!B40)</f>
        <v>0</v>
      </c>
      <c r="K40">
        <v>0</v>
      </c>
      <c r="M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</row>
    <row r="41" spans="1:13">
      <c r="A41" s="3">
        <f>IF(B41=" "," ",HYPERLINK(CONCATENATE("#metadata!",ADDRESS(INDEX($H$2:$H$1001,MATCH(ROWS($F$2:F41),$F$2:$F$1001,0),0),2)),INDEX($K$2:$K$1001,MATCH(ROWS($F$2:F41),$F$2:$F$1001,0),0)))</f>
        <v>0</v>
      </c>
      <c r="B41" s="4">
        <f>IF(OR(INDEX($G$2:$G$1001,MATCH(ROWS($F$2:F41),$F$2:$F$1001,0),1)&gt;=100000,INDEX($M$1005,1,MATCH(COLUMNS($M$1006:M1006),$M$1006,0))&gt;=100000), " ",IF(INDEX($M$2:$M$1001,MATCH(ROWS($F$2:F41),$F$2:$F$1001,0),MATCH(COLUMNS($M$1006:M1006),$M$1006,0)), HYPERLINK("#",""), HYPERLINK(CONCATENATE("#Metadata!", ADDRESS(INDEX($H$2:$H$1001,MATCH(ROWS($F$2:F41),$F$2:$F$1001,0),0), INDEX($M$1004,1,MATCH(COLUMNS($M$1006:M1006),$M$1006,0)))),"Fix")))</f>
        <v>0</v>
      </c>
      <c r="F41">
        <v>0</v>
      </c>
      <c r="G41">
        <v>0</v>
      </c>
      <c r="H41">
        <v>0</v>
      </c>
      <c r="I41">
        <f>IF(J41,TRUE,AND(M41))</f>
        <v>0</v>
      </c>
      <c r="J41">
        <f>COUNTBLANK(Metadata!B41)=COLUMNS(Metadata!B41)</f>
        <v>0</v>
      </c>
      <c r="K41">
        <v>0</v>
      </c>
      <c r="M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</row>
    <row r="42" spans="1:13">
      <c r="A42" s="3">
        <f>IF(B42=" "," ",HYPERLINK(CONCATENATE("#metadata!",ADDRESS(INDEX($H$2:$H$1001,MATCH(ROWS($F$2:F42),$F$2:$F$1001,0),0),2)),INDEX($K$2:$K$1001,MATCH(ROWS($F$2:F42),$F$2:$F$1001,0),0)))</f>
        <v>0</v>
      </c>
      <c r="B42" s="4">
        <f>IF(OR(INDEX($G$2:$G$1001,MATCH(ROWS($F$2:F42),$F$2:$F$1001,0),1)&gt;=100000,INDEX($M$1005,1,MATCH(COLUMNS($M$1006:M1006),$M$1006,0))&gt;=100000), " ",IF(INDEX($M$2:$M$1001,MATCH(ROWS($F$2:F42),$F$2:$F$1001,0),MATCH(COLUMNS($M$1006:M1006),$M$1006,0)), HYPERLINK("#",""), HYPERLINK(CONCATENATE("#Metadata!", ADDRESS(INDEX($H$2:$H$1001,MATCH(ROWS($F$2:F42),$F$2:$F$1001,0),0), INDEX($M$1004,1,MATCH(COLUMNS($M$1006:M1006),$M$1006,0)))),"Fix")))</f>
        <v>0</v>
      </c>
      <c r="F42">
        <v>0</v>
      </c>
      <c r="G42">
        <v>0</v>
      </c>
      <c r="H42">
        <v>0</v>
      </c>
      <c r="I42">
        <f>IF(J42,TRUE,AND(M42))</f>
        <v>0</v>
      </c>
      <c r="J42">
        <f>COUNTBLANK(Metadata!B42)=COLUMNS(Metadata!B42)</f>
        <v>0</v>
      </c>
      <c r="K42">
        <v>0</v>
      </c>
      <c r="M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</row>
    <row r="43" spans="1:13">
      <c r="A43" s="3">
        <f>IF(B43=" "," ",HYPERLINK(CONCATENATE("#metadata!",ADDRESS(INDEX($H$2:$H$1001,MATCH(ROWS($F$2:F43),$F$2:$F$1001,0),0),2)),INDEX($K$2:$K$1001,MATCH(ROWS($F$2:F43),$F$2:$F$1001,0),0)))</f>
        <v>0</v>
      </c>
      <c r="B43" s="4">
        <f>IF(OR(INDEX($G$2:$G$1001,MATCH(ROWS($F$2:F43),$F$2:$F$1001,0),1)&gt;=100000,INDEX($M$1005,1,MATCH(COLUMNS($M$1006:M1006),$M$1006,0))&gt;=100000), " ",IF(INDEX($M$2:$M$1001,MATCH(ROWS($F$2:F43),$F$2:$F$1001,0),MATCH(COLUMNS($M$1006:M1006),$M$1006,0)), HYPERLINK("#",""), HYPERLINK(CONCATENATE("#Metadata!", ADDRESS(INDEX($H$2:$H$1001,MATCH(ROWS($F$2:F43),$F$2:$F$1001,0),0), INDEX($M$1004,1,MATCH(COLUMNS($M$1006:M1006),$M$1006,0)))),"Fix")))</f>
        <v>0</v>
      </c>
      <c r="F43">
        <v>0</v>
      </c>
      <c r="G43">
        <v>0</v>
      </c>
      <c r="H43">
        <v>0</v>
      </c>
      <c r="I43">
        <f>IF(J43,TRUE,AND(M43))</f>
        <v>0</v>
      </c>
      <c r="J43">
        <f>COUNTBLANK(Metadata!B43)=COLUMNS(Metadata!B43)</f>
        <v>0</v>
      </c>
      <c r="K43">
        <v>0</v>
      </c>
      <c r="M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</row>
    <row r="44" spans="1:13">
      <c r="A44" s="3">
        <f>IF(B44=" "," ",HYPERLINK(CONCATENATE("#metadata!",ADDRESS(INDEX($H$2:$H$1001,MATCH(ROWS($F$2:F44),$F$2:$F$1001,0),0),2)),INDEX($K$2:$K$1001,MATCH(ROWS($F$2:F44),$F$2:$F$1001,0),0)))</f>
        <v>0</v>
      </c>
      <c r="B44" s="4">
        <f>IF(OR(INDEX($G$2:$G$1001,MATCH(ROWS($F$2:F44),$F$2:$F$1001,0),1)&gt;=100000,INDEX($M$1005,1,MATCH(COLUMNS($M$1006:M1006),$M$1006,0))&gt;=100000), " ",IF(INDEX($M$2:$M$1001,MATCH(ROWS($F$2:F44),$F$2:$F$1001,0),MATCH(COLUMNS($M$1006:M1006),$M$1006,0)), HYPERLINK("#",""), HYPERLINK(CONCATENATE("#Metadata!", ADDRESS(INDEX($H$2:$H$1001,MATCH(ROWS($F$2:F44),$F$2:$F$1001,0),0), INDEX($M$1004,1,MATCH(COLUMNS($M$1006:M1006),$M$1006,0)))),"Fix")))</f>
        <v>0</v>
      </c>
      <c r="F44">
        <v>0</v>
      </c>
      <c r="G44">
        <v>0</v>
      </c>
      <c r="H44">
        <v>0</v>
      </c>
      <c r="I44">
        <f>IF(J44,TRUE,AND(M44))</f>
        <v>0</v>
      </c>
      <c r="J44">
        <f>COUNTBLANK(Metadata!B44)=COLUMNS(Metadata!B44)</f>
        <v>0</v>
      </c>
      <c r="K44">
        <v>0</v>
      </c>
      <c r="M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</row>
    <row r="45" spans="1:13">
      <c r="A45" s="3">
        <f>IF(B45=" "," ",HYPERLINK(CONCATENATE("#metadata!",ADDRESS(INDEX($H$2:$H$1001,MATCH(ROWS($F$2:F45),$F$2:$F$1001,0),0),2)),INDEX($K$2:$K$1001,MATCH(ROWS($F$2:F45),$F$2:$F$1001,0),0)))</f>
        <v>0</v>
      </c>
      <c r="B45" s="4">
        <f>IF(OR(INDEX($G$2:$G$1001,MATCH(ROWS($F$2:F45),$F$2:$F$1001,0),1)&gt;=100000,INDEX($M$1005,1,MATCH(COLUMNS($M$1006:M1006),$M$1006,0))&gt;=100000), " ",IF(INDEX($M$2:$M$1001,MATCH(ROWS($F$2:F45),$F$2:$F$1001,0),MATCH(COLUMNS($M$1006:M1006),$M$1006,0)), HYPERLINK("#",""), HYPERLINK(CONCATENATE("#Metadata!", ADDRESS(INDEX($H$2:$H$1001,MATCH(ROWS($F$2:F45),$F$2:$F$1001,0),0), INDEX($M$1004,1,MATCH(COLUMNS($M$1006:M1006),$M$1006,0)))),"Fix")))</f>
        <v>0</v>
      </c>
      <c r="F45">
        <v>0</v>
      </c>
      <c r="G45">
        <v>0</v>
      </c>
      <c r="H45">
        <v>0</v>
      </c>
      <c r="I45">
        <f>IF(J45,TRUE,AND(M45))</f>
        <v>0</v>
      </c>
      <c r="J45">
        <f>COUNTBLANK(Metadata!B45)=COLUMNS(Metadata!B45)</f>
        <v>0</v>
      </c>
      <c r="K45">
        <v>0</v>
      </c>
      <c r="M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</row>
    <row r="46" spans="1:13">
      <c r="A46" s="3">
        <f>IF(B46=" "," ",HYPERLINK(CONCATENATE("#metadata!",ADDRESS(INDEX($H$2:$H$1001,MATCH(ROWS($F$2:F46),$F$2:$F$1001,0),0),2)),INDEX($K$2:$K$1001,MATCH(ROWS($F$2:F46),$F$2:$F$1001,0),0)))</f>
        <v>0</v>
      </c>
      <c r="B46" s="4">
        <f>IF(OR(INDEX($G$2:$G$1001,MATCH(ROWS($F$2:F46),$F$2:$F$1001,0),1)&gt;=100000,INDEX($M$1005,1,MATCH(COLUMNS($M$1006:M1006),$M$1006,0))&gt;=100000), " ",IF(INDEX($M$2:$M$1001,MATCH(ROWS($F$2:F46),$F$2:$F$1001,0),MATCH(COLUMNS($M$1006:M1006),$M$1006,0)), HYPERLINK("#",""), HYPERLINK(CONCATENATE("#Metadata!", ADDRESS(INDEX($H$2:$H$1001,MATCH(ROWS($F$2:F46),$F$2:$F$1001,0),0), INDEX($M$1004,1,MATCH(COLUMNS($M$1006:M1006),$M$1006,0)))),"Fix")))</f>
        <v>0</v>
      </c>
      <c r="F46">
        <v>0</v>
      </c>
      <c r="G46">
        <v>0</v>
      </c>
      <c r="H46">
        <v>0</v>
      </c>
      <c r="I46">
        <f>IF(J46,TRUE,AND(M46))</f>
        <v>0</v>
      </c>
      <c r="J46">
        <f>COUNTBLANK(Metadata!B46)=COLUMNS(Metadata!B46)</f>
        <v>0</v>
      </c>
      <c r="K46">
        <v>0</v>
      </c>
      <c r="M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</row>
    <row r="47" spans="1:13">
      <c r="A47" s="3">
        <f>IF(B47=" "," ",HYPERLINK(CONCATENATE("#metadata!",ADDRESS(INDEX($H$2:$H$1001,MATCH(ROWS($F$2:F47),$F$2:$F$1001,0),0),2)),INDEX($K$2:$K$1001,MATCH(ROWS($F$2:F47),$F$2:$F$1001,0),0)))</f>
        <v>0</v>
      </c>
      <c r="B47" s="4">
        <f>IF(OR(INDEX($G$2:$G$1001,MATCH(ROWS($F$2:F47),$F$2:$F$1001,0),1)&gt;=100000,INDEX($M$1005,1,MATCH(COLUMNS($M$1006:M1006),$M$1006,0))&gt;=100000), " ",IF(INDEX($M$2:$M$1001,MATCH(ROWS($F$2:F47),$F$2:$F$1001,0),MATCH(COLUMNS($M$1006:M1006),$M$1006,0)), HYPERLINK("#",""), HYPERLINK(CONCATENATE("#Metadata!", ADDRESS(INDEX($H$2:$H$1001,MATCH(ROWS($F$2:F47),$F$2:$F$1001,0),0), INDEX($M$1004,1,MATCH(COLUMNS($M$1006:M1006),$M$1006,0)))),"Fix")))</f>
        <v>0</v>
      </c>
      <c r="F47">
        <v>0</v>
      </c>
      <c r="G47">
        <v>0</v>
      </c>
      <c r="H47">
        <v>0</v>
      </c>
      <c r="I47">
        <f>IF(J47,TRUE,AND(M47))</f>
        <v>0</v>
      </c>
      <c r="J47">
        <f>COUNTBLANK(Metadata!B47)=COLUMNS(Metadata!B47)</f>
        <v>0</v>
      </c>
      <c r="K47">
        <v>0</v>
      </c>
      <c r="M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</row>
    <row r="48" spans="1:13">
      <c r="A48" s="3">
        <f>IF(B48=" "," ",HYPERLINK(CONCATENATE("#metadata!",ADDRESS(INDEX($H$2:$H$1001,MATCH(ROWS($F$2:F48),$F$2:$F$1001,0),0),2)),INDEX($K$2:$K$1001,MATCH(ROWS($F$2:F48),$F$2:$F$1001,0),0)))</f>
        <v>0</v>
      </c>
      <c r="B48" s="4">
        <f>IF(OR(INDEX($G$2:$G$1001,MATCH(ROWS($F$2:F48),$F$2:$F$1001,0),1)&gt;=100000,INDEX($M$1005,1,MATCH(COLUMNS($M$1006:M1006),$M$1006,0))&gt;=100000), " ",IF(INDEX($M$2:$M$1001,MATCH(ROWS($F$2:F48),$F$2:$F$1001,0),MATCH(COLUMNS($M$1006:M1006),$M$1006,0)), HYPERLINK("#",""), HYPERLINK(CONCATENATE("#Metadata!", ADDRESS(INDEX($H$2:$H$1001,MATCH(ROWS($F$2:F48),$F$2:$F$1001,0),0), INDEX($M$1004,1,MATCH(COLUMNS($M$1006:M1006),$M$1006,0)))),"Fix")))</f>
        <v>0</v>
      </c>
      <c r="F48">
        <v>0</v>
      </c>
      <c r="G48">
        <v>0</v>
      </c>
      <c r="H48">
        <v>0</v>
      </c>
      <c r="I48">
        <f>IF(J48,TRUE,AND(M48))</f>
        <v>0</v>
      </c>
      <c r="J48">
        <f>COUNTBLANK(Metadata!B48)=COLUMNS(Metadata!B48)</f>
        <v>0</v>
      </c>
      <c r="K48">
        <v>0</v>
      </c>
      <c r="M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</row>
    <row r="49" spans="1:13">
      <c r="A49" s="3">
        <f>IF(B49=" "," ",HYPERLINK(CONCATENATE("#metadata!",ADDRESS(INDEX($H$2:$H$1001,MATCH(ROWS($F$2:F49),$F$2:$F$1001,0),0),2)),INDEX($K$2:$K$1001,MATCH(ROWS($F$2:F49),$F$2:$F$1001,0),0)))</f>
        <v>0</v>
      </c>
      <c r="B49" s="4">
        <f>IF(OR(INDEX($G$2:$G$1001,MATCH(ROWS($F$2:F49),$F$2:$F$1001,0),1)&gt;=100000,INDEX($M$1005,1,MATCH(COLUMNS($M$1006:M1006),$M$1006,0))&gt;=100000), " ",IF(INDEX($M$2:$M$1001,MATCH(ROWS($F$2:F49),$F$2:$F$1001,0),MATCH(COLUMNS($M$1006:M1006),$M$1006,0)), HYPERLINK("#",""), HYPERLINK(CONCATENATE("#Metadata!", ADDRESS(INDEX($H$2:$H$1001,MATCH(ROWS($F$2:F49),$F$2:$F$1001,0),0), INDEX($M$1004,1,MATCH(COLUMNS($M$1006:M1006),$M$1006,0)))),"Fix")))</f>
        <v>0</v>
      </c>
      <c r="F49">
        <v>0</v>
      </c>
      <c r="G49">
        <v>0</v>
      </c>
      <c r="H49">
        <v>0</v>
      </c>
      <c r="I49">
        <f>IF(J49,TRUE,AND(M49))</f>
        <v>0</v>
      </c>
      <c r="J49">
        <f>COUNTBLANK(Metadata!B49)=COLUMNS(Metadata!B49)</f>
        <v>0</v>
      </c>
      <c r="K49">
        <v>0</v>
      </c>
      <c r="M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</row>
    <row r="50" spans="1:13">
      <c r="A50" s="3">
        <f>IF(B50=" "," ",HYPERLINK(CONCATENATE("#metadata!",ADDRESS(INDEX($H$2:$H$1001,MATCH(ROWS($F$2:F50),$F$2:$F$1001,0),0),2)),INDEX($K$2:$K$1001,MATCH(ROWS($F$2:F50),$F$2:$F$1001,0),0)))</f>
        <v>0</v>
      </c>
      <c r="B50" s="4">
        <f>IF(OR(INDEX($G$2:$G$1001,MATCH(ROWS($F$2:F50),$F$2:$F$1001,0),1)&gt;=100000,INDEX($M$1005,1,MATCH(COLUMNS($M$1006:M1006),$M$1006,0))&gt;=100000), " ",IF(INDEX($M$2:$M$1001,MATCH(ROWS($F$2:F50),$F$2:$F$1001,0),MATCH(COLUMNS($M$1006:M1006),$M$1006,0)), HYPERLINK("#",""), HYPERLINK(CONCATENATE("#Metadata!", ADDRESS(INDEX($H$2:$H$1001,MATCH(ROWS($F$2:F50),$F$2:$F$1001,0),0), INDEX($M$1004,1,MATCH(COLUMNS($M$1006:M1006),$M$1006,0)))),"Fix")))</f>
        <v>0</v>
      </c>
      <c r="F50">
        <v>0</v>
      </c>
      <c r="G50">
        <v>0</v>
      </c>
      <c r="H50">
        <v>0</v>
      </c>
      <c r="I50">
        <f>IF(J50,TRUE,AND(M50))</f>
        <v>0</v>
      </c>
      <c r="J50">
        <f>COUNTBLANK(Metadata!B50)=COLUMNS(Metadata!B50)</f>
        <v>0</v>
      </c>
      <c r="K50">
        <v>0</v>
      </c>
      <c r="M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</row>
    <row r="51" spans="1:13">
      <c r="A51" s="3">
        <f>IF(B51=" "," ",HYPERLINK(CONCATENATE("#metadata!",ADDRESS(INDEX($H$2:$H$1001,MATCH(ROWS($F$2:F51),$F$2:$F$1001,0),0),2)),INDEX($K$2:$K$1001,MATCH(ROWS($F$2:F51),$F$2:$F$1001,0),0)))</f>
        <v>0</v>
      </c>
      <c r="B51" s="4">
        <f>IF(OR(INDEX($G$2:$G$1001,MATCH(ROWS($F$2:F51),$F$2:$F$1001,0),1)&gt;=100000,INDEX($M$1005,1,MATCH(COLUMNS($M$1006:M1006),$M$1006,0))&gt;=100000), " ",IF(INDEX($M$2:$M$1001,MATCH(ROWS($F$2:F51),$F$2:$F$1001,0),MATCH(COLUMNS($M$1006:M1006),$M$1006,0)), HYPERLINK("#",""), HYPERLINK(CONCATENATE("#Metadata!", ADDRESS(INDEX($H$2:$H$1001,MATCH(ROWS($F$2:F51),$F$2:$F$1001,0),0), INDEX($M$1004,1,MATCH(COLUMNS($M$1006:M1006),$M$1006,0)))),"Fix")))</f>
        <v>0</v>
      </c>
      <c r="F51">
        <v>0</v>
      </c>
      <c r="G51">
        <v>0</v>
      </c>
      <c r="H51">
        <v>0</v>
      </c>
      <c r="I51">
        <f>IF(J51,TRUE,AND(M51))</f>
        <v>0</v>
      </c>
      <c r="J51">
        <f>COUNTBLANK(Metadata!B51)=COLUMNS(Metadata!B51)</f>
        <v>0</v>
      </c>
      <c r="K51">
        <v>0</v>
      </c>
      <c r="M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</row>
    <row r="52" spans="1:13">
      <c r="A52" s="3">
        <f>IF(B52=" "," ",HYPERLINK(CONCATENATE("#metadata!",ADDRESS(INDEX($H$2:$H$1001,MATCH(ROWS($F$2:F52),$F$2:$F$1001,0),0),2)),INDEX($K$2:$K$1001,MATCH(ROWS($F$2:F52),$F$2:$F$1001,0),0)))</f>
        <v>0</v>
      </c>
      <c r="B52" s="4">
        <f>IF(OR(INDEX($G$2:$G$1001,MATCH(ROWS($F$2:F52),$F$2:$F$1001,0),1)&gt;=100000,INDEX($M$1005,1,MATCH(COLUMNS($M$1006:M1006),$M$1006,0))&gt;=100000), " ",IF(INDEX($M$2:$M$1001,MATCH(ROWS($F$2:F52),$F$2:$F$1001,0),MATCH(COLUMNS($M$1006:M1006),$M$1006,0)), HYPERLINK("#",""), HYPERLINK(CONCATENATE("#Metadata!", ADDRESS(INDEX($H$2:$H$1001,MATCH(ROWS($F$2:F52),$F$2:$F$1001,0),0), INDEX($M$1004,1,MATCH(COLUMNS($M$1006:M1006),$M$1006,0)))),"Fix")))</f>
        <v>0</v>
      </c>
      <c r="F52">
        <v>0</v>
      </c>
      <c r="G52">
        <v>0</v>
      </c>
      <c r="H52">
        <v>0</v>
      </c>
      <c r="I52">
        <f>IF(J52,TRUE,AND(M52))</f>
        <v>0</v>
      </c>
      <c r="J52">
        <f>COUNTBLANK(Metadata!B52)=COLUMNS(Metadata!B52)</f>
        <v>0</v>
      </c>
      <c r="K52">
        <v>0</v>
      </c>
      <c r="M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</row>
    <row r="53" spans="1:13">
      <c r="A53" s="3">
        <f>IF(B53=" "," ",HYPERLINK(CONCATENATE("#metadata!",ADDRESS(INDEX($H$2:$H$1001,MATCH(ROWS($F$2:F53),$F$2:$F$1001,0),0),2)),INDEX($K$2:$K$1001,MATCH(ROWS($F$2:F53),$F$2:$F$1001,0),0)))</f>
        <v>0</v>
      </c>
      <c r="B53" s="4">
        <f>IF(OR(INDEX($G$2:$G$1001,MATCH(ROWS($F$2:F53),$F$2:$F$1001,0),1)&gt;=100000,INDEX($M$1005,1,MATCH(COLUMNS($M$1006:M1006),$M$1006,0))&gt;=100000), " ",IF(INDEX($M$2:$M$1001,MATCH(ROWS($F$2:F53),$F$2:$F$1001,0),MATCH(COLUMNS($M$1006:M1006),$M$1006,0)), HYPERLINK("#",""), HYPERLINK(CONCATENATE("#Metadata!", ADDRESS(INDEX($H$2:$H$1001,MATCH(ROWS($F$2:F53),$F$2:$F$1001,0),0), INDEX($M$1004,1,MATCH(COLUMNS($M$1006:M1006),$M$1006,0)))),"Fix")))</f>
        <v>0</v>
      </c>
      <c r="F53">
        <v>0</v>
      </c>
      <c r="G53">
        <v>0</v>
      </c>
      <c r="H53">
        <v>0</v>
      </c>
      <c r="I53">
        <f>IF(J53,TRUE,AND(M53))</f>
        <v>0</v>
      </c>
      <c r="J53">
        <f>COUNTBLANK(Metadata!B53)=COLUMNS(Metadata!B53)</f>
        <v>0</v>
      </c>
      <c r="K53">
        <v>0</v>
      </c>
      <c r="M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</row>
    <row r="54" spans="1:13">
      <c r="A54" s="3">
        <f>IF(B54=" "," ",HYPERLINK(CONCATENATE("#metadata!",ADDRESS(INDEX($H$2:$H$1001,MATCH(ROWS($F$2:F54),$F$2:$F$1001,0),0),2)),INDEX($K$2:$K$1001,MATCH(ROWS($F$2:F54),$F$2:$F$1001,0),0)))</f>
        <v>0</v>
      </c>
      <c r="B54" s="4">
        <f>IF(OR(INDEX($G$2:$G$1001,MATCH(ROWS($F$2:F54),$F$2:$F$1001,0),1)&gt;=100000,INDEX($M$1005,1,MATCH(COLUMNS($M$1006:M1006),$M$1006,0))&gt;=100000), " ",IF(INDEX($M$2:$M$1001,MATCH(ROWS($F$2:F54),$F$2:$F$1001,0),MATCH(COLUMNS($M$1006:M1006),$M$1006,0)), HYPERLINK("#",""), HYPERLINK(CONCATENATE("#Metadata!", ADDRESS(INDEX($H$2:$H$1001,MATCH(ROWS($F$2:F54),$F$2:$F$1001,0),0), INDEX($M$1004,1,MATCH(COLUMNS($M$1006:M1006),$M$1006,0)))),"Fix")))</f>
        <v>0</v>
      </c>
      <c r="F54">
        <v>0</v>
      </c>
      <c r="G54">
        <v>0</v>
      </c>
      <c r="H54">
        <v>0</v>
      </c>
      <c r="I54">
        <f>IF(J54,TRUE,AND(M54))</f>
        <v>0</v>
      </c>
      <c r="J54">
        <f>COUNTBLANK(Metadata!B54)=COLUMNS(Metadata!B54)</f>
        <v>0</v>
      </c>
      <c r="K54">
        <v>0</v>
      </c>
      <c r="M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</row>
    <row r="55" spans="1:13">
      <c r="A55" s="3">
        <f>IF(B55=" "," ",HYPERLINK(CONCATENATE("#metadata!",ADDRESS(INDEX($H$2:$H$1001,MATCH(ROWS($F$2:F55),$F$2:$F$1001,0),0),2)),INDEX($K$2:$K$1001,MATCH(ROWS($F$2:F55),$F$2:$F$1001,0),0)))</f>
        <v>0</v>
      </c>
      <c r="B55" s="4">
        <f>IF(OR(INDEX($G$2:$G$1001,MATCH(ROWS($F$2:F55),$F$2:$F$1001,0),1)&gt;=100000,INDEX($M$1005,1,MATCH(COLUMNS($M$1006:M1006),$M$1006,0))&gt;=100000), " ",IF(INDEX($M$2:$M$1001,MATCH(ROWS($F$2:F55),$F$2:$F$1001,0),MATCH(COLUMNS($M$1006:M1006),$M$1006,0)), HYPERLINK("#",""), HYPERLINK(CONCATENATE("#Metadata!", ADDRESS(INDEX($H$2:$H$1001,MATCH(ROWS($F$2:F55),$F$2:$F$1001,0),0), INDEX($M$1004,1,MATCH(COLUMNS($M$1006:M1006),$M$1006,0)))),"Fix")))</f>
        <v>0</v>
      </c>
      <c r="F55">
        <v>0</v>
      </c>
      <c r="G55">
        <v>0</v>
      </c>
      <c r="H55">
        <v>0</v>
      </c>
      <c r="I55">
        <f>IF(J55,TRUE,AND(M55))</f>
        <v>0</v>
      </c>
      <c r="J55">
        <f>COUNTBLANK(Metadata!B55)=COLUMNS(Metadata!B55)</f>
        <v>0</v>
      </c>
      <c r="K55">
        <v>0</v>
      </c>
      <c r="M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</row>
    <row r="56" spans="1:13">
      <c r="A56" s="3">
        <f>IF(B56=" "," ",HYPERLINK(CONCATENATE("#metadata!",ADDRESS(INDEX($H$2:$H$1001,MATCH(ROWS($F$2:F56),$F$2:$F$1001,0),0),2)),INDEX($K$2:$K$1001,MATCH(ROWS($F$2:F56),$F$2:$F$1001,0),0)))</f>
        <v>0</v>
      </c>
      <c r="B56" s="4">
        <f>IF(OR(INDEX($G$2:$G$1001,MATCH(ROWS($F$2:F56),$F$2:$F$1001,0),1)&gt;=100000,INDEX($M$1005,1,MATCH(COLUMNS($M$1006:M1006),$M$1006,0))&gt;=100000), " ",IF(INDEX($M$2:$M$1001,MATCH(ROWS($F$2:F56),$F$2:$F$1001,0),MATCH(COLUMNS($M$1006:M1006),$M$1006,0)), HYPERLINK("#",""), HYPERLINK(CONCATENATE("#Metadata!", ADDRESS(INDEX($H$2:$H$1001,MATCH(ROWS($F$2:F56),$F$2:$F$1001,0),0), INDEX($M$1004,1,MATCH(COLUMNS($M$1006:M1006),$M$1006,0)))),"Fix")))</f>
        <v>0</v>
      </c>
      <c r="F56">
        <v>0</v>
      </c>
      <c r="G56">
        <v>0</v>
      </c>
      <c r="H56">
        <v>0</v>
      </c>
      <c r="I56">
        <f>IF(J56,TRUE,AND(M56))</f>
        <v>0</v>
      </c>
      <c r="J56">
        <f>COUNTBLANK(Metadata!B56)=COLUMNS(Metadata!B56)</f>
        <v>0</v>
      </c>
      <c r="K56">
        <v>0</v>
      </c>
      <c r="M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</row>
    <row r="57" spans="1:13">
      <c r="A57" s="3">
        <f>IF(B57=" "," ",HYPERLINK(CONCATENATE("#metadata!",ADDRESS(INDEX($H$2:$H$1001,MATCH(ROWS($F$2:F57),$F$2:$F$1001,0),0),2)),INDEX($K$2:$K$1001,MATCH(ROWS($F$2:F57),$F$2:$F$1001,0),0)))</f>
        <v>0</v>
      </c>
      <c r="B57" s="4">
        <f>IF(OR(INDEX($G$2:$G$1001,MATCH(ROWS($F$2:F57),$F$2:$F$1001,0),1)&gt;=100000,INDEX($M$1005,1,MATCH(COLUMNS($M$1006:M1006),$M$1006,0))&gt;=100000), " ",IF(INDEX($M$2:$M$1001,MATCH(ROWS($F$2:F57),$F$2:$F$1001,0),MATCH(COLUMNS($M$1006:M1006),$M$1006,0)), HYPERLINK("#",""), HYPERLINK(CONCATENATE("#Metadata!", ADDRESS(INDEX($H$2:$H$1001,MATCH(ROWS($F$2:F57),$F$2:$F$1001,0),0), INDEX($M$1004,1,MATCH(COLUMNS($M$1006:M1006),$M$1006,0)))),"Fix")))</f>
        <v>0</v>
      </c>
      <c r="F57">
        <v>0</v>
      </c>
      <c r="G57">
        <v>0</v>
      </c>
      <c r="H57">
        <v>0</v>
      </c>
      <c r="I57">
        <f>IF(J57,TRUE,AND(M57))</f>
        <v>0</v>
      </c>
      <c r="J57">
        <f>COUNTBLANK(Metadata!B57)=COLUMNS(Metadata!B57)</f>
        <v>0</v>
      </c>
      <c r="K57">
        <v>0</v>
      </c>
      <c r="M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</row>
    <row r="58" spans="1:13">
      <c r="A58" s="3">
        <f>IF(B58=" "," ",HYPERLINK(CONCATENATE("#metadata!",ADDRESS(INDEX($H$2:$H$1001,MATCH(ROWS($F$2:F58),$F$2:$F$1001,0),0),2)),INDEX($K$2:$K$1001,MATCH(ROWS($F$2:F58),$F$2:$F$1001,0),0)))</f>
        <v>0</v>
      </c>
      <c r="B58" s="4">
        <f>IF(OR(INDEX($G$2:$G$1001,MATCH(ROWS($F$2:F58),$F$2:$F$1001,0),1)&gt;=100000,INDEX($M$1005,1,MATCH(COLUMNS($M$1006:M1006),$M$1006,0))&gt;=100000), " ",IF(INDEX($M$2:$M$1001,MATCH(ROWS($F$2:F58),$F$2:$F$1001,0),MATCH(COLUMNS($M$1006:M1006),$M$1006,0)), HYPERLINK("#",""), HYPERLINK(CONCATENATE("#Metadata!", ADDRESS(INDEX($H$2:$H$1001,MATCH(ROWS($F$2:F58),$F$2:$F$1001,0),0), INDEX($M$1004,1,MATCH(COLUMNS($M$1006:M1006),$M$1006,0)))),"Fix")))</f>
        <v>0</v>
      </c>
      <c r="F58">
        <v>0</v>
      </c>
      <c r="G58">
        <v>0</v>
      </c>
      <c r="H58">
        <v>0</v>
      </c>
      <c r="I58">
        <f>IF(J58,TRUE,AND(M58))</f>
        <v>0</v>
      </c>
      <c r="J58">
        <f>COUNTBLANK(Metadata!B58)=COLUMNS(Metadata!B58)</f>
        <v>0</v>
      </c>
      <c r="K58">
        <v>0</v>
      </c>
      <c r="M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</row>
    <row r="59" spans="1:13">
      <c r="A59" s="3">
        <f>IF(B59=" "," ",HYPERLINK(CONCATENATE("#metadata!",ADDRESS(INDEX($H$2:$H$1001,MATCH(ROWS($F$2:F59),$F$2:$F$1001,0),0),2)),INDEX($K$2:$K$1001,MATCH(ROWS($F$2:F59),$F$2:$F$1001,0),0)))</f>
        <v>0</v>
      </c>
      <c r="B59" s="4">
        <f>IF(OR(INDEX($G$2:$G$1001,MATCH(ROWS($F$2:F59),$F$2:$F$1001,0),1)&gt;=100000,INDEX($M$1005,1,MATCH(COLUMNS($M$1006:M1006),$M$1006,0))&gt;=100000), " ",IF(INDEX($M$2:$M$1001,MATCH(ROWS($F$2:F59),$F$2:$F$1001,0),MATCH(COLUMNS($M$1006:M1006),$M$1006,0)), HYPERLINK("#",""), HYPERLINK(CONCATENATE("#Metadata!", ADDRESS(INDEX($H$2:$H$1001,MATCH(ROWS($F$2:F59),$F$2:$F$1001,0),0), INDEX($M$1004,1,MATCH(COLUMNS($M$1006:M1006),$M$1006,0)))),"Fix")))</f>
        <v>0</v>
      </c>
      <c r="F59">
        <v>0</v>
      </c>
      <c r="G59">
        <v>0</v>
      </c>
      <c r="H59">
        <v>0</v>
      </c>
      <c r="I59">
        <f>IF(J59,TRUE,AND(M59))</f>
        <v>0</v>
      </c>
      <c r="J59">
        <f>COUNTBLANK(Metadata!B59)=COLUMNS(Metadata!B59)</f>
        <v>0</v>
      </c>
      <c r="K59">
        <v>0</v>
      </c>
      <c r="M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</row>
    <row r="60" spans="1:13">
      <c r="A60" s="3">
        <f>IF(B60=" "," ",HYPERLINK(CONCATENATE("#metadata!",ADDRESS(INDEX($H$2:$H$1001,MATCH(ROWS($F$2:F60),$F$2:$F$1001,0),0),2)),INDEX($K$2:$K$1001,MATCH(ROWS($F$2:F60),$F$2:$F$1001,0),0)))</f>
        <v>0</v>
      </c>
      <c r="B60" s="4">
        <f>IF(OR(INDEX($G$2:$G$1001,MATCH(ROWS($F$2:F60),$F$2:$F$1001,0),1)&gt;=100000,INDEX($M$1005,1,MATCH(COLUMNS($M$1006:M1006),$M$1006,0))&gt;=100000), " ",IF(INDEX($M$2:$M$1001,MATCH(ROWS($F$2:F60),$F$2:$F$1001,0),MATCH(COLUMNS($M$1006:M1006),$M$1006,0)), HYPERLINK("#",""), HYPERLINK(CONCATENATE("#Metadata!", ADDRESS(INDEX($H$2:$H$1001,MATCH(ROWS($F$2:F60),$F$2:$F$1001,0),0), INDEX($M$1004,1,MATCH(COLUMNS($M$1006:M1006),$M$1006,0)))),"Fix")))</f>
        <v>0</v>
      </c>
      <c r="F60">
        <v>0</v>
      </c>
      <c r="G60">
        <v>0</v>
      </c>
      <c r="H60">
        <v>0</v>
      </c>
      <c r="I60">
        <f>IF(J60,TRUE,AND(M60))</f>
        <v>0</v>
      </c>
      <c r="J60">
        <f>COUNTBLANK(Metadata!B60)=COLUMNS(Metadata!B60)</f>
        <v>0</v>
      </c>
      <c r="K60">
        <v>0</v>
      </c>
      <c r="M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</row>
    <row r="61" spans="1:13">
      <c r="A61" s="3">
        <f>IF(B61=" "," ",HYPERLINK(CONCATENATE("#metadata!",ADDRESS(INDEX($H$2:$H$1001,MATCH(ROWS($F$2:F61),$F$2:$F$1001,0),0),2)),INDEX($K$2:$K$1001,MATCH(ROWS($F$2:F61),$F$2:$F$1001,0),0)))</f>
        <v>0</v>
      </c>
      <c r="B61" s="4">
        <f>IF(OR(INDEX($G$2:$G$1001,MATCH(ROWS($F$2:F61),$F$2:$F$1001,0),1)&gt;=100000,INDEX($M$1005,1,MATCH(COLUMNS($M$1006:M1006),$M$1006,0))&gt;=100000), " ",IF(INDEX($M$2:$M$1001,MATCH(ROWS($F$2:F61),$F$2:$F$1001,0),MATCH(COLUMNS($M$1006:M1006),$M$1006,0)), HYPERLINK("#",""), HYPERLINK(CONCATENATE("#Metadata!", ADDRESS(INDEX($H$2:$H$1001,MATCH(ROWS($F$2:F61),$F$2:$F$1001,0),0), INDEX($M$1004,1,MATCH(COLUMNS($M$1006:M1006),$M$1006,0)))),"Fix")))</f>
        <v>0</v>
      </c>
      <c r="F61">
        <v>0</v>
      </c>
      <c r="G61">
        <v>0</v>
      </c>
      <c r="H61">
        <v>0</v>
      </c>
      <c r="I61">
        <f>IF(J61,TRUE,AND(M61))</f>
        <v>0</v>
      </c>
      <c r="J61">
        <f>COUNTBLANK(Metadata!B61)=COLUMNS(Metadata!B61)</f>
        <v>0</v>
      </c>
      <c r="K61">
        <v>0</v>
      </c>
      <c r="M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</row>
    <row r="62" spans="1:13">
      <c r="A62" s="3">
        <f>IF(B62=" "," ",HYPERLINK(CONCATENATE("#metadata!",ADDRESS(INDEX($H$2:$H$1001,MATCH(ROWS($F$2:F62),$F$2:$F$1001,0),0),2)),INDEX($K$2:$K$1001,MATCH(ROWS($F$2:F62),$F$2:$F$1001,0),0)))</f>
        <v>0</v>
      </c>
      <c r="B62" s="4">
        <f>IF(OR(INDEX($G$2:$G$1001,MATCH(ROWS($F$2:F62),$F$2:$F$1001,0),1)&gt;=100000,INDEX($M$1005,1,MATCH(COLUMNS($M$1006:M1006),$M$1006,0))&gt;=100000), " ",IF(INDEX($M$2:$M$1001,MATCH(ROWS($F$2:F62),$F$2:$F$1001,0),MATCH(COLUMNS($M$1006:M1006),$M$1006,0)), HYPERLINK("#",""), HYPERLINK(CONCATENATE("#Metadata!", ADDRESS(INDEX($H$2:$H$1001,MATCH(ROWS($F$2:F62),$F$2:$F$1001,0),0), INDEX($M$1004,1,MATCH(COLUMNS($M$1006:M1006),$M$1006,0)))),"Fix")))</f>
        <v>0</v>
      </c>
      <c r="F62">
        <v>0</v>
      </c>
      <c r="G62">
        <v>0</v>
      </c>
      <c r="H62">
        <v>0</v>
      </c>
      <c r="I62">
        <f>IF(J62,TRUE,AND(M62))</f>
        <v>0</v>
      </c>
      <c r="J62">
        <f>COUNTBLANK(Metadata!B62)=COLUMNS(Metadata!B62)</f>
        <v>0</v>
      </c>
      <c r="K62">
        <v>0</v>
      </c>
      <c r="M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</row>
    <row r="63" spans="1:13">
      <c r="A63" s="3">
        <f>IF(B63=" "," ",HYPERLINK(CONCATENATE("#metadata!",ADDRESS(INDEX($H$2:$H$1001,MATCH(ROWS($F$2:F63),$F$2:$F$1001,0),0),2)),INDEX($K$2:$K$1001,MATCH(ROWS($F$2:F63),$F$2:$F$1001,0),0)))</f>
        <v>0</v>
      </c>
      <c r="B63" s="4">
        <f>IF(OR(INDEX($G$2:$G$1001,MATCH(ROWS($F$2:F63),$F$2:$F$1001,0),1)&gt;=100000,INDEX($M$1005,1,MATCH(COLUMNS($M$1006:M1006),$M$1006,0))&gt;=100000), " ",IF(INDEX($M$2:$M$1001,MATCH(ROWS($F$2:F63),$F$2:$F$1001,0),MATCH(COLUMNS($M$1006:M1006),$M$1006,0)), HYPERLINK("#",""), HYPERLINK(CONCATENATE("#Metadata!", ADDRESS(INDEX($H$2:$H$1001,MATCH(ROWS($F$2:F63),$F$2:$F$1001,0),0), INDEX($M$1004,1,MATCH(COLUMNS($M$1006:M1006),$M$1006,0)))),"Fix")))</f>
        <v>0</v>
      </c>
      <c r="F63">
        <v>0</v>
      </c>
      <c r="G63">
        <v>0</v>
      </c>
      <c r="H63">
        <v>0</v>
      </c>
      <c r="I63">
        <f>IF(J63,TRUE,AND(M63))</f>
        <v>0</v>
      </c>
      <c r="J63">
        <f>COUNTBLANK(Metadata!B63)=COLUMNS(Metadata!B63)</f>
        <v>0</v>
      </c>
      <c r="K63">
        <v>0</v>
      </c>
      <c r="M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</row>
    <row r="64" spans="1:13">
      <c r="A64" s="3">
        <f>IF(B64=" "," ",HYPERLINK(CONCATENATE("#metadata!",ADDRESS(INDEX($H$2:$H$1001,MATCH(ROWS($F$2:F64),$F$2:$F$1001,0),0),2)),INDEX($K$2:$K$1001,MATCH(ROWS($F$2:F64),$F$2:$F$1001,0),0)))</f>
        <v>0</v>
      </c>
      <c r="B64" s="4">
        <f>IF(OR(INDEX($G$2:$G$1001,MATCH(ROWS($F$2:F64),$F$2:$F$1001,0),1)&gt;=100000,INDEX($M$1005,1,MATCH(COLUMNS($M$1006:M1006),$M$1006,0))&gt;=100000), " ",IF(INDEX($M$2:$M$1001,MATCH(ROWS($F$2:F64),$F$2:$F$1001,0),MATCH(COLUMNS($M$1006:M1006),$M$1006,0)), HYPERLINK("#",""), HYPERLINK(CONCATENATE("#Metadata!", ADDRESS(INDEX($H$2:$H$1001,MATCH(ROWS($F$2:F64),$F$2:$F$1001,0),0), INDEX($M$1004,1,MATCH(COLUMNS($M$1006:M1006),$M$1006,0)))),"Fix")))</f>
        <v>0</v>
      </c>
      <c r="F64">
        <v>0</v>
      </c>
      <c r="G64">
        <v>0</v>
      </c>
      <c r="H64">
        <v>0</v>
      </c>
      <c r="I64">
        <f>IF(J64,TRUE,AND(M64))</f>
        <v>0</v>
      </c>
      <c r="J64">
        <f>COUNTBLANK(Metadata!B64)=COLUMNS(Metadata!B64)</f>
        <v>0</v>
      </c>
      <c r="K64">
        <v>0</v>
      </c>
      <c r="M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</row>
    <row r="65" spans="1:13">
      <c r="A65" s="3">
        <f>IF(B65=" "," ",HYPERLINK(CONCATENATE("#metadata!",ADDRESS(INDEX($H$2:$H$1001,MATCH(ROWS($F$2:F65),$F$2:$F$1001,0),0),2)),INDEX($K$2:$K$1001,MATCH(ROWS($F$2:F65),$F$2:$F$1001,0),0)))</f>
        <v>0</v>
      </c>
      <c r="B65" s="4">
        <f>IF(OR(INDEX($G$2:$G$1001,MATCH(ROWS($F$2:F65),$F$2:$F$1001,0),1)&gt;=100000,INDEX($M$1005,1,MATCH(COLUMNS($M$1006:M1006),$M$1006,0))&gt;=100000), " ",IF(INDEX($M$2:$M$1001,MATCH(ROWS($F$2:F65),$F$2:$F$1001,0),MATCH(COLUMNS($M$1006:M1006),$M$1006,0)), HYPERLINK("#",""), HYPERLINK(CONCATENATE("#Metadata!", ADDRESS(INDEX($H$2:$H$1001,MATCH(ROWS($F$2:F65),$F$2:$F$1001,0),0), INDEX($M$1004,1,MATCH(COLUMNS($M$1006:M1006),$M$1006,0)))),"Fix")))</f>
        <v>0</v>
      </c>
      <c r="F65">
        <v>0</v>
      </c>
      <c r="G65">
        <v>0</v>
      </c>
      <c r="H65">
        <v>0</v>
      </c>
      <c r="I65">
        <f>IF(J65,TRUE,AND(M65))</f>
        <v>0</v>
      </c>
      <c r="J65">
        <f>COUNTBLANK(Metadata!B65)=COLUMNS(Metadata!B65)</f>
        <v>0</v>
      </c>
      <c r="K65">
        <v>0</v>
      </c>
      <c r="M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</row>
    <row r="66" spans="1:13">
      <c r="A66" s="3">
        <f>IF(B66=" "," ",HYPERLINK(CONCATENATE("#metadata!",ADDRESS(INDEX($H$2:$H$1001,MATCH(ROWS($F$2:F66),$F$2:$F$1001,0),0),2)),INDEX($K$2:$K$1001,MATCH(ROWS($F$2:F66),$F$2:$F$1001,0),0)))</f>
        <v>0</v>
      </c>
      <c r="B66" s="4">
        <f>IF(OR(INDEX($G$2:$G$1001,MATCH(ROWS($F$2:F66),$F$2:$F$1001,0),1)&gt;=100000,INDEX($M$1005,1,MATCH(COLUMNS($M$1006:M1006),$M$1006,0))&gt;=100000), " ",IF(INDEX($M$2:$M$1001,MATCH(ROWS($F$2:F66),$F$2:$F$1001,0),MATCH(COLUMNS($M$1006:M1006),$M$1006,0)), HYPERLINK("#",""), HYPERLINK(CONCATENATE("#Metadata!", ADDRESS(INDEX($H$2:$H$1001,MATCH(ROWS($F$2:F66),$F$2:$F$1001,0),0), INDEX($M$1004,1,MATCH(COLUMNS($M$1006:M1006),$M$1006,0)))),"Fix")))</f>
        <v>0</v>
      </c>
      <c r="F66">
        <v>0</v>
      </c>
      <c r="G66">
        <v>0</v>
      </c>
      <c r="H66">
        <v>0</v>
      </c>
      <c r="I66">
        <f>IF(J66,TRUE,AND(M66))</f>
        <v>0</v>
      </c>
      <c r="J66">
        <f>COUNTBLANK(Metadata!B66)=COLUMNS(Metadata!B66)</f>
        <v>0</v>
      </c>
      <c r="K66">
        <v>0</v>
      </c>
      <c r="M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</row>
    <row r="67" spans="1:13">
      <c r="A67" s="3">
        <f>IF(B67=" "," ",HYPERLINK(CONCATENATE("#metadata!",ADDRESS(INDEX($H$2:$H$1001,MATCH(ROWS($F$2:F67),$F$2:$F$1001,0),0),2)),INDEX($K$2:$K$1001,MATCH(ROWS($F$2:F67),$F$2:$F$1001,0),0)))</f>
        <v>0</v>
      </c>
      <c r="B67" s="4">
        <f>IF(OR(INDEX($G$2:$G$1001,MATCH(ROWS($F$2:F67),$F$2:$F$1001,0),1)&gt;=100000,INDEX($M$1005,1,MATCH(COLUMNS($M$1006:M1006),$M$1006,0))&gt;=100000), " ",IF(INDEX($M$2:$M$1001,MATCH(ROWS($F$2:F67),$F$2:$F$1001,0),MATCH(COLUMNS($M$1006:M1006),$M$1006,0)), HYPERLINK("#",""), HYPERLINK(CONCATENATE("#Metadata!", ADDRESS(INDEX($H$2:$H$1001,MATCH(ROWS($F$2:F67),$F$2:$F$1001,0),0), INDEX($M$1004,1,MATCH(COLUMNS($M$1006:M1006),$M$1006,0)))),"Fix")))</f>
        <v>0</v>
      </c>
      <c r="F67">
        <v>0</v>
      </c>
      <c r="G67">
        <v>0</v>
      </c>
      <c r="H67">
        <v>0</v>
      </c>
      <c r="I67">
        <f>IF(J67,TRUE,AND(M67))</f>
        <v>0</v>
      </c>
      <c r="J67">
        <f>COUNTBLANK(Metadata!B67)=COLUMNS(Metadata!B67)</f>
        <v>0</v>
      </c>
      <c r="K67">
        <v>0</v>
      </c>
      <c r="M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</row>
    <row r="68" spans="1:13">
      <c r="A68" s="3">
        <f>IF(B68=" "," ",HYPERLINK(CONCATENATE("#metadata!",ADDRESS(INDEX($H$2:$H$1001,MATCH(ROWS($F$2:F68),$F$2:$F$1001,0),0),2)),INDEX($K$2:$K$1001,MATCH(ROWS($F$2:F68),$F$2:$F$1001,0),0)))</f>
        <v>0</v>
      </c>
      <c r="B68" s="4">
        <f>IF(OR(INDEX($G$2:$G$1001,MATCH(ROWS($F$2:F68),$F$2:$F$1001,0),1)&gt;=100000,INDEX($M$1005,1,MATCH(COLUMNS($M$1006:M1006),$M$1006,0))&gt;=100000), " ",IF(INDEX($M$2:$M$1001,MATCH(ROWS($F$2:F68),$F$2:$F$1001,0),MATCH(COLUMNS($M$1006:M1006),$M$1006,0)), HYPERLINK("#",""), HYPERLINK(CONCATENATE("#Metadata!", ADDRESS(INDEX($H$2:$H$1001,MATCH(ROWS($F$2:F68),$F$2:$F$1001,0),0), INDEX($M$1004,1,MATCH(COLUMNS($M$1006:M1006),$M$1006,0)))),"Fix")))</f>
        <v>0</v>
      </c>
      <c r="F68">
        <v>0</v>
      </c>
      <c r="G68">
        <v>0</v>
      </c>
      <c r="H68">
        <v>0</v>
      </c>
      <c r="I68">
        <f>IF(J68,TRUE,AND(M68))</f>
        <v>0</v>
      </c>
      <c r="J68">
        <f>COUNTBLANK(Metadata!B68)=COLUMNS(Metadata!B68)</f>
        <v>0</v>
      </c>
      <c r="K68">
        <v>0</v>
      </c>
      <c r="M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</row>
    <row r="69" spans="1:13">
      <c r="A69" s="3">
        <f>IF(B69=" "," ",HYPERLINK(CONCATENATE("#metadata!",ADDRESS(INDEX($H$2:$H$1001,MATCH(ROWS($F$2:F69),$F$2:$F$1001,0),0),2)),INDEX($K$2:$K$1001,MATCH(ROWS($F$2:F69),$F$2:$F$1001,0),0)))</f>
        <v>0</v>
      </c>
      <c r="B69" s="4">
        <f>IF(OR(INDEX($G$2:$G$1001,MATCH(ROWS($F$2:F69),$F$2:$F$1001,0),1)&gt;=100000,INDEX($M$1005,1,MATCH(COLUMNS($M$1006:M1006),$M$1006,0))&gt;=100000), " ",IF(INDEX($M$2:$M$1001,MATCH(ROWS($F$2:F69),$F$2:$F$1001,0),MATCH(COLUMNS($M$1006:M1006),$M$1006,0)), HYPERLINK("#",""), HYPERLINK(CONCATENATE("#Metadata!", ADDRESS(INDEX($H$2:$H$1001,MATCH(ROWS($F$2:F69),$F$2:$F$1001,0),0), INDEX($M$1004,1,MATCH(COLUMNS($M$1006:M1006),$M$1006,0)))),"Fix")))</f>
        <v>0</v>
      </c>
      <c r="F69">
        <v>0</v>
      </c>
      <c r="G69">
        <v>0</v>
      </c>
      <c r="H69">
        <v>0</v>
      </c>
      <c r="I69">
        <f>IF(J69,TRUE,AND(M69))</f>
        <v>0</v>
      </c>
      <c r="J69">
        <f>COUNTBLANK(Metadata!B69)=COLUMNS(Metadata!B69)</f>
        <v>0</v>
      </c>
      <c r="K69">
        <v>0</v>
      </c>
      <c r="M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</row>
    <row r="70" spans="1:13">
      <c r="A70" s="3">
        <f>IF(B70=" "," ",HYPERLINK(CONCATENATE("#metadata!",ADDRESS(INDEX($H$2:$H$1001,MATCH(ROWS($F$2:F70),$F$2:$F$1001,0),0),2)),INDEX($K$2:$K$1001,MATCH(ROWS($F$2:F70),$F$2:$F$1001,0),0)))</f>
        <v>0</v>
      </c>
      <c r="B70" s="4">
        <f>IF(OR(INDEX($G$2:$G$1001,MATCH(ROWS($F$2:F70),$F$2:$F$1001,0),1)&gt;=100000,INDEX($M$1005,1,MATCH(COLUMNS($M$1006:M1006),$M$1006,0))&gt;=100000), " ",IF(INDEX($M$2:$M$1001,MATCH(ROWS($F$2:F70),$F$2:$F$1001,0),MATCH(COLUMNS($M$1006:M1006),$M$1006,0)), HYPERLINK("#",""), HYPERLINK(CONCATENATE("#Metadata!", ADDRESS(INDEX($H$2:$H$1001,MATCH(ROWS($F$2:F70),$F$2:$F$1001,0),0), INDEX($M$1004,1,MATCH(COLUMNS($M$1006:M1006),$M$1006,0)))),"Fix")))</f>
        <v>0</v>
      </c>
      <c r="F70">
        <v>0</v>
      </c>
      <c r="G70">
        <v>0</v>
      </c>
      <c r="H70">
        <v>0</v>
      </c>
      <c r="I70">
        <f>IF(J70,TRUE,AND(M70))</f>
        <v>0</v>
      </c>
      <c r="J70">
        <f>COUNTBLANK(Metadata!B70)=COLUMNS(Metadata!B70)</f>
        <v>0</v>
      </c>
      <c r="K70">
        <v>0</v>
      </c>
      <c r="M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</row>
    <row r="71" spans="1:13">
      <c r="A71" s="3">
        <f>IF(B71=" "," ",HYPERLINK(CONCATENATE("#metadata!",ADDRESS(INDEX($H$2:$H$1001,MATCH(ROWS($F$2:F71),$F$2:$F$1001,0),0),2)),INDEX($K$2:$K$1001,MATCH(ROWS($F$2:F71),$F$2:$F$1001,0),0)))</f>
        <v>0</v>
      </c>
      <c r="B71" s="4">
        <f>IF(OR(INDEX($G$2:$G$1001,MATCH(ROWS($F$2:F71),$F$2:$F$1001,0),1)&gt;=100000,INDEX($M$1005,1,MATCH(COLUMNS($M$1006:M1006),$M$1006,0))&gt;=100000), " ",IF(INDEX($M$2:$M$1001,MATCH(ROWS($F$2:F71),$F$2:$F$1001,0),MATCH(COLUMNS($M$1006:M1006),$M$1006,0)), HYPERLINK("#",""), HYPERLINK(CONCATENATE("#Metadata!", ADDRESS(INDEX($H$2:$H$1001,MATCH(ROWS($F$2:F71),$F$2:$F$1001,0),0), INDEX($M$1004,1,MATCH(COLUMNS($M$1006:M1006),$M$1006,0)))),"Fix")))</f>
        <v>0</v>
      </c>
      <c r="F71">
        <v>0</v>
      </c>
      <c r="G71">
        <v>0</v>
      </c>
      <c r="H71">
        <v>0</v>
      </c>
      <c r="I71">
        <f>IF(J71,TRUE,AND(M71))</f>
        <v>0</v>
      </c>
      <c r="J71">
        <f>COUNTBLANK(Metadata!B71)=COLUMNS(Metadata!B71)</f>
        <v>0</v>
      </c>
      <c r="K71">
        <v>0</v>
      </c>
      <c r="M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</row>
    <row r="72" spans="1:13">
      <c r="A72" s="3">
        <f>IF(B72=" "," ",HYPERLINK(CONCATENATE("#metadata!",ADDRESS(INDEX($H$2:$H$1001,MATCH(ROWS($F$2:F72),$F$2:$F$1001,0),0),2)),INDEX($K$2:$K$1001,MATCH(ROWS($F$2:F72),$F$2:$F$1001,0),0)))</f>
        <v>0</v>
      </c>
      <c r="B72" s="4">
        <f>IF(OR(INDEX($G$2:$G$1001,MATCH(ROWS($F$2:F72),$F$2:$F$1001,0),1)&gt;=100000,INDEX($M$1005,1,MATCH(COLUMNS($M$1006:M1006),$M$1006,0))&gt;=100000), " ",IF(INDEX($M$2:$M$1001,MATCH(ROWS($F$2:F72),$F$2:$F$1001,0),MATCH(COLUMNS($M$1006:M1006),$M$1006,0)), HYPERLINK("#",""), HYPERLINK(CONCATENATE("#Metadata!", ADDRESS(INDEX($H$2:$H$1001,MATCH(ROWS($F$2:F72),$F$2:$F$1001,0),0), INDEX($M$1004,1,MATCH(COLUMNS($M$1006:M1006),$M$1006,0)))),"Fix")))</f>
        <v>0</v>
      </c>
      <c r="F72">
        <v>0</v>
      </c>
      <c r="G72">
        <v>0</v>
      </c>
      <c r="H72">
        <v>0</v>
      </c>
      <c r="I72">
        <f>IF(J72,TRUE,AND(M72))</f>
        <v>0</v>
      </c>
      <c r="J72">
        <f>COUNTBLANK(Metadata!B72)=COLUMNS(Metadata!B72)</f>
        <v>0</v>
      </c>
      <c r="K72">
        <v>0</v>
      </c>
      <c r="M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</row>
    <row r="73" spans="1:13">
      <c r="A73" s="3">
        <f>IF(B73=" "," ",HYPERLINK(CONCATENATE("#metadata!",ADDRESS(INDEX($H$2:$H$1001,MATCH(ROWS($F$2:F73),$F$2:$F$1001,0),0),2)),INDEX($K$2:$K$1001,MATCH(ROWS($F$2:F73),$F$2:$F$1001,0),0)))</f>
        <v>0</v>
      </c>
      <c r="B73" s="4">
        <f>IF(OR(INDEX($G$2:$G$1001,MATCH(ROWS($F$2:F73),$F$2:$F$1001,0),1)&gt;=100000,INDEX($M$1005,1,MATCH(COLUMNS($M$1006:M1006),$M$1006,0))&gt;=100000), " ",IF(INDEX($M$2:$M$1001,MATCH(ROWS($F$2:F73),$F$2:$F$1001,0),MATCH(COLUMNS($M$1006:M1006),$M$1006,0)), HYPERLINK("#",""), HYPERLINK(CONCATENATE("#Metadata!", ADDRESS(INDEX($H$2:$H$1001,MATCH(ROWS($F$2:F73),$F$2:$F$1001,0),0), INDEX($M$1004,1,MATCH(COLUMNS($M$1006:M1006),$M$1006,0)))),"Fix")))</f>
        <v>0</v>
      </c>
      <c r="F73">
        <v>0</v>
      </c>
      <c r="G73">
        <v>0</v>
      </c>
      <c r="H73">
        <v>0</v>
      </c>
      <c r="I73">
        <f>IF(J73,TRUE,AND(M73))</f>
        <v>0</v>
      </c>
      <c r="J73">
        <f>COUNTBLANK(Metadata!B73)=COLUMNS(Metadata!B73)</f>
        <v>0</v>
      </c>
      <c r="K73">
        <v>0</v>
      </c>
      <c r="M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</row>
    <row r="74" spans="1:13">
      <c r="A74" s="3">
        <f>IF(B74=" "," ",HYPERLINK(CONCATENATE("#metadata!",ADDRESS(INDEX($H$2:$H$1001,MATCH(ROWS($F$2:F74),$F$2:$F$1001,0),0),2)),INDEX($K$2:$K$1001,MATCH(ROWS($F$2:F74),$F$2:$F$1001,0),0)))</f>
        <v>0</v>
      </c>
      <c r="B74" s="4">
        <f>IF(OR(INDEX($G$2:$G$1001,MATCH(ROWS($F$2:F74),$F$2:$F$1001,0),1)&gt;=100000,INDEX($M$1005,1,MATCH(COLUMNS($M$1006:M1006),$M$1006,0))&gt;=100000), " ",IF(INDEX($M$2:$M$1001,MATCH(ROWS($F$2:F74),$F$2:$F$1001,0),MATCH(COLUMNS($M$1006:M1006),$M$1006,0)), HYPERLINK("#",""), HYPERLINK(CONCATENATE("#Metadata!", ADDRESS(INDEX($H$2:$H$1001,MATCH(ROWS($F$2:F74),$F$2:$F$1001,0),0), INDEX($M$1004,1,MATCH(COLUMNS($M$1006:M1006),$M$1006,0)))),"Fix")))</f>
        <v>0</v>
      </c>
      <c r="F74">
        <v>0</v>
      </c>
      <c r="G74">
        <v>0</v>
      </c>
      <c r="H74">
        <v>0</v>
      </c>
      <c r="I74">
        <f>IF(J74,TRUE,AND(M74))</f>
        <v>0</v>
      </c>
      <c r="J74">
        <f>COUNTBLANK(Metadata!B74)=COLUMNS(Metadata!B74)</f>
        <v>0</v>
      </c>
      <c r="K74">
        <v>0</v>
      </c>
      <c r="M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</row>
    <row r="75" spans="1:13">
      <c r="A75" s="3">
        <f>IF(B75=" "," ",HYPERLINK(CONCATENATE("#metadata!",ADDRESS(INDEX($H$2:$H$1001,MATCH(ROWS($F$2:F75),$F$2:$F$1001,0),0),2)),INDEX($K$2:$K$1001,MATCH(ROWS($F$2:F75),$F$2:$F$1001,0),0)))</f>
        <v>0</v>
      </c>
      <c r="B75" s="4">
        <f>IF(OR(INDEX($G$2:$G$1001,MATCH(ROWS($F$2:F75),$F$2:$F$1001,0),1)&gt;=100000,INDEX($M$1005,1,MATCH(COLUMNS($M$1006:M1006),$M$1006,0))&gt;=100000), " ",IF(INDEX($M$2:$M$1001,MATCH(ROWS($F$2:F75),$F$2:$F$1001,0),MATCH(COLUMNS($M$1006:M1006),$M$1006,0)), HYPERLINK("#",""), HYPERLINK(CONCATENATE("#Metadata!", ADDRESS(INDEX($H$2:$H$1001,MATCH(ROWS($F$2:F75),$F$2:$F$1001,0),0), INDEX($M$1004,1,MATCH(COLUMNS($M$1006:M1006),$M$1006,0)))),"Fix")))</f>
        <v>0</v>
      </c>
      <c r="F75">
        <v>0</v>
      </c>
      <c r="G75">
        <v>0</v>
      </c>
      <c r="H75">
        <v>0</v>
      </c>
      <c r="I75">
        <f>IF(J75,TRUE,AND(M75))</f>
        <v>0</v>
      </c>
      <c r="J75">
        <f>COUNTBLANK(Metadata!B75)=COLUMNS(Metadata!B75)</f>
        <v>0</v>
      </c>
      <c r="K75">
        <v>0</v>
      </c>
      <c r="M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</row>
    <row r="76" spans="1:13">
      <c r="A76" s="3">
        <f>IF(B76=" "," ",HYPERLINK(CONCATENATE("#metadata!",ADDRESS(INDEX($H$2:$H$1001,MATCH(ROWS($F$2:F76),$F$2:$F$1001,0),0),2)),INDEX($K$2:$K$1001,MATCH(ROWS($F$2:F76),$F$2:$F$1001,0),0)))</f>
        <v>0</v>
      </c>
      <c r="B76" s="4">
        <f>IF(OR(INDEX($G$2:$G$1001,MATCH(ROWS($F$2:F76),$F$2:$F$1001,0),1)&gt;=100000,INDEX($M$1005,1,MATCH(COLUMNS($M$1006:M1006),$M$1006,0))&gt;=100000), " ",IF(INDEX($M$2:$M$1001,MATCH(ROWS($F$2:F76),$F$2:$F$1001,0),MATCH(COLUMNS($M$1006:M1006),$M$1006,0)), HYPERLINK("#",""), HYPERLINK(CONCATENATE("#Metadata!", ADDRESS(INDEX($H$2:$H$1001,MATCH(ROWS($F$2:F76),$F$2:$F$1001,0),0), INDEX($M$1004,1,MATCH(COLUMNS($M$1006:M1006),$M$1006,0)))),"Fix")))</f>
        <v>0</v>
      </c>
      <c r="F76">
        <v>0</v>
      </c>
      <c r="G76">
        <v>0</v>
      </c>
      <c r="H76">
        <v>0</v>
      </c>
      <c r="I76">
        <f>IF(J76,TRUE,AND(M76))</f>
        <v>0</v>
      </c>
      <c r="J76">
        <f>COUNTBLANK(Metadata!B76)=COLUMNS(Metadata!B76)</f>
        <v>0</v>
      </c>
      <c r="K76">
        <v>0</v>
      </c>
      <c r="M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</row>
    <row r="77" spans="1:13">
      <c r="A77" s="3">
        <f>IF(B77=" "," ",HYPERLINK(CONCATENATE("#metadata!",ADDRESS(INDEX($H$2:$H$1001,MATCH(ROWS($F$2:F77),$F$2:$F$1001,0),0),2)),INDEX($K$2:$K$1001,MATCH(ROWS($F$2:F77),$F$2:$F$1001,0),0)))</f>
        <v>0</v>
      </c>
      <c r="B77" s="4">
        <f>IF(OR(INDEX($G$2:$G$1001,MATCH(ROWS($F$2:F77),$F$2:$F$1001,0),1)&gt;=100000,INDEX($M$1005,1,MATCH(COLUMNS($M$1006:M1006),$M$1006,0))&gt;=100000), " ",IF(INDEX($M$2:$M$1001,MATCH(ROWS($F$2:F77),$F$2:$F$1001,0),MATCH(COLUMNS($M$1006:M1006),$M$1006,0)), HYPERLINK("#",""), HYPERLINK(CONCATENATE("#Metadata!", ADDRESS(INDEX($H$2:$H$1001,MATCH(ROWS($F$2:F77),$F$2:$F$1001,0),0), INDEX($M$1004,1,MATCH(COLUMNS($M$1006:M1006),$M$1006,0)))),"Fix")))</f>
        <v>0</v>
      </c>
      <c r="F77">
        <v>0</v>
      </c>
      <c r="G77">
        <v>0</v>
      </c>
      <c r="H77">
        <v>0</v>
      </c>
      <c r="I77">
        <f>IF(J77,TRUE,AND(M77))</f>
        <v>0</v>
      </c>
      <c r="J77">
        <f>COUNTBLANK(Metadata!B77)=COLUMNS(Metadata!B77)</f>
        <v>0</v>
      </c>
      <c r="K77">
        <v>0</v>
      </c>
      <c r="M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</row>
    <row r="78" spans="1:13">
      <c r="A78" s="3">
        <f>IF(B78=" "," ",HYPERLINK(CONCATENATE("#metadata!",ADDRESS(INDEX($H$2:$H$1001,MATCH(ROWS($F$2:F78),$F$2:$F$1001,0),0),2)),INDEX($K$2:$K$1001,MATCH(ROWS($F$2:F78),$F$2:$F$1001,0),0)))</f>
        <v>0</v>
      </c>
      <c r="B78" s="4">
        <f>IF(OR(INDEX($G$2:$G$1001,MATCH(ROWS($F$2:F78),$F$2:$F$1001,0),1)&gt;=100000,INDEX($M$1005,1,MATCH(COLUMNS($M$1006:M1006),$M$1006,0))&gt;=100000), " ",IF(INDEX($M$2:$M$1001,MATCH(ROWS($F$2:F78),$F$2:$F$1001,0),MATCH(COLUMNS($M$1006:M1006),$M$1006,0)), HYPERLINK("#",""), HYPERLINK(CONCATENATE("#Metadata!", ADDRESS(INDEX($H$2:$H$1001,MATCH(ROWS($F$2:F78),$F$2:$F$1001,0),0), INDEX($M$1004,1,MATCH(COLUMNS($M$1006:M1006),$M$1006,0)))),"Fix")))</f>
        <v>0</v>
      </c>
      <c r="F78">
        <v>0</v>
      </c>
      <c r="G78">
        <v>0</v>
      </c>
      <c r="H78">
        <v>0</v>
      </c>
      <c r="I78">
        <f>IF(J78,TRUE,AND(M78))</f>
        <v>0</v>
      </c>
      <c r="J78">
        <f>COUNTBLANK(Metadata!B78)=COLUMNS(Metadata!B78)</f>
        <v>0</v>
      </c>
      <c r="K78">
        <v>0</v>
      </c>
      <c r="M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</row>
    <row r="79" spans="1:13">
      <c r="A79" s="3">
        <f>IF(B79=" "," ",HYPERLINK(CONCATENATE("#metadata!",ADDRESS(INDEX($H$2:$H$1001,MATCH(ROWS($F$2:F79),$F$2:$F$1001,0),0),2)),INDEX($K$2:$K$1001,MATCH(ROWS($F$2:F79),$F$2:$F$1001,0),0)))</f>
        <v>0</v>
      </c>
      <c r="B79" s="4">
        <f>IF(OR(INDEX($G$2:$G$1001,MATCH(ROWS($F$2:F79),$F$2:$F$1001,0),1)&gt;=100000,INDEX($M$1005,1,MATCH(COLUMNS($M$1006:M1006),$M$1006,0))&gt;=100000), " ",IF(INDEX($M$2:$M$1001,MATCH(ROWS($F$2:F79),$F$2:$F$1001,0),MATCH(COLUMNS($M$1006:M1006),$M$1006,0)), HYPERLINK("#",""), HYPERLINK(CONCATENATE("#Metadata!", ADDRESS(INDEX($H$2:$H$1001,MATCH(ROWS($F$2:F79),$F$2:$F$1001,0),0), INDEX($M$1004,1,MATCH(COLUMNS($M$1006:M1006),$M$1006,0)))),"Fix")))</f>
        <v>0</v>
      </c>
      <c r="F79">
        <v>0</v>
      </c>
      <c r="G79">
        <v>0</v>
      </c>
      <c r="H79">
        <v>0</v>
      </c>
      <c r="I79">
        <f>IF(J79,TRUE,AND(M79))</f>
        <v>0</v>
      </c>
      <c r="J79">
        <f>COUNTBLANK(Metadata!B79)=COLUMNS(Metadata!B79)</f>
        <v>0</v>
      </c>
      <c r="K79">
        <v>0</v>
      </c>
      <c r="M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</row>
    <row r="80" spans="1:13">
      <c r="A80" s="3">
        <f>IF(B80=" "," ",HYPERLINK(CONCATENATE("#metadata!",ADDRESS(INDEX($H$2:$H$1001,MATCH(ROWS($F$2:F80),$F$2:$F$1001,0),0),2)),INDEX($K$2:$K$1001,MATCH(ROWS($F$2:F80),$F$2:$F$1001,0),0)))</f>
        <v>0</v>
      </c>
      <c r="B80" s="4">
        <f>IF(OR(INDEX($G$2:$G$1001,MATCH(ROWS($F$2:F80),$F$2:$F$1001,0),1)&gt;=100000,INDEX($M$1005,1,MATCH(COLUMNS($M$1006:M1006),$M$1006,0))&gt;=100000), " ",IF(INDEX($M$2:$M$1001,MATCH(ROWS($F$2:F80),$F$2:$F$1001,0),MATCH(COLUMNS($M$1006:M1006),$M$1006,0)), HYPERLINK("#",""), HYPERLINK(CONCATENATE("#Metadata!", ADDRESS(INDEX($H$2:$H$1001,MATCH(ROWS($F$2:F80),$F$2:$F$1001,0),0), INDEX($M$1004,1,MATCH(COLUMNS($M$1006:M1006),$M$1006,0)))),"Fix")))</f>
        <v>0</v>
      </c>
      <c r="F80">
        <v>0</v>
      </c>
      <c r="G80">
        <v>0</v>
      </c>
      <c r="H80">
        <v>0</v>
      </c>
      <c r="I80">
        <f>IF(J80,TRUE,AND(M80))</f>
        <v>0</v>
      </c>
      <c r="J80">
        <f>COUNTBLANK(Metadata!B80)=COLUMNS(Metadata!B80)</f>
        <v>0</v>
      </c>
      <c r="K80">
        <v>0</v>
      </c>
      <c r="M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</row>
    <row r="81" spans="1:13">
      <c r="A81" s="3">
        <f>IF(B81=" "," ",HYPERLINK(CONCATENATE("#metadata!",ADDRESS(INDEX($H$2:$H$1001,MATCH(ROWS($F$2:F81),$F$2:$F$1001,0),0),2)),INDEX($K$2:$K$1001,MATCH(ROWS($F$2:F81),$F$2:$F$1001,0),0)))</f>
        <v>0</v>
      </c>
      <c r="B81" s="4">
        <f>IF(OR(INDEX($G$2:$G$1001,MATCH(ROWS($F$2:F81),$F$2:$F$1001,0),1)&gt;=100000,INDEX($M$1005,1,MATCH(COLUMNS($M$1006:M1006),$M$1006,0))&gt;=100000), " ",IF(INDEX($M$2:$M$1001,MATCH(ROWS($F$2:F81),$F$2:$F$1001,0),MATCH(COLUMNS($M$1006:M1006),$M$1006,0)), HYPERLINK("#",""), HYPERLINK(CONCATENATE("#Metadata!", ADDRESS(INDEX($H$2:$H$1001,MATCH(ROWS($F$2:F81),$F$2:$F$1001,0),0), INDEX($M$1004,1,MATCH(COLUMNS($M$1006:M1006),$M$1006,0)))),"Fix")))</f>
        <v>0</v>
      </c>
      <c r="F81">
        <v>0</v>
      </c>
      <c r="G81">
        <v>0</v>
      </c>
      <c r="H81">
        <v>0</v>
      </c>
      <c r="I81">
        <f>IF(J81,TRUE,AND(M81))</f>
        <v>0</v>
      </c>
      <c r="J81">
        <f>COUNTBLANK(Metadata!B81)=COLUMNS(Metadata!B81)</f>
        <v>0</v>
      </c>
      <c r="K81">
        <v>0</v>
      </c>
      <c r="M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</row>
    <row r="82" spans="1:13">
      <c r="A82" s="3">
        <f>IF(B82=" "," ",HYPERLINK(CONCATENATE("#metadata!",ADDRESS(INDEX($H$2:$H$1001,MATCH(ROWS($F$2:F82),$F$2:$F$1001,0),0),2)),INDEX($K$2:$K$1001,MATCH(ROWS($F$2:F82),$F$2:$F$1001,0),0)))</f>
        <v>0</v>
      </c>
      <c r="B82" s="4">
        <f>IF(OR(INDEX($G$2:$G$1001,MATCH(ROWS($F$2:F82),$F$2:$F$1001,0),1)&gt;=100000,INDEX($M$1005,1,MATCH(COLUMNS($M$1006:M1006),$M$1006,0))&gt;=100000), " ",IF(INDEX($M$2:$M$1001,MATCH(ROWS($F$2:F82),$F$2:$F$1001,0),MATCH(COLUMNS($M$1006:M1006),$M$1006,0)), HYPERLINK("#",""), HYPERLINK(CONCATENATE("#Metadata!", ADDRESS(INDEX($H$2:$H$1001,MATCH(ROWS($F$2:F82),$F$2:$F$1001,0),0), INDEX($M$1004,1,MATCH(COLUMNS($M$1006:M1006),$M$1006,0)))),"Fix")))</f>
        <v>0</v>
      </c>
      <c r="F82">
        <v>0</v>
      </c>
      <c r="G82">
        <v>0</v>
      </c>
      <c r="H82">
        <v>0</v>
      </c>
      <c r="I82">
        <f>IF(J82,TRUE,AND(M82))</f>
        <v>0</v>
      </c>
      <c r="J82">
        <f>COUNTBLANK(Metadata!B82)=COLUMNS(Metadata!B82)</f>
        <v>0</v>
      </c>
      <c r="K82">
        <v>0</v>
      </c>
      <c r="M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</row>
    <row r="83" spans="1:13">
      <c r="A83" s="3">
        <f>IF(B83=" "," ",HYPERLINK(CONCATENATE("#metadata!",ADDRESS(INDEX($H$2:$H$1001,MATCH(ROWS($F$2:F83),$F$2:$F$1001,0),0),2)),INDEX($K$2:$K$1001,MATCH(ROWS($F$2:F83),$F$2:$F$1001,0),0)))</f>
        <v>0</v>
      </c>
      <c r="B83" s="4">
        <f>IF(OR(INDEX($G$2:$G$1001,MATCH(ROWS($F$2:F83),$F$2:$F$1001,0),1)&gt;=100000,INDEX($M$1005,1,MATCH(COLUMNS($M$1006:M1006),$M$1006,0))&gt;=100000), " ",IF(INDEX($M$2:$M$1001,MATCH(ROWS($F$2:F83),$F$2:$F$1001,0),MATCH(COLUMNS($M$1006:M1006),$M$1006,0)), HYPERLINK("#",""), HYPERLINK(CONCATENATE("#Metadata!", ADDRESS(INDEX($H$2:$H$1001,MATCH(ROWS($F$2:F83),$F$2:$F$1001,0),0), INDEX($M$1004,1,MATCH(COLUMNS($M$1006:M1006),$M$1006,0)))),"Fix")))</f>
        <v>0</v>
      </c>
      <c r="F83">
        <v>0</v>
      </c>
      <c r="G83">
        <v>0</v>
      </c>
      <c r="H83">
        <v>0</v>
      </c>
      <c r="I83">
        <f>IF(J83,TRUE,AND(M83))</f>
        <v>0</v>
      </c>
      <c r="J83">
        <f>COUNTBLANK(Metadata!B83)=COLUMNS(Metadata!B83)</f>
        <v>0</v>
      </c>
      <c r="K83">
        <v>0</v>
      </c>
      <c r="M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</row>
    <row r="84" spans="1:13">
      <c r="A84" s="3">
        <f>IF(B84=" "," ",HYPERLINK(CONCATENATE("#metadata!",ADDRESS(INDEX($H$2:$H$1001,MATCH(ROWS($F$2:F84),$F$2:$F$1001,0),0),2)),INDEX($K$2:$K$1001,MATCH(ROWS($F$2:F84),$F$2:$F$1001,0),0)))</f>
        <v>0</v>
      </c>
      <c r="B84" s="4">
        <f>IF(OR(INDEX($G$2:$G$1001,MATCH(ROWS($F$2:F84),$F$2:$F$1001,0),1)&gt;=100000,INDEX($M$1005,1,MATCH(COLUMNS($M$1006:M1006),$M$1006,0))&gt;=100000), " ",IF(INDEX($M$2:$M$1001,MATCH(ROWS($F$2:F84),$F$2:$F$1001,0),MATCH(COLUMNS($M$1006:M1006),$M$1006,0)), HYPERLINK("#",""), HYPERLINK(CONCATENATE("#Metadata!", ADDRESS(INDEX($H$2:$H$1001,MATCH(ROWS($F$2:F84),$F$2:$F$1001,0),0), INDEX($M$1004,1,MATCH(COLUMNS($M$1006:M1006),$M$1006,0)))),"Fix")))</f>
        <v>0</v>
      </c>
      <c r="F84">
        <v>0</v>
      </c>
      <c r="G84">
        <v>0</v>
      </c>
      <c r="H84">
        <v>0</v>
      </c>
      <c r="I84">
        <f>IF(J84,TRUE,AND(M84))</f>
        <v>0</v>
      </c>
      <c r="J84">
        <f>COUNTBLANK(Metadata!B84)=COLUMNS(Metadata!B84)</f>
        <v>0</v>
      </c>
      <c r="K84">
        <v>0</v>
      </c>
      <c r="M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</row>
    <row r="85" spans="1:13">
      <c r="A85" s="3">
        <f>IF(B85=" "," ",HYPERLINK(CONCATENATE("#metadata!",ADDRESS(INDEX($H$2:$H$1001,MATCH(ROWS($F$2:F85),$F$2:$F$1001,0),0),2)),INDEX($K$2:$K$1001,MATCH(ROWS($F$2:F85),$F$2:$F$1001,0),0)))</f>
        <v>0</v>
      </c>
      <c r="B85" s="4">
        <f>IF(OR(INDEX($G$2:$G$1001,MATCH(ROWS($F$2:F85),$F$2:$F$1001,0),1)&gt;=100000,INDEX($M$1005,1,MATCH(COLUMNS($M$1006:M1006),$M$1006,0))&gt;=100000), " ",IF(INDEX($M$2:$M$1001,MATCH(ROWS($F$2:F85),$F$2:$F$1001,0),MATCH(COLUMNS($M$1006:M1006),$M$1006,0)), HYPERLINK("#",""), HYPERLINK(CONCATENATE("#Metadata!", ADDRESS(INDEX($H$2:$H$1001,MATCH(ROWS($F$2:F85),$F$2:$F$1001,0),0), INDEX($M$1004,1,MATCH(COLUMNS($M$1006:M1006),$M$1006,0)))),"Fix")))</f>
        <v>0</v>
      </c>
      <c r="F85">
        <v>0</v>
      </c>
      <c r="G85">
        <v>0</v>
      </c>
      <c r="H85">
        <v>0</v>
      </c>
      <c r="I85">
        <f>IF(J85,TRUE,AND(M85))</f>
        <v>0</v>
      </c>
      <c r="J85">
        <f>COUNTBLANK(Metadata!B85)=COLUMNS(Metadata!B85)</f>
        <v>0</v>
      </c>
      <c r="K85">
        <v>0</v>
      </c>
      <c r="M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</row>
    <row r="86" spans="1:13">
      <c r="A86" s="3">
        <f>IF(B86=" "," ",HYPERLINK(CONCATENATE("#metadata!",ADDRESS(INDEX($H$2:$H$1001,MATCH(ROWS($F$2:F86),$F$2:$F$1001,0),0),2)),INDEX($K$2:$K$1001,MATCH(ROWS($F$2:F86),$F$2:$F$1001,0),0)))</f>
        <v>0</v>
      </c>
      <c r="B86" s="4">
        <f>IF(OR(INDEX($G$2:$G$1001,MATCH(ROWS($F$2:F86),$F$2:$F$1001,0),1)&gt;=100000,INDEX($M$1005,1,MATCH(COLUMNS($M$1006:M1006),$M$1006,0))&gt;=100000), " ",IF(INDEX($M$2:$M$1001,MATCH(ROWS($F$2:F86),$F$2:$F$1001,0),MATCH(COLUMNS($M$1006:M1006),$M$1006,0)), HYPERLINK("#",""), HYPERLINK(CONCATENATE("#Metadata!", ADDRESS(INDEX($H$2:$H$1001,MATCH(ROWS($F$2:F86),$F$2:$F$1001,0),0), INDEX($M$1004,1,MATCH(COLUMNS($M$1006:M1006),$M$1006,0)))),"Fix")))</f>
        <v>0</v>
      </c>
      <c r="F86">
        <v>0</v>
      </c>
      <c r="G86">
        <v>0</v>
      </c>
      <c r="H86">
        <v>0</v>
      </c>
      <c r="I86">
        <f>IF(J86,TRUE,AND(M86))</f>
        <v>0</v>
      </c>
      <c r="J86">
        <f>COUNTBLANK(Metadata!B86)=COLUMNS(Metadata!B86)</f>
        <v>0</v>
      </c>
      <c r="K86">
        <v>0</v>
      </c>
      <c r="M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</row>
    <row r="87" spans="1:13">
      <c r="A87" s="3">
        <f>IF(B87=" "," ",HYPERLINK(CONCATENATE("#metadata!",ADDRESS(INDEX($H$2:$H$1001,MATCH(ROWS($F$2:F87),$F$2:$F$1001,0),0),2)),INDEX($K$2:$K$1001,MATCH(ROWS($F$2:F87),$F$2:$F$1001,0),0)))</f>
        <v>0</v>
      </c>
      <c r="B87" s="4">
        <f>IF(OR(INDEX($G$2:$G$1001,MATCH(ROWS($F$2:F87),$F$2:$F$1001,0),1)&gt;=100000,INDEX($M$1005,1,MATCH(COLUMNS($M$1006:M1006),$M$1006,0))&gt;=100000), " ",IF(INDEX($M$2:$M$1001,MATCH(ROWS($F$2:F87),$F$2:$F$1001,0),MATCH(COLUMNS($M$1006:M1006),$M$1006,0)), HYPERLINK("#",""), HYPERLINK(CONCATENATE("#Metadata!", ADDRESS(INDEX($H$2:$H$1001,MATCH(ROWS($F$2:F87),$F$2:$F$1001,0),0), INDEX($M$1004,1,MATCH(COLUMNS($M$1006:M1006),$M$1006,0)))),"Fix")))</f>
        <v>0</v>
      </c>
      <c r="F87">
        <v>0</v>
      </c>
      <c r="G87">
        <v>0</v>
      </c>
      <c r="H87">
        <v>0</v>
      </c>
      <c r="I87">
        <f>IF(J87,TRUE,AND(M87))</f>
        <v>0</v>
      </c>
      <c r="J87">
        <f>COUNTBLANK(Metadata!B87)=COLUMNS(Metadata!B87)</f>
        <v>0</v>
      </c>
      <c r="K87">
        <v>0</v>
      </c>
      <c r="M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</row>
    <row r="88" spans="1:13">
      <c r="A88" s="3">
        <f>IF(B88=" "," ",HYPERLINK(CONCATENATE("#metadata!",ADDRESS(INDEX($H$2:$H$1001,MATCH(ROWS($F$2:F88),$F$2:$F$1001,0),0),2)),INDEX($K$2:$K$1001,MATCH(ROWS($F$2:F88),$F$2:$F$1001,0),0)))</f>
        <v>0</v>
      </c>
      <c r="B88" s="4">
        <f>IF(OR(INDEX($G$2:$G$1001,MATCH(ROWS($F$2:F88),$F$2:$F$1001,0),1)&gt;=100000,INDEX($M$1005,1,MATCH(COLUMNS($M$1006:M1006),$M$1006,0))&gt;=100000), " ",IF(INDEX($M$2:$M$1001,MATCH(ROWS($F$2:F88),$F$2:$F$1001,0),MATCH(COLUMNS($M$1006:M1006),$M$1006,0)), HYPERLINK("#",""), HYPERLINK(CONCATENATE("#Metadata!", ADDRESS(INDEX($H$2:$H$1001,MATCH(ROWS($F$2:F88),$F$2:$F$1001,0),0), INDEX($M$1004,1,MATCH(COLUMNS($M$1006:M1006),$M$1006,0)))),"Fix")))</f>
        <v>0</v>
      </c>
      <c r="F88">
        <v>0</v>
      </c>
      <c r="G88">
        <v>0</v>
      </c>
      <c r="H88">
        <v>0</v>
      </c>
      <c r="I88">
        <f>IF(J88,TRUE,AND(M88))</f>
        <v>0</v>
      </c>
      <c r="J88">
        <f>COUNTBLANK(Metadata!B88)=COLUMNS(Metadata!B88)</f>
        <v>0</v>
      </c>
      <c r="K88">
        <v>0</v>
      </c>
      <c r="M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</row>
    <row r="89" spans="1:13">
      <c r="A89" s="3">
        <f>IF(B89=" "," ",HYPERLINK(CONCATENATE("#metadata!",ADDRESS(INDEX($H$2:$H$1001,MATCH(ROWS($F$2:F89),$F$2:$F$1001,0),0),2)),INDEX($K$2:$K$1001,MATCH(ROWS($F$2:F89),$F$2:$F$1001,0),0)))</f>
        <v>0</v>
      </c>
      <c r="B89" s="4">
        <f>IF(OR(INDEX($G$2:$G$1001,MATCH(ROWS($F$2:F89),$F$2:$F$1001,0),1)&gt;=100000,INDEX($M$1005,1,MATCH(COLUMNS($M$1006:M1006),$M$1006,0))&gt;=100000), " ",IF(INDEX($M$2:$M$1001,MATCH(ROWS($F$2:F89),$F$2:$F$1001,0),MATCH(COLUMNS($M$1006:M1006),$M$1006,0)), HYPERLINK("#",""), HYPERLINK(CONCATENATE("#Metadata!", ADDRESS(INDEX($H$2:$H$1001,MATCH(ROWS($F$2:F89),$F$2:$F$1001,0),0), INDEX($M$1004,1,MATCH(COLUMNS($M$1006:M1006),$M$1006,0)))),"Fix")))</f>
        <v>0</v>
      </c>
      <c r="F89">
        <v>0</v>
      </c>
      <c r="G89">
        <v>0</v>
      </c>
      <c r="H89">
        <v>0</v>
      </c>
      <c r="I89">
        <f>IF(J89,TRUE,AND(M89))</f>
        <v>0</v>
      </c>
      <c r="J89">
        <f>COUNTBLANK(Metadata!B89)=COLUMNS(Metadata!B89)</f>
        <v>0</v>
      </c>
      <c r="K89">
        <v>0</v>
      </c>
      <c r="M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</row>
    <row r="90" spans="1:13">
      <c r="A90" s="3">
        <f>IF(B90=" "," ",HYPERLINK(CONCATENATE("#metadata!",ADDRESS(INDEX($H$2:$H$1001,MATCH(ROWS($F$2:F90),$F$2:$F$1001,0),0),2)),INDEX($K$2:$K$1001,MATCH(ROWS($F$2:F90),$F$2:$F$1001,0),0)))</f>
        <v>0</v>
      </c>
      <c r="B90" s="4">
        <f>IF(OR(INDEX($G$2:$G$1001,MATCH(ROWS($F$2:F90),$F$2:$F$1001,0),1)&gt;=100000,INDEX($M$1005,1,MATCH(COLUMNS($M$1006:M1006),$M$1006,0))&gt;=100000), " ",IF(INDEX($M$2:$M$1001,MATCH(ROWS($F$2:F90),$F$2:$F$1001,0),MATCH(COLUMNS($M$1006:M1006),$M$1006,0)), HYPERLINK("#",""), HYPERLINK(CONCATENATE("#Metadata!", ADDRESS(INDEX($H$2:$H$1001,MATCH(ROWS($F$2:F90),$F$2:$F$1001,0),0), INDEX($M$1004,1,MATCH(COLUMNS($M$1006:M1006),$M$1006,0)))),"Fix")))</f>
        <v>0</v>
      </c>
      <c r="F90">
        <v>0</v>
      </c>
      <c r="G90">
        <v>0</v>
      </c>
      <c r="H90">
        <v>0</v>
      </c>
      <c r="I90">
        <f>IF(J90,TRUE,AND(M90))</f>
        <v>0</v>
      </c>
      <c r="J90">
        <f>COUNTBLANK(Metadata!B90)=COLUMNS(Metadata!B90)</f>
        <v>0</v>
      </c>
      <c r="K90">
        <v>0</v>
      </c>
      <c r="M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</row>
    <row r="91" spans="1:13">
      <c r="A91" s="3">
        <f>IF(B91=" "," ",HYPERLINK(CONCATENATE("#metadata!",ADDRESS(INDEX($H$2:$H$1001,MATCH(ROWS($F$2:F91),$F$2:$F$1001,0),0),2)),INDEX($K$2:$K$1001,MATCH(ROWS($F$2:F91),$F$2:$F$1001,0),0)))</f>
        <v>0</v>
      </c>
      <c r="B91" s="4">
        <f>IF(OR(INDEX($G$2:$G$1001,MATCH(ROWS($F$2:F91),$F$2:$F$1001,0),1)&gt;=100000,INDEX($M$1005,1,MATCH(COLUMNS($M$1006:M1006),$M$1006,0))&gt;=100000), " ",IF(INDEX($M$2:$M$1001,MATCH(ROWS($F$2:F91),$F$2:$F$1001,0),MATCH(COLUMNS($M$1006:M1006),$M$1006,0)), HYPERLINK("#",""), HYPERLINK(CONCATENATE("#Metadata!", ADDRESS(INDEX($H$2:$H$1001,MATCH(ROWS($F$2:F91),$F$2:$F$1001,0),0), INDEX($M$1004,1,MATCH(COLUMNS($M$1006:M1006),$M$1006,0)))),"Fix")))</f>
        <v>0</v>
      </c>
      <c r="F91">
        <v>0</v>
      </c>
      <c r="G91">
        <v>0</v>
      </c>
      <c r="H91">
        <v>0</v>
      </c>
      <c r="I91">
        <f>IF(J91,TRUE,AND(M91))</f>
        <v>0</v>
      </c>
      <c r="J91">
        <f>COUNTBLANK(Metadata!B91)=COLUMNS(Metadata!B91)</f>
        <v>0</v>
      </c>
      <c r="K91">
        <v>0</v>
      </c>
      <c r="M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</row>
    <row r="92" spans="1:13">
      <c r="A92" s="3">
        <f>IF(B92=" "," ",HYPERLINK(CONCATENATE("#metadata!",ADDRESS(INDEX($H$2:$H$1001,MATCH(ROWS($F$2:F92),$F$2:$F$1001,0),0),2)),INDEX($K$2:$K$1001,MATCH(ROWS($F$2:F92),$F$2:$F$1001,0),0)))</f>
        <v>0</v>
      </c>
      <c r="B92" s="4">
        <f>IF(OR(INDEX($G$2:$G$1001,MATCH(ROWS($F$2:F92),$F$2:$F$1001,0),1)&gt;=100000,INDEX($M$1005,1,MATCH(COLUMNS($M$1006:M1006),$M$1006,0))&gt;=100000), " ",IF(INDEX($M$2:$M$1001,MATCH(ROWS($F$2:F92),$F$2:$F$1001,0),MATCH(COLUMNS($M$1006:M1006),$M$1006,0)), HYPERLINK("#",""), HYPERLINK(CONCATENATE("#Metadata!", ADDRESS(INDEX($H$2:$H$1001,MATCH(ROWS($F$2:F92),$F$2:$F$1001,0),0), INDEX($M$1004,1,MATCH(COLUMNS($M$1006:M1006),$M$1006,0)))),"Fix")))</f>
        <v>0</v>
      </c>
      <c r="F92">
        <v>0</v>
      </c>
      <c r="G92">
        <v>0</v>
      </c>
      <c r="H92">
        <v>0</v>
      </c>
      <c r="I92">
        <f>IF(J92,TRUE,AND(M92))</f>
        <v>0</v>
      </c>
      <c r="J92">
        <f>COUNTBLANK(Metadata!B92)=COLUMNS(Metadata!B92)</f>
        <v>0</v>
      </c>
      <c r="K92">
        <v>0</v>
      </c>
      <c r="M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</row>
    <row r="93" spans="1:13">
      <c r="A93" s="3">
        <f>IF(B93=" "," ",HYPERLINK(CONCATENATE("#metadata!",ADDRESS(INDEX($H$2:$H$1001,MATCH(ROWS($F$2:F93),$F$2:$F$1001,0),0),2)),INDEX($K$2:$K$1001,MATCH(ROWS($F$2:F93),$F$2:$F$1001,0),0)))</f>
        <v>0</v>
      </c>
      <c r="B93" s="4">
        <f>IF(OR(INDEX($G$2:$G$1001,MATCH(ROWS($F$2:F93),$F$2:$F$1001,0),1)&gt;=100000,INDEX($M$1005,1,MATCH(COLUMNS($M$1006:M1006),$M$1006,0))&gt;=100000), " ",IF(INDEX($M$2:$M$1001,MATCH(ROWS($F$2:F93),$F$2:$F$1001,0),MATCH(COLUMNS($M$1006:M1006),$M$1006,0)), HYPERLINK("#",""), HYPERLINK(CONCATENATE("#Metadata!", ADDRESS(INDEX($H$2:$H$1001,MATCH(ROWS($F$2:F93),$F$2:$F$1001,0),0), INDEX($M$1004,1,MATCH(COLUMNS($M$1006:M1006),$M$1006,0)))),"Fix")))</f>
        <v>0</v>
      </c>
      <c r="F93">
        <v>0</v>
      </c>
      <c r="G93">
        <v>0</v>
      </c>
      <c r="H93">
        <v>0</v>
      </c>
      <c r="I93">
        <f>IF(J93,TRUE,AND(M93))</f>
        <v>0</v>
      </c>
      <c r="J93">
        <f>COUNTBLANK(Metadata!B93)=COLUMNS(Metadata!B93)</f>
        <v>0</v>
      </c>
      <c r="K93">
        <v>0</v>
      </c>
      <c r="M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</row>
    <row r="94" spans="1:13">
      <c r="A94" s="3">
        <f>IF(B94=" "," ",HYPERLINK(CONCATENATE("#metadata!",ADDRESS(INDEX($H$2:$H$1001,MATCH(ROWS($F$2:F94),$F$2:$F$1001,0),0),2)),INDEX($K$2:$K$1001,MATCH(ROWS($F$2:F94),$F$2:$F$1001,0),0)))</f>
        <v>0</v>
      </c>
      <c r="B94" s="4">
        <f>IF(OR(INDEX($G$2:$G$1001,MATCH(ROWS($F$2:F94),$F$2:$F$1001,0),1)&gt;=100000,INDEX($M$1005,1,MATCH(COLUMNS($M$1006:M1006),$M$1006,0))&gt;=100000), " ",IF(INDEX($M$2:$M$1001,MATCH(ROWS($F$2:F94),$F$2:$F$1001,0),MATCH(COLUMNS($M$1006:M1006),$M$1006,0)), HYPERLINK("#",""), HYPERLINK(CONCATENATE("#Metadata!", ADDRESS(INDEX($H$2:$H$1001,MATCH(ROWS($F$2:F94),$F$2:$F$1001,0),0), INDEX($M$1004,1,MATCH(COLUMNS($M$1006:M1006),$M$1006,0)))),"Fix")))</f>
        <v>0</v>
      </c>
      <c r="F94">
        <v>0</v>
      </c>
      <c r="G94">
        <v>0</v>
      </c>
      <c r="H94">
        <v>0</v>
      </c>
      <c r="I94">
        <f>IF(J94,TRUE,AND(M94))</f>
        <v>0</v>
      </c>
      <c r="J94">
        <f>COUNTBLANK(Metadata!B94)=COLUMNS(Metadata!B94)</f>
        <v>0</v>
      </c>
      <c r="K94">
        <v>0</v>
      </c>
      <c r="M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</row>
    <row r="95" spans="1:13">
      <c r="A95" s="3">
        <f>IF(B95=" "," ",HYPERLINK(CONCATENATE("#metadata!",ADDRESS(INDEX($H$2:$H$1001,MATCH(ROWS($F$2:F95),$F$2:$F$1001,0),0),2)),INDEX($K$2:$K$1001,MATCH(ROWS($F$2:F95),$F$2:$F$1001,0),0)))</f>
        <v>0</v>
      </c>
      <c r="B95" s="4">
        <f>IF(OR(INDEX($G$2:$G$1001,MATCH(ROWS($F$2:F95),$F$2:$F$1001,0),1)&gt;=100000,INDEX($M$1005,1,MATCH(COLUMNS($M$1006:M1006),$M$1006,0))&gt;=100000), " ",IF(INDEX($M$2:$M$1001,MATCH(ROWS($F$2:F95),$F$2:$F$1001,0),MATCH(COLUMNS($M$1006:M1006),$M$1006,0)), HYPERLINK("#",""), HYPERLINK(CONCATENATE("#Metadata!", ADDRESS(INDEX($H$2:$H$1001,MATCH(ROWS($F$2:F95),$F$2:$F$1001,0),0), INDEX($M$1004,1,MATCH(COLUMNS($M$1006:M1006),$M$1006,0)))),"Fix")))</f>
        <v>0</v>
      </c>
      <c r="F95">
        <v>0</v>
      </c>
      <c r="G95">
        <v>0</v>
      </c>
      <c r="H95">
        <v>0</v>
      </c>
      <c r="I95">
        <f>IF(J95,TRUE,AND(M95))</f>
        <v>0</v>
      </c>
      <c r="J95">
        <f>COUNTBLANK(Metadata!B95)=COLUMNS(Metadata!B95)</f>
        <v>0</v>
      </c>
      <c r="K95">
        <v>0</v>
      </c>
      <c r="M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</row>
    <row r="96" spans="1:13">
      <c r="A96" s="3">
        <f>IF(B96=" "," ",HYPERLINK(CONCATENATE("#metadata!",ADDRESS(INDEX($H$2:$H$1001,MATCH(ROWS($F$2:F96),$F$2:$F$1001,0),0),2)),INDEX($K$2:$K$1001,MATCH(ROWS($F$2:F96),$F$2:$F$1001,0),0)))</f>
        <v>0</v>
      </c>
      <c r="B96" s="4">
        <f>IF(OR(INDEX($G$2:$G$1001,MATCH(ROWS($F$2:F96),$F$2:$F$1001,0),1)&gt;=100000,INDEX($M$1005,1,MATCH(COLUMNS($M$1006:M1006),$M$1006,0))&gt;=100000), " ",IF(INDEX($M$2:$M$1001,MATCH(ROWS($F$2:F96),$F$2:$F$1001,0),MATCH(COLUMNS($M$1006:M1006),$M$1006,0)), HYPERLINK("#",""), HYPERLINK(CONCATENATE("#Metadata!", ADDRESS(INDEX($H$2:$H$1001,MATCH(ROWS($F$2:F96),$F$2:$F$1001,0),0), INDEX($M$1004,1,MATCH(COLUMNS($M$1006:M1006),$M$1006,0)))),"Fix")))</f>
        <v>0</v>
      </c>
      <c r="F96">
        <v>0</v>
      </c>
      <c r="G96">
        <v>0</v>
      </c>
      <c r="H96">
        <v>0</v>
      </c>
      <c r="I96">
        <f>IF(J96,TRUE,AND(M96))</f>
        <v>0</v>
      </c>
      <c r="J96">
        <f>COUNTBLANK(Metadata!B96)=COLUMNS(Metadata!B96)</f>
        <v>0</v>
      </c>
      <c r="K96">
        <v>0</v>
      </c>
      <c r="M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</row>
    <row r="97" spans="1:13">
      <c r="A97" s="3">
        <f>IF(B97=" "," ",HYPERLINK(CONCATENATE("#metadata!",ADDRESS(INDEX($H$2:$H$1001,MATCH(ROWS($F$2:F97),$F$2:$F$1001,0),0),2)),INDEX($K$2:$K$1001,MATCH(ROWS($F$2:F97),$F$2:$F$1001,0),0)))</f>
        <v>0</v>
      </c>
      <c r="B97" s="4">
        <f>IF(OR(INDEX($G$2:$G$1001,MATCH(ROWS($F$2:F97),$F$2:$F$1001,0),1)&gt;=100000,INDEX($M$1005,1,MATCH(COLUMNS($M$1006:M1006),$M$1006,0))&gt;=100000), " ",IF(INDEX($M$2:$M$1001,MATCH(ROWS($F$2:F97),$F$2:$F$1001,0),MATCH(COLUMNS($M$1006:M1006),$M$1006,0)), HYPERLINK("#",""), HYPERLINK(CONCATENATE("#Metadata!", ADDRESS(INDEX($H$2:$H$1001,MATCH(ROWS($F$2:F97),$F$2:$F$1001,0),0), INDEX($M$1004,1,MATCH(COLUMNS($M$1006:M1006),$M$1006,0)))),"Fix")))</f>
        <v>0</v>
      </c>
      <c r="F97">
        <v>0</v>
      </c>
      <c r="G97">
        <v>0</v>
      </c>
      <c r="H97">
        <v>0</v>
      </c>
      <c r="I97">
        <f>IF(J97,TRUE,AND(M97))</f>
        <v>0</v>
      </c>
      <c r="J97">
        <f>COUNTBLANK(Metadata!B97)=COLUMNS(Metadata!B97)</f>
        <v>0</v>
      </c>
      <c r="K97">
        <v>0</v>
      </c>
      <c r="M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</row>
    <row r="98" spans="1:13">
      <c r="A98" s="3">
        <f>IF(B98=" "," ",HYPERLINK(CONCATENATE("#metadata!",ADDRESS(INDEX($H$2:$H$1001,MATCH(ROWS($F$2:F98),$F$2:$F$1001,0),0),2)),INDEX($K$2:$K$1001,MATCH(ROWS($F$2:F98),$F$2:$F$1001,0),0)))</f>
        <v>0</v>
      </c>
      <c r="B98" s="4">
        <f>IF(OR(INDEX($G$2:$G$1001,MATCH(ROWS($F$2:F98),$F$2:$F$1001,0),1)&gt;=100000,INDEX($M$1005,1,MATCH(COLUMNS($M$1006:M1006),$M$1006,0))&gt;=100000), " ",IF(INDEX($M$2:$M$1001,MATCH(ROWS($F$2:F98),$F$2:$F$1001,0),MATCH(COLUMNS($M$1006:M1006),$M$1006,0)), HYPERLINK("#",""), HYPERLINK(CONCATENATE("#Metadata!", ADDRESS(INDEX($H$2:$H$1001,MATCH(ROWS($F$2:F98),$F$2:$F$1001,0),0), INDEX($M$1004,1,MATCH(COLUMNS($M$1006:M1006),$M$1006,0)))),"Fix")))</f>
        <v>0</v>
      </c>
      <c r="F98">
        <v>0</v>
      </c>
      <c r="G98">
        <v>0</v>
      </c>
      <c r="H98">
        <v>0</v>
      </c>
      <c r="I98">
        <f>IF(J98,TRUE,AND(M98))</f>
        <v>0</v>
      </c>
      <c r="J98">
        <f>COUNTBLANK(Metadata!B98)=COLUMNS(Metadata!B98)</f>
        <v>0</v>
      </c>
      <c r="K98">
        <v>0</v>
      </c>
      <c r="M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</row>
    <row r="99" spans="1:13">
      <c r="A99" s="3">
        <f>IF(B99=" "," ",HYPERLINK(CONCATENATE("#metadata!",ADDRESS(INDEX($H$2:$H$1001,MATCH(ROWS($F$2:F99),$F$2:$F$1001,0),0),2)),INDEX($K$2:$K$1001,MATCH(ROWS($F$2:F99),$F$2:$F$1001,0),0)))</f>
        <v>0</v>
      </c>
      <c r="B99" s="4">
        <f>IF(OR(INDEX($G$2:$G$1001,MATCH(ROWS($F$2:F99),$F$2:$F$1001,0),1)&gt;=100000,INDEX($M$1005,1,MATCH(COLUMNS($M$1006:M1006),$M$1006,0))&gt;=100000), " ",IF(INDEX($M$2:$M$1001,MATCH(ROWS($F$2:F99),$F$2:$F$1001,0),MATCH(COLUMNS($M$1006:M1006),$M$1006,0)), HYPERLINK("#",""), HYPERLINK(CONCATENATE("#Metadata!", ADDRESS(INDEX($H$2:$H$1001,MATCH(ROWS($F$2:F99),$F$2:$F$1001,0),0), INDEX($M$1004,1,MATCH(COLUMNS($M$1006:M1006),$M$1006,0)))),"Fix")))</f>
        <v>0</v>
      </c>
      <c r="F99">
        <v>0</v>
      </c>
      <c r="G99">
        <v>0</v>
      </c>
      <c r="H99">
        <v>0</v>
      </c>
      <c r="I99">
        <f>IF(J99,TRUE,AND(M99))</f>
        <v>0</v>
      </c>
      <c r="J99">
        <f>COUNTBLANK(Metadata!B99)=COLUMNS(Metadata!B99)</f>
        <v>0</v>
      </c>
      <c r="K99">
        <v>0</v>
      </c>
      <c r="M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</row>
    <row r="100" spans="1:13">
      <c r="A100" s="3">
        <f>IF(B100=" "," ",HYPERLINK(CONCATENATE("#metadata!",ADDRESS(INDEX($H$2:$H$1001,MATCH(ROWS($F$2:F100),$F$2:$F$1001,0),0),2)),INDEX($K$2:$K$1001,MATCH(ROWS($F$2:F100),$F$2:$F$1001,0),0)))</f>
        <v>0</v>
      </c>
      <c r="B100" s="4">
        <f>IF(OR(INDEX($G$2:$G$1001,MATCH(ROWS($F$2:F100),$F$2:$F$1001,0),1)&gt;=100000,INDEX($M$1005,1,MATCH(COLUMNS($M$1006:M1006),$M$1006,0))&gt;=100000), " ",IF(INDEX($M$2:$M$1001,MATCH(ROWS($F$2:F100),$F$2:$F$1001,0),MATCH(COLUMNS($M$1006:M1006),$M$1006,0)), HYPERLINK("#",""), HYPERLINK(CONCATENATE("#Metadata!", ADDRESS(INDEX($H$2:$H$1001,MATCH(ROWS($F$2:F100),$F$2:$F$1001,0),0), INDEX($M$1004,1,MATCH(COLUMNS($M$1006:M1006),$M$1006,0)))),"Fix")))</f>
        <v>0</v>
      </c>
      <c r="F100">
        <v>0</v>
      </c>
      <c r="G100">
        <v>0</v>
      </c>
      <c r="H100">
        <v>0</v>
      </c>
      <c r="I100">
        <f>IF(J100,TRUE,AND(M100))</f>
        <v>0</v>
      </c>
      <c r="J100">
        <f>COUNTBLANK(Metadata!B100)=COLUMNS(Metadata!B100)</f>
        <v>0</v>
      </c>
      <c r="K100">
        <v>0</v>
      </c>
      <c r="M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</row>
    <row r="101" spans="1:13">
      <c r="A101" s="3">
        <f>IF(B101=" "," ",HYPERLINK(CONCATENATE("#metadata!",ADDRESS(INDEX($H$2:$H$1001,MATCH(ROWS($F$2:F101),$F$2:$F$1001,0),0),2)),INDEX($K$2:$K$1001,MATCH(ROWS($F$2:F101),$F$2:$F$1001,0),0)))</f>
        <v>0</v>
      </c>
      <c r="B101" s="4">
        <f>IF(OR(INDEX($G$2:$G$1001,MATCH(ROWS($F$2:F101),$F$2:$F$1001,0),1)&gt;=100000,INDEX($M$1005,1,MATCH(COLUMNS($M$1006:M1006),$M$1006,0))&gt;=100000), " ",IF(INDEX($M$2:$M$1001,MATCH(ROWS($F$2:F101),$F$2:$F$1001,0),MATCH(COLUMNS($M$1006:M1006),$M$1006,0)), HYPERLINK("#",""), HYPERLINK(CONCATENATE("#Metadata!", ADDRESS(INDEX($H$2:$H$1001,MATCH(ROWS($F$2:F101),$F$2:$F$1001,0),0), INDEX($M$1004,1,MATCH(COLUMNS($M$1006:M1006),$M$1006,0)))),"Fix")))</f>
        <v>0</v>
      </c>
      <c r="F101">
        <v>0</v>
      </c>
      <c r="G101">
        <v>0</v>
      </c>
      <c r="H101">
        <v>0</v>
      </c>
      <c r="I101">
        <f>IF(J101,TRUE,AND(M101))</f>
        <v>0</v>
      </c>
      <c r="J101">
        <f>COUNTBLANK(Metadata!B101)=COLUMNS(Metadata!B101)</f>
        <v>0</v>
      </c>
      <c r="K101">
        <v>0</v>
      </c>
      <c r="M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</row>
    <row r="102" spans="1:13">
      <c r="A102" s="3">
        <f>IF(B102=" "," ",HYPERLINK(CONCATENATE("#metadata!",ADDRESS(INDEX($H$2:$H$1001,MATCH(ROWS($F$2:F102),$F$2:$F$1001,0),0),2)),INDEX($K$2:$K$1001,MATCH(ROWS($F$2:F102),$F$2:$F$1001,0),0)))</f>
        <v>0</v>
      </c>
      <c r="B102" s="4">
        <f>IF(OR(INDEX($G$2:$G$1001,MATCH(ROWS($F$2:F102),$F$2:$F$1001,0),1)&gt;=100000,INDEX($M$1005,1,MATCH(COLUMNS($M$1006:M1006),$M$1006,0))&gt;=100000), " ",IF(INDEX($M$2:$M$1001,MATCH(ROWS($F$2:F102),$F$2:$F$1001,0),MATCH(COLUMNS($M$1006:M1006),$M$1006,0)), HYPERLINK("#",""), HYPERLINK(CONCATENATE("#Metadata!", ADDRESS(INDEX($H$2:$H$1001,MATCH(ROWS($F$2:F102),$F$2:$F$1001,0),0), INDEX($M$1004,1,MATCH(COLUMNS($M$1006:M1006),$M$1006,0)))),"Fix")))</f>
        <v>0</v>
      </c>
      <c r="F102">
        <v>0</v>
      </c>
      <c r="G102">
        <v>0</v>
      </c>
      <c r="H102">
        <v>0</v>
      </c>
      <c r="I102">
        <f>IF(J102,TRUE,AND(M102))</f>
        <v>0</v>
      </c>
      <c r="J102">
        <f>COUNTBLANK(Metadata!B102)=COLUMNS(Metadata!B102)</f>
        <v>0</v>
      </c>
      <c r="K102">
        <v>0</v>
      </c>
      <c r="M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</row>
    <row r="103" spans="1:13">
      <c r="A103" s="3">
        <f>IF(B103=" "," ",HYPERLINK(CONCATENATE("#metadata!",ADDRESS(INDEX($H$2:$H$1001,MATCH(ROWS($F$2:F103),$F$2:$F$1001,0),0),2)),INDEX($K$2:$K$1001,MATCH(ROWS($F$2:F103),$F$2:$F$1001,0),0)))</f>
        <v>0</v>
      </c>
      <c r="B103" s="4">
        <f>IF(OR(INDEX($G$2:$G$1001,MATCH(ROWS($F$2:F103),$F$2:$F$1001,0),1)&gt;=100000,INDEX($M$1005,1,MATCH(COLUMNS($M$1006:M1006),$M$1006,0))&gt;=100000), " ",IF(INDEX($M$2:$M$1001,MATCH(ROWS($F$2:F103),$F$2:$F$1001,0),MATCH(COLUMNS($M$1006:M1006),$M$1006,0)), HYPERLINK("#",""), HYPERLINK(CONCATENATE("#Metadata!", ADDRESS(INDEX($H$2:$H$1001,MATCH(ROWS($F$2:F103),$F$2:$F$1001,0),0), INDEX($M$1004,1,MATCH(COLUMNS($M$1006:M1006),$M$1006,0)))),"Fix")))</f>
        <v>0</v>
      </c>
      <c r="F103">
        <v>0</v>
      </c>
      <c r="G103">
        <v>0</v>
      </c>
      <c r="H103">
        <v>0</v>
      </c>
      <c r="I103">
        <f>IF(J103,TRUE,AND(M103))</f>
        <v>0</v>
      </c>
      <c r="J103">
        <f>COUNTBLANK(Metadata!B103)=COLUMNS(Metadata!B103)</f>
        <v>0</v>
      </c>
      <c r="K103">
        <v>0</v>
      </c>
      <c r="M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</row>
    <row r="104" spans="1:13">
      <c r="A104" s="3">
        <f>IF(B104=" "," ",HYPERLINK(CONCATENATE("#metadata!",ADDRESS(INDEX($H$2:$H$1001,MATCH(ROWS($F$2:F104),$F$2:$F$1001,0),0),2)),INDEX($K$2:$K$1001,MATCH(ROWS($F$2:F104),$F$2:$F$1001,0),0)))</f>
        <v>0</v>
      </c>
      <c r="B104" s="4">
        <f>IF(OR(INDEX($G$2:$G$1001,MATCH(ROWS($F$2:F104),$F$2:$F$1001,0),1)&gt;=100000,INDEX($M$1005,1,MATCH(COLUMNS($M$1006:M1006),$M$1006,0))&gt;=100000), " ",IF(INDEX($M$2:$M$1001,MATCH(ROWS($F$2:F104),$F$2:$F$1001,0),MATCH(COLUMNS($M$1006:M1006),$M$1006,0)), HYPERLINK("#",""), HYPERLINK(CONCATENATE("#Metadata!", ADDRESS(INDEX($H$2:$H$1001,MATCH(ROWS($F$2:F104),$F$2:$F$1001,0),0), INDEX($M$1004,1,MATCH(COLUMNS($M$1006:M1006),$M$1006,0)))),"Fix")))</f>
        <v>0</v>
      </c>
      <c r="F104">
        <v>0</v>
      </c>
      <c r="G104">
        <v>0</v>
      </c>
      <c r="H104">
        <v>0</v>
      </c>
      <c r="I104">
        <f>IF(J104,TRUE,AND(M104))</f>
        <v>0</v>
      </c>
      <c r="J104">
        <f>COUNTBLANK(Metadata!B104)=COLUMNS(Metadata!B104)</f>
        <v>0</v>
      </c>
      <c r="K104">
        <v>0</v>
      </c>
      <c r="M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</row>
    <row r="105" spans="1:13">
      <c r="A105" s="3">
        <f>IF(B105=" "," ",HYPERLINK(CONCATENATE("#metadata!",ADDRESS(INDEX($H$2:$H$1001,MATCH(ROWS($F$2:F105),$F$2:$F$1001,0),0),2)),INDEX($K$2:$K$1001,MATCH(ROWS($F$2:F105),$F$2:$F$1001,0),0)))</f>
        <v>0</v>
      </c>
      <c r="B105" s="4">
        <f>IF(OR(INDEX($G$2:$G$1001,MATCH(ROWS($F$2:F105),$F$2:$F$1001,0),1)&gt;=100000,INDEX($M$1005,1,MATCH(COLUMNS($M$1006:M1006),$M$1006,0))&gt;=100000), " ",IF(INDEX($M$2:$M$1001,MATCH(ROWS($F$2:F105),$F$2:$F$1001,0),MATCH(COLUMNS($M$1006:M1006),$M$1006,0)), HYPERLINK("#",""), HYPERLINK(CONCATENATE("#Metadata!", ADDRESS(INDEX($H$2:$H$1001,MATCH(ROWS($F$2:F105),$F$2:$F$1001,0),0), INDEX($M$1004,1,MATCH(COLUMNS($M$1006:M1006),$M$1006,0)))),"Fix")))</f>
        <v>0</v>
      </c>
      <c r="F105">
        <v>0</v>
      </c>
      <c r="G105">
        <v>0</v>
      </c>
      <c r="H105">
        <v>0</v>
      </c>
      <c r="I105">
        <f>IF(J105,TRUE,AND(M105))</f>
        <v>0</v>
      </c>
      <c r="J105">
        <f>COUNTBLANK(Metadata!B105)=COLUMNS(Metadata!B105)</f>
        <v>0</v>
      </c>
      <c r="K105">
        <v>0</v>
      </c>
      <c r="M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</row>
    <row r="106" spans="1:13">
      <c r="A106" s="3">
        <f>IF(B106=" "," ",HYPERLINK(CONCATENATE("#metadata!",ADDRESS(INDEX($H$2:$H$1001,MATCH(ROWS($F$2:F106),$F$2:$F$1001,0),0),2)),INDEX($K$2:$K$1001,MATCH(ROWS($F$2:F106),$F$2:$F$1001,0),0)))</f>
        <v>0</v>
      </c>
      <c r="B106" s="4">
        <f>IF(OR(INDEX($G$2:$G$1001,MATCH(ROWS($F$2:F106),$F$2:$F$1001,0),1)&gt;=100000,INDEX($M$1005,1,MATCH(COLUMNS($M$1006:M1006),$M$1006,0))&gt;=100000), " ",IF(INDEX($M$2:$M$1001,MATCH(ROWS($F$2:F106),$F$2:$F$1001,0),MATCH(COLUMNS($M$1006:M1006),$M$1006,0)), HYPERLINK("#",""), HYPERLINK(CONCATENATE("#Metadata!", ADDRESS(INDEX($H$2:$H$1001,MATCH(ROWS($F$2:F106),$F$2:$F$1001,0),0), INDEX($M$1004,1,MATCH(COLUMNS($M$1006:M1006),$M$1006,0)))),"Fix")))</f>
        <v>0</v>
      </c>
      <c r="F106">
        <v>0</v>
      </c>
      <c r="G106">
        <v>0</v>
      </c>
      <c r="H106">
        <v>0</v>
      </c>
      <c r="I106">
        <f>IF(J106,TRUE,AND(M106))</f>
        <v>0</v>
      </c>
      <c r="J106">
        <f>COUNTBLANK(Metadata!B106)=COLUMNS(Metadata!B106)</f>
        <v>0</v>
      </c>
      <c r="K106">
        <v>0</v>
      </c>
      <c r="M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</row>
    <row r="107" spans="1:13">
      <c r="A107" s="3">
        <f>IF(B107=" "," ",HYPERLINK(CONCATENATE("#metadata!",ADDRESS(INDEX($H$2:$H$1001,MATCH(ROWS($F$2:F107),$F$2:$F$1001,0),0),2)),INDEX($K$2:$K$1001,MATCH(ROWS($F$2:F107),$F$2:$F$1001,0),0)))</f>
        <v>0</v>
      </c>
      <c r="B107" s="4">
        <f>IF(OR(INDEX($G$2:$G$1001,MATCH(ROWS($F$2:F107),$F$2:$F$1001,0),1)&gt;=100000,INDEX($M$1005,1,MATCH(COLUMNS($M$1006:M1006),$M$1006,0))&gt;=100000), " ",IF(INDEX($M$2:$M$1001,MATCH(ROWS($F$2:F107),$F$2:$F$1001,0),MATCH(COLUMNS($M$1006:M1006),$M$1006,0)), HYPERLINK("#",""), HYPERLINK(CONCATENATE("#Metadata!", ADDRESS(INDEX($H$2:$H$1001,MATCH(ROWS($F$2:F107),$F$2:$F$1001,0),0), INDEX($M$1004,1,MATCH(COLUMNS($M$1006:M1006),$M$1006,0)))),"Fix")))</f>
        <v>0</v>
      </c>
      <c r="F107">
        <v>0</v>
      </c>
      <c r="G107">
        <v>0</v>
      </c>
      <c r="H107">
        <v>0</v>
      </c>
      <c r="I107">
        <f>IF(J107,TRUE,AND(M107))</f>
        <v>0</v>
      </c>
      <c r="J107">
        <f>COUNTBLANK(Metadata!B107)=COLUMNS(Metadata!B107)</f>
        <v>0</v>
      </c>
      <c r="K107">
        <v>0</v>
      </c>
      <c r="M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</row>
    <row r="108" spans="1:13">
      <c r="A108" s="3">
        <f>IF(B108=" "," ",HYPERLINK(CONCATENATE("#metadata!",ADDRESS(INDEX($H$2:$H$1001,MATCH(ROWS($F$2:F108),$F$2:$F$1001,0),0),2)),INDEX($K$2:$K$1001,MATCH(ROWS($F$2:F108),$F$2:$F$1001,0),0)))</f>
        <v>0</v>
      </c>
      <c r="B108" s="4">
        <f>IF(OR(INDEX($G$2:$G$1001,MATCH(ROWS($F$2:F108),$F$2:$F$1001,0),1)&gt;=100000,INDEX($M$1005,1,MATCH(COLUMNS($M$1006:M1006),$M$1006,0))&gt;=100000), " ",IF(INDEX($M$2:$M$1001,MATCH(ROWS($F$2:F108),$F$2:$F$1001,0),MATCH(COLUMNS($M$1006:M1006),$M$1006,0)), HYPERLINK("#",""), HYPERLINK(CONCATENATE("#Metadata!", ADDRESS(INDEX($H$2:$H$1001,MATCH(ROWS($F$2:F108),$F$2:$F$1001,0),0), INDEX($M$1004,1,MATCH(COLUMNS($M$1006:M1006),$M$1006,0)))),"Fix")))</f>
        <v>0</v>
      </c>
      <c r="F108">
        <v>0</v>
      </c>
      <c r="G108">
        <v>0</v>
      </c>
      <c r="H108">
        <v>0</v>
      </c>
      <c r="I108">
        <f>IF(J108,TRUE,AND(M108))</f>
        <v>0</v>
      </c>
      <c r="J108">
        <f>COUNTBLANK(Metadata!B108)=COLUMNS(Metadata!B108)</f>
        <v>0</v>
      </c>
      <c r="K108">
        <v>0</v>
      </c>
      <c r="M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</row>
    <row r="109" spans="1:13">
      <c r="A109" s="3">
        <f>IF(B109=" "," ",HYPERLINK(CONCATENATE("#metadata!",ADDRESS(INDEX($H$2:$H$1001,MATCH(ROWS($F$2:F109),$F$2:$F$1001,0),0),2)),INDEX($K$2:$K$1001,MATCH(ROWS($F$2:F109),$F$2:$F$1001,0),0)))</f>
        <v>0</v>
      </c>
      <c r="B109" s="4">
        <f>IF(OR(INDEX($G$2:$G$1001,MATCH(ROWS($F$2:F109),$F$2:$F$1001,0),1)&gt;=100000,INDEX($M$1005,1,MATCH(COLUMNS($M$1006:M1006),$M$1006,0))&gt;=100000), " ",IF(INDEX($M$2:$M$1001,MATCH(ROWS($F$2:F109),$F$2:$F$1001,0),MATCH(COLUMNS($M$1006:M1006),$M$1006,0)), HYPERLINK("#",""), HYPERLINK(CONCATENATE("#Metadata!", ADDRESS(INDEX($H$2:$H$1001,MATCH(ROWS($F$2:F109),$F$2:$F$1001,0),0), INDEX($M$1004,1,MATCH(COLUMNS($M$1006:M1006),$M$1006,0)))),"Fix")))</f>
        <v>0</v>
      </c>
      <c r="F109">
        <v>0</v>
      </c>
      <c r="G109">
        <v>0</v>
      </c>
      <c r="H109">
        <v>0</v>
      </c>
      <c r="I109">
        <f>IF(J109,TRUE,AND(M109))</f>
        <v>0</v>
      </c>
      <c r="J109">
        <f>COUNTBLANK(Metadata!B109)=COLUMNS(Metadata!B109)</f>
        <v>0</v>
      </c>
      <c r="K109">
        <v>0</v>
      </c>
      <c r="M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</row>
    <row r="110" spans="1:13">
      <c r="A110" s="3">
        <f>IF(B110=" "," ",HYPERLINK(CONCATENATE("#metadata!",ADDRESS(INDEX($H$2:$H$1001,MATCH(ROWS($F$2:F110),$F$2:$F$1001,0),0),2)),INDEX($K$2:$K$1001,MATCH(ROWS($F$2:F110),$F$2:$F$1001,0),0)))</f>
        <v>0</v>
      </c>
      <c r="B110" s="4">
        <f>IF(OR(INDEX($G$2:$G$1001,MATCH(ROWS($F$2:F110),$F$2:$F$1001,0),1)&gt;=100000,INDEX($M$1005,1,MATCH(COLUMNS($M$1006:M1006),$M$1006,0))&gt;=100000), " ",IF(INDEX($M$2:$M$1001,MATCH(ROWS($F$2:F110),$F$2:$F$1001,0),MATCH(COLUMNS($M$1006:M1006),$M$1006,0)), HYPERLINK("#",""), HYPERLINK(CONCATENATE("#Metadata!", ADDRESS(INDEX($H$2:$H$1001,MATCH(ROWS($F$2:F110),$F$2:$F$1001,0),0), INDEX($M$1004,1,MATCH(COLUMNS($M$1006:M1006),$M$1006,0)))),"Fix")))</f>
        <v>0</v>
      </c>
      <c r="F110">
        <v>0</v>
      </c>
      <c r="G110">
        <v>0</v>
      </c>
      <c r="H110">
        <v>0</v>
      </c>
      <c r="I110">
        <f>IF(J110,TRUE,AND(M110))</f>
        <v>0</v>
      </c>
      <c r="J110">
        <f>COUNTBLANK(Metadata!B110)=COLUMNS(Metadata!B110)</f>
        <v>0</v>
      </c>
      <c r="K110">
        <v>0</v>
      </c>
      <c r="M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</row>
    <row r="111" spans="1:13">
      <c r="A111" s="3">
        <f>IF(B111=" "," ",HYPERLINK(CONCATENATE("#metadata!",ADDRESS(INDEX($H$2:$H$1001,MATCH(ROWS($F$2:F111),$F$2:$F$1001,0),0),2)),INDEX($K$2:$K$1001,MATCH(ROWS($F$2:F111),$F$2:$F$1001,0),0)))</f>
        <v>0</v>
      </c>
      <c r="B111" s="4">
        <f>IF(OR(INDEX($G$2:$G$1001,MATCH(ROWS($F$2:F111),$F$2:$F$1001,0),1)&gt;=100000,INDEX($M$1005,1,MATCH(COLUMNS($M$1006:M1006),$M$1006,0))&gt;=100000), " ",IF(INDEX($M$2:$M$1001,MATCH(ROWS($F$2:F111),$F$2:$F$1001,0),MATCH(COLUMNS($M$1006:M1006),$M$1006,0)), HYPERLINK("#",""), HYPERLINK(CONCATENATE("#Metadata!", ADDRESS(INDEX($H$2:$H$1001,MATCH(ROWS($F$2:F111),$F$2:$F$1001,0),0), INDEX($M$1004,1,MATCH(COLUMNS($M$1006:M1006),$M$1006,0)))),"Fix")))</f>
        <v>0</v>
      </c>
      <c r="F111">
        <v>0</v>
      </c>
      <c r="G111">
        <v>0</v>
      </c>
      <c r="H111">
        <v>0</v>
      </c>
      <c r="I111">
        <f>IF(J111,TRUE,AND(M111))</f>
        <v>0</v>
      </c>
      <c r="J111">
        <f>COUNTBLANK(Metadata!B111)=COLUMNS(Metadata!B111)</f>
        <v>0</v>
      </c>
      <c r="K111">
        <v>0</v>
      </c>
      <c r="M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</row>
    <row r="112" spans="1:13">
      <c r="A112" s="3">
        <f>IF(B112=" "," ",HYPERLINK(CONCATENATE("#metadata!",ADDRESS(INDEX($H$2:$H$1001,MATCH(ROWS($F$2:F112),$F$2:$F$1001,0),0),2)),INDEX($K$2:$K$1001,MATCH(ROWS($F$2:F112),$F$2:$F$1001,0),0)))</f>
        <v>0</v>
      </c>
      <c r="B112" s="4">
        <f>IF(OR(INDEX($G$2:$G$1001,MATCH(ROWS($F$2:F112),$F$2:$F$1001,0),1)&gt;=100000,INDEX($M$1005,1,MATCH(COLUMNS($M$1006:M1006),$M$1006,0))&gt;=100000), " ",IF(INDEX($M$2:$M$1001,MATCH(ROWS($F$2:F112),$F$2:$F$1001,0),MATCH(COLUMNS($M$1006:M1006),$M$1006,0)), HYPERLINK("#",""), HYPERLINK(CONCATENATE("#Metadata!", ADDRESS(INDEX($H$2:$H$1001,MATCH(ROWS($F$2:F112),$F$2:$F$1001,0),0), INDEX($M$1004,1,MATCH(COLUMNS($M$1006:M1006),$M$1006,0)))),"Fix")))</f>
        <v>0</v>
      </c>
      <c r="F112">
        <v>0</v>
      </c>
      <c r="G112">
        <v>0</v>
      </c>
      <c r="H112">
        <v>0</v>
      </c>
      <c r="I112">
        <f>IF(J112,TRUE,AND(M112))</f>
        <v>0</v>
      </c>
      <c r="J112">
        <f>COUNTBLANK(Metadata!B112)=COLUMNS(Metadata!B112)</f>
        <v>0</v>
      </c>
      <c r="K112">
        <v>0</v>
      </c>
      <c r="M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</row>
    <row r="113" spans="1:13">
      <c r="A113" s="3">
        <f>IF(B113=" "," ",HYPERLINK(CONCATENATE("#metadata!",ADDRESS(INDEX($H$2:$H$1001,MATCH(ROWS($F$2:F113),$F$2:$F$1001,0),0),2)),INDEX($K$2:$K$1001,MATCH(ROWS($F$2:F113),$F$2:$F$1001,0),0)))</f>
        <v>0</v>
      </c>
      <c r="B113" s="4">
        <f>IF(OR(INDEX($G$2:$G$1001,MATCH(ROWS($F$2:F113),$F$2:$F$1001,0),1)&gt;=100000,INDEX($M$1005,1,MATCH(COLUMNS($M$1006:M1006),$M$1006,0))&gt;=100000), " ",IF(INDEX($M$2:$M$1001,MATCH(ROWS($F$2:F113),$F$2:$F$1001,0),MATCH(COLUMNS($M$1006:M1006),$M$1006,0)), HYPERLINK("#",""), HYPERLINK(CONCATENATE("#Metadata!", ADDRESS(INDEX($H$2:$H$1001,MATCH(ROWS($F$2:F113),$F$2:$F$1001,0),0), INDEX($M$1004,1,MATCH(COLUMNS($M$1006:M1006),$M$1006,0)))),"Fix")))</f>
        <v>0</v>
      </c>
      <c r="F113">
        <v>0</v>
      </c>
      <c r="G113">
        <v>0</v>
      </c>
      <c r="H113">
        <v>0</v>
      </c>
      <c r="I113">
        <f>IF(J113,TRUE,AND(M113))</f>
        <v>0</v>
      </c>
      <c r="J113">
        <f>COUNTBLANK(Metadata!B113)=COLUMNS(Metadata!B113)</f>
        <v>0</v>
      </c>
      <c r="K113">
        <v>0</v>
      </c>
      <c r="M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</row>
    <row r="114" spans="1:13">
      <c r="A114" s="3">
        <f>IF(B114=" "," ",HYPERLINK(CONCATENATE("#metadata!",ADDRESS(INDEX($H$2:$H$1001,MATCH(ROWS($F$2:F114),$F$2:$F$1001,0),0),2)),INDEX($K$2:$K$1001,MATCH(ROWS($F$2:F114),$F$2:$F$1001,0),0)))</f>
        <v>0</v>
      </c>
      <c r="B114" s="4">
        <f>IF(OR(INDEX($G$2:$G$1001,MATCH(ROWS($F$2:F114),$F$2:$F$1001,0),1)&gt;=100000,INDEX($M$1005,1,MATCH(COLUMNS($M$1006:M1006),$M$1006,0))&gt;=100000), " ",IF(INDEX($M$2:$M$1001,MATCH(ROWS($F$2:F114),$F$2:$F$1001,0),MATCH(COLUMNS($M$1006:M1006),$M$1006,0)), HYPERLINK("#",""), HYPERLINK(CONCATENATE("#Metadata!", ADDRESS(INDEX($H$2:$H$1001,MATCH(ROWS($F$2:F114),$F$2:$F$1001,0),0), INDEX($M$1004,1,MATCH(COLUMNS($M$1006:M1006),$M$1006,0)))),"Fix")))</f>
        <v>0</v>
      </c>
      <c r="F114">
        <v>0</v>
      </c>
      <c r="G114">
        <v>0</v>
      </c>
      <c r="H114">
        <v>0</v>
      </c>
      <c r="I114">
        <f>IF(J114,TRUE,AND(M114))</f>
        <v>0</v>
      </c>
      <c r="J114">
        <f>COUNTBLANK(Metadata!B114)=COLUMNS(Metadata!B114)</f>
        <v>0</v>
      </c>
      <c r="K114">
        <v>0</v>
      </c>
      <c r="M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</row>
    <row r="115" spans="1:13">
      <c r="A115" s="3">
        <f>IF(B115=" "," ",HYPERLINK(CONCATENATE("#metadata!",ADDRESS(INDEX($H$2:$H$1001,MATCH(ROWS($F$2:F115),$F$2:$F$1001,0),0),2)),INDEX($K$2:$K$1001,MATCH(ROWS($F$2:F115),$F$2:$F$1001,0),0)))</f>
        <v>0</v>
      </c>
      <c r="B115" s="4">
        <f>IF(OR(INDEX($G$2:$G$1001,MATCH(ROWS($F$2:F115),$F$2:$F$1001,0),1)&gt;=100000,INDEX($M$1005,1,MATCH(COLUMNS($M$1006:M1006),$M$1006,0))&gt;=100000), " ",IF(INDEX($M$2:$M$1001,MATCH(ROWS($F$2:F115),$F$2:$F$1001,0),MATCH(COLUMNS($M$1006:M1006),$M$1006,0)), HYPERLINK("#",""), HYPERLINK(CONCATENATE("#Metadata!", ADDRESS(INDEX($H$2:$H$1001,MATCH(ROWS($F$2:F115),$F$2:$F$1001,0),0), INDEX($M$1004,1,MATCH(COLUMNS($M$1006:M1006),$M$1006,0)))),"Fix")))</f>
        <v>0</v>
      </c>
      <c r="F115">
        <v>0</v>
      </c>
      <c r="G115">
        <v>0</v>
      </c>
      <c r="H115">
        <v>0</v>
      </c>
      <c r="I115">
        <f>IF(J115,TRUE,AND(M115))</f>
        <v>0</v>
      </c>
      <c r="J115">
        <f>COUNTBLANK(Metadata!B115)=COLUMNS(Metadata!B115)</f>
        <v>0</v>
      </c>
      <c r="K115">
        <v>0</v>
      </c>
      <c r="M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</row>
    <row r="116" spans="1:13">
      <c r="A116" s="3">
        <f>IF(B116=" "," ",HYPERLINK(CONCATENATE("#metadata!",ADDRESS(INDEX($H$2:$H$1001,MATCH(ROWS($F$2:F116),$F$2:$F$1001,0),0),2)),INDEX($K$2:$K$1001,MATCH(ROWS($F$2:F116),$F$2:$F$1001,0),0)))</f>
        <v>0</v>
      </c>
      <c r="B116" s="4">
        <f>IF(OR(INDEX($G$2:$G$1001,MATCH(ROWS($F$2:F116),$F$2:$F$1001,0),1)&gt;=100000,INDEX($M$1005,1,MATCH(COLUMNS($M$1006:M1006),$M$1006,0))&gt;=100000), " ",IF(INDEX($M$2:$M$1001,MATCH(ROWS($F$2:F116),$F$2:$F$1001,0),MATCH(COLUMNS($M$1006:M1006),$M$1006,0)), HYPERLINK("#",""), HYPERLINK(CONCATENATE("#Metadata!", ADDRESS(INDEX($H$2:$H$1001,MATCH(ROWS($F$2:F116),$F$2:$F$1001,0),0), INDEX($M$1004,1,MATCH(COLUMNS($M$1006:M1006),$M$1006,0)))),"Fix")))</f>
        <v>0</v>
      </c>
      <c r="F116">
        <v>0</v>
      </c>
      <c r="G116">
        <v>0</v>
      </c>
      <c r="H116">
        <v>0</v>
      </c>
      <c r="I116">
        <f>IF(J116,TRUE,AND(M116))</f>
        <v>0</v>
      </c>
      <c r="J116">
        <f>COUNTBLANK(Metadata!B116)=COLUMNS(Metadata!B116)</f>
        <v>0</v>
      </c>
      <c r="K116">
        <v>0</v>
      </c>
      <c r="M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</row>
    <row r="117" spans="1:13">
      <c r="A117" s="3">
        <f>IF(B117=" "," ",HYPERLINK(CONCATENATE("#metadata!",ADDRESS(INDEX($H$2:$H$1001,MATCH(ROWS($F$2:F117),$F$2:$F$1001,0),0),2)),INDEX($K$2:$K$1001,MATCH(ROWS($F$2:F117),$F$2:$F$1001,0),0)))</f>
        <v>0</v>
      </c>
      <c r="B117" s="4">
        <f>IF(OR(INDEX($G$2:$G$1001,MATCH(ROWS($F$2:F117),$F$2:$F$1001,0),1)&gt;=100000,INDEX($M$1005,1,MATCH(COLUMNS($M$1006:M1006),$M$1006,0))&gt;=100000), " ",IF(INDEX($M$2:$M$1001,MATCH(ROWS($F$2:F117),$F$2:$F$1001,0),MATCH(COLUMNS($M$1006:M1006),$M$1006,0)), HYPERLINK("#",""), HYPERLINK(CONCATENATE("#Metadata!", ADDRESS(INDEX($H$2:$H$1001,MATCH(ROWS($F$2:F117),$F$2:$F$1001,0),0), INDEX($M$1004,1,MATCH(COLUMNS($M$1006:M1006),$M$1006,0)))),"Fix")))</f>
        <v>0</v>
      </c>
      <c r="F117">
        <v>0</v>
      </c>
      <c r="G117">
        <v>0</v>
      </c>
      <c r="H117">
        <v>0</v>
      </c>
      <c r="I117">
        <f>IF(J117,TRUE,AND(M117))</f>
        <v>0</v>
      </c>
      <c r="J117">
        <f>COUNTBLANK(Metadata!B117)=COLUMNS(Metadata!B117)</f>
        <v>0</v>
      </c>
      <c r="K117">
        <v>0</v>
      </c>
      <c r="M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</row>
    <row r="118" spans="1:13">
      <c r="A118" s="3">
        <f>IF(B118=" "," ",HYPERLINK(CONCATENATE("#metadata!",ADDRESS(INDEX($H$2:$H$1001,MATCH(ROWS($F$2:F118),$F$2:$F$1001,0),0),2)),INDEX($K$2:$K$1001,MATCH(ROWS($F$2:F118),$F$2:$F$1001,0),0)))</f>
        <v>0</v>
      </c>
      <c r="B118" s="4">
        <f>IF(OR(INDEX($G$2:$G$1001,MATCH(ROWS($F$2:F118),$F$2:$F$1001,0),1)&gt;=100000,INDEX($M$1005,1,MATCH(COLUMNS($M$1006:M1006),$M$1006,0))&gt;=100000), " ",IF(INDEX($M$2:$M$1001,MATCH(ROWS($F$2:F118),$F$2:$F$1001,0),MATCH(COLUMNS($M$1006:M1006),$M$1006,0)), HYPERLINK("#",""), HYPERLINK(CONCATENATE("#Metadata!", ADDRESS(INDEX($H$2:$H$1001,MATCH(ROWS($F$2:F118),$F$2:$F$1001,0),0), INDEX($M$1004,1,MATCH(COLUMNS($M$1006:M1006),$M$1006,0)))),"Fix")))</f>
        <v>0</v>
      </c>
      <c r="F118">
        <v>0</v>
      </c>
      <c r="G118">
        <v>0</v>
      </c>
      <c r="H118">
        <v>0</v>
      </c>
      <c r="I118">
        <f>IF(J118,TRUE,AND(M118))</f>
        <v>0</v>
      </c>
      <c r="J118">
        <f>COUNTBLANK(Metadata!B118)=COLUMNS(Metadata!B118)</f>
        <v>0</v>
      </c>
      <c r="K118">
        <v>0</v>
      </c>
      <c r="M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</row>
    <row r="119" spans="1:13">
      <c r="A119" s="3">
        <f>IF(B119=" "," ",HYPERLINK(CONCATENATE("#metadata!",ADDRESS(INDEX($H$2:$H$1001,MATCH(ROWS($F$2:F119),$F$2:$F$1001,0),0),2)),INDEX($K$2:$K$1001,MATCH(ROWS($F$2:F119),$F$2:$F$1001,0),0)))</f>
        <v>0</v>
      </c>
      <c r="B119" s="4">
        <f>IF(OR(INDEX($G$2:$G$1001,MATCH(ROWS($F$2:F119),$F$2:$F$1001,0),1)&gt;=100000,INDEX($M$1005,1,MATCH(COLUMNS($M$1006:M1006),$M$1006,0))&gt;=100000), " ",IF(INDEX($M$2:$M$1001,MATCH(ROWS($F$2:F119),$F$2:$F$1001,0),MATCH(COLUMNS($M$1006:M1006),$M$1006,0)), HYPERLINK("#",""), HYPERLINK(CONCATENATE("#Metadata!", ADDRESS(INDEX($H$2:$H$1001,MATCH(ROWS($F$2:F119),$F$2:$F$1001,0),0), INDEX($M$1004,1,MATCH(COLUMNS($M$1006:M1006),$M$1006,0)))),"Fix")))</f>
        <v>0</v>
      </c>
      <c r="F119">
        <v>0</v>
      </c>
      <c r="G119">
        <v>0</v>
      </c>
      <c r="H119">
        <v>0</v>
      </c>
      <c r="I119">
        <f>IF(J119,TRUE,AND(M119))</f>
        <v>0</v>
      </c>
      <c r="J119">
        <f>COUNTBLANK(Metadata!B119)=COLUMNS(Metadata!B119)</f>
        <v>0</v>
      </c>
      <c r="K119">
        <v>0</v>
      </c>
      <c r="M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</row>
    <row r="120" spans="1:13">
      <c r="A120" s="3">
        <f>IF(B120=" "," ",HYPERLINK(CONCATENATE("#metadata!",ADDRESS(INDEX($H$2:$H$1001,MATCH(ROWS($F$2:F120),$F$2:$F$1001,0),0),2)),INDEX($K$2:$K$1001,MATCH(ROWS($F$2:F120),$F$2:$F$1001,0),0)))</f>
        <v>0</v>
      </c>
      <c r="B120" s="4">
        <f>IF(OR(INDEX($G$2:$G$1001,MATCH(ROWS($F$2:F120),$F$2:$F$1001,0),1)&gt;=100000,INDEX($M$1005,1,MATCH(COLUMNS($M$1006:M1006),$M$1006,0))&gt;=100000), " ",IF(INDEX($M$2:$M$1001,MATCH(ROWS($F$2:F120),$F$2:$F$1001,0),MATCH(COLUMNS($M$1006:M1006),$M$1006,0)), HYPERLINK("#",""), HYPERLINK(CONCATENATE("#Metadata!", ADDRESS(INDEX($H$2:$H$1001,MATCH(ROWS($F$2:F120),$F$2:$F$1001,0),0), INDEX($M$1004,1,MATCH(COLUMNS($M$1006:M1006),$M$1006,0)))),"Fix")))</f>
        <v>0</v>
      </c>
      <c r="F120">
        <v>0</v>
      </c>
      <c r="G120">
        <v>0</v>
      </c>
      <c r="H120">
        <v>0</v>
      </c>
      <c r="I120">
        <f>IF(J120,TRUE,AND(M120))</f>
        <v>0</v>
      </c>
      <c r="J120">
        <f>COUNTBLANK(Metadata!B120)=COLUMNS(Metadata!B120)</f>
        <v>0</v>
      </c>
      <c r="K120">
        <v>0</v>
      </c>
      <c r="M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</row>
    <row r="121" spans="1:13">
      <c r="A121" s="3">
        <f>IF(B121=" "," ",HYPERLINK(CONCATENATE("#metadata!",ADDRESS(INDEX($H$2:$H$1001,MATCH(ROWS($F$2:F121),$F$2:$F$1001,0),0),2)),INDEX($K$2:$K$1001,MATCH(ROWS($F$2:F121),$F$2:$F$1001,0),0)))</f>
        <v>0</v>
      </c>
      <c r="B121" s="4">
        <f>IF(OR(INDEX($G$2:$G$1001,MATCH(ROWS($F$2:F121),$F$2:$F$1001,0),1)&gt;=100000,INDEX($M$1005,1,MATCH(COLUMNS($M$1006:M1006),$M$1006,0))&gt;=100000), " ",IF(INDEX($M$2:$M$1001,MATCH(ROWS($F$2:F121),$F$2:$F$1001,0),MATCH(COLUMNS($M$1006:M1006),$M$1006,0)), HYPERLINK("#",""), HYPERLINK(CONCATENATE("#Metadata!", ADDRESS(INDEX($H$2:$H$1001,MATCH(ROWS($F$2:F121),$F$2:$F$1001,0),0), INDEX($M$1004,1,MATCH(COLUMNS($M$1006:M1006),$M$1006,0)))),"Fix")))</f>
        <v>0</v>
      </c>
      <c r="F121">
        <v>0</v>
      </c>
      <c r="G121">
        <v>0</v>
      </c>
      <c r="H121">
        <v>0</v>
      </c>
      <c r="I121">
        <f>IF(J121,TRUE,AND(M121))</f>
        <v>0</v>
      </c>
      <c r="J121">
        <f>COUNTBLANK(Metadata!B121)=COLUMNS(Metadata!B121)</f>
        <v>0</v>
      </c>
      <c r="K121">
        <v>0</v>
      </c>
      <c r="M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</row>
    <row r="122" spans="1:13">
      <c r="A122" s="3">
        <f>IF(B122=" "," ",HYPERLINK(CONCATENATE("#metadata!",ADDRESS(INDEX($H$2:$H$1001,MATCH(ROWS($F$2:F122),$F$2:$F$1001,0),0),2)),INDEX($K$2:$K$1001,MATCH(ROWS($F$2:F122),$F$2:$F$1001,0),0)))</f>
        <v>0</v>
      </c>
      <c r="B122" s="4">
        <f>IF(OR(INDEX($G$2:$G$1001,MATCH(ROWS($F$2:F122),$F$2:$F$1001,0),1)&gt;=100000,INDEX($M$1005,1,MATCH(COLUMNS($M$1006:M1006),$M$1006,0))&gt;=100000), " ",IF(INDEX($M$2:$M$1001,MATCH(ROWS($F$2:F122),$F$2:$F$1001,0),MATCH(COLUMNS($M$1006:M1006),$M$1006,0)), HYPERLINK("#",""), HYPERLINK(CONCATENATE("#Metadata!", ADDRESS(INDEX($H$2:$H$1001,MATCH(ROWS($F$2:F122),$F$2:$F$1001,0),0), INDEX($M$1004,1,MATCH(COLUMNS($M$1006:M1006),$M$1006,0)))),"Fix")))</f>
        <v>0</v>
      </c>
      <c r="F122">
        <v>0</v>
      </c>
      <c r="G122">
        <v>0</v>
      </c>
      <c r="H122">
        <v>0</v>
      </c>
      <c r="I122">
        <f>IF(J122,TRUE,AND(M122))</f>
        <v>0</v>
      </c>
      <c r="J122">
        <f>COUNTBLANK(Metadata!B122)=COLUMNS(Metadata!B122)</f>
        <v>0</v>
      </c>
      <c r="K122">
        <v>0</v>
      </c>
      <c r="M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</row>
    <row r="123" spans="1:13">
      <c r="A123" s="3">
        <f>IF(B123=" "," ",HYPERLINK(CONCATENATE("#metadata!",ADDRESS(INDEX($H$2:$H$1001,MATCH(ROWS($F$2:F123),$F$2:$F$1001,0),0),2)),INDEX($K$2:$K$1001,MATCH(ROWS($F$2:F123),$F$2:$F$1001,0),0)))</f>
        <v>0</v>
      </c>
      <c r="B123" s="4">
        <f>IF(OR(INDEX($G$2:$G$1001,MATCH(ROWS($F$2:F123),$F$2:$F$1001,0),1)&gt;=100000,INDEX($M$1005,1,MATCH(COLUMNS($M$1006:M1006),$M$1006,0))&gt;=100000), " ",IF(INDEX($M$2:$M$1001,MATCH(ROWS($F$2:F123),$F$2:$F$1001,0),MATCH(COLUMNS($M$1006:M1006),$M$1006,0)), HYPERLINK("#",""), HYPERLINK(CONCATENATE("#Metadata!", ADDRESS(INDEX($H$2:$H$1001,MATCH(ROWS($F$2:F123),$F$2:$F$1001,0),0), INDEX($M$1004,1,MATCH(COLUMNS($M$1006:M1006),$M$1006,0)))),"Fix")))</f>
        <v>0</v>
      </c>
      <c r="F123">
        <v>0</v>
      </c>
      <c r="G123">
        <v>0</v>
      </c>
      <c r="H123">
        <v>0</v>
      </c>
      <c r="I123">
        <f>IF(J123,TRUE,AND(M123))</f>
        <v>0</v>
      </c>
      <c r="J123">
        <f>COUNTBLANK(Metadata!B123)=COLUMNS(Metadata!B123)</f>
        <v>0</v>
      </c>
      <c r="K123">
        <v>0</v>
      </c>
      <c r="M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</row>
    <row r="124" spans="1:13">
      <c r="A124" s="3">
        <f>IF(B124=" "," ",HYPERLINK(CONCATENATE("#metadata!",ADDRESS(INDEX($H$2:$H$1001,MATCH(ROWS($F$2:F124),$F$2:$F$1001,0),0),2)),INDEX($K$2:$K$1001,MATCH(ROWS($F$2:F124),$F$2:$F$1001,0),0)))</f>
        <v>0</v>
      </c>
      <c r="B124" s="4">
        <f>IF(OR(INDEX($G$2:$G$1001,MATCH(ROWS($F$2:F124),$F$2:$F$1001,0),1)&gt;=100000,INDEX($M$1005,1,MATCH(COLUMNS($M$1006:M1006),$M$1006,0))&gt;=100000), " ",IF(INDEX($M$2:$M$1001,MATCH(ROWS($F$2:F124),$F$2:$F$1001,0),MATCH(COLUMNS($M$1006:M1006),$M$1006,0)), HYPERLINK("#",""), HYPERLINK(CONCATENATE("#Metadata!", ADDRESS(INDEX($H$2:$H$1001,MATCH(ROWS($F$2:F124),$F$2:$F$1001,0),0), INDEX($M$1004,1,MATCH(COLUMNS($M$1006:M1006),$M$1006,0)))),"Fix")))</f>
        <v>0</v>
      </c>
      <c r="F124">
        <v>0</v>
      </c>
      <c r="G124">
        <v>0</v>
      </c>
      <c r="H124">
        <v>0</v>
      </c>
      <c r="I124">
        <f>IF(J124,TRUE,AND(M124))</f>
        <v>0</v>
      </c>
      <c r="J124">
        <f>COUNTBLANK(Metadata!B124)=COLUMNS(Metadata!B124)</f>
        <v>0</v>
      </c>
      <c r="K124">
        <v>0</v>
      </c>
      <c r="M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</row>
    <row r="125" spans="1:13">
      <c r="A125" s="3">
        <f>IF(B125=" "," ",HYPERLINK(CONCATENATE("#metadata!",ADDRESS(INDEX($H$2:$H$1001,MATCH(ROWS($F$2:F125),$F$2:$F$1001,0),0),2)),INDEX($K$2:$K$1001,MATCH(ROWS($F$2:F125),$F$2:$F$1001,0),0)))</f>
        <v>0</v>
      </c>
      <c r="B125" s="4">
        <f>IF(OR(INDEX($G$2:$G$1001,MATCH(ROWS($F$2:F125),$F$2:$F$1001,0),1)&gt;=100000,INDEX($M$1005,1,MATCH(COLUMNS($M$1006:M1006),$M$1006,0))&gt;=100000), " ",IF(INDEX($M$2:$M$1001,MATCH(ROWS($F$2:F125),$F$2:$F$1001,0),MATCH(COLUMNS($M$1006:M1006),$M$1006,0)), HYPERLINK("#",""), HYPERLINK(CONCATENATE("#Metadata!", ADDRESS(INDEX($H$2:$H$1001,MATCH(ROWS($F$2:F125),$F$2:$F$1001,0),0), INDEX($M$1004,1,MATCH(COLUMNS($M$1006:M1006),$M$1006,0)))),"Fix")))</f>
        <v>0</v>
      </c>
      <c r="F125">
        <v>0</v>
      </c>
      <c r="G125">
        <v>0</v>
      </c>
      <c r="H125">
        <v>0</v>
      </c>
      <c r="I125">
        <f>IF(J125,TRUE,AND(M125))</f>
        <v>0</v>
      </c>
      <c r="J125">
        <f>COUNTBLANK(Metadata!B125)=COLUMNS(Metadata!B125)</f>
        <v>0</v>
      </c>
      <c r="K125">
        <v>0</v>
      </c>
      <c r="M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</row>
    <row r="126" spans="1:13">
      <c r="A126" s="3">
        <f>IF(B126=" "," ",HYPERLINK(CONCATENATE("#metadata!",ADDRESS(INDEX($H$2:$H$1001,MATCH(ROWS($F$2:F126),$F$2:$F$1001,0),0),2)),INDEX($K$2:$K$1001,MATCH(ROWS($F$2:F126),$F$2:$F$1001,0),0)))</f>
        <v>0</v>
      </c>
      <c r="B126" s="4">
        <f>IF(OR(INDEX($G$2:$G$1001,MATCH(ROWS($F$2:F126),$F$2:$F$1001,0),1)&gt;=100000,INDEX($M$1005,1,MATCH(COLUMNS($M$1006:M1006),$M$1006,0))&gt;=100000), " ",IF(INDEX($M$2:$M$1001,MATCH(ROWS($F$2:F126),$F$2:$F$1001,0),MATCH(COLUMNS($M$1006:M1006),$M$1006,0)), HYPERLINK("#",""), HYPERLINK(CONCATENATE("#Metadata!", ADDRESS(INDEX($H$2:$H$1001,MATCH(ROWS($F$2:F126),$F$2:$F$1001,0),0), INDEX($M$1004,1,MATCH(COLUMNS($M$1006:M1006),$M$1006,0)))),"Fix")))</f>
        <v>0</v>
      </c>
      <c r="F126">
        <v>0</v>
      </c>
      <c r="G126">
        <v>0</v>
      </c>
      <c r="H126">
        <v>0</v>
      </c>
      <c r="I126">
        <f>IF(J126,TRUE,AND(M126))</f>
        <v>0</v>
      </c>
      <c r="J126">
        <f>COUNTBLANK(Metadata!B126)=COLUMNS(Metadata!B126)</f>
        <v>0</v>
      </c>
      <c r="K126">
        <v>0</v>
      </c>
      <c r="M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</row>
    <row r="127" spans="1:13">
      <c r="A127" s="3">
        <f>IF(B127=" "," ",HYPERLINK(CONCATENATE("#metadata!",ADDRESS(INDEX($H$2:$H$1001,MATCH(ROWS($F$2:F127),$F$2:$F$1001,0),0),2)),INDEX($K$2:$K$1001,MATCH(ROWS($F$2:F127),$F$2:$F$1001,0),0)))</f>
        <v>0</v>
      </c>
      <c r="B127" s="4">
        <f>IF(OR(INDEX($G$2:$G$1001,MATCH(ROWS($F$2:F127),$F$2:$F$1001,0),1)&gt;=100000,INDEX($M$1005,1,MATCH(COLUMNS($M$1006:M1006),$M$1006,0))&gt;=100000), " ",IF(INDEX($M$2:$M$1001,MATCH(ROWS($F$2:F127),$F$2:$F$1001,0),MATCH(COLUMNS($M$1006:M1006),$M$1006,0)), HYPERLINK("#",""), HYPERLINK(CONCATENATE("#Metadata!", ADDRESS(INDEX($H$2:$H$1001,MATCH(ROWS($F$2:F127),$F$2:$F$1001,0),0), INDEX($M$1004,1,MATCH(COLUMNS($M$1006:M1006),$M$1006,0)))),"Fix")))</f>
        <v>0</v>
      </c>
      <c r="F127">
        <v>0</v>
      </c>
      <c r="G127">
        <v>0</v>
      </c>
      <c r="H127">
        <v>0</v>
      </c>
      <c r="I127">
        <f>IF(J127,TRUE,AND(M127))</f>
        <v>0</v>
      </c>
      <c r="J127">
        <f>COUNTBLANK(Metadata!B127)=COLUMNS(Metadata!B127)</f>
        <v>0</v>
      </c>
      <c r="K127">
        <v>0</v>
      </c>
      <c r="M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</row>
    <row r="128" spans="1:13">
      <c r="A128" s="3">
        <f>IF(B128=" "," ",HYPERLINK(CONCATENATE("#metadata!",ADDRESS(INDEX($H$2:$H$1001,MATCH(ROWS($F$2:F128),$F$2:$F$1001,0),0),2)),INDEX($K$2:$K$1001,MATCH(ROWS($F$2:F128),$F$2:$F$1001,0),0)))</f>
        <v>0</v>
      </c>
      <c r="B128" s="4">
        <f>IF(OR(INDEX($G$2:$G$1001,MATCH(ROWS($F$2:F128),$F$2:$F$1001,0),1)&gt;=100000,INDEX($M$1005,1,MATCH(COLUMNS($M$1006:M1006),$M$1006,0))&gt;=100000), " ",IF(INDEX($M$2:$M$1001,MATCH(ROWS($F$2:F128),$F$2:$F$1001,0),MATCH(COLUMNS($M$1006:M1006),$M$1006,0)), HYPERLINK("#",""), HYPERLINK(CONCATENATE("#Metadata!", ADDRESS(INDEX($H$2:$H$1001,MATCH(ROWS($F$2:F128),$F$2:$F$1001,0),0), INDEX($M$1004,1,MATCH(COLUMNS($M$1006:M1006),$M$1006,0)))),"Fix")))</f>
        <v>0</v>
      </c>
      <c r="F128">
        <v>0</v>
      </c>
      <c r="G128">
        <v>0</v>
      </c>
      <c r="H128">
        <v>0</v>
      </c>
      <c r="I128">
        <f>IF(J128,TRUE,AND(M128))</f>
        <v>0</v>
      </c>
      <c r="J128">
        <f>COUNTBLANK(Metadata!B128)=COLUMNS(Metadata!B128)</f>
        <v>0</v>
      </c>
      <c r="K128">
        <v>0</v>
      </c>
      <c r="M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</row>
    <row r="129" spans="1:13">
      <c r="A129" s="3">
        <f>IF(B129=" "," ",HYPERLINK(CONCATENATE("#metadata!",ADDRESS(INDEX($H$2:$H$1001,MATCH(ROWS($F$2:F129),$F$2:$F$1001,0),0),2)),INDEX($K$2:$K$1001,MATCH(ROWS($F$2:F129),$F$2:$F$1001,0),0)))</f>
        <v>0</v>
      </c>
      <c r="B129" s="4">
        <f>IF(OR(INDEX($G$2:$G$1001,MATCH(ROWS($F$2:F129),$F$2:$F$1001,0),1)&gt;=100000,INDEX($M$1005,1,MATCH(COLUMNS($M$1006:M1006),$M$1006,0))&gt;=100000), " ",IF(INDEX($M$2:$M$1001,MATCH(ROWS($F$2:F129),$F$2:$F$1001,0),MATCH(COLUMNS($M$1006:M1006),$M$1006,0)), HYPERLINK("#",""), HYPERLINK(CONCATENATE("#Metadata!", ADDRESS(INDEX($H$2:$H$1001,MATCH(ROWS($F$2:F129),$F$2:$F$1001,0),0), INDEX($M$1004,1,MATCH(COLUMNS($M$1006:M1006),$M$1006,0)))),"Fix")))</f>
        <v>0</v>
      </c>
      <c r="F129">
        <v>0</v>
      </c>
      <c r="G129">
        <v>0</v>
      </c>
      <c r="H129">
        <v>0</v>
      </c>
      <c r="I129">
        <f>IF(J129,TRUE,AND(M129))</f>
        <v>0</v>
      </c>
      <c r="J129">
        <f>COUNTBLANK(Metadata!B129)=COLUMNS(Metadata!B129)</f>
        <v>0</v>
      </c>
      <c r="K129">
        <v>0</v>
      </c>
      <c r="M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</row>
    <row r="130" spans="1:13">
      <c r="A130" s="3">
        <f>IF(B130=" "," ",HYPERLINK(CONCATENATE("#metadata!",ADDRESS(INDEX($H$2:$H$1001,MATCH(ROWS($F$2:F130),$F$2:$F$1001,0),0),2)),INDEX($K$2:$K$1001,MATCH(ROWS($F$2:F130),$F$2:$F$1001,0),0)))</f>
        <v>0</v>
      </c>
      <c r="B130" s="4">
        <f>IF(OR(INDEX($G$2:$G$1001,MATCH(ROWS($F$2:F130),$F$2:$F$1001,0),1)&gt;=100000,INDEX($M$1005,1,MATCH(COLUMNS($M$1006:M1006),$M$1006,0))&gt;=100000), " ",IF(INDEX($M$2:$M$1001,MATCH(ROWS($F$2:F130),$F$2:$F$1001,0),MATCH(COLUMNS($M$1006:M1006),$M$1006,0)), HYPERLINK("#",""), HYPERLINK(CONCATENATE("#Metadata!", ADDRESS(INDEX($H$2:$H$1001,MATCH(ROWS($F$2:F130),$F$2:$F$1001,0),0), INDEX($M$1004,1,MATCH(COLUMNS($M$1006:M1006),$M$1006,0)))),"Fix")))</f>
        <v>0</v>
      </c>
      <c r="F130">
        <v>0</v>
      </c>
      <c r="G130">
        <v>0</v>
      </c>
      <c r="H130">
        <v>0</v>
      </c>
      <c r="I130">
        <f>IF(J130,TRUE,AND(M130))</f>
        <v>0</v>
      </c>
      <c r="J130">
        <f>COUNTBLANK(Metadata!B130)=COLUMNS(Metadata!B130)</f>
        <v>0</v>
      </c>
      <c r="K130">
        <v>0</v>
      </c>
      <c r="M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</row>
    <row r="131" spans="1:13">
      <c r="A131" s="3">
        <f>IF(B131=" "," ",HYPERLINK(CONCATENATE("#metadata!",ADDRESS(INDEX($H$2:$H$1001,MATCH(ROWS($F$2:F131),$F$2:$F$1001,0),0),2)),INDEX($K$2:$K$1001,MATCH(ROWS($F$2:F131),$F$2:$F$1001,0),0)))</f>
        <v>0</v>
      </c>
      <c r="B131" s="4">
        <f>IF(OR(INDEX($G$2:$G$1001,MATCH(ROWS($F$2:F131),$F$2:$F$1001,0),1)&gt;=100000,INDEX($M$1005,1,MATCH(COLUMNS($M$1006:M1006),$M$1006,0))&gt;=100000), " ",IF(INDEX($M$2:$M$1001,MATCH(ROWS($F$2:F131),$F$2:$F$1001,0),MATCH(COLUMNS($M$1006:M1006),$M$1006,0)), HYPERLINK("#",""), HYPERLINK(CONCATENATE("#Metadata!", ADDRESS(INDEX($H$2:$H$1001,MATCH(ROWS($F$2:F131),$F$2:$F$1001,0),0), INDEX($M$1004,1,MATCH(COLUMNS($M$1006:M1006),$M$1006,0)))),"Fix")))</f>
        <v>0</v>
      </c>
      <c r="F131">
        <v>0</v>
      </c>
      <c r="G131">
        <v>0</v>
      </c>
      <c r="H131">
        <v>0</v>
      </c>
      <c r="I131">
        <f>IF(J131,TRUE,AND(M131))</f>
        <v>0</v>
      </c>
      <c r="J131">
        <f>COUNTBLANK(Metadata!B131)=COLUMNS(Metadata!B131)</f>
        <v>0</v>
      </c>
      <c r="K131">
        <v>0</v>
      </c>
      <c r="M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</row>
    <row r="132" spans="1:13">
      <c r="A132" s="3">
        <f>IF(B132=" "," ",HYPERLINK(CONCATENATE("#metadata!",ADDRESS(INDEX($H$2:$H$1001,MATCH(ROWS($F$2:F132),$F$2:$F$1001,0),0),2)),INDEX($K$2:$K$1001,MATCH(ROWS($F$2:F132),$F$2:$F$1001,0),0)))</f>
        <v>0</v>
      </c>
      <c r="B132" s="4">
        <f>IF(OR(INDEX($G$2:$G$1001,MATCH(ROWS($F$2:F132),$F$2:$F$1001,0),1)&gt;=100000,INDEX($M$1005,1,MATCH(COLUMNS($M$1006:M1006),$M$1006,0))&gt;=100000), " ",IF(INDEX($M$2:$M$1001,MATCH(ROWS($F$2:F132),$F$2:$F$1001,0),MATCH(COLUMNS($M$1006:M1006),$M$1006,0)), HYPERLINK("#",""), HYPERLINK(CONCATENATE("#Metadata!", ADDRESS(INDEX($H$2:$H$1001,MATCH(ROWS($F$2:F132),$F$2:$F$1001,0),0), INDEX($M$1004,1,MATCH(COLUMNS($M$1006:M1006),$M$1006,0)))),"Fix")))</f>
        <v>0</v>
      </c>
      <c r="F132">
        <v>0</v>
      </c>
      <c r="G132">
        <v>0</v>
      </c>
      <c r="H132">
        <v>0</v>
      </c>
      <c r="I132">
        <f>IF(J132,TRUE,AND(M132))</f>
        <v>0</v>
      </c>
      <c r="J132">
        <f>COUNTBLANK(Metadata!B132)=COLUMNS(Metadata!B132)</f>
        <v>0</v>
      </c>
      <c r="K132">
        <v>0</v>
      </c>
      <c r="M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</row>
    <row r="133" spans="1:13">
      <c r="A133" s="3">
        <f>IF(B133=" "," ",HYPERLINK(CONCATENATE("#metadata!",ADDRESS(INDEX($H$2:$H$1001,MATCH(ROWS($F$2:F133),$F$2:$F$1001,0),0),2)),INDEX($K$2:$K$1001,MATCH(ROWS($F$2:F133),$F$2:$F$1001,0),0)))</f>
        <v>0</v>
      </c>
      <c r="B133" s="4">
        <f>IF(OR(INDEX($G$2:$G$1001,MATCH(ROWS($F$2:F133),$F$2:$F$1001,0),1)&gt;=100000,INDEX($M$1005,1,MATCH(COLUMNS($M$1006:M1006),$M$1006,0))&gt;=100000), " ",IF(INDEX($M$2:$M$1001,MATCH(ROWS($F$2:F133),$F$2:$F$1001,0),MATCH(COLUMNS($M$1006:M1006),$M$1006,0)), HYPERLINK("#",""), HYPERLINK(CONCATENATE("#Metadata!", ADDRESS(INDEX($H$2:$H$1001,MATCH(ROWS($F$2:F133),$F$2:$F$1001,0),0), INDEX($M$1004,1,MATCH(COLUMNS($M$1006:M1006),$M$1006,0)))),"Fix")))</f>
        <v>0</v>
      </c>
      <c r="F133">
        <v>0</v>
      </c>
      <c r="G133">
        <v>0</v>
      </c>
      <c r="H133">
        <v>0</v>
      </c>
      <c r="I133">
        <f>IF(J133,TRUE,AND(M133))</f>
        <v>0</v>
      </c>
      <c r="J133">
        <f>COUNTBLANK(Metadata!B133)=COLUMNS(Metadata!B133)</f>
        <v>0</v>
      </c>
      <c r="K133">
        <v>0</v>
      </c>
      <c r="M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</row>
    <row r="134" spans="1:13">
      <c r="A134" s="3">
        <f>IF(B134=" "," ",HYPERLINK(CONCATENATE("#metadata!",ADDRESS(INDEX($H$2:$H$1001,MATCH(ROWS($F$2:F134),$F$2:$F$1001,0),0),2)),INDEX($K$2:$K$1001,MATCH(ROWS($F$2:F134),$F$2:$F$1001,0),0)))</f>
        <v>0</v>
      </c>
      <c r="B134" s="4">
        <f>IF(OR(INDEX($G$2:$G$1001,MATCH(ROWS($F$2:F134),$F$2:$F$1001,0),1)&gt;=100000,INDEX($M$1005,1,MATCH(COLUMNS($M$1006:M1006),$M$1006,0))&gt;=100000), " ",IF(INDEX($M$2:$M$1001,MATCH(ROWS($F$2:F134),$F$2:$F$1001,0),MATCH(COLUMNS($M$1006:M1006),$M$1006,0)), HYPERLINK("#",""), HYPERLINK(CONCATENATE("#Metadata!", ADDRESS(INDEX($H$2:$H$1001,MATCH(ROWS($F$2:F134),$F$2:$F$1001,0),0), INDEX($M$1004,1,MATCH(COLUMNS($M$1006:M1006),$M$1006,0)))),"Fix")))</f>
        <v>0</v>
      </c>
      <c r="F134">
        <v>0</v>
      </c>
      <c r="G134">
        <v>0</v>
      </c>
      <c r="H134">
        <v>0</v>
      </c>
      <c r="I134">
        <f>IF(J134,TRUE,AND(M134))</f>
        <v>0</v>
      </c>
      <c r="J134">
        <f>COUNTBLANK(Metadata!B134)=COLUMNS(Metadata!B134)</f>
        <v>0</v>
      </c>
      <c r="K134">
        <v>0</v>
      </c>
      <c r="M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</row>
    <row r="135" spans="1:13">
      <c r="A135" s="3">
        <f>IF(B135=" "," ",HYPERLINK(CONCATENATE("#metadata!",ADDRESS(INDEX($H$2:$H$1001,MATCH(ROWS($F$2:F135),$F$2:$F$1001,0),0),2)),INDEX($K$2:$K$1001,MATCH(ROWS($F$2:F135),$F$2:$F$1001,0),0)))</f>
        <v>0</v>
      </c>
      <c r="B135" s="4">
        <f>IF(OR(INDEX($G$2:$G$1001,MATCH(ROWS($F$2:F135),$F$2:$F$1001,0),1)&gt;=100000,INDEX($M$1005,1,MATCH(COLUMNS($M$1006:M1006),$M$1006,0))&gt;=100000), " ",IF(INDEX($M$2:$M$1001,MATCH(ROWS($F$2:F135),$F$2:$F$1001,0),MATCH(COLUMNS($M$1006:M1006),$M$1006,0)), HYPERLINK("#",""), HYPERLINK(CONCATENATE("#Metadata!", ADDRESS(INDEX($H$2:$H$1001,MATCH(ROWS($F$2:F135),$F$2:$F$1001,0),0), INDEX($M$1004,1,MATCH(COLUMNS($M$1006:M1006),$M$1006,0)))),"Fix")))</f>
        <v>0</v>
      </c>
      <c r="F135">
        <v>0</v>
      </c>
      <c r="G135">
        <v>0</v>
      </c>
      <c r="H135">
        <v>0</v>
      </c>
      <c r="I135">
        <f>IF(J135,TRUE,AND(M135))</f>
        <v>0</v>
      </c>
      <c r="J135">
        <f>COUNTBLANK(Metadata!B135)=COLUMNS(Metadata!B135)</f>
        <v>0</v>
      </c>
      <c r="K135">
        <v>0</v>
      </c>
      <c r="M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</row>
    <row r="136" spans="1:13">
      <c r="A136" s="3">
        <f>IF(B136=" "," ",HYPERLINK(CONCATENATE("#metadata!",ADDRESS(INDEX($H$2:$H$1001,MATCH(ROWS($F$2:F136),$F$2:$F$1001,0),0),2)),INDEX($K$2:$K$1001,MATCH(ROWS($F$2:F136),$F$2:$F$1001,0),0)))</f>
        <v>0</v>
      </c>
      <c r="B136" s="4">
        <f>IF(OR(INDEX($G$2:$G$1001,MATCH(ROWS($F$2:F136),$F$2:$F$1001,0),1)&gt;=100000,INDEX($M$1005,1,MATCH(COLUMNS($M$1006:M1006),$M$1006,0))&gt;=100000), " ",IF(INDEX($M$2:$M$1001,MATCH(ROWS($F$2:F136),$F$2:$F$1001,0),MATCH(COLUMNS($M$1006:M1006),$M$1006,0)), HYPERLINK("#",""), HYPERLINK(CONCATENATE("#Metadata!", ADDRESS(INDEX($H$2:$H$1001,MATCH(ROWS($F$2:F136),$F$2:$F$1001,0),0), INDEX($M$1004,1,MATCH(COLUMNS($M$1006:M1006),$M$1006,0)))),"Fix")))</f>
        <v>0</v>
      </c>
      <c r="F136">
        <v>0</v>
      </c>
      <c r="G136">
        <v>0</v>
      </c>
      <c r="H136">
        <v>0</v>
      </c>
      <c r="I136">
        <f>IF(J136,TRUE,AND(M136))</f>
        <v>0</v>
      </c>
      <c r="J136">
        <f>COUNTBLANK(Metadata!B136)=COLUMNS(Metadata!B136)</f>
        <v>0</v>
      </c>
      <c r="K136">
        <v>0</v>
      </c>
      <c r="M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</row>
    <row r="137" spans="1:13">
      <c r="A137" s="3">
        <f>IF(B137=" "," ",HYPERLINK(CONCATENATE("#metadata!",ADDRESS(INDEX($H$2:$H$1001,MATCH(ROWS($F$2:F137),$F$2:$F$1001,0),0),2)),INDEX($K$2:$K$1001,MATCH(ROWS($F$2:F137),$F$2:$F$1001,0),0)))</f>
        <v>0</v>
      </c>
      <c r="B137" s="4">
        <f>IF(OR(INDEX($G$2:$G$1001,MATCH(ROWS($F$2:F137),$F$2:$F$1001,0),1)&gt;=100000,INDEX($M$1005,1,MATCH(COLUMNS($M$1006:M1006),$M$1006,0))&gt;=100000), " ",IF(INDEX($M$2:$M$1001,MATCH(ROWS($F$2:F137),$F$2:$F$1001,0),MATCH(COLUMNS($M$1006:M1006),$M$1006,0)), HYPERLINK("#",""), HYPERLINK(CONCATENATE("#Metadata!", ADDRESS(INDEX($H$2:$H$1001,MATCH(ROWS($F$2:F137),$F$2:$F$1001,0),0), INDEX($M$1004,1,MATCH(COLUMNS($M$1006:M1006),$M$1006,0)))),"Fix")))</f>
        <v>0</v>
      </c>
      <c r="F137">
        <v>0</v>
      </c>
      <c r="G137">
        <v>0</v>
      </c>
      <c r="H137">
        <v>0</v>
      </c>
      <c r="I137">
        <f>IF(J137,TRUE,AND(M137))</f>
        <v>0</v>
      </c>
      <c r="J137">
        <f>COUNTBLANK(Metadata!B137)=COLUMNS(Metadata!B137)</f>
        <v>0</v>
      </c>
      <c r="K137">
        <v>0</v>
      </c>
      <c r="M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</row>
    <row r="138" spans="1:13">
      <c r="A138" s="3">
        <f>IF(B138=" "," ",HYPERLINK(CONCATENATE("#metadata!",ADDRESS(INDEX($H$2:$H$1001,MATCH(ROWS($F$2:F138),$F$2:$F$1001,0),0),2)),INDEX($K$2:$K$1001,MATCH(ROWS($F$2:F138),$F$2:$F$1001,0),0)))</f>
        <v>0</v>
      </c>
      <c r="B138" s="4">
        <f>IF(OR(INDEX($G$2:$G$1001,MATCH(ROWS($F$2:F138),$F$2:$F$1001,0),1)&gt;=100000,INDEX($M$1005,1,MATCH(COLUMNS($M$1006:M1006),$M$1006,0))&gt;=100000), " ",IF(INDEX($M$2:$M$1001,MATCH(ROWS($F$2:F138),$F$2:$F$1001,0),MATCH(COLUMNS($M$1006:M1006),$M$1006,0)), HYPERLINK("#",""), HYPERLINK(CONCATENATE("#Metadata!", ADDRESS(INDEX($H$2:$H$1001,MATCH(ROWS($F$2:F138),$F$2:$F$1001,0),0), INDEX($M$1004,1,MATCH(COLUMNS($M$1006:M1006),$M$1006,0)))),"Fix")))</f>
        <v>0</v>
      </c>
      <c r="F138">
        <v>0</v>
      </c>
      <c r="G138">
        <v>0</v>
      </c>
      <c r="H138">
        <v>0</v>
      </c>
      <c r="I138">
        <f>IF(J138,TRUE,AND(M138))</f>
        <v>0</v>
      </c>
      <c r="J138">
        <f>COUNTBLANK(Metadata!B138)=COLUMNS(Metadata!B138)</f>
        <v>0</v>
      </c>
      <c r="K138">
        <v>0</v>
      </c>
      <c r="M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</row>
    <row r="139" spans="1:13">
      <c r="A139" s="3">
        <f>IF(B139=" "," ",HYPERLINK(CONCATENATE("#metadata!",ADDRESS(INDEX($H$2:$H$1001,MATCH(ROWS($F$2:F139),$F$2:$F$1001,0),0),2)),INDEX($K$2:$K$1001,MATCH(ROWS($F$2:F139),$F$2:$F$1001,0),0)))</f>
        <v>0</v>
      </c>
      <c r="B139" s="4">
        <f>IF(OR(INDEX($G$2:$G$1001,MATCH(ROWS($F$2:F139),$F$2:$F$1001,0),1)&gt;=100000,INDEX($M$1005,1,MATCH(COLUMNS($M$1006:M1006),$M$1006,0))&gt;=100000), " ",IF(INDEX($M$2:$M$1001,MATCH(ROWS($F$2:F139),$F$2:$F$1001,0),MATCH(COLUMNS($M$1006:M1006),$M$1006,0)), HYPERLINK("#",""), HYPERLINK(CONCATENATE("#Metadata!", ADDRESS(INDEX($H$2:$H$1001,MATCH(ROWS($F$2:F139),$F$2:$F$1001,0),0), INDEX($M$1004,1,MATCH(COLUMNS($M$1006:M1006),$M$1006,0)))),"Fix")))</f>
        <v>0</v>
      </c>
      <c r="F139">
        <v>0</v>
      </c>
      <c r="G139">
        <v>0</v>
      </c>
      <c r="H139">
        <v>0</v>
      </c>
      <c r="I139">
        <f>IF(J139,TRUE,AND(M139))</f>
        <v>0</v>
      </c>
      <c r="J139">
        <f>COUNTBLANK(Metadata!B139)=COLUMNS(Metadata!B139)</f>
        <v>0</v>
      </c>
      <c r="K139">
        <v>0</v>
      </c>
      <c r="M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</row>
    <row r="140" spans="1:13">
      <c r="A140" s="3">
        <f>IF(B140=" "," ",HYPERLINK(CONCATENATE("#metadata!",ADDRESS(INDEX($H$2:$H$1001,MATCH(ROWS($F$2:F140),$F$2:$F$1001,0),0),2)),INDEX($K$2:$K$1001,MATCH(ROWS($F$2:F140),$F$2:$F$1001,0),0)))</f>
        <v>0</v>
      </c>
      <c r="B140" s="4">
        <f>IF(OR(INDEX($G$2:$G$1001,MATCH(ROWS($F$2:F140),$F$2:$F$1001,0),1)&gt;=100000,INDEX($M$1005,1,MATCH(COLUMNS($M$1006:M1006),$M$1006,0))&gt;=100000), " ",IF(INDEX($M$2:$M$1001,MATCH(ROWS($F$2:F140),$F$2:$F$1001,0),MATCH(COLUMNS($M$1006:M1006),$M$1006,0)), HYPERLINK("#",""), HYPERLINK(CONCATENATE("#Metadata!", ADDRESS(INDEX($H$2:$H$1001,MATCH(ROWS($F$2:F140),$F$2:$F$1001,0),0), INDEX($M$1004,1,MATCH(COLUMNS($M$1006:M1006),$M$1006,0)))),"Fix")))</f>
        <v>0</v>
      </c>
      <c r="F140">
        <v>0</v>
      </c>
      <c r="G140">
        <v>0</v>
      </c>
      <c r="H140">
        <v>0</v>
      </c>
      <c r="I140">
        <f>IF(J140,TRUE,AND(M140))</f>
        <v>0</v>
      </c>
      <c r="J140">
        <f>COUNTBLANK(Metadata!B140)=COLUMNS(Metadata!B140)</f>
        <v>0</v>
      </c>
      <c r="K140">
        <v>0</v>
      </c>
      <c r="M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</row>
    <row r="141" spans="1:13">
      <c r="A141" s="3">
        <f>IF(B141=" "," ",HYPERLINK(CONCATENATE("#metadata!",ADDRESS(INDEX($H$2:$H$1001,MATCH(ROWS($F$2:F141),$F$2:$F$1001,0),0),2)),INDEX($K$2:$K$1001,MATCH(ROWS($F$2:F141),$F$2:$F$1001,0),0)))</f>
        <v>0</v>
      </c>
      <c r="B141" s="4">
        <f>IF(OR(INDEX($G$2:$G$1001,MATCH(ROWS($F$2:F141),$F$2:$F$1001,0),1)&gt;=100000,INDEX($M$1005,1,MATCH(COLUMNS($M$1006:M1006),$M$1006,0))&gt;=100000), " ",IF(INDEX($M$2:$M$1001,MATCH(ROWS($F$2:F141),$F$2:$F$1001,0),MATCH(COLUMNS($M$1006:M1006),$M$1006,0)), HYPERLINK("#",""), HYPERLINK(CONCATENATE("#Metadata!", ADDRESS(INDEX($H$2:$H$1001,MATCH(ROWS($F$2:F141),$F$2:$F$1001,0),0), INDEX($M$1004,1,MATCH(COLUMNS($M$1006:M1006),$M$1006,0)))),"Fix")))</f>
        <v>0</v>
      </c>
      <c r="F141">
        <v>0</v>
      </c>
      <c r="G141">
        <v>0</v>
      </c>
      <c r="H141">
        <v>0</v>
      </c>
      <c r="I141">
        <f>IF(J141,TRUE,AND(M141))</f>
        <v>0</v>
      </c>
      <c r="J141">
        <f>COUNTBLANK(Metadata!B141)=COLUMNS(Metadata!B141)</f>
        <v>0</v>
      </c>
      <c r="K141">
        <v>0</v>
      </c>
      <c r="M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</row>
    <row r="142" spans="1:13">
      <c r="A142" s="3">
        <f>IF(B142=" "," ",HYPERLINK(CONCATENATE("#metadata!",ADDRESS(INDEX($H$2:$H$1001,MATCH(ROWS($F$2:F142),$F$2:$F$1001,0),0),2)),INDEX($K$2:$K$1001,MATCH(ROWS($F$2:F142),$F$2:$F$1001,0),0)))</f>
        <v>0</v>
      </c>
      <c r="B142" s="4">
        <f>IF(OR(INDEX($G$2:$G$1001,MATCH(ROWS($F$2:F142),$F$2:$F$1001,0),1)&gt;=100000,INDEX($M$1005,1,MATCH(COLUMNS($M$1006:M1006),$M$1006,0))&gt;=100000), " ",IF(INDEX($M$2:$M$1001,MATCH(ROWS($F$2:F142),$F$2:$F$1001,0),MATCH(COLUMNS($M$1006:M1006),$M$1006,0)), HYPERLINK("#",""), HYPERLINK(CONCATENATE("#Metadata!", ADDRESS(INDEX($H$2:$H$1001,MATCH(ROWS($F$2:F142),$F$2:$F$1001,0),0), INDEX($M$1004,1,MATCH(COLUMNS($M$1006:M1006),$M$1006,0)))),"Fix")))</f>
        <v>0</v>
      </c>
      <c r="F142">
        <v>0</v>
      </c>
      <c r="G142">
        <v>0</v>
      </c>
      <c r="H142">
        <v>0</v>
      </c>
      <c r="I142">
        <f>IF(J142,TRUE,AND(M142))</f>
        <v>0</v>
      </c>
      <c r="J142">
        <f>COUNTBLANK(Metadata!B142)=COLUMNS(Metadata!B142)</f>
        <v>0</v>
      </c>
      <c r="K142">
        <v>0</v>
      </c>
      <c r="M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</row>
    <row r="143" spans="1:13">
      <c r="A143" s="3">
        <f>IF(B143=" "," ",HYPERLINK(CONCATENATE("#metadata!",ADDRESS(INDEX($H$2:$H$1001,MATCH(ROWS($F$2:F143),$F$2:$F$1001,0),0),2)),INDEX($K$2:$K$1001,MATCH(ROWS($F$2:F143),$F$2:$F$1001,0),0)))</f>
        <v>0</v>
      </c>
      <c r="B143" s="4">
        <f>IF(OR(INDEX($G$2:$G$1001,MATCH(ROWS($F$2:F143),$F$2:$F$1001,0),1)&gt;=100000,INDEX($M$1005,1,MATCH(COLUMNS($M$1006:M1006),$M$1006,0))&gt;=100000), " ",IF(INDEX($M$2:$M$1001,MATCH(ROWS($F$2:F143),$F$2:$F$1001,0),MATCH(COLUMNS($M$1006:M1006),$M$1006,0)), HYPERLINK("#",""), HYPERLINK(CONCATENATE("#Metadata!", ADDRESS(INDEX($H$2:$H$1001,MATCH(ROWS($F$2:F143),$F$2:$F$1001,0),0), INDEX($M$1004,1,MATCH(COLUMNS($M$1006:M1006),$M$1006,0)))),"Fix")))</f>
        <v>0</v>
      </c>
      <c r="F143">
        <v>0</v>
      </c>
      <c r="G143">
        <v>0</v>
      </c>
      <c r="H143">
        <v>0</v>
      </c>
      <c r="I143">
        <f>IF(J143,TRUE,AND(M143))</f>
        <v>0</v>
      </c>
      <c r="J143">
        <f>COUNTBLANK(Metadata!B143)=COLUMNS(Metadata!B143)</f>
        <v>0</v>
      </c>
      <c r="K143">
        <v>0</v>
      </c>
      <c r="M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</row>
    <row r="144" spans="1:13">
      <c r="A144" s="3">
        <f>IF(B144=" "," ",HYPERLINK(CONCATENATE("#metadata!",ADDRESS(INDEX($H$2:$H$1001,MATCH(ROWS($F$2:F144),$F$2:$F$1001,0),0),2)),INDEX($K$2:$K$1001,MATCH(ROWS($F$2:F144),$F$2:$F$1001,0),0)))</f>
        <v>0</v>
      </c>
      <c r="B144" s="4">
        <f>IF(OR(INDEX($G$2:$G$1001,MATCH(ROWS($F$2:F144),$F$2:$F$1001,0),1)&gt;=100000,INDEX($M$1005,1,MATCH(COLUMNS($M$1006:M1006),$M$1006,0))&gt;=100000), " ",IF(INDEX($M$2:$M$1001,MATCH(ROWS($F$2:F144),$F$2:$F$1001,0),MATCH(COLUMNS($M$1006:M1006),$M$1006,0)), HYPERLINK("#",""), HYPERLINK(CONCATENATE("#Metadata!", ADDRESS(INDEX($H$2:$H$1001,MATCH(ROWS($F$2:F144),$F$2:$F$1001,0),0), INDEX($M$1004,1,MATCH(COLUMNS($M$1006:M1006),$M$1006,0)))),"Fix")))</f>
        <v>0</v>
      </c>
      <c r="F144">
        <v>0</v>
      </c>
      <c r="G144">
        <v>0</v>
      </c>
      <c r="H144">
        <v>0</v>
      </c>
      <c r="I144">
        <f>IF(J144,TRUE,AND(M144))</f>
        <v>0</v>
      </c>
      <c r="J144">
        <f>COUNTBLANK(Metadata!B144)=COLUMNS(Metadata!B144)</f>
        <v>0</v>
      </c>
      <c r="K144">
        <v>0</v>
      </c>
      <c r="M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</row>
    <row r="145" spans="1:13">
      <c r="A145" s="3">
        <f>IF(B145=" "," ",HYPERLINK(CONCATENATE("#metadata!",ADDRESS(INDEX($H$2:$H$1001,MATCH(ROWS($F$2:F145),$F$2:$F$1001,0),0),2)),INDEX($K$2:$K$1001,MATCH(ROWS($F$2:F145),$F$2:$F$1001,0),0)))</f>
        <v>0</v>
      </c>
      <c r="B145" s="4">
        <f>IF(OR(INDEX($G$2:$G$1001,MATCH(ROWS($F$2:F145),$F$2:$F$1001,0),1)&gt;=100000,INDEX($M$1005,1,MATCH(COLUMNS($M$1006:M1006),$M$1006,0))&gt;=100000), " ",IF(INDEX($M$2:$M$1001,MATCH(ROWS($F$2:F145),$F$2:$F$1001,0),MATCH(COLUMNS($M$1006:M1006),$M$1006,0)), HYPERLINK("#",""), HYPERLINK(CONCATENATE("#Metadata!", ADDRESS(INDEX($H$2:$H$1001,MATCH(ROWS($F$2:F145),$F$2:$F$1001,0),0), INDEX($M$1004,1,MATCH(COLUMNS($M$1006:M1006),$M$1006,0)))),"Fix")))</f>
        <v>0</v>
      </c>
      <c r="F145">
        <v>0</v>
      </c>
      <c r="G145">
        <v>0</v>
      </c>
      <c r="H145">
        <v>0</v>
      </c>
      <c r="I145">
        <f>IF(J145,TRUE,AND(M145))</f>
        <v>0</v>
      </c>
      <c r="J145">
        <f>COUNTBLANK(Metadata!B145)=COLUMNS(Metadata!B145)</f>
        <v>0</v>
      </c>
      <c r="K145">
        <v>0</v>
      </c>
      <c r="M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</row>
    <row r="146" spans="1:13">
      <c r="A146" s="3">
        <f>IF(B146=" "," ",HYPERLINK(CONCATENATE("#metadata!",ADDRESS(INDEX($H$2:$H$1001,MATCH(ROWS($F$2:F146),$F$2:$F$1001,0),0),2)),INDEX($K$2:$K$1001,MATCH(ROWS($F$2:F146),$F$2:$F$1001,0),0)))</f>
        <v>0</v>
      </c>
      <c r="B146" s="4">
        <f>IF(OR(INDEX($G$2:$G$1001,MATCH(ROWS($F$2:F146),$F$2:$F$1001,0),1)&gt;=100000,INDEX($M$1005,1,MATCH(COLUMNS($M$1006:M1006),$M$1006,0))&gt;=100000), " ",IF(INDEX($M$2:$M$1001,MATCH(ROWS($F$2:F146),$F$2:$F$1001,0),MATCH(COLUMNS($M$1006:M1006),$M$1006,0)), HYPERLINK("#",""), HYPERLINK(CONCATENATE("#Metadata!", ADDRESS(INDEX($H$2:$H$1001,MATCH(ROWS($F$2:F146),$F$2:$F$1001,0),0), INDEX($M$1004,1,MATCH(COLUMNS($M$1006:M1006),$M$1006,0)))),"Fix")))</f>
        <v>0</v>
      </c>
      <c r="F146">
        <v>0</v>
      </c>
      <c r="G146">
        <v>0</v>
      </c>
      <c r="H146">
        <v>0</v>
      </c>
      <c r="I146">
        <f>IF(J146,TRUE,AND(M146))</f>
        <v>0</v>
      </c>
      <c r="J146">
        <f>COUNTBLANK(Metadata!B146)=COLUMNS(Metadata!B146)</f>
        <v>0</v>
      </c>
      <c r="K146">
        <v>0</v>
      </c>
      <c r="M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</row>
    <row r="147" spans="1:13">
      <c r="A147" s="3">
        <f>IF(B147=" "," ",HYPERLINK(CONCATENATE("#metadata!",ADDRESS(INDEX($H$2:$H$1001,MATCH(ROWS($F$2:F147),$F$2:$F$1001,0),0),2)),INDEX($K$2:$K$1001,MATCH(ROWS($F$2:F147),$F$2:$F$1001,0),0)))</f>
        <v>0</v>
      </c>
      <c r="B147" s="4">
        <f>IF(OR(INDEX($G$2:$G$1001,MATCH(ROWS($F$2:F147),$F$2:$F$1001,0),1)&gt;=100000,INDEX($M$1005,1,MATCH(COLUMNS($M$1006:M1006),$M$1006,0))&gt;=100000), " ",IF(INDEX($M$2:$M$1001,MATCH(ROWS($F$2:F147),$F$2:$F$1001,0),MATCH(COLUMNS($M$1006:M1006),$M$1006,0)), HYPERLINK("#",""), HYPERLINK(CONCATENATE("#Metadata!", ADDRESS(INDEX($H$2:$H$1001,MATCH(ROWS($F$2:F147),$F$2:$F$1001,0),0), INDEX($M$1004,1,MATCH(COLUMNS($M$1006:M1006),$M$1006,0)))),"Fix")))</f>
        <v>0</v>
      </c>
      <c r="F147">
        <v>0</v>
      </c>
      <c r="G147">
        <v>0</v>
      </c>
      <c r="H147">
        <v>0</v>
      </c>
      <c r="I147">
        <f>IF(J147,TRUE,AND(M147))</f>
        <v>0</v>
      </c>
      <c r="J147">
        <f>COUNTBLANK(Metadata!B147)=COLUMNS(Metadata!B147)</f>
        <v>0</v>
      </c>
      <c r="K147">
        <v>0</v>
      </c>
      <c r="M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</row>
    <row r="148" spans="1:13">
      <c r="A148" s="3">
        <f>IF(B148=" "," ",HYPERLINK(CONCATENATE("#metadata!",ADDRESS(INDEX($H$2:$H$1001,MATCH(ROWS($F$2:F148),$F$2:$F$1001,0),0),2)),INDEX($K$2:$K$1001,MATCH(ROWS($F$2:F148),$F$2:$F$1001,0),0)))</f>
        <v>0</v>
      </c>
      <c r="B148" s="4">
        <f>IF(OR(INDEX($G$2:$G$1001,MATCH(ROWS($F$2:F148),$F$2:$F$1001,0),1)&gt;=100000,INDEX($M$1005,1,MATCH(COLUMNS($M$1006:M1006),$M$1006,0))&gt;=100000), " ",IF(INDEX($M$2:$M$1001,MATCH(ROWS($F$2:F148),$F$2:$F$1001,0),MATCH(COLUMNS($M$1006:M1006),$M$1006,0)), HYPERLINK("#",""), HYPERLINK(CONCATENATE("#Metadata!", ADDRESS(INDEX($H$2:$H$1001,MATCH(ROWS($F$2:F148),$F$2:$F$1001,0),0), INDEX($M$1004,1,MATCH(COLUMNS($M$1006:M1006),$M$1006,0)))),"Fix")))</f>
        <v>0</v>
      </c>
      <c r="F148">
        <v>0</v>
      </c>
      <c r="G148">
        <v>0</v>
      </c>
      <c r="H148">
        <v>0</v>
      </c>
      <c r="I148">
        <f>IF(J148,TRUE,AND(M148))</f>
        <v>0</v>
      </c>
      <c r="J148">
        <f>COUNTBLANK(Metadata!B148)=COLUMNS(Metadata!B148)</f>
        <v>0</v>
      </c>
      <c r="K148">
        <v>0</v>
      </c>
      <c r="M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</row>
    <row r="149" spans="1:13">
      <c r="A149" s="3">
        <f>IF(B149=" "," ",HYPERLINK(CONCATENATE("#metadata!",ADDRESS(INDEX($H$2:$H$1001,MATCH(ROWS($F$2:F149),$F$2:$F$1001,0),0),2)),INDEX($K$2:$K$1001,MATCH(ROWS($F$2:F149),$F$2:$F$1001,0),0)))</f>
        <v>0</v>
      </c>
      <c r="B149" s="4">
        <f>IF(OR(INDEX($G$2:$G$1001,MATCH(ROWS($F$2:F149),$F$2:$F$1001,0),1)&gt;=100000,INDEX($M$1005,1,MATCH(COLUMNS($M$1006:M1006),$M$1006,0))&gt;=100000), " ",IF(INDEX($M$2:$M$1001,MATCH(ROWS($F$2:F149),$F$2:$F$1001,0),MATCH(COLUMNS($M$1006:M1006),$M$1006,0)), HYPERLINK("#",""), HYPERLINK(CONCATENATE("#Metadata!", ADDRESS(INDEX($H$2:$H$1001,MATCH(ROWS($F$2:F149),$F$2:$F$1001,0),0), INDEX($M$1004,1,MATCH(COLUMNS($M$1006:M1006),$M$1006,0)))),"Fix")))</f>
        <v>0</v>
      </c>
      <c r="F149">
        <v>0</v>
      </c>
      <c r="G149">
        <v>0</v>
      </c>
      <c r="H149">
        <v>0</v>
      </c>
      <c r="I149">
        <f>IF(J149,TRUE,AND(M149))</f>
        <v>0</v>
      </c>
      <c r="J149">
        <f>COUNTBLANK(Metadata!B149)=COLUMNS(Metadata!B149)</f>
        <v>0</v>
      </c>
      <c r="K149">
        <v>0</v>
      </c>
      <c r="M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</row>
    <row r="150" spans="1:13">
      <c r="A150" s="3">
        <f>IF(B150=" "," ",HYPERLINK(CONCATENATE("#metadata!",ADDRESS(INDEX($H$2:$H$1001,MATCH(ROWS($F$2:F150),$F$2:$F$1001,0),0),2)),INDEX($K$2:$K$1001,MATCH(ROWS($F$2:F150),$F$2:$F$1001,0),0)))</f>
        <v>0</v>
      </c>
      <c r="B150" s="4">
        <f>IF(OR(INDEX($G$2:$G$1001,MATCH(ROWS($F$2:F150),$F$2:$F$1001,0),1)&gt;=100000,INDEX($M$1005,1,MATCH(COLUMNS($M$1006:M1006),$M$1006,0))&gt;=100000), " ",IF(INDEX($M$2:$M$1001,MATCH(ROWS($F$2:F150),$F$2:$F$1001,0),MATCH(COLUMNS($M$1006:M1006),$M$1006,0)), HYPERLINK("#",""), HYPERLINK(CONCATENATE("#Metadata!", ADDRESS(INDEX($H$2:$H$1001,MATCH(ROWS($F$2:F150),$F$2:$F$1001,0),0), INDEX($M$1004,1,MATCH(COLUMNS($M$1006:M1006),$M$1006,0)))),"Fix")))</f>
        <v>0</v>
      </c>
      <c r="F150">
        <v>0</v>
      </c>
      <c r="G150">
        <v>0</v>
      </c>
      <c r="H150">
        <v>0</v>
      </c>
      <c r="I150">
        <f>IF(J150,TRUE,AND(M150))</f>
        <v>0</v>
      </c>
      <c r="J150">
        <f>COUNTBLANK(Metadata!B150)=COLUMNS(Metadata!B150)</f>
        <v>0</v>
      </c>
      <c r="K150">
        <v>0</v>
      </c>
      <c r="M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</row>
    <row r="151" spans="1:13">
      <c r="A151" s="3">
        <f>IF(B151=" "," ",HYPERLINK(CONCATENATE("#metadata!",ADDRESS(INDEX($H$2:$H$1001,MATCH(ROWS($F$2:F151),$F$2:$F$1001,0),0),2)),INDEX($K$2:$K$1001,MATCH(ROWS($F$2:F151),$F$2:$F$1001,0),0)))</f>
        <v>0</v>
      </c>
      <c r="B151" s="4">
        <f>IF(OR(INDEX($G$2:$G$1001,MATCH(ROWS($F$2:F151),$F$2:$F$1001,0),1)&gt;=100000,INDEX($M$1005,1,MATCH(COLUMNS($M$1006:M1006),$M$1006,0))&gt;=100000), " ",IF(INDEX($M$2:$M$1001,MATCH(ROWS($F$2:F151),$F$2:$F$1001,0),MATCH(COLUMNS($M$1006:M1006),$M$1006,0)), HYPERLINK("#",""), HYPERLINK(CONCATENATE("#Metadata!", ADDRESS(INDEX($H$2:$H$1001,MATCH(ROWS($F$2:F151),$F$2:$F$1001,0),0), INDEX($M$1004,1,MATCH(COLUMNS($M$1006:M1006),$M$1006,0)))),"Fix")))</f>
        <v>0</v>
      </c>
      <c r="F151">
        <v>0</v>
      </c>
      <c r="G151">
        <v>0</v>
      </c>
      <c r="H151">
        <v>0</v>
      </c>
      <c r="I151">
        <f>IF(J151,TRUE,AND(M151))</f>
        <v>0</v>
      </c>
      <c r="J151">
        <f>COUNTBLANK(Metadata!B151)=COLUMNS(Metadata!B151)</f>
        <v>0</v>
      </c>
      <c r="K151">
        <v>0</v>
      </c>
      <c r="M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</row>
    <row r="152" spans="1:13">
      <c r="A152" s="3">
        <f>IF(B152=" "," ",HYPERLINK(CONCATENATE("#metadata!",ADDRESS(INDEX($H$2:$H$1001,MATCH(ROWS($F$2:F152),$F$2:$F$1001,0),0),2)),INDEX($K$2:$K$1001,MATCH(ROWS($F$2:F152),$F$2:$F$1001,0),0)))</f>
        <v>0</v>
      </c>
      <c r="B152" s="4">
        <f>IF(OR(INDEX($G$2:$G$1001,MATCH(ROWS($F$2:F152),$F$2:$F$1001,0),1)&gt;=100000,INDEX($M$1005,1,MATCH(COLUMNS($M$1006:M1006),$M$1006,0))&gt;=100000), " ",IF(INDEX($M$2:$M$1001,MATCH(ROWS($F$2:F152),$F$2:$F$1001,0),MATCH(COLUMNS($M$1006:M1006),$M$1006,0)), HYPERLINK("#",""), HYPERLINK(CONCATENATE("#Metadata!", ADDRESS(INDEX($H$2:$H$1001,MATCH(ROWS($F$2:F152),$F$2:$F$1001,0),0), INDEX($M$1004,1,MATCH(COLUMNS($M$1006:M1006),$M$1006,0)))),"Fix")))</f>
        <v>0</v>
      </c>
      <c r="F152">
        <v>0</v>
      </c>
      <c r="G152">
        <v>0</v>
      </c>
      <c r="H152">
        <v>0</v>
      </c>
      <c r="I152">
        <f>IF(J152,TRUE,AND(M152))</f>
        <v>0</v>
      </c>
      <c r="J152">
        <f>COUNTBLANK(Metadata!B152)=COLUMNS(Metadata!B152)</f>
        <v>0</v>
      </c>
      <c r="K152">
        <v>0</v>
      </c>
      <c r="M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</row>
    <row r="153" spans="1:13">
      <c r="A153" s="3">
        <f>IF(B153=" "," ",HYPERLINK(CONCATENATE("#metadata!",ADDRESS(INDEX($H$2:$H$1001,MATCH(ROWS($F$2:F153),$F$2:$F$1001,0),0),2)),INDEX($K$2:$K$1001,MATCH(ROWS($F$2:F153),$F$2:$F$1001,0),0)))</f>
        <v>0</v>
      </c>
      <c r="B153" s="4">
        <f>IF(OR(INDEX($G$2:$G$1001,MATCH(ROWS($F$2:F153),$F$2:$F$1001,0),1)&gt;=100000,INDEX($M$1005,1,MATCH(COLUMNS($M$1006:M1006),$M$1006,0))&gt;=100000), " ",IF(INDEX($M$2:$M$1001,MATCH(ROWS($F$2:F153),$F$2:$F$1001,0),MATCH(COLUMNS($M$1006:M1006),$M$1006,0)), HYPERLINK("#",""), HYPERLINK(CONCATENATE("#Metadata!", ADDRESS(INDEX($H$2:$H$1001,MATCH(ROWS($F$2:F153),$F$2:$F$1001,0),0), INDEX($M$1004,1,MATCH(COLUMNS($M$1006:M1006),$M$1006,0)))),"Fix")))</f>
        <v>0</v>
      </c>
      <c r="F153">
        <v>0</v>
      </c>
      <c r="G153">
        <v>0</v>
      </c>
      <c r="H153">
        <v>0</v>
      </c>
      <c r="I153">
        <f>IF(J153,TRUE,AND(M153))</f>
        <v>0</v>
      </c>
      <c r="J153">
        <f>COUNTBLANK(Metadata!B153)=COLUMNS(Metadata!B153)</f>
        <v>0</v>
      </c>
      <c r="K153">
        <v>0</v>
      </c>
      <c r="M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</row>
    <row r="154" spans="1:13">
      <c r="A154" s="3">
        <f>IF(B154=" "," ",HYPERLINK(CONCATENATE("#metadata!",ADDRESS(INDEX($H$2:$H$1001,MATCH(ROWS($F$2:F154),$F$2:$F$1001,0),0),2)),INDEX($K$2:$K$1001,MATCH(ROWS($F$2:F154),$F$2:$F$1001,0),0)))</f>
        <v>0</v>
      </c>
      <c r="B154" s="4">
        <f>IF(OR(INDEX($G$2:$G$1001,MATCH(ROWS($F$2:F154),$F$2:$F$1001,0),1)&gt;=100000,INDEX($M$1005,1,MATCH(COLUMNS($M$1006:M1006),$M$1006,0))&gt;=100000), " ",IF(INDEX($M$2:$M$1001,MATCH(ROWS($F$2:F154),$F$2:$F$1001,0),MATCH(COLUMNS($M$1006:M1006),$M$1006,0)), HYPERLINK("#",""), HYPERLINK(CONCATENATE("#Metadata!", ADDRESS(INDEX($H$2:$H$1001,MATCH(ROWS($F$2:F154),$F$2:$F$1001,0),0), INDEX($M$1004,1,MATCH(COLUMNS($M$1006:M1006),$M$1006,0)))),"Fix")))</f>
        <v>0</v>
      </c>
      <c r="F154">
        <v>0</v>
      </c>
      <c r="G154">
        <v>0</v>
      </c>
      <c r="H154">
        <v>0</v>
      </c>
      <c r="I154">
        <f>IF(J154,TRUE,AND(M154))</f>
        <v>0</v>
      </c>
      <c r="J154">
        <f>COUNTBLANK(Metadata!B154)=COLUMNS(Metadata!B154)</f>
        <v>0</v>
      </c>
      <c r="K154">
        <v>0</v>
      </c>
      <c r="M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</row>
    <row r="155" spans="1:13">
      <c r="A155" s="3">
        <f>IF(B155=" "," ",HYPERLINK(CONCATENATE("#metadata!",ADDRESS(INDEX($H$2:$H$1001,MATCH(ROWS($F$2:F155),$F$2:$F$1001,0),0),2)),INDEX($K$2:$K$1001,MATCH(ROWS($F$2:F155),$F$2:$F$1001,0),0)))</f>
        <v>0</v>
      </c>
      <c r="B155" s="4">
        <f>IF(OR(INDEX($G$2:$G$1001,MATCH(ROWS($F$2:F155),$F$2:$F$1001,0),1)&gt;=100000,INDEX($M$1005,1,MATCH(COLUMNS($M$1006:M1006),$M$1006,0))&gt;=100000), " ",IF(INDEX($M$2:$M$1001,MATCH(ROWS($F$2:F155),$F$2:$F$1001,0),MATCH(COLUMNS($M$1006:M1006),$M$1006,0)), HYPERLINK("#",""), HYPERLINK(CONCATENATE("#Metadata!", ADDRESS(INDEX($H$2:$H$1001,MATCH(ROWS($F$2:F155),$F$2:$F$1001,0),0), INDEX($M$1004,1,MATCH(COLUMNS($M$1006:M1006),$M$1006,0)))),"Fix")))</f>
        <v>0</v>
      </c>
      <c r="F155">
        <v>0</v>
      </c>
      <c r="G155">
        <v>0</v>
      </c>
      <c r="H155">
        <v>0</v>
      </c>
      <c r="I155">
        <f>IF(J155,TRUE,AND(M155))</f>
        <v>0</v>
      </c>
      <c r="J155">
        <f>COUNTBLANK(Metadata!B155)=COLUMNS(Metadata!B155)</f>
        <v>0</v>
      </c>
      <c r="K155">
        <v>0</v>
      </c>
      <c r="M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</row>
    <row r="156" spans="1:13">
      <c r="A156" s="3">
        <f>IF(B156=" "," ",HYPERLINK(CONCATENATE("#metadata!",ADDRESS(INDEX($H$2:$H$1001,MATCH(ROWS($F$2:F156),$F$2:$F$1001,0),0),2)),INDEX($K$2:$K$1001,MATCH(ROWS($F$2:F156),$F$2:$F$1001,0),0)))</f>
        <v>0</v>
      </c>
      <c r="B156" s="4">
        <f>IF(OR(INDEX($G$2:$G$1001,MATCH(ROWS($F$2:F156),$F$2:$F$1001,0),1)&gt;=100000,INDEX($M$1005,1,MATCH(COLUMNS($M$1006:M1006),$M$1006,0))&gt;=100000), " ",IF(INDEX($M$2:$M$1001,MATCH(ROWS($F$2:F156),$F$2:$F$1001,0),MATCH(COLUMNS($M$1006:M1006),$M$1006,0)), HYPERLINK("#",""), HYPERLINK(CONCATENATE("#Metadata!", ADDRESS(INDEX($H$2:$H$1001,MATCH(ROWS($F$2:F156),$F$2:$F$1001,0),0), INDEX($M$1004,1,MATCH(COLUMNS($M$1006:M1006),$M$1006,0)))),"Fix")))</f>
        <v>0</v>
      </c>
      <c r="F156">
        <v>0</v>
      </c>
      <c r="G156">
        <v>0</v>
      </c>
      <c r="H156">
        <v>0</v>
      </c>
      <c r="I156">
        <f>IF(J156,TRUE,AND(M156))</f>
        <v>0</v>
      </c>
      <c r="J156">
        <f>COUNTBLANK(Metadata!B156)=COLUMNS(Metadata!B156)</f>
        <v>0</v>
      </c>
      <c r="K156">
        <v>0</v>
      </c>
      <c r="M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</row>
    <row r="157" spans="1:13">
      <c r="A157" s="3">
        <f>IF(B157=" "," ",HYPERLINK(CONCATENATE("#metadata!",ADDRESS(INDEX($H$2:$H$1001,MATCH(ROWS($F$2:F157),$F$2:$F$1001,0),0),2)),INDEX($K$2:$K$1001,MATCH(ROWS($F$2:F157),$F$2:$F$1001,0),0)))</f>
        <v>0</v>
      </c>
      <c r="B157" s="4">
        <f>IF(OR(INDEX($G$2:$G$1001,MATCH(ROWS($F$2:F157),$F$2:$F$1001,0),1)&gt;=100000,INDEX($M$1005,1,MATCH(COLUMNS($M$1006:M1006),$M$1006,0))&gt;=100000), " ",IF(INDEX($M$2:$M$1001,MATCH(ROWS($F$2:F157),$F$2:$F$1001,0),MATCH(COLUMNS($M$1006:M1006),$M$1006,0)), HYPERLINK("#",""), HYPERLINK(CONCATENATE("#Metadata!", ADDRESS(INDEX($H$2:$H$1001,MATCH(ROWS($F$2:F157),$F$2:$F$1001,0),0), INDEX($M$1004,1,MATCH(COLUMNS($M$1006:M1006),$M$1006,0)))),"Fix")))</f>
        <v>0</v>
      </c>
      <c r="F157">
        <v>0</v>
      </c>
      <c r="G157">
        <v>0</v>
      </c>
      <c r="H157">
        <v>0</v>
      </c>
      <c r="I157">
        <f>IF(J157,TRUE,AND(M157))</f>
        <v>0</v>
      </c>
      <c r="J157">
        <f>COUNTBLANK(Metadata!B157)=COLUMNS(Metadata!B157)</f>
        <v>0</v>
      </c>
      <c r="K157">
        <v>0</v>
      </c>
      <c r="M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</row>
    <row r="158" spans="1:13">
      <c r="A158" s="3">
        <f>IF(B158=" "," ",HYPERLINK(CONCATENATE("#metadata!",ADDRESS(INDEX($H$2:$H$1001,MATCH(ROWS($F$2:F158),$F$2:$F$1001,0),0),2)),INDEX($K$2:$K$1001,MATCH(ROWS($F$2:F158),$F$2:$F$1001,0),0)))</f>
        <v>0</v>
      </c>
      <c r="B158" s="4">
        <f>IF(OR(INDEX($G$2:$G$1001,MATCH(ROWS($F$2:F158),$F$2:$F$1001,0),1)&gt;=100000,INDEX($M$1005,1,MATCH(COLUMNS($M$1006:M1006),$M$1006,0))&gt;=100000), " ",IF(INDEX($M$2:$M$1001,MATCH(ROWS($F$2:F158),$F$2:$F$1001,0),MATCH(COLUMNS($M$1006:M1006),$M$1006,0)), HYPERLINK("#",""), HYPERLINK(CONCATENATE("#Metadata!", ADDRESS(INDEX($H$2:$H$1001,MATCH(ROWS($F$2:F158),$F$2:$F$1001,0),0), INDEX($M$1004,1,MATCH(COLUMNS($M$1006:M1006),$M$1006,0)))),"Fix")))</f>
        <v>0</v>
      </c>
      <c r="F158">
        <v>0</v>
      </c>
      <c r="G158">
        <v>0</v>
      </c>
      <c r="H158">
        <v>0</v>
      </c>
      <c r="I158">
        <f>IF(J158,TRUE,AND(M158))</f>
        <v>0</v>
      </c>
      <c r="J158">
        <f>COUNTBLANK(Metadata!B158)=COLUMNS(Metadata!B158)</f>
        <v>0</v>
      </c>
      <c r="K158">
        <v>0</v>
      </c>
      <c r="M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</row>
    <row r="159" spans="1:13">
      <c r="A159" s="3">
        <f>IF(B159=" "," ",HYPERLINK(CONCATENATE("#metadata!",ADDRESS(INDEX($H$2:$H$1001,MATCH(ROWS($F$2:F159),$F$2:$F$1001,0),0),2)),INDEX($K$2:$K$1001,MATCH(ROWS($F$2:F159),$F$2:$F$1001,0),0)))</f>
        <v>0</v>
      </c>
      <c r="B159" s="4">
        <f>IF(OR(INDEX($G$2:$G$1001,MATCH(ROWS($F$2:F159),$F$2:$F$1001,0),1)&gt;=100000,INDEX($M$1005,1,MATCH(COLUMNS($M$1006:M1006),$M$1006,0))&gt;=100000), " ",IF(INDEX($M$2:$M$1001,MATCH(ROWS($F$2:F159),$F$2:$F$1001,0),MATCH(COLUMNS($M$1006:M1006),$M$1006,0)), HYPERLINK("#",""), HYPERLINK(CONCATENATE("#Metadata!", ADDRESS(INDEX($H$2:$H$1001,MATCH(ROWS($F$2:F159),$F$2:$F$1001,0),0), INDEX($M$1004,1,MATCH(COLUMNS($M$1006:M1006),$M$1006,0)))),"Fix")))</f>
        <v>0</v>
      </c>
      <c r="F159">
        <v>0</v>
      </c>
      <c r="G159">
        <v>0</v>
      </c>
      <c r="H159">
        <v>0</v>
      </c>
      <c r="I159">
        <f>IF(J159,TRUE,AND(M159))</f>
        <v>0</v>
      </c>
      <c r="J159">
        <f>COUNTBLANK(Metadata!B159)=COLUMNS(Metadata!B159)</f>
        <v>0</v>
      </c>
      <c r="K159">
        <v>0</v>
      </c>
      <c r="M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</row>
    <row r="160" spans="1:13">
      <c r="A160" s="3">
        <f>IF(B160=" "," ",HYPERLINK(CONCATENATE("#metadata!",ADDRESS(INDEX($H$2:$H$1001,MATCH(ROWS($F$2:F160),$F$2:$F$1001,0),0),2)),INDEX($K$2:$K$1001,MATCH(ROWS($F$2:F160),$F$2:$F$1001,0),0)))</f>
        <v>0</v>
      </c>
      <c r="B160" s="4">
        <f>IF(OR(INDEX($G$2:$G$1001,MATCH(ROWS($F$2:F160),$F$2:$F$1001,0),1)&gt;=100000,INDEX($M$1005,1,MATCH(COLUMNS($M$1006:M1006),$M$1006,0))&gt;=100000), " ",IF(INDEX($M$2:$M$1001,MATCH(ROWS($F$2:F160),$F$2:$F$1001,0),MATCH(COLUMNS($M$1006:M1006),$M$1006,0)), HYPERLINK("#",""), HYPERLINK(CONCATENATE("#Metadata!", ADDRESS(INDEX($H$2:$H$1001,MATCH(ROWS($F$2:F160),$F$2:$F$1001,0),0), INDEX($M$1004,1,MATCH(COLUMNS($M$1006:M1006),$M$1006,0)))),"Fix")))</f>
        <v>0</v>
      </c>
      <c r="F160">
        <v>0</v>
      </c>
      <c r="G160">
        <v>0</v>
      </c>
      <c r="H160">
        <v>0</v>
      </c>
      <c r="I160">
        <f>IF(J160,TRUE,AND(M160))</f>
        <v>0</v>
      </c>
      <c r="J160">
        <f>COUNTBLANK(Metadata!B160)=COLUMNS(Metadata!B160)</f>
        <v>0</v>
      </c>
      <c r="K160">
        <v>0</v>
      </c>
      <c r="M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</row>
    <row r="161" spans="1:13">
      <c r="A161" s="3">
        <f>IF(B161=" "," ",HYPERLINK(CONCATENATE("#metadata!",ADDRESS(INDEX($H$2:$H$1001,MATCH(ROWS($F$2:F161),$F$2:$F$1001,0),0),2)),INDEX($K$2:$K$1001,MATCH(ROWS($F$2:F161),$F$2:$F$1001,0),0)))</f>
        <v>0</v>
      </c>
      <c r="B161" s="4">
        <f>IF(OR(INDEX($G$2:$G$1001,MATCH(ROWS($F$2:F161),$F$2:$F$1001,0),1)&gt;=100000,INDEX($M$1005,1,MATCH(COLUMNS($M$1006:M1006),$M$1006,0))&gt;=100000), " ",IF(INDEX($M$2:$M$1001,MATCH(ROWS($F$2:F161),$F$2:$F$1001,0),MATCH(COLUMNS($M$1006:M1006),$M$1006,0)), HYPERLINK("#",""), HYPERLINK(CONCATENATE("#Metadata!", ADDRESS(INDEX($H$2:$H$1001,MATCH(ROWS($F$2:F161),$F$2:$F$1001,0),0), INDEX($M$1004,1,MATCH(COLUMNS($M$1006:M1006),$M$1006,0)))),"Fix")))</f>
        <v>0</v>
      </c>
      <c r="F161">
        <v>0</v>
      </c>
      <c r="G161">
        <v>0</v>
      </c>
      <c r="H161">
        <v>0</v>
      </c>
      <c r="I161">
        <f>IF(J161,TRUE,AND(M161))</f>
        <v>0</v>
      </c>
      <c r="J161">
        <f>COUNTBLANK(Metadata!B161)=COLUMNS(Metadata!B161)</f>
        <v>0</v>
      </c>
      <c r="K161">
        <v>0</v>
      </c>
      <c r="M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</row>
    <row r="162" spans="1:13">
      <c r="A162" s="3">
        <f>IF(B162=" "," ",HYPERLINK(CONCATENATE("#metadata!",ADDRESS(INDEX($H$2:$H$1001,MATCH(ROWS($F$2:F162),$F$2:$F$1001,0),0),2)),INDEX($K$2:$K$1001,MATCH(ROWS($F$2:F162),$F$2:$F$1001,0),0)))</f>
        <v>0</v>
      </c>
      <c r="B162" s="4">
        <f>IF(OR(INDEX($G$2:$G$1001,MATCH(ROWS($F$2:F162),$F$2:$F$1001,0),1)&gt;=100000,INDEX($M$1005,1,MATCH(COLUMNS($M$1006:M1006),$M$1006,0))&gt;=100000), " ",IF(INDEX($M$2:$M$1001,MATCH(ROWS($F$2:F162),$F$2:$F$1001,0),MATCH(COLUMNS($M$1006:M1006),$M$1006,0)), HYPERLINK("#",""), HYPERLINK(CONCATENATE("#Metadata!", ADDRESS(INDEX($H$2:$H$1001,MATCH(ROWS($F$2:F162),$F$2:$F$1001,0),0), INDEX($M$1004,1,MATCH(COLUMNS($M$1006:M1006),$M$1006,0)))),"Fix")))</f>
        <v>0</v>
      </c>
      <c r="F162">
        <v>0</v>
      </c>
      <c r="G162">
        <v>0</v>
      </c>
      <c r="H162">
        <v>0</v>
      </c>
      <c r="I162">
        <f>IF(J162,TRUE,AND(M162))</f>
        <v>0</v>
      </c>
      <c r="J162">
        <f>COUNTBLANK(Metadata!B162)=COLUMNS(Metadata!B162)</f>
        <v>0</v>
      </c>
      <c r="K162">
        <v>0</v>
      </c>
      <c r="M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</row>
    <row r="163" spans="1:13">
      <c r="A163" s="3">
        <f>IF(B163=" "," ",HYPERLINK(CONCATENATE("#metadata!",ADDRESS(INDEX($H$2:$H$1001,MATCH(ROWS($F$2:F163),$F$2:$F$1001,0),0),2)),INDEX($K$2:$K$1001,MATCH(ROWS($F$2:F163),$F$2:$F$1001,0),0)))</f>
        <v>0</v>
      </c>
      <c r="B163" s="4">
        <f>IF(OR(INDEX($G$2:$G$1001,MATCH(ROWS($F$2:F163),$F$2:$F$1001,0),1)&gt;=100000,INDEX($M$1005,1,MATCH(COLUMNS($M$1006:M1006),$M$1006,0))&gt;=100000), " ",IF(INDEX($M$2:$M$1001,MATCH(ROWS($F$2:F163),$F$2:$F$1001,0),MATCH(COLUMNS($M$1006:M1006),$M$1006,0)), HYPERLINK("#",""), HYPERLINK(CONCATENATE("#Metadata!", ADDRESS(INDEX($H$2:$H$1001,MATCH(ROWS($F$2:F163),$F$2:$F$1001,0),0), INDEX($M$1004,1,MATCH(COLUMNS($M$1006:M1006),$M$1006,0)))),"Fix")))</f>
        <v>0</v>
      </c>
      <c r="F163">
        <v>0</v>
      </c>
      <c r="G163">
        <v>0</v>
      </c>
      <c r="H163">
        <v>0</v>
      </c>
      <c r="I163">
        <f>IF(J163,TRUE,AND(M163))</f>
        <v>0</v>
      </c>
      <c r="J163">
        <f>COUNTBLANK(Metadata!B163)=COLUMNS(Metadata!B163)</f>
        <v>0</v>
      </c>
      <c r="K163">
        <v>0</v>
      </c>
      <c r="M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</row>
    <row r="164" spans="1:13">
      <c r="A164" s="3">
        <f>IF(B164=" "," ",HYPERLINK(CONCATENATE("#metadata!",ADDRESS(INDEX($H$2:$H$1001,MATCH(ROWS($F$2:F164),$F$2:$F$1001,0),0),2)),INDEX($K$2:$K$1001,MATCH(ROWS($F$2:F164),$F$2:$F$1001,0),0)))</f>
        <v>0</v>
      </c>
      <c r="B164" s="4">
        <f>IF(OR(INDEX($G$2:$G$1001,MATCH(ROWS($F$2:F164),$F$2:$F$1001,0),1)&gt;=100000,INDEX($M$1005,1,MATCH(COLUMNS($M$1006:M1006),$M$1006,0))&gt;=100000), " ",IF(INDEX($M$2:$M$1001,MATCH(ROWS($F$2:F164),$F$2:$F$1001,0),MATCH(COLUMNS($M$1006:M1006),$M$1006,0)), HYPERLINK("#",""), HYPERLINK(CONCATENATE("#Metadata!", ADDRESS(INDEX($H$2:$H$1001,MATCH(ROWS($F$2:F164),$F$2:$F$1001,0),0), INDEX($M$1004,1,MATCH(COLUMNS($M$1006:M1006),$M$1006,0)))),"Fix")))</f>
        <v>0</v>
      </c>
      <c r="F164">
        <v>0</v>
      </c>
      <c r="G164">
        <v>0</v>
      </c>
      <c r="H164">
        <v>0</v>
      </c>
      <c r="I164">
        <f>IF(J164,TRUE,AND(M164))</f>
        <v>0</v>
      </c>
      <c r="J164">
        <f>COUNTBLANK(Metadata!B164)=COLUMNS(Metadata!B164)</f>
        <v>0</v>
      </c>
      <c r="K164">
        <v>0</v>
      </c>
      <c r="M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</row>
    <row r="165" spans="1:13">
      <c r="A165" s="3">
        <f>IF(B165=" "," ",HYPERLINK(CONCATENATE("#metadata!",ADDRESS(INDEX($H$2:$H$1001,MATCH(ROWS($F$2:F165),$F$2:$F$1001,0),0),2)),INDEX($K$2:$K$1001,MATCH(ROWS($F$2:F165),$F$2:$F$1001,0),0)))</f>
        <v>0</v>
      </c>
      <c r="B165" s="4">
        <f>IF(OR(INDEX($G$2:$G$1001,MATCH(ROWS($F$2:F165),$F$2:$F$1001,0),1)&gt;=100000,INDEX($M$1005,1,MATCH(COLUMNS($M$1006:M1006),$M$1006,0))&gt;=100000), " ",IF(INDEX($M$2:$M$1001,MATCH(ROWS($F$2:F165),$F$2:$F$1001,0),MATCH(COLUMNS($M$1006:M1006),$M$1006,0)), HYPERLINK("#",""), HYPERLINK(CONCATENATE("#Metadata!", ADDRESS(INDEX($H$2:$H$1001,MATCH(ROWS($F$2:F165),$F$2:$F$1001,0),0), INDEX($M$1004,1,MATCH(COLUMNS($M$1006:M1006),$M$1006,0)))),"Fix")))</f>
        <v>0</v>
      </c>
      <c r="F165">
        <v>0</v>
      </c>
      <c r="G165">
        <v>0</v>
      </c>
      <c r="H165">
        <v>0</v>
      </c>
      <c r="I165">
        <f>IF(J165,TRUE,AND(M165))</f>
        <v>0</v>
      </c>
      <c r="J165">
        <f>COUNTBLANK(Metadata!B165)=COLUMNS(Metadata!B165)</f>
        <v>0</v>
      </c>
      <c r="K165">
        <v>0</v>
      </c>
      <c r="M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</row>
    <row r="166" spans="1:13">
      <c r="A166" s="3">
        <f>IF(B166=" "," ",HYPERLINK(CONCATENATE("#metadata!",ADDRESS(INDEX($H$2:$H$1001,MATCH(ROWS($F$2:F166),$F$2:$F$1001,0),0),2)),INDEX($K$2:$K$1001,MATCH(ROWS($F$2:F166),$F$2:$F$1001,0),0)))</f>
        <v>0</v>
      </c>
      <c r="B166" s="4">
        <f>IF(OR(INDEX($G$2:$G$1001,MATCH(ROWS($F$2:F166),$F$2:$F$1001,0),1)&gt;=100000,INDEX($M$1005,1,MATCH(COLUMNS($M$1006:M1006),$M$1006,0))&gt;=100000), " ",IF(INDEX($M$2:$M$1001,MATCH(ROWS($F$2:F166),$F$2:$F$1001,0),MATCH(COLUMNS($M$1006:M1006),$M$1006,0)), HYPERLINK("#",""), HYPERLINK(CONCATENATE("#Metadata!", ADDRESS(INDEX($H$2:$H$1001,MATCH(ROWS($F$2:F166),$F$2:$F$1001,0),0), INDEX($M$1004,1,MATCH(COLUMNS($M$1006:M1006),$M$1006,0)))),"Fix")))</f>
        <v>0</v>
      </c>
      <c r="F166">
        <v>0</v>
      </c>
      <c r="G166">
        <v>0</v>
      </c>
      <c r="H166">
        <v>0</v>
      </c>
      <c r="I166">
        <f>IF(J166,TRUE,AND(M166))</f>
        <v>0</v>
      </c>
      <c r="J166">
        <f>COUNTBLANK(Metadata!B166)=COLUMNS(Metadata!B166)</f>
        <v>0</v>
      </c>
      <c r="K166">
        <v>0</v>
      </c>
      <c r="M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</row>
    <row r="167" spans="1:13">
      <c r="A167" s="3">
        <f>IF(B167=" "," ",HYPERLINK(CONCATENATE("#metadata!",ADDRESS(INDEX($H$2:$H$1001,MATCH(ROWS($F$2:F167),$F$2:$F$1001,0),0),2)),INDEX($K$2:$K$1001,MATCH(ROWS($F$2:F167),$F$2:$F$1001,0),0)))</f>
        <v>0</v>
      </c>
      <c r="B167" s="4">
        <f>IF(OR(INDEX($G$2:$G$1001,MATCH(ROWS($F$2:F167),$F$2:$F$1001,0),1)&gt;=100000,INDEX($M$1005,1,MATCH(COLUMNS($M$1006:M1006),$M$1006,0))&gt;=100000), " ",IF(INDEX($M$2:$M$1001,MATCH(ROWS($F$2:F167),$F$2:$F$1001,0),MATCH(COLUMNS($M$1006:M1006),$M$1006,0)), HYPERLINK("#",""), HYPERLINK(CONCATENATE("#Metadata!", ADDRESS(INDEX($H$2:$H$1001,MATCH(ROWS($F$2:F167),$F$2:$F$1001,0),0), INDEX($M$1004,1,MATCH(COLUMNS($M$1006:M1006),$M$1006,0)))),"Fix")))</f>
        <v>0</v>
      </c>
      <c r="F167">
        <v>0</v>
      </c>
      <c r="G167">
        <v>0</v>
      </c>
      <c r="H167">
        <v>0</v>
      </c>
      <c r="I167">
        <f>IF(J167,TRUE,AND(M167))</f>
        <v>0</v>
      </c>
      <c r="J167">
        <f>COUNTBLANK(Metadata!B167)=COLUMNS(Metadata!B167)</f>
        <v>0</v>
      </c>
      <c r="K167">
        <v>0</v>
      </c>
      <c r="M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</row>
    <row r="168" spans="1:13">
      <c r="A168" s="3">
        <f>IF(B168=" "," ",HYPERLINK(CONCATENATE("#metadata!",ADDRESS(INDEX($H$2:$H$1001,MATCH(ROWS($F$2:F168),$F$2:$F$1001,0),0),2)),INDEX($K$2:$K$1001,MATCH(ROWS($F$2:F168),$F$2:$F$1001,0),0)))</f>
        <v>0</v>
      </c>
      <c r="B168" s="4">
        <f>IF(OR(INDEX($G$2:$G$1001,MATCH(ROWS($F$2:F168),$F$2:$F$1001,0),1)&gt;=100000,INDEX($M$1005,1,MATCH(COLUMNS($M$1006:M1006),$M$1006,0))&gt;=100000), " ",IF(INDEX($M$2:$M$1001,MATCH(ROWS($F$2:F168),$F$2:$F$1001,0),MATCH(COLUMNS($M$1006:M1006),$M$1006,0)), HYPERLINK("#",""), HYPERLINK(CONCATENATE("#Metadata!", ADDRESS(INDEX($H$2:$H$1001,MATCH(ROWS($F$2:F168),$F$2:$F$1001,0),0), INDEX($M$1004,1,MATCH(COLUMNS($M$1006:M1006),$M$1006,0)))),"Fix")))</f>
        <v>0</v>
      </c>
      <c r="F168">
        <v>0</v>
      </c>
      <c r="G168">
        <v>0</v>
      </c>
      <c r="H168">
        <v>0</v>
      </c>
      <c r="I168">
        <f>IF(J168,TRUE,AND(M168))</f>
        <v>0</v>
      </c>
      <c r="J168">
        <f>COUNTBLANK(Metadata!B168)=COLUMNS(Metadata!B168)</f>
        <v>0</v>
      </c>
      <c r="K168">
        <v>0</v>
      </c>
      <c r="M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</row>
    <row r="169" spans="1:13">
      <c r="A169" s="3">
        <f>IF(B169=" "," ",HYPERLINK(CONCATENATE("#metadata!",ADDRESS(INDEX($H$2:$H$1001,MATCH(ROWS($F$2:F169),$F$2:$F$1001,0),0),2)),INDEX($K$2:$K$1001,MATCH(ROWS($F$2:F169),$F$2:$F$1001,0),0)))</f>
        <v>0</v>
      </c>
      <c r="B169" s="4">
        <f>IF(OR(INDEX($G$2:$G$1001,MATCH(ROWS($F$2:F169),$F$2:$F$1001,0),1)&gt;=100000,INDEX($M$1005,1,MATCH(COLUMNS($M$1006:M1006),$M$1006,0))&gt;=100000), " ",IF(INDEX($M$2:$M$1001,MATCH(ROWS($F$2:F169),$F$2:$F$1001,0),MATCH(COLUMNS($M$1006:M1006),$M$1006,0)), HYPERLINK("#",""), HYPERLINK(CONCATENATE("#Metadata!", ADDRESS(INDEX($H$2:$H$1001,MATCH(ROWS($F$2:F169),$F$2:$F$1001,0),0), INDEX($M$1004,1,MATCH(COLUMNS($M$1006:M1006),$M$1006,0)))),"Fix")))</f>
        <v>0</v>
      </c>
      <c r="F169">
        <v>0</v>
      </c>
      <c r="G169">
        <v>0</v>
      </c>
      <c r="H169">
        <v>0</v>
      </c>
      <c r="I169">
        <f>IF(J169,TRUE,AND(M169))</f>
        <v>0</v>
      </c>
      <c r="J169">
        <f>COUNTBLANK(Metadata!B169)=COLUMNS(Metadata!B169)</f>
        <v>0</v>
      </c>
      <c r="K169">
        <v>0</v>
      </c>
      <c r="M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</row>
    <row r="170" spans="1:13">
      <c r="A170" s="3">
        <f>IF(B170=" "," ",HYPERLINK(CONCATENATE("#metadata!",ADDRESS(INDEX($H$2:$H$1001,MATCH(ROWS($F$2:F170),$F$2:$F$1001,0),0),2)),INDEX($K$2:$K$1001,MATCH(ROWS($F$2:F170),$F$2:$F$1001,0),0)))</f>
        <v>0</v>
      </c>
      <c r="B170" s="4">
        <f>IF(OR(INDEX($G$2:$G$1001,MATCH(ROWS($F$2:F170),$F$2:$F$1001,0),1)&gt;=100000,INDEX($M$1005,1,MATCH(COLUMNS($M$1006:M1006),$M$1006,0))&gt;=100000), " ",IF(INDEX($M$2:$M$1001,MATCH(ROWS($F$2:F170),$F$2:$F$1001,0),MATCH(COLUMNS($M$1006:M1006),$M$1006,0)), HYPERLINK("#",""), HYPERLINK(CONCATENATE("#Metadata!", ADDRESS(INDEX($H$2:$H$1001,MATCH(ROWS($F$2:F170),$F$2:$F$1001,0),0), INDEX($M$1004,1,MATCH(COLUMNS($M$1006:M1006),$M$1006,0)))),"Fix")))</f>
        <v>0</v>
      </c>
      <c r="F170">
        <v>0</v>
      </c>
      <c r="G170">
        <v>0</v>
      </c>
      <c r="H170">
        <v>0</v>
      </c>
      <c r="I170">
        <f>IF(J170,TRUE,AND(M170))</f>
        <v>0</v>
      </c>
      <c r="J170">
        <f>COUNTBLANK(Metadata!B170)=COLUMNS(Metadata!B170)</f>
        <v>0</v>
      </c>
      <c r="K170">
        <v>0</v>
      </c>
      <c r="M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</row>
    <row r="171" spans="1:13">
      <c r="A171" s="3">
        <f>IF(B171=" "," ",HYPERLINK(CONCATENATE("#metadata!",ADDRESS(INDEX($H$2:$H$1001,MATCH(ROWS($F$2:F171),$F$2:$F$1001,0),0),2)),INDEX($K$2:$K$1001,MATCH(ROWS($F$2:F171),$F$2:$F$1001,0),0)))</f>
        <v>0</v>
      </c>
      <c r="B171" s="4">
        <f>IF(OR(INDEX($G$2:$G$1001,MATCH(ROWS($F$2:F171),$F$2:$F$1001,0),1)&gt;=100000,INDEX($M$1005,1,MATCH(COLUMNS($M$1006:M1006),$M$1006,0))&gt;=100000), " ",IF(INDEX($M$2:$M$1001,MATCH(ROWS($F$2:F171),$F$2:$F$1001,0),MATCH(COLUMNS($M$1006:M1006),$M$1006,0)), HYPERLINK("#",""), HYPERLINK(CONCATENATE("#Metadata!", ADDRESS(INDEX($H$2:$H$1001,MATCH(ROWS($F$2:F171),$F$2:$F$1001,0),0), INDEX($M$1004,1,MATCH(COLUMNS($M$1006:M1006),$M$1006,0)))),"Fix")))</f>
        <v>0</v>
      </c>
      <c r="F171">
        <v>0</v>
      </c>
      <c r="G171">
        <v>0</v>
      </c>
      <c r="H171">
        <v>0</v>
      </c>
      <c r="I171">
        <f>IF(J171,TRUE,AND(M171))</f>
        <v>0</v>
      </c>
      <c r="J171">
        <f>COUNTBLANK(Metadata!B171)=COLUMNS(Metadata!B171)</f>
        <v>0</v>
      </c>
      <c r="K171">
        <v>0</v>
      </c>
      <c r="M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</row>
    <row r="172" spans="1:13">
      <c r="A172" s="3">
        <f>IF(B172=" "," ",HYPERLINK(CONCATENATE("#metadata!",ADDRESS(INDEX($H$2:$H$1001,MATCH(ROWS($F$2:F172),$F$2:$F$1001,0),0),2)),INDEX($K$2:$K$1001,MATCH(ROWS($F$2:F172),$F$2:$F$1001,0),0)))</f>
        <v>0</v>
      </c>
      <c r="B172" s="4">
        <f>IF(OR(INDEX($G$2:$G$1001,MATCH(ROWS($F$2:F172),$F$2:$F$1001,0),1)&gt;=100000,INDEX($M$1005,1,MATCH(COLUMNS($M$1006:M1006),$M$1006,0))&gt;=100000), " ",IF(INDEX($M$2:$M$1001,MATCH(ROWS($F$2:F172),$F$2:$F$1001,0),MATCH(COLUMNS($M$1006:M1006),$M$1006,0)), HYPERLINK("#",""), HYPERLINK(CONCATENATE("#Metadata!", ADDRESS(INDEX($H$2:$H$1001,MATCH(ROWS($F$2:F172),$F$2:$F$1001,0),0), INDEX($M$1004,1,MATCH(COLUMNS($M$1006:M1006),$M$1006,0)))),"Fix")))</f>
        <v>0</v>
      </c>
      <c r="F172">
        <v>0</v>
      </c>
      <c r="G172">
        <v>0</v>
      </c>
      <c r="H172">
        <v>0</v>
      </c>
      <c r="I172">
        <f>IF(J172,TRUE,AND(M172))</f>
        <v>0</v>
      </c>
      <c r="J172">
        <f>COUNTBLANK(Metadata!B172)=COLUMNS(Metadata!B172)</f>
        <v>0</v>
      </c>
      <c r="K172">
        <v>0</v>
      </c>
      <c r="M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</row>
    <row r="173" spans="1:13">
      <c r="A173" s="3">
        <f>IF(B173=" "," ",HYPERLINK(CONCATENATE("#metadata!",ADDRESS(INDEX($H$2:$H$1001,MATCH(ROWS($F$2:F173),$F$2:$F$1001,0),0),2)),INDEX($K$2:$K$1001,MATCH(ROWS($F$2:F173),$F$2:$F$1001,0),0)))</f>
        <v>0</v>
      </c>
      <c r="B173" s="4">
        <f>IF(OR(INDEX($G$2:$G$1001,MATCH(ROWS($F$2:F173),$F$2:$F$1001,0),1)&gt;=100000,INDEX($M$1005,1,MATCH(COLUMNS($M$1006:M1006),$M$1006,0))&gt;=100000), " ",IF(INDEX($M$2:$M$1001,MATCH(ROWS($F$2:F173),$F$2:$F$1001,0),MATCH(COLUMNS($M$1006:M1006),$M$1006,0)), HYPERLINK("#",""), HYPERLINK(CONCATENATE("#Metadata!", ADDRESS(INDEX($H$2:$H$1001,MATCH(ROWS($F$2:F173),$F$2:$F$1001,0),0), INDEX($M$1004,1,MATCH(COLUMNS($M$1006:M1006),$M$1006,0)))),"Fix")))</f>
        <v>0</v>
      </c>
      <c r="F173">
        <v>0</v>
      </c>
      <c r="G173">
        <v>0</v>
      </c>
      <c r="H173">
        <v>0</v>
      </c>
      <c r="I173">
        <f>IF(J173,TRUE,AND(M173))</f>
        <v>0</v>
      </c>
      <c r="J173">
        <f>COUNTBLANK(Metadata!B173)=COLUMNS(Metadata!B173)</f>
        <v>0</v>
      </c>
      <c r="K173">
        <v>0</v>
      </c>
      <c r="M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</row>
    <row r="174" spans="1:13">
      <c r="A174" s="3">
        <f>IF(B174=" "," ",HYPERLINK(CONCATENATE("#metadata!",ADDRESS(INDEX($H$2:$H$1001,MATCH(ROWS($F$2:F174),$F$2:$F$1001,0),0),2)),INDEX($K$2:$K$1001,MATCH(ROWS($F$2:F174),$F$2:$F$1001,0),0)))</f>
        <v>0</v>
      </c>
      <c r="B174" s="4">
        <f>IF(OR(INDEX($G$2:$G$1001,MATCH(ROWS($F$2:F174),$F$2:$F$1001,0),1)&gt;=100000,INDEX($M$1005,1,MATCH(COLUMNS($M$1006:M1006),$M$1006,0))&gt;=100000), " ",IF(INDEX($M$2:$M$1001,MATCH(ROWS($F$2:F174),$F$2:$F$1001,0),MATCH(COLUMNS($M$1006:M1006),$M$1006,0)), HYPERLINK("#",""), HYPERLINK(CONCATENATE("#Metadata!", ADDRESS(INDEX($H$2:$H$1001,MATCH(ROWS($F$2:F174),$F$2:$F$1001,0),0), INDEX($M$1004,1,MATCH(COLUMNS($M$1006:M1006),$M$1006,0)))),"Fix")))</f>
        <v>0</v>
      </c>
      <c r="F174">
        <v>0</v>
      </c>
      <c r="G174">
        <v>0</v>
      </c>
      <c r="H174">
        <v>0</v>
      </c>
      <c r="I174">
        <f>IF(J174,TRUE,AND(M174))</f>
        <v>0</v>
      </c>
      <c r="J174">
        <f>COUNTBLANK(Metadata!B174)=COLUMNS(Metadata!B174)</f>
        <v>0</v>
      </c>
      <c r="K174">
        <v>0</v>
      </c>
      <c r="M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</row>
    <row r="175" spans="1:13">
      <c r="A175" s="3">
        <f>IF(B175=" "," ",HYPERLINK(CONCATENATE("#metadata!",ADDRESS(INDEX($H$2:$H$1001,MATCH(ROWS($F$2:F175),$F$2:$F$1001,0),0),2)),INDEX($K$2:$K$1001,MATCH(ROWS($F$2:F175),$F$2:$F$1001,0),0)))</f>
        <v>0</v>
      </c>
      <c r="B175" s="4">
        <f>IF(OR(INDEX($G$2:$G$1001,MATCH(ROWS($F$2:F175),$F$2:$F$1001,0),1)&gt;=100000,INDEX($M$1005,1,MATCH(COLUMNS($M$1006:M1006),$M$1006,0))&gt;=100000), " ",IF(INDEX($M$2:$M$1001,MATCH(ROWS($F$2:F175),$F$2:$F$1001,0),MATCH(COLUMNS($M$1006:M1006),$M$1006,0)), HYPERLINK("#",""), HYPERLINK(CONCATENATE("#Metadata!", ADDRESS(INDEX($H$2:$H$1001,MATCH(ROWS($F$2:F175),$F$2:$F$1001,0),0), INDEX($M$1004,1,MATCH(COLUMNS($M$1006:M1006),$M$1006,0)))),"Fix")))</f>
        <v>0</v>
      </c>
      <c r="F175">
        <v>0</v>
      </c>
      <c r="G175">
        <v>0</v>
      </c>
      <c r="H175">
        <v>0</v>
      </c>
      <c r="I175">
        <f>IF(J175,TRUE,AND(M175))</f>
        <v>0</v>
      </c>
      <c r="J175">
        <f>COUNTBLANK(Metadata!B175)=COLUMNS(Metadata!B175)</f>
        <v>0</v>
      </c>
      <c r="K175">
        <v>0</v>
      </c>
      <c r="M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</row>
    <row r="176" spans="1:13">
      <c r="A176" s="3">
        <f>IF(B176=" "," ",HYPERLINK(CONCATENATE("#metadata!",ADDRESS(INDEX($H$2:$H$1001,MATCH(ROWS($F$2:F176),$F$2:$F$1001,0),0),2)),INDEX($K$2:$K$1001,MATCH(ROWS($F$2:F176),$F$2:$F$1001,0),0)))</f>
        <v>0</v>
      </c>
      <c r="B176" s="4">
        <f>IF(OR(INDEX($G$2:$G$1001,MATCH(ROWS($F$2:F176),$F$2:$F$1001,0),1)&gt;=100000,INDEX($M$1005,1,MATCH(COLUMNS($M$1006:M1006),$M$1006,0))&gt;=100000), " ",IF(INDEX($M$2:$M$1001,MATCH(ROWS($F$2:F176),$F$2:$F$1001,0),MATCH(COLUMNS($M$1006:M1006),$M$1006,0)), HYPERLINK("#",""), HYPERLINK(CONCATENATE("#Metadata!", ADDRESS(INDEX($H$2:$H$1001,MATCH(ROWS($F$2:F176),$F$2:$F$1001,0),0), INDEX($M$1004,1,MATCH(COLUMNS($M$1006:M1006),$M$1006,0)))),"Fix")))</f>
        <v>0</v>
      </c>
      <c r="F176">
        <v>0</v>
      </c>
      <c r="G176">
        <v>0</v>
      </c>
      <c r="H176">
        <v>0</v>
      </c>
      <c r="I176">
        <f>IF(J176,TRUE,AND(M176))</f>
        <v>0</v>
      </c>
      <c r="J176">
        <f>COUNTBLANK(Metadata!B176)=COLUMNS(Metadata!B176)</f>
        <v>0</v>
      </c>
      <c r="K176">
        <v>0</v>
      </c>
      <c r="M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</row>
    <row r="177" spans="1:13">
      <c r="A177" s="3">
        <f>IF(B177=" "," ",HYPERLINK(CONCATENATE("#metadata!",ADDRESS(INDEX($H$2:$H$1001,MATCH(ROWS($F$2:F177),$F$2:$F$1001,0),0),2)),INDEX($K$2:$K$1001,MATCH(ROWS($F$2:F177),$F$2:$F$1001,0),0)))</f>
        <v>0</v>
      </c>
      <c r="B177" s="4">
        <f>IF(OR(INDEX($G$2:$G$1001,MATCH(ROWS($F$2:F177),$F$2:$F$1001,0),1)&gt;=100000,INDEX($M$1005,1,MATCH(COLUMNS($M$1006:M1006),$M$1006,0))&gt;=100000), " ",IF(INDEX($M$2:$M$1001,MATCH(ROWS($F$2:F177),$F$2:$F$1001,0),MATCH(COLUMNS($M$1006:M1006),$M$1006,0)), HYPERLINK("#",""), HYPERLINK(CONCATENATE("#Metadata!", ADDRESS(INDEX($H$2:$H$1001,MATCH(ROWS($F$2:F177),$F$2:$F$1001,0),0), INDEX($M$1004,1,MATCH(COLUMNS($M$1006:M1006),$M$1006,0)))),"Fix")))</f>
        <v>0</v>
      </c>
      <c r="F177">
        <v>0</v>
      </c>
      <c r="G177">
        <v>0</v>
      </c>
      <c r="H177">
        <v>0</v>
      </c>
      <c r="I177">
        <f>IF(J177,TRUE,AND(M177))</f>
        <v>0</v>
      </c>
      <c r="J177">
        <f>COUNTBLANK(Metadata!B177)=COLUMNS(Metadata!B177)</f>
        <v>0</v>
      </c>
      <c r="K177">
        <v>0</v>
      </c>
      <c r="M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</row>
    <row r="178" spans="1:13">
      <c r="A178" s="3">
        <f>IF(B178=" "," ",HYPERLINK(CONCATENATE("#metadata!",ADDRESS(INDEX($H$2:$H$1001,MATCH(ROWS($F$2:F178),$F$2:$F$1001,0),0),2)),INDEX($K$2:$K$1001,MATCH(ROWS($F$2:F178),$F$2:$F$1001,0),0)))</f>
        <v>0</v>
      </c>
      <c r="B178" s="4">
        <f>IF(OR(INDEX($G$2:$G$1001,MATCH(ROWS($F$2:F178),$F$2:$F$1001,0),1)&gt;=100000,INDEX($M$1005,1,MATCH(COLUMNS($M$1006:M1006),$M$1006,0))&gt;=100000), " ",IF(INDEX($M$2:$M$1001,MATCH(ROWS($F$2:F178),$F$2:$F$1001,0),MATCH(COLUMNS($M$1006:M1006),$M$1006,0)), HYPERLINK("#",""), HYPERLINK(CONCATENATE("#Metadata!", ADDRESS(INDEX($H$2:$H$1001,MATCH(ROWS($F$2:F178),$F$2:$F$1001,0),0), INDEX($M$1004,1,MATCH(COLUMNS($M$1006:M1006),$M$1006,0)))),"Fix")))</f>
        <v>0</v>
      </c>
      <c r="F178">
        <v>0</v>
      </c>
      <c r="G178">
        <v>0</v>
      </c>
      <c r="H178">
        <v>0</v>
      </c>
      <c r="I178">
        <f>IF(J178,TRUE,AND(M178))</f>
        <v>0</v>
      </c>
      <c r="J178">
        <f>COUNTBLANK(Metadata!B178)=COLUMNS(Metadata!B178)</f>
        <v>0</v>
      </c>
      <c r="K178">
        <v>0</v>
      </c>
      <c r="M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</row>
    <row r="179" spans="1:13">
      <c r="A179" s="3">
        <f>IF(B179=" "," ",HYPERLINK(CONCATENATE("#metadata!",ADDRESS(INDEX($H$2:$H$1001,MATCH(ROWS($F$2:F179),$F$2:$F$1001,0),0),2)),INDEX($K$2:$K$1001,MATCH(ROWS($F$2:F179),$F$2:$F$1001,0),0)))</f>
        <v>0</v>
      </c>
      <c r="B179" s="4">
        <f>IF(OR(INDEX($G$2:$G$1001,MATCH(ROWS($F$2:F179),$F$2:$F$1001,0),1)&gt;=100000,INDEX($M$1005,1,MATCH(COLUMNS($M$1006:M1006),$M$1006,0))&gt;=100000), " ",IF(INDEX($M$2:$M$1001,MATCH(ROWS($F$2:F179),$F$2:$F$1001,0),MATCH(COLUMNS($M$1006:M1006),$M$1006,0)), HYPERLINK("#",""), HYPERLINK(CONCATENATE("#Metadata!", ADDRESS(INDEX($H$2:$H$1001,MATCH(ROWS($F$2:F179),$F$2:$F$1001,0),0), INDEX($M$1004,1,MATCH(COLUMNS($M$1006:M1006),$M$1006,0)))),"Fix")))</f>
        <v>0</v>
      </c>
      <c r="F179">
        <v>0</v>
      </c>
      <c r="G179">
        <v>0</v>
      </c>
      <c r="H179">
        <v>0</v>
      </c>
      <c r="I179">
        <f>IF(J179,TRUE,AND(M179))</f>
        <v>0</v>
      </c>
      <c r="J179">
        <f>COUNTBLANK(Metadata!B179)=COLUMNS(Metadata!B179)</f>
        <v>0</v>
      </c>
      <c r="K179">
        <v>0</v>
      </c>
      <c r="M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</row>
    <row r="180" spans="1:13">
      <c r="A180" s="3">
        <f>IF(B180=" "," ",HYPERLINK(CONCATENATE("#metadata!",ADDRESS(INDEX($H$2:$H$1001,MATCH(ROWS($F$2:F180),$F$2:$F$1001,0),0),2)),INDEX($K$2:$K$1001,MATCH(ROWS($F$2:F180),$F$2:$F$1001,0),0)))</f>
        <v>0</v>
      </c>
      <c r="B180" s="4">
        <f>IF(OR(INDEX($G$2:$G$1001,MATCH(ROWS($F$2:F180),$F$2:$F$1001,0),1)&gt;=100000,INDEX($M$1005,1,MATCH(COLUMNS($M$1006:M1006),$M$1006,0))&gt;=100000), " ",IF(INDEX($M$2:$M$1001,MATCH(ROWS($F$2:F180),$F$2:$F$1001,0),MATCH(COLUMNS($M$1006:M1006),$M$1006,0)), HYPERLINK("#",""), HYPERLINK(CONCATENATE("#Metadata!", ADDRESS(INDEX($H$2:$H$1001,MATCH(ROWS($F$2:F180),$F$2:$F$1001,0),0), INDEX($M$1004,1,MATCH(COLUMNS($M$1006:M1006),$M$1006,0)))),"Fix")))</f>
        <v>0</v>
      </c>
      <c r="F180">
        <v>0</v>
      </c>
      <c r="G180">
        <v>0</v>
      </c>
      <c r="H180">
        <v>0</v>
      </c>
      <c r="I180">
        <f>IF(J180,TRUE,AND(M180))</f>
        <v>0</v>
      </c>
      <c r="J180">
        <f>COUNTBLANK(Metadata!B180)=COLUMNS(Metadata!B180)</f>
        <v>0</v>
      </c>
      <c r="K180">
        <v>0</v>
      </c>
      <c r="M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</row>
    <row r="181" spans="1:13">
      <c r="A181" s="3">
        <f>IF(B181=" "," ",HYPERLINK(CONCATENATE("#metadata!",ADDRESS(INDEX($H$2:$H$1001,MATCH(ROWS($F$2:F181),$F$2:$F$1001,0),0),2)),INDEX($K$2:$K$1001,MATCH(ROWS($F$2:F181),$F$2:$F$1001,0),0)))</f>
        <v>0</v>
      </c>
      <c r="B181" s="4">
        <f>IF(OR(INDEX($G$2:$G$1001,MATCH(ROWS($F$2:F181),$F$2:$F$1001,0),1)&gt;=100000,INDEX($M$1005,1,MATCH(COLUMNS($M$1006:M1006),$M$1006,0))&gt;=100000), " ",IF(INDEX($M$2:$M$1001,MATCH(ROWS($F$2:F181),$F$2:$F$1001,0),MATCH(COLUMNS($M$1006:M1006),$M$1006,0)), HYPERLINK("#",""), HYPERLINK(CONCATENATE("#Metadata!", ADDRESS(INDEX($H$2:$H$1001,MATCH(ROWS($F$2:F181),$F$2:$F$1001,0),0), INDEX($M$1004,1,MATCH(COLUMNS($M$1006:M1006),$M$1006,0)))),"Fix")))</f>
        <v>0</v>
      </c>
      <c r="F181">
        <v>0</v>
      </c>
      <c r="G181">
        <v>0</v>
      </c>
      <c r="H181">
        <v>0</v>
      </c>
      <c r="I181">
        <f>IF(J181,TRUE,AND(M181))</f>
        <v>0</v>
      </c>
      <c r="J181">
        <f>COUNTBLANK(Metadata!B181)=COLUMNS(Metadata!B181)</f>
        <v>0</v>
      </c>
      <c r="K181">
        <v>0</v>
      </c>
      <c r="M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</row>
    <row r="182" spans="1:13">
      <c r="A182" s="3">
        <f>IF(B182=" "," ",HYPERLINK(CONCATENATE("#metadata!",ADDRESS(INDEX($H$2:$H$1001,MATCH(ROWS($F$2:F182),$F$2:$F$1001,0),0),2)),INDEX($K$2:$K$1001,MATCH(ROWS($F$2:F182),$F$2:$F$1001,0),0)))</f>
        <v>0</v>
      </c>
      <c r="B182" s="4">
        <f>IF(OR(INDEX($G$2:$G$1001,MATCH(ROWS($F$2:F182),$F$2:$F$1001,0),1)&gt;=100000,INDEX($M$1005,1,MATCH(COLUMNS($M$1006:M1006),$M$1006,0))&gt;=100000), " ",IF(INDEX($M$2:$M$1001,MATCH(ROWS($F$2:F182),$F$2:$F$1001,0),MATCH(COLUMNS($M$1006:M1006),$M$1006,0)), HYPERLINK("#",""), HYPERLINK(CONCATENATE("#Metadata!", ADDRESS(INDEX($H$2:$H$1001,MATCH(ROWS($F$2:F182),$F$2:$F$1001,0),0), INDEX($M$1004,1,MATCH(COLUMNS($M$1006:M1006),$M$1006,0)))),"Fix")))</f>
        <v>0</v>
      </c>
      <c r="F182">
        <v>0</v>
      </c>
      <c r="G182">
        <v>0</v>
      </c>
      <c r="H182">
        <v>0</v>
      </c>
      <c r="I182">
        <f>IF(J182,TRUE,AND(M182))</f>
        <v>0</v>
      </c>
      <c r="J182">
        <f>COUNTBLANK(Metadata!B182)=COLUMNS(Metadata!B182)</f>
        <v>0</v>
      </c>
      <c r="K182">
        <v>0</v>
      </c>
      <c r="M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</row>
    <row r="183" spans="1:13">
      <c r="A183" s="3">
        <f>IF(B183=" "," ",HYPERLINK(CONCATENATE("#metadata!",ADDRESS(INDEX($H$2:$H$1001,MATCH(ROWS($F$2:F183),$F$2:$F$1001,0),0),2)),INDEX($K$2:$K$1001,MATCH(ROWS($F$2:F183),$F$2:$F$1001,0),0)))</f>
        <v>0</v>
      </c>
      <c r="B183" s="4">
        <f>IF(OR(INDEX($G$2:$G$1001,MATCH(ROWS($F$2:F183),$F$2:$F$1001,0),1)&gt;=100000,INDEX($M$1005,1,MATCH(COLUMNS($M$1006:M1006),$M$1006,0))&gt;=100000), " ",IF(INDEX($M$2:$M$1001,MATCH(ROWS($F$2:F183),$F$2:$F$1001,0),MATCH(COLUMNS($M$1006:M1006),$M$1006,0)), HYPERLINK("#",""), HYPERLINK(CONCATENATE("#Metadata!", ADDRESS(INDEX($H$2:$H$1001,MATCH(ROWS($F$2:F183),$F$2:$F$1001,0),0), INDEX($M$1004,1,MATCH(COLUMNS($M$1006:M1006),$M$1006,0)))),"Fix")))</f>
        <v>0</v>
      </c>
      <c r="F183">
        <v>0</v>
      </c>
      <c r="G183">
        <v>0</v>
      </c>
      <c r="H183">
        <v>0</v>
      </c>
      <c r="I183">
        <f>IF(J183,TRUE,AND(M183))</f>
        <v>0</v>
      </c>
      <c r="J183">
        <f>COUNTBLANK(Metadata!B183)=COLUMNS(Metadata!B183)</f>
        <v>0</v>
      </c>
      <c r="K183">
        <v>0</v>
      </c>
      <c r="M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</row>
    <row r="184" spans="1:13">
      <c r="A184" s="3">
        <f>IF(B184=" "," ",HYPERLINK(CONCATENATE("#metadata!",ADDRESS(INDEX($H$2:$H$1001,MATCH(ROWS($F$2:F184),$F$2:$F$1001,0),0),2)),INDEX($K$2:$K$1001,MATCH(ROWS($F$2:F184),$F$2:$F$1001,0),0)))</f>
        <v>0</v>
      </c>
      <c r="B184" s="4">
        <f>IF(OR(INDEX($G$2:$G$1001,MATCH(ROWS($F$2:F184),$F$2:$F$1001,0),1)&gt;=100000,INDEX($M$1005,1,MATCH(COLUMNS($M$1006:M1006),$M$1006,0))&gt;=100000), " ",IF(INDEX($M$2:$M$1001,MATCH(ROWS($F$2:F184),$F$2:$F$1001,0),MATCH(COLUMNS($M$1006:M1006),$M$1006,0)), HYPERLINK("#",""), HYPERLINK(CONCATENATE("#Metadata!", ADDRESS(INDEX($H$2:$H$1001,MATCH(ROWS($F$2:F184),$F$2:$F$1001,0),0), INDEX($M$1004,1,MATCH(COLUMNS($M$1006:M1006),$M$1006,0)))),"Fix")))</f>
        <v>0</v>
      </c>
      <c r="F184">
        <v>0</v>
      </c>
      <c r="G184">
        <v>0</v>
      </c>
      <c r="H184">
        <v>0</v>
      </c>
      <c r="I184">
        <f>IF(J184,TRUE,AND(M184))</f>
        <v>0</v>
      </c>
      <c r="J184">
        <f>COUNTBLANK(Metadata!B184)=COLUMNS(Metadata!B184)</f>
        <v>0</v>
      </c>
      <c r="K184">
        <v>0</v>
      </c>
      <c r="M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</row>
    <row r="185" spans="1:13">
      <c r="A185" s="3">
        <f>IF(B185=" "," ",HYPERLINK(CONCATENATE("#metadata!",ADDRESS(INDEX($H$2:$H$1001,MATCH(ROWS($F$2:F185),$F$2:$F$1001,0),0),2)),INDEX($K$2:$K$1001,MATCH(ROWS($F$2:F185),$F$2:$F$1001,0),0)))</f>
        <v>0</v>
      </c>
      <c r="B185" s="4">
        <f>IF(OR(INDEX($G$2:$G$1001,MATCH(ROWS($F$2:F185),$F$2:$F$1001,0),1)&gt;=100000,INDEX($M$1005,1,MATCH(COLUMNS($M$1006:M1006),$M$1006,0))&gt;=100000), " ",IF(INDEX($M$2:$M$1001,MATCH(ROWS($F$2:F185),$F$2:$F$1001,0),MATCH(COLUMNS($M$1006:M1006),$M$1006,0)), HYPERLINK("#",""), HYPERLINK(CONCATENATE("#Metadata!", ADDRESS(INDEX($H$2:$H$1001,MATCH(ROWS($F$2:F185),$F$2:$F$1001,0),0), INDEX($M$1004,1,MATCH(COLUMNS($M$1006:M1006),$M$1006,0)))),"Fix")))</f>
        <v>0</v>
      </c>
      <c r="F185">
        <v>0</v>
      </c>
      <c r="G185">
        <v>0</v>
      </c>
      <c r="H185">
        <v>0</v>
      </c>
      <c r="I185">
        <f>IF(J185,TRUE,AND(M185))</f>
        <v>0</v>
      </c>
      <c r="J185">
        <f>COUNTBLANK(Metadata!B185)=COLUMNS(Metadata!B185)</f>
        <v>0</v>
      </c>
      <c r="K185">
        <v>0</v>
      </c>
      <c r="M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</row>
    <row r="186" spans="1:13">
      <c r="A186" s="3">
        <f>IF(B186=" "," ",HYPERLINK(CONCATENATE("#metadata!",ADDRESS(INDEX($H$2:$H$1001,MATCH(ROWS($F$2:F186),$F$2:$F$1001,0),0),2)),INDEX($K$2:$K$1001,MATCH(ROWS($F$2:F186),$F$2:$F$1001,0),0)))</f>
        <v>0</v>
      </c>
      <c r="B186" s="4">
        <f>IF(OR(INDEX($G$2:$G$1001,MATCH(ROWS($F$2:F186),$F$2:$F$1001,0),1)&gt;=100000,INDEX($M$1005,1,MATCH(COLUMNS($M$1006:M1006),$M$1006,0))&gt;=100000), " ",IF(INDEX($M$2:$M$1001,MATCH(ROWS($F$2:F186),$F$2:$F$1001,0),MATCH(COLUMNS($M$1006:M1006),$M$1006,0)), HYPERLINK("#",""), HYPERLINK(CONCATENATE("#Metadata!", ADDRESS(INDEX($H$2:$H$1001,MATCH(ROWS($F$2:F186),$F$2:$F$1001,0),0), INDEX($M$1004,1,MATCH(COLUMNS($M$1006:M1006),$M$1006,0)))),"Fix")))</f>
        <v>0</v>
      </c>
      <c r="F186">
        <v>0</v>
      </c>
      <c r="G186">
        <v>0</v>
      </c>
      <c r="H186">
        <v>0</v>
      </c>
      <c r="I186">
        <f>IF(J186,TRUE,AND(M186))</f>
        <v>0</v>
      </c>
      <c r="J186">
        <f>COUNTBLANK(Metadata!B186)=COLUMNS(Metadata!B186)</f>
        <v>0</v>
      </c>
      <c r="K186">
        <v>0</v>
      </c>
      <c r="M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</row>
    <row r="187" spans="1:13">
      <c r="A187" s="3">
        <f>IF(B187=" "," ",HYPERLINK(CONCATENATE("#metadata!",ADDRESS(INDEX($H$2:$H$1001,MATCH(ROWS($F$2:F187),$F$2:$F$1001,0),0),2)),INDEX($K$2:$K$1001,MATCH(ROWS($F$2:F187),$F$2:$F$1001,0),0)))</f>
        <v>0</v>
      </c>
      <c r="B187" s="4">
        <f>IF(OR(INDEX($G$2:$G$1001,MATCH(ROWS($F$2:F187),$F$2:$F$1001,0),1)&gt;=100000,INDEX($M$1005,1,MATCH(COLUMNS($M$1006:M1006),$M$1006,0))&gt;=100000), " ",IF(INDEX($M$2:$M$1001,MATCH(ROWS($F$2:F187),$F$2:$F$1001,0),MATCH(COLUMNS($M$1006:M1006),$M$1006,0)), HYPERLINK("#",""), HYPERLINK(CONCATENATE("#Metadata!", ADDRESS(INDEX($H$2:$H$1001,MATCH(ROWS($F$2:F187),$F$2:$F$1001,0),0), INDEX($M$1004,1,MATCH(COLUMNS($M$1006:M1006),$M$1006,0)))),"Fix")))</f>
        <v>0</v>
      </c>
      <c r="F187">
        <v>0</v>
      </c>
      <c r="G187">
        <v>0</v>
      </c>
      <c r="H187">
        <v>0</v>
      </c>
      <c r="I187">
        <f>IF(J187,TRUE,AND(M187))</f>
        <v>0</v>
      </c>
      <c r="J187">
        <f>COUNTBLANK(Metadata!B187)=COLUMNS(Metadata!B187)</f>
        <v>0</v>
      </c>
      <c r="K187">
        <v>0</v>
      </c>
      <c r="M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</row>
    <row r="188" spans="1:13">
      <c r="A188" s="3">
        <f>IF(B188=" "," ",HYPERLINK(CONCATENATE("#metadata!",ADDRESS(INDEX($H$2:$H$1001,MATCH(ROWS($F$2:F188),$F$2:$F$1001,0),0),2)),INDEX($K$2:$K$1001,MATCH(ROWS($F$2:F188),$F$2:$F$1001,0),0)))</f>
        <v>0</v>
      </c>
      <c r="B188" s="4">
        <f>IF(OR(INDEX($G$2:$G$1001,MATCH(ROWS($F$2:F188),$F$2:$F$1001,0),1)&gt;=100000,INDEX($M$1005,1,MATCH(COLUMNS($M$1006:M1006),$M$1006,0))&gt;=100000), " ",IF(INDEX($M$2:$M$1001,MATCH(ROWS($F$2:F188),$F$2:$F$1001,0),MATCH(COLUMNS($M$1006:M1006),$M$1006,0)), HYPERLINK("#",""), HYPERLINK(CONCATENATE("#Metadata!", ADDRESS(INDEX($H$2:$H$1001,MATCH(ROWS($F$2:F188),$F$2:$F$1001,0),0), INDEX($M$1004,1,MATCH(COLUMNS($M$1006:M1006),$M$1006,0)))),"Fix")))</f>
        <v>0</v>
      </c>
      <c r="F188">
        <v>0</v>
      </c>
      <c r="G188">
        <v>0</v>
      </c>
      <c r="H188">
        <v>0</v>
      </c>
      <c r="I188">
        <f>IF(J188,TRUE,AND(M188))</f>
        <v>0</v>
      </c>
      <c r="J188">
        <f>COUNTBLANK(Metadata!B188)=COLUMNS(Metadata!B188)</f>
        <v>0</v>
      </c>
      <c r="K188">
        <v>0</v>
      </c>
      <c r="M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</row>
    <row r="189" spans="1:13">
      <c r="A189" s="3">
        <f>IF(B189=" "," ",HYPERLINK(CONCATENATE("#metadata!",ADDRESS(INDEX($H$2:$H$1001,MATCH(ROWS($F$2:F189),$F$2:$F$1001,0),0),2)),INDEX($K$2:$K$1001,MATCH(ROWS($F$2:F189),$F$2:$F$1001,0),0)))</f>
        <v>0</v>
      </c>
      <c r="B189" s="4">
        <f>IF(OR(INDEX($G$2:$G$1001,MATCH(ROWS($F$2:F189),$F$2:$F$1001,0),1)&gt;=100000,INDEX($M$1005,1,MATCH(COLUMNS($M$1006:M1006),$M$1006,0))&gt;=100000), " ",IF(INDEX($M$2:$M$1001,MATCH(ROWS($F$2:F189),$F$2:$F$1001,0),MATCH(COLUMNS($M$1006:M1006),$M$1006,0)), HYPERLINK("#",""), HYPERLINK(CONCATENATE("#Metadata!", ADDRESS(INDEX($H$2:$H$1001,MATCH(ROWS($F$2:F189),$F$2:$F$1001,0),0), INDEX($M$1004,1,MATCH(COLUMNS($M$1006:M1006),$M$1006,0)))),"Fix")))</f>
        <v>0</v>
      </c>
      <c r="F189">
        <v>0</v>
      </c>
      <c r="G189">
        <v>0</v>
      </c>
      <c r="H189">
        <v>0</v>
      </c>
      <c r="I189">
        <f>IF(J189,TRUE,AND(M189))</f>
        <v>0</v>
      </c>
      <c r="J189">
        <f>COUNTBLANK(Metadata!B189)=COLUMNS(Metadata!B189)</f>
        <v>0</v>
      </c>
      <c r="K189">
        <v>0</v>
      </c>
      <c r="M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</row>
    <row r="190" spans="1:13">
      <c r="A190" s="3">
        <f>IF(B190=" "," ",HYPERLINK(CONCATENATE("#metadata!",ADDRESS(INDEX($H$2:$H$1001,MATCH(ROWS($F$2:F190),$F$2:$F$1001,0),0),2)),INDEX($K$2:$K$1001,MATCH(ROWS($F$2:F190),$F$2:$F$1001,0),0)))</f>
        <v>0</v>
      </c>
      <c r="B190" s="4">
        <f>IF(OR(INDEX($G$2:$G$1001,MATCH(ROWS($F$2:F190),$F$2:$F$1001,0),1)&gt;=100000,INDEX($M$1005,1,MATCH(COLUMNS($M$1006:M1006),$M$1006,0))&gt;=100000), " ",IF(INDEX($M$2:$M$1001,MATCH(ROWS($F$2:F190),$F$2:$F$1001,0),MATCH(COLUMNS($M$1006:M1006),$M$1006,0)), HYPERLINK("#",""), HYPERLINK(CONCATENATE("#Metadata!", ADDRESS(INDEX($H$2:$H$1001,MATCH(ROWS($F$2:F190),$F$2:$F$1001,0),0), INDEX($M$1004,1,MATCH(COLUMNS($M$1006:M1006),$M$1006,0)))),"Fix")))</f>
        <v>0</v>
      </c>
      <c r="F190">
        <v>0</v>
      </c>
      <c r="G190">
        <v>0</v>
      </c>
      <c r="H190">
        <v>0</v>
      </c>
      <c r="I190">
        <f>IF(J190,TRUE,AND(M190))</f>
        <v>0</v>
      </c>
      <c r="J190">
        <f>COUNTBLANK(Metadata!B190)=COLUMNS(Metadata!B190)</f>
        <v>0</v>
      </c>
      <c r="K190">
        <v>0</v>
      </c>
      <c r="M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</row>
    <row r="191" spans="1:13">
      <c r="A191" s="3">
        <f>IF(B191=" "," ",HYPERLINK(CONCATENATE("#metadata!",ADDRESS(INDEX($H$2:$H$1001,MATCH(ROWS($F$2:F191),$F$2:$F$1001,0),0),2)),INDEX($K$2:$K$1001,MATCH(ROWS($F$2:F191),$F$2:$F$1001,0),0)))</f>
        <v>0</v>
      </c>
      <c r="B191" s="4">
        <f>IF(OR(INDEX($G$2:$G$1001,MATCH(ROWS($F$2:F191),$F$2:$F$1001,0),1)&gt;=100000,INDEX($M$1005,1,MATCH(COLUMNS($M$1006:M1006),$M$1006,0))&gt;=100000), " ",IF(INDEX($M$2:$M$1001,MATCH(ROWS($F$2:F191),$F$2:$F$1001,0),MATCH(COLUMNS($M$1006:M1006),$M$1006,0)), HYPERLINK("#",""), HYPERLINK(CONCATENATE("#Metadata!", ADDRESS(INDEX($H$2:$H$1001,MATCH(ROWS($F$2:F191),$F$2:$F$1001,0),0), INDEX($M$1004,1,MATCH(COLUMNS($M$1006:M1006),$M$1006,0)))),"Fix")))</f>
        <v>0</v>
      </c>
      <c r="F191">
        <v>0</v>
      </c>
      <c r="G191">
        <v>0</v>
      </c>
      <c r="H191">
        <v>0</v>
      </c>
      <c r="I191">
        <f>IF(J191,TRUE,AND(M191))</f>
        <v>0</v>
      </c>
      <c r="J191">
        <f>COUNTBLANK(Metadata!B191)=COLUMNS(Metadata!B191)</f>
        <v>0</v>
      </c>
      <c r="K191">
        <v>0</v>
      </c>
      <c r="M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</row>
    <row r="192" spans="1:13">
      <c r="A192" s="3">
        <f>IF(B192=" "," ",HYPERLINK(CONCATENATE("#metadata!",ADDRESS(INDEX($H$2:$H$1001,MATCH(ROWS($F$2:F192),$F$2:$F$1001,0),0),2)),INDEX($K$2:$K$1001,MATCH(ROWS($F$2:F192),$F$2:$F$1001,0),0)))</f>
        <v>0</v>
      </c>
      <c r="B192" s="4">
        <f>IF(OR(INDEX($G$2:$G$1001,MATCH(ROWS($F$2:F192),$F$2:$F$1001,0),1)&gt;=100000,INDEX($M$1005,1,MATCH(COLUMNS($M$1006:M1006),$M$1006,0))&gt;=100000), " ",IF(INDEX($M$2:$M$1001,MATCH(ROWS($F$2:F192),$F$2:$F$1001,0),MATCH(COLUMNS($M$1006:M1006),$M$1006,0)), HYPERLINK("#",""), HYPERLINK(CONCATENATE("#Metadata!", ADDRESS(INDEX($H$2:$H$1001,MATCH(ROWS($F$2:F192),$F$2:$F$1001,0),0), INDEX($M$1004,1,MATCH(COLUMNS($M$1006:M1006),$M$1006,0)))),"Fix")))</f>
        <v>0</v>
      </c>
      <c r="F192">
        <v>0</v>
      </c>
      <c r="G192">
        <v>0</v>
      </c>
      <c r="H192">
        <v>0</v>
      </c>
      <c r="I192">
        <f>IF(J192,TRUE,AND(M192))</f>
        <v>0</v>
      </c>
      <c r="J192">
        <f>COUNTBLANK(Metadata!B192)=COLUMNS(Metadata!B192)</f>
        <v>0</v>
      </c>
      <c r="K192">
        <v>0</v>
      </c>
      <c r="M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</row>
    <row r="193" spans="1:13">
      <c r="A193" s="3">
        <f>IF(B193=" "," ",HYPERLINK(CONCATENATE("#metadata!",ADDRESS(INDEX($H$2:$H$1001,MATCH(ROWS($F$2:F193),$F$2:$F$1001,0),0),2)),INDEX($K$2:$K$1001,MATCH(ROWS($F$2:F193),$F$2:$F$1001,0),0)))</f>
        <v>0</v>
      </c>
      <c r="B193" s="4">
        <f>IF(OR(INDEX($G$2:$G$1001,MATCH(ROWS($F$2:F193),$F$2:$F$1001,0),1)&gt;=100000,INDEX($M$1005,1,MATCH(COLUMNS($M$1006:M1006),$M$1006,0))&gt;=100000), " ",IF(INDEX($M$2:$M$1001,MATCH(ROWS($F$2:F193),$F$2:$F$1001,0),MATCH(COLUMNS($M$1006:M1006),$M$1006,0)), HYPERLINK("#",""), HYPERLINK(CONCATENATE("#Metadata!", ADDRESS(INDEX($H$2:$H$1001,MATCH(ROWS($F$2:F193),$F$2:$F$1001,0),0), INDEX($M$1004,1,MATCH(COLUMNS($M$1006:M1006),$M$1006,0)))),"Fix")))</f>
        <v>0</v>
      </c>
      <c r="F193">
        <v>0</v>
      </c>
      <c r="G193">
        <v>0</v>
      </c>
      <c r="H193">
        <v>0</v>
      </c>
      <c r="I193">
        <f>IF(J193,TRUE,AND(M193))</f>
        <v>0</v>
      </c>
      <c r="J193">
        <f>COUNTBLANK(Metadata!B193)=COLUMNS(Metadata!B193)</f>
        <v>0</v>
      </c>
      <c r="K193">
        <v>0</v>
      </c>
      <c r="M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</row>
    <row r="194" spans="1:13">
      <c r="A194" s="3">
        <f>IF(B194=" "," ",HYPERLINK(CONCATENATE("#metadata!",ADDRESS(INDEX($H$2:$H$1001,MATCH(ROWS($F$2:F194),$F$2:$F$1001,0),0),2)),INDEX($K$2:$K$1001,MATCH(ROWS($F$2:F194),$F$2:$F$1001,0),0)))</f>
        <v>0</v>
      </c>
      <c r="B194" s="4">
        <f>IF(OR(INDEX($G$2:$G$1001,MATCH(ROWS($F$2:F194),$F$2:$F$1001,0),1)&gt;=100000,INDEX($M$1005,1,MATCH(COLUMNS($M$1006:M1006),$M$1006,0))&gt;=100000), " ",IF(INDEX($M$2:$M$1001,MATCH(ROWS($F$2:F194),$F$2:$F$1001,0),MATCH(COLUMNS($M$1006:M1006),$M$1006,0)), HYPERLINK("#",""), HYPERLINK(CONCATENATE("#Metadata!", ADDRESS(INDEX($H$2:$H$1001,MATCH(ROWS($F$2:F194),$F$2:$F$1001,0),0), INDEX($M$1004,1,MATCH(COLUMNS($M$1006:M1006),$M$1006,0)))),"Fix")))</f>
        <v>0</v>
      </c>
      <c r="F194">
        <v>0</v>
      </c>
      <c r="G194">
        <v>0</v>
      </c>
      <c r="H194">
        <v>0</v>
      </c>
      <c r="I194">
        <f>IF(J194,TRUE,AND(M194))</f>
        <v>0</v>
      </c>
      <c r="J194">
        <f>COUNTBLANK(Metadata!B194)=COLUMNS(Metadata!B194)</f>
        <v>0</v>
      </c>
      <c r="K194">
        <v>0</v>
      </c>
      <c r="M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</row>
    <row r="195" spans="1:13">
      <c r="A195" s="3">
        <f>IF(B195=" "," ",HYPERLINK(CONCATENATE("#metadata!",ADDRESS(INDEX($H$2:$H$1001,MATCH(ROWS($F$2:F195),$F$2:$F$1001,0),0),2)),INDEX($K$2:$K$1001,MATCH(ROWS($F$2:F195),$F$2:$F$1001,0),0)))</f>
        <v>0</v>
      </c>
      <c r="B195" s="4">
        <f>IF(OR(INDEX($G$2:$G$1001,MATCH(ROWS($F$2:F195),$F$2:$F$1001,0),1)&gt;=100000,INDEX($M$1005,1,MATCH(COLUMNS($M$1006:M1006),$M$1006,0))&gt;=100000), " ",IF(INDEX($M$2:$M$1001,MATCH(ROWS($F$2:F195),$F$2:$F$1001,0),MATCH(COLUMNS($M$1006:M1006),$M$1006,0)), HYPERLINK("#",""), HYPERLINK(CONCATENATE("#Metadata!", ADDRESS(INDEX($H$2:$H$1001,MATCH(ROWS($F$2:F195),$F$2:$F$1001,0),0), INDEX($M$1004,1,MATCH(COLUMNS($M$1006:M1006),$M$1006,0)))),"Fix")))</f>
        <v>0</v>
      </c>
      <c r="F195">
        <v>0</v>
      </c>
      <c r="G195">
        <v>0</v>
      </c>
      <c r="H195">
        <v>0</v>
      </c>
      <c r="I195">
        <f>IF(J195,TRUE,AND(M195))</f>
        <v>0</v>
      </c>
      <c r="J195">
        <f>COUNTBLANK(Metadata!B195)=COLUMNS(Metadata!B195)</f>
        <v>0</v>
      </c>
      <c r="K195">
        <v>0</v>
      </c>
      <c r="M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</row>
    <row r="196" spans="1:13">
      <c r="A196" s="3">
        <f>IF(B196=" "," ",HYPERLINK(CONCATENATE("#metadata!",ADDRESS(INDEX($H$2:$H$1001,MATCH(ROWS($F$2:F196),$F$2:$F$1001,0),0),2)),INDEX($K$2:$K$1001,MATCH(ROWS($F$2:F196),$F$2:$F$1001,0),0)))</f>
        <v>0</v>
      </c>
      <c r="B196" s="4">
        <f>IF(OR(INDEX($G$2:$G$1001,MATCH(ROWS($F$2:F196),$F$2:$F$1001,0),1)&gt;=100000,INDEX($M$1005,1,MATCH(COLUMNS($M$1006:M1006),$M$1006,0))&gt;=100000), " ",IF(INDEX($M$2:$M$1001,MATCH(ROWS($F$2:F196),$F$2:$F$1001,0),MATCH(COLUMNS($M$1006:M1006),$M$1006,0)), HYPERLINK("#",""), HYPERLINK(CONCATENATE("#Metadata!", ADDRESS(INDEX($H$2:$H$1001,MATCH(ROWS($F$2:F196),$F$2:$F$1001,0),0), INDEX($M$1004,1,MATCH(COLUMNS($M$1006:M1006),$M$1006,0)))),"Fix")))</f>
        <v>0</v>
      </c>
      <c r="F196">
        <v>0</v>
      </c>
      <c r="G196">
        <v>0</v>
      </c>
      <c r="H196">
        <v>0</v>
      </c>
      <c r="I196">
        <f>IF(J196,TRUE,AND(M196))</f>
        <v>0</v>
      </c>
      <c r="J196">
        <f>COUNTBLANK(Metadata!B196)=COLUMNS(Metadata!B196)</f>
        <v>0</v>
      </c>
      <c r="K196">
        <v>0</v>
      </c>
      <c r="M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</row>
    <row r="197" spans="1:13">
      <c r="A197" s="3">
        <f>IF(B197=" "," ",HYPERLINK(CONCATENATE("#metadata!",ADDRESS(INDEX($H$2:$H$1001,MATCH(ROWS($F$2:F197),$F$2:$F$1001,0),0),2)),INDEX($K$2:$K$1001,MATCH(ROWS($F$2:F197),$F$2:$F$1001,0),0)))</f>
        <v>0</v>
      </c>
      <c r="B197" s="4">
        <f>IF(OR(INDEX($G$2:$G$1001,MATCH(ROWS($F$2:F197),$F$2:$F$1001,0),1)&gt;=100000,INDEX($M$1005,1,MATCH(COLUMNS($M$1006:M1006),$M$1006,0))&gt;=100000), " ",IF(INDEX($M$2:$M$1001,MATCH(ROWS($F$2:F197),$F$2:$F$1001,0),MATCH(COLUMNS($M$1006:M1006),$M$1006,0)), HYPERLINK("#",""), HYPERLINK(CONCATENATE("#Metadata!", ADDRESS(INDEX($H$2:$H$1001,MATCH(ROWS($F$2:F197),$F$2:$F$1001,0),0), INDEX($M$1004,1,MATCH(COLUMNS($M$1006:M1006),$M$1006,0)))),"Fix")))</f>
        <v>0</v>
      </c>
      <c r="F197">
        <v>0</v>
      </c>
      <c r="G197">
        <v>0</v>
      </c>
      <c r="H197">
        <v>0</v>
      </c>
      <c r="I197">
        <f>IF(J197,TRUE,AND(M197))</f>
        <v>0</v>
      </c>
      <c r="J197">
        <f>COUNTBLANK(Metadata!B197)=COLUMNS(Metadata!B197)</f>
        <v>0</v>
      </c>
      <c r="K197">
        <v>0</v>
      </c>
      <c r="M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</row>
    <row r="198" spans="1:13">
      <c r="A198" s="3">
        <f>IF(B198=" "," ",HYPERLINK(CONCATENATE("#metadata!",ADDRESS(INDEX($H$2:$H$1001,MATCH(ROWS($F$2:F198),$F$2:$F$1001,0),0),2)),INDEX($K$2:$K$1001,MATCH(ROWS($F$2:F198),$F$2:$F$1001,0),0)))</f>
        <v>0</v>
      </c>
      <c r="B198" s="4">
        <f>IF(OR(INDEX($G$2:$G$1001,MATCH(ROWS($F$2:F198),$F$2:$F$1001,0),1)&gt;=100000,INDEX($M$1005,1,MATCH(COLUMNS($M$1006:M1006),$M$1006,0))&gt;=100000), " ",IF(INDEX($M$2:$M$1001,MATCH(ROWS($F$2:F198),$F$2:$F$1001,0),MATCH(COLUMNS($M$1006:M1006),$M$1006,0)), HYPERLINK("#",""), HYPERLINK(CONCATENATE("#Metadata!", ADDRESS(INDEX($H$2:$H$1001,MATCH(ROWS($F$2:F198),$F$2:$F$1001,0),0), INDEX($M$1004,1,MATCH(COLUMNS($M$1006:M1006),$M$1006,0)))),"Fix")))</f>
        <v>0</v>
      </c>
      <c r="F198">
        <v>0</v>
      </c>
      <c r="G198">
        <v>0</v>
      </c>
      <c r="H198">
        <v>0</v>
      </c>
      <c r="I198">
        <f>IF(J198,TRUE,AND(M198))</f>
        <v>0</v>
      </c>
      <c r="J198">
        <f>COUNTBLANK(Metadata!B198)=COLUMNS(Metadata!B198)</f>
        <v>0</v>
      </c>
      <c r="K198">
        <v>0</v>
      </c>
      <c r="M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</row>
    <row r="199" spans="1:13">
      <c r="A199" s="3">
        <f>IF(B199=" "," ",HYPERLINK(CONCATENATE("#metadata!",ADDRESS(INDEX($H$2:$H$1001,MATCH(ROWS($F$2:F199),$F$2:$F$1001,0),0),2)),INDEX($K$2:$K$1001,MATCH(ROWS($F$2:F199),$F$2:$F$1001,0),0)))</f>
        <v>0</v>
      </c>
      <c r="B199" s="4">
        <f>IF(OR(INDEX($G$2:$G$1001,MATCH(ROWS($F$2:F199),$F$2:$F$1001,0),1)&gt;=100000,INDEX($M$1005,1,MATCH(COLUMNS($M$1006:M1006),$M$1006,0))&gt;=100000), " ",IF(INDEX($M$2:$M$1001,MATCH(ROWS($F$2:F199),$F$2:$F$1001,0),MATCH(COLUMNS($M$1006:M1006),$M$1006,0)), HYPERLINK("#",""), HYPERLINK(CONCATENATE("#Metadata!", ADDRESS(INDEX($H$2:$H$1001,MATCH(ROWS($F$2:F199),$F$2:$F$1001,0),0), INDEX($M$1004,1,MATCH(COLUMNS($M$1006:M1006),$M$1006,0)))),"Fix")))</f>
        <v>0</v>
      </c>
      <c r="F199">
        <v>0</v>
      </c>
      <c r="G199">
        <v>0</v>
      </c>
      <c r="H199">
        <v>0</v>
      </c>
      <c r="I199">
        <f>IF(J199,TRUE,AND(M199))</f>
        <v>0</v>
      </c>
      <c r="J199">
        <f>COUNTBLANK(Metadata!B199)=COLUMNS(Metadata!B199)</f>
        <v>0</v>
      </c>
      <c r="K199">
        <v>0</v>
      </c>
      <c r="M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</row>
    <row r="200" spans="1:13">
      <c r="A200" s="3">
        <f>IF(B200=" "," ",HYPERLINK(CONCATENATE("#metadata!",ADDRESS(INDEX($H$2:$H$1001,MATCH(ROWS($F$2:F200),$F$2:$F$1001,0),0),2)),INDEX($K$2:$K$1001,MATCH(ROWS($F$2:F200),$F$2:$F$1001,0),0)))</f>
        <v>0</v>
      </c>
      <c r="B200" s="4">
        <f>IF(OR(INDEX($G$2:$G$1001,MATCH(ROWS($F$2:F200),$F$2:$F$1001,0),1)&gt;=100000,INDEX($M$1005,1,MATCH(COLUMNS($M$1006:M1006),$M$1006,0))&gt;=100000), " ",IF(INDEX($M$2:$M$1001,MATCH(ROWS($F$2:F200),$F$2:$F$1001,0),MATCH(COLUMNS($M$1006:M1006),$M$1006,0)), HYPERLINK("#",""), HYPERLINK(CONCATENATE("#Metadata!", ADDRESS(INDEX($H$2:$H$1001,MATCH(ROWS($F$2:F200),$F$2:$F$1001,0),0), INDEX($M$1004,1,MATCH(COLUMNS($M$1006:M1006),$M$1006,0)))),"Fix")))</f>
        <v>0</v>
      </c>
      <c r="F200">
        <v>0</v>
      </c>
      <c r="G200">
        <v>0</v>
      </c>
      <c r="H200">
        <v>0</v>
      </c>
      <c r="I200">
        <f>IF(J200,TRUE,AND(M200))</f>
        <v>0</v>
      </c>
      <c r="J200">
        <f>COUNTBLANK(Metadata!B200)=COLUMNS(Metadata!B200)</f>
        <v>0</v>
      </c>
      <c r="K200">
        <v>0</v>
      </c>
      <c r="M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</row>
    <row r="201" spans="1:13">
      <c r="A201" s="3">
        <f>IF(B201=" "," ",HYPERLINK(CONCATENATE("#metadata!",ADDRESS(INDEX($H$2:$H$1001,MATCH(ROWS($F$2:F201),$F$2:$F$1001,0),0),2)),INDEX($K$2:$K$1001,MATCH(ROWS($F$2:F201),$F$2:$F$1001,0),0)))</f>
        <v>0</v>
      </c>
      <c r="B201" s="4">
        <f>IF(OR(INDEX($G$2:$G$1001,MATCH(ROWS($F$2:F201),$F$2:$F$1001,0),1)&gt;=100000,INDEX($M$1005,1,MATCH(COLUMNS($M$1006:M1006),$M$1006,0))&gt;=100000), " ",IF(INDEX($M$2:$M$1001,MATCH(ROWS($F$2:F201),$F$2:$F$1001,0),MATCH(COLUMNS($M$1006:M1006),$M$1006,0)), HYPERLINK("#",""), HYPERLINK(CONCATENATE("#Metadata!", ADDRESS(INDEX($H$2:$H$1001,MATCH(ROWS($F$2:F201),$F$2:$F$1001,0),0), INDEX($M$1004,1,MATCH(COLUMNS($M$1006:M1006),$M$1006,0)))),"Fix")))</f>
        <v>0</v>
      </c>
      <c r="F201">
        <v>0</v>
      </c>
      <c r="G201">
        <v>0</v>
      </c>
      <c r="H201">
        <v>0</v>
      </c>
      <c r="I201">
        <f>IF(J201,TRUE,AND(M201))</f>
        <v>0</v>
      </c>
      <c r="J201">
        <f>COUNTBLANK(Metadata!B201)=COLUMNS(Metadata!B201)</f>
        <v>0</v>
      </c>
      <c r="K201">
        <v>0</v>
      </c>
      <c r="M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</row>
    <row r="202" spans="1:13">
      <c r="A202" s="3">
        <f>IF(B202=" "," ",HYPERLINK(CONCATENATE("#metadata!",ADDRESS(INDEX($H$2:$H$1001,MATCH(ROWS($F$2:F202),$F$2:$F$1001,0),0),2)),INDEX($K$2:$K$1001,MATCH(ROWS($F$2:F202),$F$2:$F$1001,0),0)))</f>
        <v>0</v>
      </c>
      <c r="B202" s="4">
        <f>IF(OR(INDEX($G$2:$G$1001,MATCH(ROWS($F$2:F202),$F$2:$F$1001,0),1)&gt;=100000,INDEX($M$1005,1,MATCH(COLUMNS($M$1006:M1006),$M$1006,0))&gt;=100000), " ",IF(INDEX($M$2:$M$1001,MATCH(ROWS($F$2:F202),$F$2:$F$1001,0),MATCH(COLUMNS($M$1006:M1006),$M$1006,0)), HYPERLINK("#",""), HYPERLINK(CONCATENATE("#Metadata!", ADDRESS(INDEX($H$2:$H$1001,MATCH(ROWS($F$2:F202),$F$2:$F$1001,0),0), INDEX($M$1004,1,MATCH(COLUMNS($M$1006:M1006),$M$1006,0)))),"Fix")))</f>
        <v>0</v>
      </c>
      <c r="F202">
        <v>0</v>
      </c>
      <c r="G202">
        <v>0</v>
      </c>
      <c r="H202">
        <v>0</v>
      </c>
      <c r="I202">
        <f>IF(J202,TRUE,AND(M202))</f>
        <v>0</v>
      </c>
      <c r="J202">
        <f>COUNTBLANK(Metadata!B202)=COLUMNS(Metadata!B202)</f>
        <v>0</v>
      </c>
      <c r="K202">
        <v>0</v>
      </c>
      <c r="M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</row>
    <row r="203" spans="1:13">
      <c r="A203" s="3">
        <f>IF(B203=" "," ",HYPERLINK(CONCATENATE("#metadata!",ADDRESS(INDEX($H$2:$H$1001,MATCH(ROWS($F$2:F203),$F$2:$F$1001,0),0),2)),INDEX($K$2:$K$1001,MATCH(ROWS($F$2:F203),$F$2:$F$1001,0),0)))</f>
        <v>0</v>
      </c>
      <c r="B203" s="4">
        <f>IF(OR(INDEX($G$2:$G$1001,MATCH(ROWS($F$2:F203),$F$2:$F$1001,0),1)&gt;=100000,INDEX($M$1005,1,MATCH(COLUMNS($M$1006:M1006),$M$1006,0))&gt;=100000), " ",IF(INDEX($M$2:$M$1001,MATCH(ROWS($F$2:F203),$F$2:$F$1001,0),MATCH(COLUMNS($M$1006:M1006),$M$1006,0)), HYPERLINK("#",""), HYPERLINK(CONCATENATE("#Metadata!", ADDRESS(INDEX($H$2:$H$1001,MATCH(ROWS($F$2:F203),$F$2:$F$1001,0),0), INDEX($M$1004,1,MATCH(COLUMNS($M$1006:M1006),$M$1006,0)))),"Fix")))</f>
        <v>0</v>
      </c>
      <c r="F203">
        <v>0</v>
      </c>
      <c r="G203">
        <v>0</v>
      </c>
      <c r="H203">
        <v>0</v>
      </c>
      <c r="I203">
        <f>IF(J203,TRUE,AND(M203))</f>
        <v>0</v>
      </c>
      <c r="J203">
        <f>COUNTBLANK(Metadata!B203)=COLUMNS(Metadata!B203)</f>
        <v>0</v>
      </c>
      <c r="K203">
        <v>0</v>
      </c>
      <c r="M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</row>
    <row r="204" spans="1:13">
      <c r="A204" s="3">
        <f>IF(B204=" "," ",HYPERLINK(CONCATENATE("#metadata!",ADDRESS(INDEX($H$2:$H$1001,MATCH(ROWS($F$2:F204),$F$2:$F$1001,0),0),2)),INDEX($K$2:$K$1001,MATCH(ROWS($F$2:F204),$F$2:$F$1001,0),0)))</f>
        <v>0</v>
      </c>
      <c r="B204" s="4">
        <f>IF(OR(INDEX($G$2:$G$1001,MATCH(ROWS($F$2:F204),$F$2:$F$1001,0),1)&gt;=100000,INDEX($M$1005,1,MATCH(COLUMNS($M$1006:M1006),$M$1006,0))&gt;=100000), " ",IF(INDEX($M$2:$M$1001,MATCH(ROWS($F$2:F204),$F$2:$F$1001,0),MATCH(COLUMNS($M$1006:M1006),$M$1006,0)), HYPERLINK("#",""), HYPERLINK(CONCATENATE("#Metadata!", ADDRESS(INDEX($H$2:$H$1001,MATCH(ROWS($F$2:F204),$F$2:$F$1001,0),0), INDEX($M$1004,1,MATCH(COLUMNS($M$1006:M1006),$M$1006,0)))),"Fix")))</f>
        <v>0</v>
      </c>
      <c r="F204">
        <v>0</v>
      </c>
      <c r="G204">
        <v>0</v>
      </c>
      <c r="H204">
        <v>0</v>
      </c>
      <c r="I204">
        <f>IF(J204,TRUE,AND(M204))</f>
        <v>0</v>
      </c>
      <c r="J204">
        <f>COUNTBLANK(Metadata!B204)=COLUMNS(Metadata!B204)</f>
        <v>0</v>
      </c>
      <c r="K204">
        <v>0</v>
      </c>
      <c r="M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</row>
    <row r="205" spans="1:13">
      <c r="A205" s="3">
        <f>IF(B205=" "," ",HYPERLINK(CONCATENATE("#metadata!",ADDRESS(INDEX($H$2:$H$1001,MATCH(ROWS($F$2:F205),$F$2:$F$1001,0),0),2)),INDEX($K$2:$K$1001,MATCH(ROWS($F$2:F205),$F$2:$F$1001,0),0)))</f>
        <v>0</v>
      </c>
      <c r="B205" s="4">
        <f>IF(OR(INDEX($G$2:$G$1001,MATCH(ROWS($F$2:F205),$F$2:$F$1001,0),1)&gt;=100000,INDEX($M$1005,1,MATCH(COLUMNS($M$1006:M1006),$M$1006,0))&gt;=100000), " ",IF(INDEX($M$2:$M$1001,MATCH(ROWS($F$2:F205),$F$2:$F$1001,0),MATCH(COLUMNS($M$1006:M1006),$M$1006,0)), HYPERLINK("#",""), HYPERLINK(CONCATENATE("#Metadata!", ADDRESS(INDEX($H$2:$H$1001,MATCH(ROWS($F$2:F205),$F$2:$F$1001,0),0), INDEX($M$1004,1,MATCH(COLUMNS($M$1006:M1006),$M$1006,0)))),"Fix")))</f>
        <v>0</v>
      </c>
      <c r="F205">
        <v>0</v>
      </c>
      <c r="G205">
        <v>0</v>
      </c>
      <c r="H205">
        <v>0</v>
      </c>
      <c r="I205">
        <f>IF(J205,TRUE,AND(M205))</f>
        <v>0</v>
      </c>
      <c r="J205">
        <f>COUNTBLANK(Metadata!B205)=COLUMNS(Metadata!B205)</f>
        <v>0</v>
      </c>
      <c r="K205">
        <v>0</v>
      </c>
      <c r="M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</row>
    <row r="206" spans="1:13">
      <c r="A206" s="3">
        <f>IF(B206=" "," ",HYPERLINK(CONCATENATE("#metadata!",ADDRESS(INDEX($H$2:$H$1001,MATCH(ROWS($F$2:F206),$F$2:$F$1001,0),0),2)),INDEX($K$2:$K$1001,MATCH(ROWS($F$2:F206),$F$2:$F$1001,0),0)))</f>
        <v>0</v>
      </c>
      <c r="B206" s="4">
        <f>IF(OR(INDEX($G$2:$G$1001,MATCH(ROWS($F$2:F206),$F$2:$F$1001,0),1)&gt;=100000,INDEX($M$1005,1,MATCH(COLUMNS($M$1006:M1006),$M$1006,0))&gt;=100000), " ",IF(INDEX($M$2:$M$1001,MATCH(ROWS($F$2:F206),$F$2:$F$1001,0),MATCH(COLUMNS($M$1006:M1006),$M$1006,0)), HYPERLINK("#",""), HYPERLINK(CONCATENATE("#Metadata!", ADDRESS(INDEX($H$2:$H$1001,MATCH(ROWS($F$2:F206),$F$2:$F$1001,0),0), INDEX($M$1004,1,MATCH(COLUMNS($M$1006:M1006),$M$1006,0)))),"Fix")))</f>
        <v>0</v>
      </c>
      <c r="F206">
        <v>0</v>
      </c>
      <c r="G206">
        <v>0</v>
      </c>
      <c r="H206">
        <v>0</v>
      </c>
      <c r="I206">
        <f>IF(J206,TRUE,AND(M206))</f>
        <v>0</v>
      </c>
      <c r="J206">
        <f>COUNTBLANK(Metadata!B206)=COLUMNS(Metadata!B206)</f>
        <v>0</v>
      </c>
      <c r="K206">
        <v>0</v>
      </c>
      <c r="M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</row>
    <row r="207" spans="1:13">
      <c r="A207" s="3">
        <f>IF(B207=" "," ",HYPERLINK(CONCATENATE("#metadata!",ADDRESS(INDEX($H$2:$H$1001,MATCH(ROWS($F$2:F207),$F$2:$F$1001,0),0),2)),INDEX($K$2:$K$1001,MATCH(ROWS($F$2:F207),$F$2:$F$1001,0),0)))</f>
        <v>0</v>
      </c>
      <c r="B207" s="4">
        <f>IF(OR(INDEX($G$2:$G$1001,MATCH(ROWS($F$2:F207),$F$2:$F$1001,0),1)&gt;=100000,INDEX($M$1005,1,MATCH(COLUMNS($M$1006:M1006),$M$1006,0))&gt;=100000), " ",IF(INDEX($M$2:$M$1001,MATCH(ROWS($F$2:F207),$F$2:$F$1001,0),MATCH(COLUMNS($M$1006:M1006),$M$1006,0)), HYPERLINK("#",""), HYPERLINK(CONCATENATE("#Metadata!", ADDRESS(INDEX($H$2:$H$1001,MATCH(ROWS($F$2:F207),$F$2:$F$1001,0),0), INDEX($M$1004,1,MATCH(COLUMNS($M$1006:M1006),$M$1006,0)))),"Fix")))</f>
        <v>0</v>
      </c>
      <c r="F207">
        <v>0</v>
      </c>
      <c r="G207">
        <v>0</v>
      </c>
      <c r="H207">
        <v>0</v>
      </c>
      <c r="I207">
        <f>IF(J207,TRUE,AND(M207))</f>
        <v>0</v>
      </c>
      <c r="J207">
        <f>COUNTBLANK(Metadata!B207)=COLUMNS(Metadata!B207)</f>
        <v>0</v>
      </c>
      <c r="K207">
        <v>0</v>
      </c>
      <c r="M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</row>
    <row r="208" spans="1:13">
      <c r="A208" s="3">
        <f>IF(B208=" "," ",HYPERLINK(CONCATENATE("#metadata!",ADDRESS(INDEX($H$2:$H$1001,MATCH(ROWS($F$2:F208),$F$2:$F$1001,0),0),2)),INDEX($K$2:$K$1001,MATCH(ROWS($F$2:F208),$F$2:$F$1001,0),0)))</f>
        <v>0</v>
      </c>
      <c r="B208" s="4">
        <f>IF(OR(INDEX($G$2:$G$1001,MATCH(ROWS($F$2:F208),$F$2:$F$1001,0),1)&gt;=100000,INDEX($M$1005,1,MATCH(COLUMNS($M$1006:M1006),$M$1006,0))&gt;=100000), " ",IF(INDEX($M$2:$M$1001,MATCH(ROWS($F$2:F208),$F$2:$F$1001,0),MATCH(COLUMNS($M$1006:M1006),$M$1006,0)), HYPERLINK("#",""), HYPERLINK(CONCATENATE("#Metadata!", ADDRESS(INDEX($H$2:$H$1001,MATCH(ROWS($F$2:F208),$F$2:$F$1001,0),0), INDEX($M$1004,1,MATCH(COLUMNS($M$1006:M1006),$M$1006,0)))),"Fix")))</f>
        <v>0</v>
      </c>
      <c r="F208">
        <v>0</v>
      </c>
      <c r="G208">
        <v>0</v>
      </c>
      <c r="H208">
        <v>0</v>
      </c>
      <c r="I208">
        <f>IF(J208,TRUE,AND(M208))</f>
        <v>0</v>
      </c>
      <c r="J208">
        <f>COUNTBLANK(Metadata!B208)=COLUMNS(Metadata!B208)</f>
        <v>0</v>
      </c>
      <c r="K208">
        <v>0</v>
      </c>
      <c r="M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</row>
    <row r="209" spans="1:13">
      <c r="A209" s="3">
        <f>IF(B209=" "," ",HYPERLINK(CONCATENATE("#metadata!",ADDRESS(INDEX($H$2:$H$1001,MATCH(ROWS($F$2:F209),$F$2:$F$1001,0),0),2)),INDEX($K$2:$K$1001,MATCH(ROWS($F$2:F209),$F$2:$F$1001,0),0)))</f>
        <v>0</v>
      </c>
      <c r="B209" s="4">
        <f>IF(OR(INDEX($G$2:$G$1001,MATCH(ROWS($F$2:F209),$F$2:$F$1001,0),1)&gt;=100000,INDEX($M$1005,1,MATCH(COLUMNS($M$1006:M1006),$M$1006,0))&gt;=100000), " ",IF(INDEX($M$2:$M$1001,MATCH(ROWS($F$2:F209),$F$2:$F$1001,0),MATCH(COLUMNS($M$1006:M1006),$M$1006,0)), HYPERLINK("#",""), HYPERLINK(CONCATENATE("#Metadata!", ADDRESS(INDEX($H$2:$H$1001,MATCH(ROWS($F$2:F209),$F$2:$F$1001,0),0), INDEX($M$1004,1,MATCH(COLUMNS($M$1006:M1006),$M$1006,0)))),"Fix")))</f>
        <v>0</v>
      </c>
      <c r="F209">
        <v>0</v>
      </c>
      <c r="G209">
        <v>0</v>
      </c>
      <c r="H209">
        <v>0</v>
      </c>
      <c r="I209">
        <f>IF(J209,TRUE,AND(M209))</f>
        <v>0</v>
      </c>
      <c r="J209">
        <f>COUNTBLANK(Metadata!B209)=COLUMNS(Metadata!B209)</f>
        <v>0</v>
      </c>
      <c r="K209">
        <v>0</v>
      </c>
      <c r="M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</row>
    <row r="210" spans="1:13">
      <c r="A210" s="3">
        <f>IF(B210=" "," ",HYPERLINK(CONCATENATE("#metadata!",ADDRESS(INDEX($H$2:$H$1001,MATCH(ROWS($F$2:F210),$F$2:$F$1001,0),0),2)),INDEX($K$2:$K$1001,MATCH(ROWS($F$2:F210),$F$2:$F$1001,0),0)))</f>
        <v>0</v>
      </c>
      <c r="B210" s="4">
        <f>IF(OR(INDEX($G$2:$G$1001,MATCH(ROWS($F$2:F210),$F$2:$F$1001,0),1)&gt;=100000,INDEX($M$1005,1,MATCH(COLUMNS($M$1006:M1006),$M$1006,0))&gt;=100000), " ",IF(INDEX($M$2:$M$1001,MATCH(ROWS($F$2:F210),$F$2:$F$1001,0),MATCH(COLUMNS($M$1006:M1006),$M$1006,0)), HYPERLINK("#",""), HYPERLINK(CONCATENATE("#Metadata!", ADDRESS(INDEX($H$2:$H$1001,MATCH(ROWS($F$2:F210),$F$2:$F$1001,0),0), INDEX($M$1004,1,MATCH(COLUMNS($M$1006:M1006),$M$1006,0)))),"Fix")))</f>
        <v>0</v>
      </c>
      <c r="F210">
        <v>0</v>
      </c>
      <c r="G210">
        <v>0</v>
      </c>
      <c r="H210">
        <v>0</v>
      </c>
      <c r="I210">
        <f>IF(J210,TRUE,AND(M210))</f>
        <v>0</v>
      </c>
      <c r="J210">
        <f>COUNTBLANK(Metadata!B210)=COLUMNS(Metadata!B210)</f>
        <v>0</v>
      </c>
      <c r="K210">
        <v>0</v>
      </c>
      <c r="M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</row>
    <row r="211" spans="1:13">
      <c r="A211" s="3">
        <f>IF(B211=" "," ",HYPERLINK(CONCATENATE("#metadata!",ADDRESS(INDEX($H$2:$H$1001,MATCH(ROWS($F$2:F211),$F$2:$F$1001,0),0),2)),INDEX($K$2:$K$1001,MATCH(ROWS($F$2:F211),$F$2:$F$1001,0),0)))</f>
        <v>0</v>
      </c>
      <c r="B211" s="4">
        <f>IF(OR(INDEX($G$2:$G$1001,MATCH(ROWS($F$2:F211),$F$2:$F$1001,0),1)&gt;=100000,INDEX($M$1005,1,MATCH(COLUMNS($M$1006:M1006),$M$1006,0))&gt;=100000), " ",IF(INDEX($M$2:$M$1001,MATCH(ROWS($F$2:F211),$F$2:$F$1001,0),MATCH(COLUMNS($M$1006:M1006),$M$1006,0)), HYPERLINK("#",""), HYPERLINK(CONCATENATE("#Metadata!", ADDRESS(INDEX($H$2:$H$1001,MATCH(ROWS($F$2:F211),$F$2:$F$1001,0),0), INDEX($M$1004,1,MATCH(COLUMNS($M$1006:M1006),$M$1006,0)))),"Fix")))</f>
        <v>0</v>
      </c>
      <c r="F211">
        <v>0</v>
      </c>
      <c r="G211">
        <v>0</v>
      </c>
      <c r="H211">
        <v>0</v>
      </c>
      <c r="I211">
        <f>IF(J211,TRUE,AND(M211))</f>
        <v>0</v>
      </c>
      <c r="J211">
        <f>COUNTBLANK(Metadata!B211)=COLUMNS(Metadata!B211)</f>
        <v>0</v>
      </c>
      <c r="K211">
        <v>0</v>
      </c>
      <c r="M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</row>
    <row r="212" spans="1:13">
      <c r="A212" s="3">
        <f>IF(B212=" "," ",HYPERLINK(CONCATENATE("#metadata!",ADDRESS(INDEX($H$2:$H$1001,MATCH(ROWS($F$2:F212),$F$2:$F$1001,0),0),2)),INDEX($K$2:$K$1001,MATCH(ROWS($F$2:F212),$F$2:$F$1001,0),0)))</f>
        <v>0</v>
      </c>
      <c r="B212" s="4">
        <f>IF(OR(INDEX($G$2:$G$1001,MATCH(ROWS($F$2:F212),$F$2:$F$1001,0),1)&gt;=100000,INDEX($M$1005,1,MATCH(COLUMNS($M$1006:M1006),$M$1006,0))&gt;=100000), " ",IF(INDEX($M$2:$M$1001,MATCH(ROWS($F$2:F212),$F$2:$F$1001,0),MATCH(COLUMNS($M$1006:M1006),$M$1006,0)), HYPERLINK("#",""), HYPERLINK(CONCATENATE("#Metadata!", ADDRESS(INDEX($H$2:$H$1001,MATCH(ROWS($F$2:F212),$F$2:$F$1001,0),0), INDEX($M$1004,1,MATCH(COLUMNS($M$1006:M1006),$M$1006,0)))),"Fix")))</f>
        <v>0</v>
      </c>
      <c r="F212">
        <v>0</v>
      </c>
      <c r="G212">
        <v>0</v>
      </c>
      <c r="H212">
        <v>0</v>
      </c>
      <c r="I212">
        <f>IF(J212,TRUE,AND(M212))</f>
        <v>0</v>
      </c>
      <c r="J212">
        <f>COUNTBLANK(Metadata!B212)=COLUMNS(Metadata!B212)</f>
        <v>0</v>
      </c>
      <c r="K212">
        <v>0</v>
      </c>
      <c r="M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</row>
    <row r="213" spans="1:13">
      <c r="A213" s="3">
        <f>IF(B213=" "," ",HYPERLINK(CONCATENATE("#metadata!",ADDRESS(INDEX($H$2:$H$1001,MATCH(ROWS($F$2:F213),$F$2:$F$1001,0),0),2)),INDEX($K$2:$K$1001,MATCH(ROWS($F$2:F213),$F$2:$F$1001,0),0)))</f>
        <v>0</v>
      </c>
      <c r="B213" s="4">
        <f>IF(OR(INDEX($G$2:$G$1001,MATCH(ROWS($F$2:F213),$F$2:$F$1001,0),1)&gt;=100000,INDEX($M$1005,1,MATCH(COLUMNS($M$1006:M1006),$M$1006,0))&gt;=100000), " ",IF(INDEX($M$2:$M$1001,MATCH(ROWS($F$2:F213),$F$2:$F$1001,0),MATCH(COLUMNS($M$1006:M1006),$M$1006,0)), HYPERLINK("#",""), HYPERLINK(CONCATENATE("#Metadata!", ADDRESS(INDEX($H$2:$H$1001,MATCH(ROWS($F$2:F213),$F$2:$F$1001,0),0), INDEX($M$1004,1,MATCH(COLUMNS($M$1006:M1006),$M$1006,0)))),"Fix")))</f>
        <v>0</v>
      </c>
      <c r="F213">
        <v>0</v>
      </c>
      <c r="G213">
        <v>0</v>
      </c>
      <c r="H213">
        <v>0</v>
      </c>
      <c r="I213">
        <f>IF(J213,TRUE,AND(M213))</f>
        <v>0</v>
      </c>
      <c r="J213">
        <f>COUNTBLANK(Metadata!B213)=COLUMNS(Metadata!B213)</f>
        <v>0</v>
      </c>
      <c r="K213">
        <v>0</v>
      </c>
      <c r="M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</row>
    <row r="214" spans="1:13">
      <c r="A214" s="3">
        <f>IF(B214=" "," ",HYPERLINK(CONCATENATE("#metadata!",ADDRESS(INDEX($H$2:$H$1001,MATCH(ROWS($F$2:F214),$F$2:$F$1001,0),0),2)),INDEX($K$2:$K$1001,MATCH(ROWS($F$2:F214),$F$2:$F$1001,0),0)))</f>
        <v>0</v>
      </c>
      <c r="B214" s="4">
        <f>IF(OR(INDEX($G$2:$G$1001,MATCH(ROWS($F$2:F214),$F$2:$F$1001,0),1)&gt;=100000,INDEX($M$1005,1,MATCH(COLUMNS($M$1006:M1006),$M$1006,0))&gt;=100000), " ",IF(INDEX($M$2:$M$1001,MATCH(ROWS($F$2:F214),$F$2:$F$1001,0),MATCH(COLUMNS($M$1006:M1006),$M$1006,0)), HYPERLINK("#",""), HYPERLINK(CONCATENATE("#Metadata!", ADDRESS(INDEX($H$2:$H$1001,MATCH(ROWS($F$2:F214),$F$2:$F$1001,0),0), INDEX($M$1004,1,MATCH(COLUMNS($M$1006:M1006),$M$1006,0)))),"Fix")))</f>
        <v>0</v>
      </c>
      <c r="F214">
        <v>0</v>
      </c>
      <c r="G214">
        <v>0</v>
      </c>
      <c r="H214">
        <v>0</v>
      </c>
      <c r="I214">
        <f>IF(J214,TRUE,AND(M214))</f>
        <v>0</v>
      </c>
      <c r="J214">
        <f>COUNTBLANK(Metadata!B214)=COLUMNS(Metadata!B214)</f>
        <v>0</v>
      </c>
      <c r="K214">
        <v>0</v>
      </c>
      <c r="M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</row>
    <row r="215" spans="1:13">
      <c r="A215" s="3">
        <f>IF(B215=" "," ",HYPERLINK(CONCATENATE("#metadata!",ADDRESS(INDEX($H$2:$H$1001,MATCH(ROWS($F$2:F215),$F$2:$F$1001,0),0),2)),INDEX($K$2:$K$1001,MATCH(ROWS($F$2:F215),$F$2:$F$1001,0),0)))</f>
        <v>0</v>
      </c>
      <c r="B215" s="4">
        <f>IF(OR(INDEX($G$2:$G$1001,MATCH(ROWS($F$2:F215),$F$2:$F$1001,0),1)&gt;=100000,INDEX($M$1005,1,MATCH(COLUMNS($M$1006:M1006),$M$1006,0))&gt;=100000), " ",IF(INDEX($M$2:$M$1001,MATCH(ROWS($F$2:F215),$F$2:$F$1001,0),MATCH(COLUMNS($M$1006:M1006),$M$1006,0)), HYPERLINK("#",""), HYPERLINK(CONCATENATE("#Metadata!", ADDRESS(INDEX($H$2:$H$1001,MATCH(ROWS($F$2:F215),$F$2:$F$1001,0),0), INDEX($M$1004,1,MATCH(COLUMNS($M$1006:M1006),$M$1006,0)))),"Fix")))</f>
        <v>0</v>
      </c>
      <c r="F215">
        <v>0</v>
      </c>
      <c r="G215">
        <v>0</v>
      </c>
      <c r="H215">
        <v>0</v>
      </c>
      <c r="I215">
        <f>IF(J215,TRUE,AND(M215))</f>
        <v>0</v>
      </c>
      <c r="J215">
        <f>COUNTBLANK(Metadata!B215)=COLUMNS(Metadata!B215)</f>
        <v>0</v>
      </c>
      <c r="K215">
        <v>0</v>
      </c>
      <c r="M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</row>
    <row r="216" spans="1:13">
      <c r="A216" s="3">
        <f>IF(B216=" "," ",HYPERLINK(CONCATENATE("#metadata!",ADDRESS(INDEX($H$2:$H$1001,MATCH(ROWS($F$2:F216),$F$2:$F$1001,0),0),2)),INDEX($K$2:$K$1001,MATCH(ROWS($F$2:F216),$F$2:$F$1001,0),0)))</f>
        <v>0</v>
      </c>
      <c r="B216" s="4">
        <f>IF(OR(INDEX($G$2:$G$1001,MATCH(ROWS($F$2:F216),$F$2:$F$1001,0),1)&gt;=100000,INDEX($M$1005,1,MATCH(COLUMNS($M$1006:M1006),$M$1006,0))&gt;=100000), " ",IF(INDEX($M$2:$M$1001,MATCH(ROWS($F$2:F216),$F$2:$F$1001,0),MATCH(COLUMNS($M$1006:M1006),$M$1006,0)), HYPERLINK("#",""), HYPERLINK(CONCATENATE("#Metadata!", ADDRESS(INDEX($H$2:$H$1001,MATCH(ROWS($F$2:F216),$F$2:$F$1001,0),0), INDEX($M$1004,1,MATCH(COLUMNS($M$1006:M1006),$M$1006,0)))),"Fix")))</f>
        <v>0</v>
      </c>
      <c r="F216">
        <v>0</v>
      </c>
      <c r="G216">
        <v>0</v>
      </c>
      <c r="H216">
        <v>0</v>
      </c>
      <c r="I216">
        <f>IF(J216,TRUE,AND(M216))</f>
        <v>0</v>
      </c>
      <c r="J216">
        <f>COUNTBLANK(Metadata!B216)=COLUMNS(Metadata!B216)</f>
        <v>0</v>
      </c>
      <c r="K216">
        <v>0</v>
      </c>
      <c r="M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</row>
    <row r="217" spans="1:13">
      <c r="A217" s="3">
        <f>IF(B217=" "," ",HYPERLINK(CONCATENATE("#metadata!",ADDRESS(INDEX($H$2:$H$1001,MATCH(ROWS($F$2:F217),$F$2:$F$1001,0),0),2)),INDEX($K$2:$K$1001,MATCH(ROWS($F$2:F217),$F$2:$F$1001,0),0)))</f>
        <v>0</v>
      </c>
      <c r="B217" s="4">
        <f>IF(OR(INDEX($G$2:$G$1001,MATCH(ROWS($F$2:F217),$F$2:$F$1001,0),1)&gt;=100000,INDEX($M$1005,1,MATCH(COLUMNS($M$1006:M1006),$M$1006,0))&gt;=100000), " ",IF(INDEX($M$2:$M$1001,MATCH(ROWS($F$2:F217),$F$2:$F$1001,0),MATCH(COLUMNS($M$1006:M1006),$M$1006,0)), HYPERLINK("#",""), HYPERLINK(CONCATENATE("#Metadata!", ADDRESS(INDEX($H$2:$H$1001,MATCH(ROWS($F$2:F217),$F$2:$F$1001,0),0), INDEX($M$1004,1,MATCH(COLUMNS($M$1006:M1006),$M$1006,0)))),"Fix")))</f>
        <v>0</v>
      </c>
      <c r="F217">
        <v>0</v>
      </c>
      <c r="G217">
        <v>0</v>
      </c>
      <c r="H217">
        <v>0</v>
      </c>
      <c r="I217">
        <f>IF(J217,TRUE,AND(M217))</f>
        <v>0</v>
      </c>
      <c r="J217">
        <f>COUNTBLANK(Metadata!B217)=COLUMNS(Metadata!B217)</f>
        <v>0</v>
      </c>
      <c r="K217">
        <v>0</v>
      </c>
      <c r="M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</row>
    <row r="218" spans="1:13">
      <c r="A218" s="3">
        <f>IF(B218=" "," ",HYPERLINK(CONCATENATE("#metadata!",ADDRESS(INDEX($H$2:$H$1001,MATCH(ROWS($F$2:F218),$F$2:$F$1001,0),0),2)),INDEX($K$2:$K$1001,MATCH(ROWS($F$2:F218),$F$2:$F$1001,0),0)))</f>
        <v>0</v>
      </c>
      <c r="B218" s="4">
        <f>IF(OR(INDEX($G$2:$G$1001,MATCH(ROWS($F$2:F218),$F$2:$F$1001,0),1)&gt;=100000,INDEX($M$1005,1,MATCH(COLUMNS($M$1006:M1006),$M$1006,0))&gt;=100000), " ",IF(INDEX($M$2:$M$1001,MATCH(ROWS($F$2:F218),$F$2:$F$1001,0),MATCH(COLUMNS($M$1006:M1006),$M$1006,0)), HYPERLINK("#",""), HYPERLINK(CONCATENATE("#Metadata!", ADDRESS(INDEX($H$2:$H$1001,MATCH(ROWS($F$2:F218),$F$2:$F$1001,0),0), INDEX($M$1004,1,MATCH(COLUMNS($M$1006:M1006),$M$1006,0)))),"Fix")))</f>
        <v>0</v>
      </c>
      <c r="F218">
        <v>0</v>
      </c>
      <c r="G218">
        <v>0</v>
      </c>
      <c r="H218">
        <v>0</v>
      </c>
      <c r="I218">
        <f>IF(J218,TRUE,AND(M218))</f>
        <v>0</v>
      </c>
      <c r="J218">
        <f>COUNTBLANK(Metadata!B218)=COLUMNS(Metadata!B218)</f>
        <v>0</v>
      </c>
      <c r="K218">
        <v>0</v>
      </c>
      <c r="M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</row>
    <row r="219" spans="1:13">
      <c r="A219" s="3">
        <f>IF(B219=" "," ",HYPERLINK(CONCATENATE("#metadata!",ADDRESS(INDEX($H$2:$H$1001,MATCH(ROWS($F$2:F219),$F$2:$F$1001,0),0),2)),INDEX($K$2:$K$1001,MATCH(ROWS($F$2:F219),$F$2:$F$1001,0),0)))</f>
        <v>0</v>
      </c>
      <c r="B219" s="4">
        <f>IF(OR(INDEX($G$2:$G$1001,MATCH(ROWS($F$2:F219),$F$2:$F$1001,0),1)&gt;=100000,INDEX($M$1005,1,MATCH(COLUMNS($M$1006:M1006),$M$1006,0))&gt;=100000), " ",IF(INDEX($M$2:$M$1001,MATCH(ROWS($F$2:F219),$F$2:$F$1001,0),MATCH(COLUMNS($M$1006:M1006),$M$1006,0)), HYPERLINK("#",""), HYPERLINK(CONCATENATE("#Metadata!", ADDRESS(INDEX($H$2:$H$1001,MATCH(ROWS($F$2:F219),$F$2:$F$1001,0),0), INDEX($M$1004,1,MATCH(COLUMNS($M$1006:M1006),$M$1006,0)))),"Fix")))</f>
        <v>0</v>
      </c>
      <c r="F219">
        <v>0</v>
      </c>
      <c r="G219">
        <v>0</v>
      </c>
      <c r="H219">
        <v>0</v>
      </c>
      <c r="I219">
        <f>IF(J219,TRUE,AND(M219))</f>
        <v>0</v>
      </c>
      <c r="J219">
        <f>COUNTBLANK(Metadata!B219)=COLUMNS(Metadata!B219)</f>
        <v>0</v>
      </c>
      <c r="K219">
        <v>0</v>
      </c>
      <c r="M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</row>
    <row r="220" spans="1:13">
      <c r="A220" s="3">
        <f>IF(B220=" "," ",HYPERLINK(CONCATENATE("#metadata!",ADDRESS(INDEX($H$2:$H$1001,MATCH(ROWS($F$2:F220),$F$2:$F$1001,0),0),2)),INDEX($K$2:$K$1001,MATCH(ROWS($F$2:F220),$F$2:$F$1001,0),0)))</f>
        <v>0</v>
      </c>
      <c r="B220" s="4">
        <f>IF(OR(INDEX($G$2:$G$1001,MATCH(ROWS($F$2:F220),$F$2:$F$1001,0),1)&gt;=100000,INDEX($M$1005,1,MATCH(COLUMNS($M$1006:M1006),$M$1006,0))&gt;=100000), " ",IF(INDEX($M$2:$M$1001,MATCH(ROWS($F$2:F220),$F$2:$F$1001,0),MATCH(COLUMNS($M$1006:M1006),$M$1006,0)), HYPERLINK("#",""), HYPERLINK(CONCATENATE("#Metadata!", ADDRESS(INDEX($H$2:$H$1001,MATCH(ROWS($F$2:F220),$F$2:$F$1001,0),0), INDEX($M$1004,1,MATCH(COLUMNS($M$1006:M1006),$M$1006,0)))),"Fix")))</f>
        <v>0</v>
      </c>
      <c r="F220">
        <v>0</v>
      </c>
      <c r="G220">
        <v>0</v>
      </c>
      <c r="H220">
        <v>0</v>
      </c>
      <c r="I220">
        <f>IF(J220,TRUE,AND(M220))</f>
        <v>0</v>
      </c>
      <c r="J220">
        <f>COUNTBLANK(Metadata!B220)=COLUMNS(Metadata!B220)</f>
        <v>0</v>
      </c>
      <c r="K220">
        <v>0</v>
      </c>
      <c r="M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</row>
    <row r="221" spans="1:13">
      <c r="A221" s="3">
        <f>IF(B221=" "," ",HYPERLINK(CONCATENATE("#metadata!",ADDRESS(INDEX($H$2:$H$1001,MATCH(ROWS($F$2:F221),$F$2:$F$1001,0),0),2)),INDEX($K$2:$K$1001,MATCH(ROWS($F$2:F221),$F$2:$F$1001,0),0)))</f>
        <v>0</v>
      </c>
      <c r="B221" s="4">
        <f>IF(OR(INDEX($G$2:$G$1001,MATCH(ROWS($F$2:F221),$F$2:$F$1001,0),1)&gt;=100000,INDEX($M$1005,1,MATCH(COLUMNS($M$1006:M1006),$M$1006,0))&gt;=100000), " ",IF(INDEX($M$2:$M$1001,MATCH(ROWS($F$2:F221),$F$2:$F$1001,0),MATCH(COLUMNS($M$1006:M1006),$M$1006,0)), HYPERLINK("#",""), HYPERLINK(CONCATENATE("#Metadata!", ADDRESS(INDEX($H$2:$H$1001,MATCH(ROWS($F$2:F221),$F$2:$F$1001,0),0), INDEX($M$1004,1,MATCH(COLUMNS($M$1006:M1006),$M$1006,0)))),"Fix")))</f>
        <v>0</v>
      </c>
      <c r="F221">
        <v>0</v>
      </c>
      <c r="G221">
        <v>0</v>
      </c>
      <c r="H221">
        <v>0</v>
      </c>
      <c r="I221">
        <f>IF(J221,TRUE,AND(M221))</f>
        <v>0</v>
      </c>
      <c r="J221">
        <f>COUNTBLANK(Metadata!B221)=COLUMNS(Metadata!B221)</f>
        <v>0</v>
      </c>
      <c r="K221">
        <v>0</v>
      </c>
      <c r="M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</row>
    <row r="222" spans="1:13">
      <c r="A222" s="3">
        <f>IF(B222=" "," ",HYPERLINK(CONCATENATE("#metadata!",ADDRESS(INDEX($H$2:$H$1001,MATCH(ROWS($F$2:F222),$F$2:$F$1001,0),0),2)),INDEX($K$2:$K$1001,MATCH(ROWS($F$2:F222),$F$2:$F$1001,0),0)))</f>
        <v>0</v>
      </c>
      <c r="B222" s="4">
        <f>IF(OR(INDEX($G$2:$G$1001,MATCH(ROWS($F$2:F222),$F$2:$F$1001,0),1)&gt;=100000,INDEX($M$1005,1,MATCH(COLUMNS($M$1006:M1006),$M$1006,0))&gt;=100000), " ",IF(INDEX($M$2:$M$1001,MATCH(ROWS($F$2:F222),$F$2:$F$1001,0),MATCH(COLUMNS($M$1006:M1006),$M$1006,0)), HYPERLINK("#",""), HYPERLINK(CONCATENATE("#Metadata!", ADDRESS(INDEX($H$2:$H$1001,MATCH(ROWS($F$2:F222),$F$2:$F$1001,0),0), INDEX($M$1004,1,MATCH(COLUMNS($M$1006:M1006),$M$1006,0)))),"Fix")))</f>
        <v>0</v>
      </c>
      <c r="F222">
        <v>0</v>
      </c>
      <c r="G222">
        <v>0</v>
      </c>
      <c r="H222">
        <v>0</v>
      </c>
      <c r="I222">
        <f>IF(J222,TRUE,AND(M222))</f>
        <v>0</v>
      </c>
      <c r="J222">
        <f>COUNTBLANK(Metadata!B222)=COLUMNS(Metadata!B222)</f>
        <v>0</v>
      </c>
      <c r="K222">
        <v>0</v>
      </c>
      <c r="M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</row>
    <row r="223" spans="1:13">
      <c r="A223" s="3">
        <f>IF(B223=" "," ",HYPERLINK(CONCATENATE("#metadata!",ADDRESS(INDEX($H$2:$H$1001,MATCH(ROWS($F$2:F223),$F$2:$F$1001,0),0),2)),INDEX($K$2:$K$1001,MATCH(ROWS($F$2:F223),$F$2:$F$1001,0),0)))</f>
        <v>0</v>
      </c>
      <c r="B223" s="4">
        <f>IF(OR(INDEX($G$2:$G$1001,MATCH(ROWS($F$2:F223),$F$2:$F$1001,0),1)&gt;=100000,INDEX($M$1005,1,MATCH(COLUMNS($M$1006:M1006),$M$1006,0))&gt;=100000), " ",IF(INDEX($M$2:$M$1001,MATCH(ROWS($F$2:F223),$F$2:$F$1001,0),MATCH(COLUMNS($M$1006:M1006),$M$1006,0)), HYPERLINK("#",""), HYPERLINK(CONCATENATE("#Metadata!", ADDRESS(INDEX($H$2:$H$1001,MATCH(ROWS($F$2:F223),$F$2:$F$1001,0),0), INDEX($M$1004,1,MATCH(COLUMNS($M$1006:M1006),$M$1006,0)))),"Fix")))</f>
        <v>0</v>
      </c>
      <c r="F223">
        <v>0</v>
      </c>
      <c r="G223">
        <v>0</v>
      </c>
      <c r="H223">
        <v>0</v>
      </c>
      <c r="I223">
        <f>IF(J223,TRUE,AND(M223))</f>
        <v>0</v>
      </c>
      <c r="J223">
        <f>COUNTBLANK(Metadata!B223)=COLUMNS(Metadata!B223)</f>
        <v>0</v>
      </c>
      <c r="K223">
        <v>0</v>
      </c>
      <c r="M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</row>
    <row r="224" spans="1:13">
      <c r="A224" s="3">
        <f>IF(B224=" "," ",HYPERLINK(CONCATENATE("#metadata!",ADDRESS(INDEX($H$2:$H$1001,MATCH(ROWS($F$2:F224),$F$2:$F$1001,0),0),2)),INDEX($K$2:$K$1001,MATCH(ROWS($F$2:F224),$F$2:$F$1001,0),0)))</f>
        <v>0</v>
      </c>
      <c r="B224" s="4">
        <f>IF(OR(INDEX($G$2:$G$1001,MATCH(ROWS($F$2:F224),$F$2:$F$1001,0),1)&gt;=100000,INDEX($M$1005,1,MATCH(COLUMNS($M$1006:M1006),$M$1006,0))&gt;=100000), " ",IF(INDEX($M$2:$M$1001,MATCH(ROWS($F$2:F224),$F$2:$F$1001,0),MATCH(COLUMNS($M$1006:M1006),$M$1006,0)), HYPERLINK("#",""), HYPERLINK(CONCATENATE("#Metadata!", ADDRESS(INDEX($H$2:$H$1001,MATCH(ROWS($F$2:F224),$F$2:$F$1001,0),0), INDEX($M$1004,1,MATCH(COLUMNS($M$1006:M1006),$M$1006,0)))),"Fix")))</f>
        <v>0</v>
      </c>
      <c r="F224">
        <v>0</v>
      </c>
      <c r="G224">
        <v>0</v>
      </c>
      <c r="H224">
        <v>0</v>
      </c>
      <c r="I224">
        <f>IF(J224,TRUE,AND(M224))</f>
        <v>0</v>
      </c>
      <c r="J224">
        <f>COUNTBLANK(Metadata!B224)=COLUMNS(Metadata!B224)</f>
        <v>0</v>
      </c>
      <c r="K224">
        <v>0</v>
      </c>
      <c r="M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</row>
    <row r="225" spans="1:13">
      <c r="A225" s="3">
        <f>IF(B225=" "," ",HYPERLINK(CONCATENATE("#metadata!",ADDRESS(INDEX($H$2:$H$1001,MATCH(ROWS($F$2:F225),$F$2:$F$1001,0),0),2)),INDEX($K$2:$K$1001,MATCH(ROWS($F$2:F225),$F$2:$F$1001,0),0)))</f>
        <v>0</v>
      </c>
      <c r="B225" s="4">
        <f>IF(OR(INDEX($G$2:$G$1001,MATCH(ROWS($F$2:F225),$F$2:$F$1001,0),1)&gt;=100000,INDEX($M$1005,1,MATCH(COLUMNS($M$1006:M1006),$M$1006,0))&gt;=100000), " ",IF(INDEX($M$2:$M$1001,MATCH(ROWS($F$2:F225),$F$2:$F$1001,0),MATCH(COLUMNS($M$1006:M1006),$M$1006,0)), HYPERLINK("#",""), HYPERLINK(CONCATENATE("#Metadata!", ADDRESS(INDEX($H$2:$H$1001,MATCH(ROWS($F$2:F225),$F$2:$F$1001,0),0), INDEX($M$1004,1,MATCH(COLUMNS($M$1006:M1006),$M$1006,0)))),"Fix")))</f>
        <v>0</v>
      </c>
      <c r="F225">
        <v>0</v>
      </c>
      <c r="G225">
        <v>0</v>
      </c>
      <c r="H225">
        <v>0</v>
      </c>
      <c r="I225">
        <f>IF(J225,TRUE,AND(M225))</f>
        <v>0</v>
      </c>
      <c r="J225">
        <f>COUNTBLANK(Metadata!B225)=COLUMNS(Metadata!B225)</f>
        <v>0</v>
      </c>
      <c r="K225">
        <v>0</v>
      </c>
      <c r="M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</row>
    <row r="226" spans="1:13">
      <c r="A226" s="3">
        <f>IF(B226=" "," ",HYPERLINK(CONCATENATE("#metadata!",ADDRESS(INDEX($H$2:$H$1001,MATCH(ROWS($F$2:F226),$F$2:$F$1001,0),0),2)),INDEX($K$2:$K$1001,MATCH(ROWS($F$2:F226),$F$2:$F$1001,0),0)))</f>
        <v>0</v>
      </c>
      <c r="B226" s="4">
        <f>IF(OR(INDEX($G$2:$G$1001,MATCH(ROWS($F$2:F226),$F$2:$F$1001,0),1)&gt;=100000,INDEX($M$1005,1,MATCH(COLUMNS($M$1006:M1006),$M$1006,0))&gt;=100000), " ",IF(INDEX($M$2:$M$1001,MATCH(ROWS($F$2:F226),$F$2:$F$1001,0),MATCH(COLUMNS($M$1006:M1006),$M$1006,0)), HYPERLINK("#",""), HYPERLINK(CONCATENATE("#Metadata!", ADDRESS(INDEX($H$2:$H$1001,MATCH(ROWS($F$2:F226),$F$2:$F$1001,0),0), INDEX($M$1004,1,MATCH(COLUMNS($M$1006:M1006),$M$1006,0)))),"Fix")))</f>
        <v>0</v>
      </c>
      <c r="F226">
        <v>0</v>
      </c>
      <c r="G226">
        <v>0</v>
      </c>
      <c r="H226">
        <v>0</v>
      </c>
      <c r="I226">
        <f>IF(J226,TRUE,AND(M226))</f>
        <v>0</v>
      </c>
      <c r="J226">
        <f>COUNTBLANK(Metadata!B226)=COLUMNS(Metadata!B226)</f>
        <v>0</v>
      </c>
      <c r="K226">
        <v>0</v>
      </c>
      <c r="M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</row>
    <row r="227" spans="1:13">
      <c r="A227" s="3">
        <f>IF(B227=" "," ",HYPERLINK(CONCATENATE("#metadata!",ADDRESS(INDEX($H$2:$H$1001,MATCH(ROWS($F$2:F227),$F$2:$F$1001,0),0),2)),INDEX($K$2:$K$1001,MATCH(ROWS($F$2:F227),$F$2:$F$1001,0),0)))</f>
        <v>0</v>
      </c>
      <c r="B227" s="4">
        <f>IF(OR(INDEX($G$2:$G$1001,MATCH(ROWS($F$2:F227),$F$2:$F$1001,0),1)&gt;=100000,INDEX($M$1005,1,MATCH(COLUMNS($M$1006:M1006),$M$1006,0))&gt;=100000), " ",IF(INDEX($M$2:$M$1001,MATCH(ROWS($F$2:F227),$F$2:$F$1001,0),MATCH(COLUMNS($M$1006:M1006),$M$1006,0)), HYPERLINK("#",""), HYPERLINK(CONCATENATE("#Metadata!", ADDRESS(INDEX($H$2:$H$1001,MATCH(ROWS($F$2:F227),$F$2:$F$1001,0),0), INDEX($M$1004,1,MATCH(COLUMNS($M$1006:M1006),$M$1006,0)))),"Fix")))</f>
        <v>0</v>
      </c>
      <c r="F227">
        <v>0</v>
      </c>
      <c r="G227">
        <v>0</v>
      </c>
      <c r="H227">
        <v>0</v>
      </c>
      <c r="I227">
        <f>IF(J227,TRUE,AND(M227))</f>
        <v>0</v>
      </c>
      <c r="J227">
        <f>COUNTBLANK(Metadata!B227)=COLUMNS(Metadata!B227)</f>
        <v>0</v>
      </c>
      <c r="K227">
        <v>0</v>
      </c>
      <c r="M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</row>
    <row r="228" spans="1:13">
      <c r="A228" s="3">
        <f>IF(B228=" "," ",HYPERLINK(CONCATENATE("#metadata!",ADDRESS(INDEX($H$2:$H$1001,MATCH(ROWS($F$2:F228),$F$2:$F$1001,0),0),2)),INDEX($K$2:$K$1001,MATCH(ROWS($F$2:F228),$F$2:$F$1001,0),0)))</f>
        <v>0</v>
      </c>
      <c r="B228" s="4">
        <f>IF(OR(INDEX($G$2:$G$1001,MATCH(ROWS($F$2:F228),$F$2:$F$1001,0),1)&gt;=100000,INDEX($M$1005,1,MATCH(COLUMNS($M$1006:M1006),$M$1006,0))&gt;=100000), " ",IF(INDEX($M$2:$M$1001,MATCH(ROWS($F$2:F228),$F$2:$F$1001,0),MATCH(COLUMNS($M$1006:M1006),$M$1006,0)), HYPERLINK("#",""), HYPERLINK(CONCATENATE("#Metadata!", ADDRESS(INDEX($H$2:$H$1001,MATCH(ROWS($F$2:F228),$F$2:$F$1001,0),0), INDEX($M$1004,1,MATCH(COLUMNS($M$1006:M1006),$M$1006,0)))),"Fix")))</f>
        <v>0</v>
      </c>
      <c r="F228">
        <v>0</v>
      </c>
      <c r="G228">
        <v>0</v>
      </c>
      <c r="H228">
        <v>0</v>
      </c>
      <c r="I228">
        <f>IF(J228,TRUE,AND(M228))</f>
        <v>0</v>
      </c>
      <c r="J228">
        <f>COUNTBLANK(Metadata!B228)=COLUMNS(Metadata!B228)</f>
        <v>0</v>
      </c>
      <c r="K228">
        <v>0</v>
      </c>
      <c r="M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</row>
    <row r="229" spans="1:13">
      <c r="A229" s="3">
        <f>IF(B229=" "," ",HYPERLINK(CONCATENATE("#metadata!",ADDRESS(INDEX($H$2:$H$1001,MATCH(ROWS($F$2:F229),$F$2:$F$1001,0),0),2)),INDEX($K$2:$K$1001,MATCH(ROWS($F$2:F229),$F$2:$F$1001,0),0)))</f>
        <v>0</v>
      </c>
      <c r="B229" s="4">
        <f>IF(OR(INDEX($G$2:$G$1001,MATCH(ROWS($F$2:F229),$F$2:$F$1001,0),1)&gt;=100000,INDEX($M$1005,1,MATCH(COLUMNS($M$1006:M1006),$M$1006,0))&gt;=100000), " ",IF(INDEX($M$2:$M$1001,MATCH(ROWS($F$2:F229),$F$2:$F$1001,0),MATCH(COLUMNS($M$1006:M1006),$M$1006,0)), HYPERLINK("#",""), HYPERLINK(CONCATENATE("#Metadata!", ADDRESS(INDEX($H$2:$H$1001,MATCH(ROWS($F$2:F229),$F$2:$F$1001,0),0), INDEX($M$1004,1,MATCH(COLUMNS($M$1006:M1006),$M$1006,0)))),"Fix")))</f>
        <v>0</v>
      </c>
      <c r="F229">
        <v>0</v>
      </c>
      <c r="G229">
        <v>0</v>
      </c>
      <c r="H229">
        <v>0</v>
      </c>
      <c r="I229">
        <f>IF(J229,TRUE,AND(M229))</f>
        <v>0</v>
      </c>
      <c r="J229">
        <f>COUNTBLANK(Metadata!B229)=COLUMNS(Metadata!B229)</f>
        <v>0</v>
      </c>
      <c r="K229">
        <v>0</v>
      </c>
      <c r="M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</row>
    <row r="230" spans="1:13">
      <c r="A230" s="3">
        <f>IF(B230=" "," ",HYPERLINK(CONCATENATE("#metadata!",ADDRESS(INDEX($H$2:$H$1001,MATCH(ROWS($F$2:F230),$F$2:$F$1001,0),0),2)),INDEX($K$2:$K$1001,MATCH(ROWS($F$2:F230),$F$2:$F$1001,0),0)))</f>
        <v>0</v>
      </c>
      <c r="B230" s="4">
        <f>IF(OR(INDEX($G$2:$G$1001,MATCH(ROWS($F$2:F230),$F$2:$F$1001,0),1)&gt;=100000,INDEX($M$1005,1,MATCH(COLUMNS($M$1006:M1006),$M$1006,0))&gt;=100000), " ",IF(INDEX($M$2:$M$1001,MATCH(ROWS($F$2:F230),$F$2:$F$1001,0),MATCH(COLUMNS($M$1006:M1006),$M$1006,0)), HYPERLINK("#",""), HYPERLINK(CONCATENATE("#Metadata!", ADDRESS(INDEX($H$2:$H$1001,MATCH(ROWS($F$2:F230),$F$2:$F$1001,0),0), INDEX($M$1004,1,MATCH(COLUMNS($M$1006:M1006),$M$1006,0)))),"Fix")))</f>
        <v>0</v>
      </c>
      <c r="F230">
        <v>0</v>
      </c>
      <c r="G230">
        <v>0</v>
      </c>
      <c r="H230">
        <v>0</v>
      </c>
      <c r="I230">
        <f>IF(J230,TRUE,AND(M230))</f>
        <v>0</v>
      </c>
      <c r="J230">
        <f>COUNTBLANK(Metadata!B230)=COLUMNS(Metadata!B230)</f>
        <v>0</v>
      </c>
      <c r="K230">
        <v>0</v>
      </c>
      <c r="M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</row>
    <row r="231" spans="1:13">
      <c r="A231" s="3">
        <f>IF(B231=" "," ",HYPERLINK(CONCATENATE("#metadata!",ADDRESS(INDEX($H$2:$H$1001,MATCH(ROWS($F$2:F231),$F$2:$F$1001,0),0),2)),INDEX($K$2:$K$1001,MATCH(ROWS($F$2:F231),$F$2:$F$1001,0),0)))</f>
        <v>0</v>
      </c>
      <c r="B231" s="4">
        <f>IF(OR(INDEX($G$2:$G$1001,MATCH(ROWS($F$2:F231),$F$2:$F$1001,0),1)&gt;=100000,INDEX($M$1005,1,MATCH(COLUMNS($M$1006:M1006),$M$1006,0))&gt;=100000), " ",IF(INDEX($M$2:$M$1001,MATCH(ROWS($F$2:F231),$F$2:$F$1001,0),MATCH(COLUMNS($M$1006:M1006),$M$1006,0)), HYPERLINK("#",""), HYPERLINK(CONCATENATE("#Metadata!", ADDRESS(INDEX($H$2:$H$1001,MATCH(ROWS($F$2:F231),$F$2:$F$1001,0),0), INDEX($M$1004,1,MATCH(COLUMNS($M$1006:M1006),$M$1006,0)))),"Fix")))</f>
        <v>0</v>
      </c>
      <c r="F231">
        <v>0</v>
      </c>
      <c r="G231">
        <v>0</v>
      </c>
      <c r="H231">
        <v>0</v>
      </c>
      <c r="I231">
        <f>IF(J231,TRUE,AND(M231))</f>
        <v>0</v>
      </c>
      <c r="J231">
        <f>COUNTBLANK(Metadata!B231)=COLUMNS(Metadata!B231)</f>
        <v>0</v>
      </c>
      <c r="K231">
        <v>0</v>
      </c>
      <c r="M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</row>
    <row r="232" spans="1:13">
      <c r="A232" s="3">
        <f>IF(B232=" "," ",HYPERLINK(CONCATENATE("#metadata!",ADDRESS(INDEX($H$2:$H$1001,MATCH(ROWS($F$2:F232),$F$2:$F$1001,0),0),2)),INDEX($K$2:$K$1001,MATCH(ROWS($F$2:F232),$F$2:$F$1001,0),0)))</f>
        <v>0</v>
      </c>
      <c r="B232" s="4">
        <f>IF(OR(INDEX($G$2:$G$1001,MATCH(ROWS($F$2:F232),$F$2:$F$1001,0),1)&gt;=100000,INDEX($M$1005,1,MATCH(COLUMNS($M$1006:M1006),$M$1006,0))&gt;=100000), " ",IF(INDEX($M$2:$M$1001,MATCH(ROWS($F$2:F232),$F$2:$F$1001,0),MATCH(COLUMNS($M$1006:M1006),$M$1006,0)), HYPERLINK("#",""), HYPERLINK(CONCATENATE("#Metadata!", ADDRESS(INDEX($H$2:$H$1001,MATCH(ROWS($F$2:F232),$F$2:$F$1001,0),0), INDEX($M$1004,1,MATCH(COLUMNS($M$1006:M1006),$M$1006,0)))),"Fix")))</f>
        <v>0</v>
      </c>
      <c r="F232">
        <v>0</v>
      </c>
      <c r="G232">
        <v>0</v>
      </c>
      <c r="H232">
        <v>0</v>
      </c>
      <c r="I232">
        <f>IF(J232,TRUE,AND(M232))</f>
        <v>0</v>
      </c>
      <c r="J232">
        <f>COUNTBLANK(Metadata!B232)=COLUMNS(Metadata!B232)</f>
        <v>0</v>
      </c>
      <c r="K232">
        <v>0</v>
      </c>
      <c r="M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</row>
    <row r="233" spans="1:13">
      <c r="A233" s="3">
        <f>IF(B233=" "," ",HYPERLINK(CONCATENATE("#metadata!",ADDRESS(INDEX($H$2:$H$1001,MATCH(ROWS($F$2:F233),$F$2:$F$1001,0),0),2)),INDEX($K$2:$K$1001,MATCH(ROWS($F$2:F233),$F$2:$F$1001,0),0)))</f>
        <v>0</v>
      </c>
      <c r="B233" s="4">
        <f>IF(OR(INDEX($G$2:$G$1001,MATCH(ROWS($F$2:F233),$F$2:$F$1001,0),1)&gt;=100000,INDEX($M$1005,1,MATCH(COLUMNS($M$1006:M1006),$M$1006,0))&gt;=100000), " ",IF(INDEX($M$2:$M$1001,MATCH(ROWS($F$2:F233),$F$2:$F$1001,0),MATCH(COLUMNS($M$1006:M1006),$M$1006,0)), HYPERLINK("#",""), HYPERLINK(CONCATENATE("#Metadata!", ADDRESS(INDEX($H$2:$H$1001,MATCH(ROWS($F$2:F233),$F$2:$F$1001,0),0), INDEX($M$1004,1,MATCH(COLUMNS($M$1006:M1006),$M$1006,0)))),"Fix")))</f>
        <v>0</v>
      </c>
      <c r="F233">
        <v>0</v>
      </c>
      <c r="G233">
        <v>0</v>
      </c>
      <c r="H233">
        <v>0</v>
      </c>
      <c r="I233">
        <f>IF(J233,TRUE,AND(M233))</f>
        <v>0</v>
      </c>
      <c r="J233">
        <f>COUNTBLANK(Metadata!B233)=COLUMNS(Metadata!B233)</f>
        <v>0</v>
      </c>
      <c r="K233">
        <v>0</v>
      </c>
      <c r="M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</row>
    <row r="234" spans="1:13">
      <c r="A234" s="3">
        <f>IF(B234=" "," ",HYPERLINK(CONCATENATE("#metadata!",ADDRESS(INDEX($H$2:$H$1001,MATCH(ROWS($F$2:F234),$F$2:$F$1001,0),0),2)),INDEX($K$2:$K$1001,MATCH(ROWS($F$2:F234),$F$2:$F$1001,0),0)))</f>
        <v>0</v>
      </c>
      <c r="B234" s="4">
        <f>IF(OR(INDEX($G$2:$G$1001,MATCH(ROWS($F$2:F234),$F$2:$F$1001,0),1)&gt;=100000,INDEX($M$1005,1,MATCH(COLUMNS($M$1006:M1006),$M$1006,0))&gt;=100000), " ",IF(INDEX($M$2:$M$1001,MATCH(ROWS($F$2:F234),$F$2:$F$1001,0),MATCH(COLUMNS($M$1006:M1006),$M$1006,0)), HYPERLINK("#",""), HYPERLINK(CONCATENATE("#Metadata!", ADDRESS(INDEX($H$2:$H$1001,MATCH(ROWS($F$2:F234),$F$2:$F$1001,0),0), INDEX($M$1004,1,MATCH(COLUMNS($M$1006:M1006),$M$1006,0)))),"Fix")))</f>
        <v>0</v>
      </c>
      <c r="F234">
        <v>0</v>
      </c>
      <c r="G234">
        <v>0</v>
      </c>
      <c r="H234">
        <v>0</v>
      </c>
      <c r="I234">
        <f>IF(J234,TRUE,AND(M234))</f>
        <v>0</v>
      </c>
      <c r="J234">
        <f>COUNTBLANK(Metadata!B234)=COLUMNS(Metadata!B234)</f>
        <v>0</v>
      </c>
      <c r="K234">
        <v>0</v>
      </c>
      <c r="M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</row>
    <row r="235" spans="1:13">
      <c r="A235" s="3">
        <f>IF(B235=" "," ",HYPERLINK(CONCATENATE("#metadata!",ADDRESS(INDEX($H$2:$H$1001,MATCH(ROWS($F$2:F235),$F$2:$F$1001,0),0),2)),INDEX($K$2:$K$1001,MATCH(ROWS($F$2:F235),$F$2:$F$1001,0),0)))</f>
        <v>0</v>
      </c>
      <c r="B235" s="4">
        <f>IF(OR(INDEX($G$2:$G$1001,MATCH(ROWS($F$2:F235),$F$2:$F$1001,0),1)&gt;=100000,INDEX($M$1005,1,MATCH(COLUMNS($M$1006:M1006),$M$1006,0))&gt;=100000), " ",IF(INDEX($M$2:$M$1001,MATCH(ROWS($F$2:F235),$F$2:$F$1001,0),MATCH(COLUMNS($M$1006:M1006),$M$1006,0)), HYPERLINK("#",""), HYPERLINK(CONCATENATE("#Metadata!", ADDRESS(INDEX($H$2:$H$1001,MATCH(ROWS($F$2:F235),$F$2:$F$1001,0),0), INDEX($M$1004,1,MATCH(COLUMNS($M$1006:M1006),$M$1006,0)))),"Fix")))</f>
        <v>0</v>
      </c>
      <c r="F235">
        <v>0</v>
      </c>
      <c r="G235">
        <v>0</v>
      </c>
      <c r="H235">
        <v>0</v>
      </c>
      <c r="I235">
        <f>IF(J235,TRUE,AND(M235))</f>
        <v>0</v>
      </c>
      <c r="J235">
        <f>COUNTBLANK(Metadata!B235)=COLUMNS(Metadata!B235)</f>
        <v>0</v>
      </c>
      <c r="K235">
        <v>0</v>
      </c>
      <c r="M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</row>
    <row r="236" spans="1:13">
      <c r="A236" s="3">
        <f>IF(B236=" "," ",HYPERLINK(CONCATENATE("#metadata!",ADDRESS(INDEX($H$2:$H$1001,MATCH(ROWS($F$2:F236),$F$2:$F$1001,0),0),2)),INDEX($K$2:$K$1001,MATCH(ROWS($F$2:F236),$F$2:$F$1001,0),0)))</f>
        <v>0</v>
      </c>
      <c r="B236" s="4">
        <f>IF(OR(INDEX($G$2:$G$1001,MATCH(ROWS($F$2:F236),$F$2:$F$1001,0),1)&gt;=100000,INDEX($M$1005,1,MATCH(COLUMNS($M$1006:M1006),$M$1006,0))&gt;=100000), " ",IF(INDEX($M$2:$M$1001,MATCH(ROWS($F$2:F236),$F$2:$F$1001,0),MATCH(COLUMNS($M$1006:M1006),$M$1006,0)), HYPERLINK("#",""), HYPERLINK(CONCATENATE("#Metadata!", ADDRESS(INDEX($H$2:$H$1001,MATCH(ROWS($F$2:F236),$F$2:$F$1001,0),0), INDEX($M$1004,1,MATCH(COLUMNS($M$1006:M1006),$M$1006,0)))),"Fix")))</f>
        <v>0</v>
      </c>
      <c r="F236">
        <v>0</v>
      </c>
      <c r="G236">
        <v>0</v>
      </c>
      <c r="H236">
        <v>0</v>
      </c>
      <c r="I236">
        <f>IF(J236,TRUE,AND(M236))</f>
        <v>0</v>
      </c>
      <c r="J236">
        <f>COUNTBLANK(Metadata!B236)=COLUMNS(Metadata!B236)</f>
        <v>0</v>
      </c>
      <c r="K236">
        <v>0</v>
      </c>
      <c r="M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</row>
    <row r="237" spans="1:13">
      <c r="A237" s="3">
        <f>IF(B237=" "," ",HYPERLINK(CONCATENATE("#metadata!",ADDRESS(INDEX($H$2:$H$1001,MATCH(ROWS($F$2:F237),$F$2:$F$1001,0),0),2)),INDEX($K$2:$K$1001,MATCH(ROWS($F$2:F237),$F$2:$F$1001,0),0)))</f>
        <v>0</v>
      </c>
      <c r="B237" s="4">
        <f>IF(OR(INDEX($G$2:$G$1001,MATCH(ROWS($F$2:F237),$F$2:$F$1001,0),1)&gt;=100000,INDEX($M$1005,1,MATCH(COLUMNS($M$1006:M1006),$M$1006,0))&gt;=100000), " ",IF(INDEX($M$2:$M$1001,MATCH(ROWS($F$2:F237),$F$2:$F$1001,0),MATCH(COLUMNS($M$1006:M1006),$M$1006,0)), HYPERLINK("#",""), HYPERLINK(CONCATENATE("#Metadata!", ADDRESS(INDEX($H$2:$H$1001,MATCH(ROWS($F$2:F237),$F$2:$F$1001,0),0), INDEX($M$1004,1,MATCH(COLUMNS($M$1006:M1006),$M$1006,0)))),"Fix")))</f>
        <v>0</v>
      </c>
      <c r="F237">
        <v>0</v>
      </c>
      <c r="G237">
        <v>0</v>
      </c>
      <c r="H237">
        <v>0</v>
      </c>
      <c r="I237">
        <f>IF(J237,TRUE,AND(M237))</f>
        <v>0</v>
      </c>
      <c r="J237">
        <f>COUNTBLANK(Metadata!B237)=COLUMNS(Metadata!B237)</f>
        <v>0</v>
      </c>
      <c r="K237">
        <v>0</v>
      </c>
      <c r="M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</row>
    <row r="238" spans="1:13">
      <c r="A238" s="3">
        <f>IF(B238=" "," ",HYPERLINK(CONCATENATE("#metadata!",ADDRESS(INDEX($H$2:$H$1001,MATCH(ROWS($F$2:F238),$F$2:$F$1001,0),0),2)),INDEX($K$2:$K$1001,MATCH(ROWS($F$2:F238),$F$2:$F$1001,0),0)))</f>
        <v>0</v>
      </c>
      <c r="B238" s="4">
        <f>IF(OR(INDEX($G$2:$G$1001,MATCH(ROWS($F$2:F238),$F$2:$F$1001,0),1)&gt;=100000,INDEX($M$1005,1,MATCH(COLUMNS($M$1006:M1006),$M$1006,0))&gt;=100000), " ",IF(INDEX($M$2:$M$1001,MATCH(ROWS($F$2:F238),$F$2:$F$1001,0),MATCH(COLUMNS($M$1006:M1006),$M$1006,0)), HYPERLINK("#",""), HYPERLINK(CONCATENATE("#Metadata!", ADDRESS(INDEX($H$2:$H$1001,MATCH(ROWS($F$2:F238),$F$2:$F$1001,0),0), INDEX($M$1004,1,MATCH(COLUMNS($M$1006:M1006),$M$1006,0)))),"Fix")))</f>
        <v>0</v>
      </c>
      <c r="F238">
        <v>0</v>
      </c>
      <c r="G238">
        <v>0</v>
      </c>
      <c r="H238">
        <v>0</v>
      </c>
      <c r="I238">
        <f>IF(J238,TRUE,AND(M238))</f>
        <v>0</v>
      </c>
      <c r="J238">
        <f>COUNTBLANK(Metadata!B238)=COLUMNS(Metadata!B238)</f>
        <v>0</v>
      </c>
      <c r="K238">
        <v>0</v>
      </c>
      <c r="M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</row>
    <row r="239" spans="1:13">
      <c r="A239" s="3">
        <f>IF(B239=" "," ",HYPERLINK(CONCATENATE("#metadata!",ADDRESS(INDEX($H$2:$H$1001,MATCH(ROWS($F$2:F239),$F$2:$F$1001,0),0),2)),INDEX($K$2:$K$1001,MATCH(ROWS($F$2:F239),$F$2:$F$1001,0),0)))</f>
        <v>0</v>
      </c>
      <c r="B239" s="4">
        <f>IF(OR(INDEX($G$2:$G$1001,MATCH(ROWS($F$2:F239),$F$2:$F$1001,0),1)&gt;=100000,INDEX($M$1005,1,MATCH(COLUMNS($M$1006:M1006),$M$1006,0))&gt;=100000), " ",IF(INDEX($M$2:$M$1001,MATCH(ROWS($F$2:F239),$F$2:$F$1001,0),MATCH(COLUMNS($M$1006:M1006),$M$1006,0)), HYPERLINK("#",""), HYPERLINK(CONCATENATE("#Metadata!", ADDRESS(INDEX($H$2:$H$1001,MATCH(ROWS($F$2:F239),$F$2:$F$1001,0),0), INDEX($M$1004,1,MATCH(COLUMNS($M$1006:M1006),$M$1006,0)))),"Fix")))</f>
        <v>0</v>
      </c>
      <c r="F239">
        <v>0</v>
      </c>
      <c r="G239">
        <v>0</v>
      </c>
      <c r="H239">
        <v>0</v>
      </c>
      <c r="I239">
        <f>IF(J239,TRUE,AND(M239))</f>
        <v>0</v>
      </c>
      <c r="J239">
        <f>COUNTBLANK(Metadata!B239)=COLUMNS(Metadata!B239)</f>
        <v>0</v>
      </c>
      <c r="K239">
        <v>0</v>
      </c>
      <c r="M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</row>
    <row r="240" spans="1:13">
      <c r="A240" s="3">
        <f>IF(B240=" "," ",HYPERLINK(CONCATENATE("#metadata!",ADDRESS(INDEX($H$2:$H$1001,MATCH(ROWS($F$2:F240),$F$2:$F$1001,0),0),2)),INDEX($K$2:$K$1001,MATCH(ROWS($F$2:F240),$F$2:$F$1001,0),0)))</f>
        <v>0</v>
      </c>
      <c r="B240" s="4">
        <f>IF(OR(INDEX($G$2:$G$1001,MATCH(ROWS($F$2:F240),$F$2:$F$1001,0),1)&gt;=100000,INDEX($M$1005,1,MATCH(COLUMNS($M$1006:M1006),$M$1006,0))&gt;=100000), " ",IF(INDEX($M$2:$M$1001,MATCH(ROWS($F$2:F240),$F$2:$F$1001,0),MATCH(COLUMNS($M$1006:M1006),$M$1006,0)), HYPERLINK("#",""), HYPERLINK(CONCATENATE("#Metadata!", ADDRESS(INDEX($H$2:$H$1001,MATCH(ROWS($F$2:F240),$F$2:$F$1001,0),0), INDEX($M$1004,1,MATCH(COLUMNS($M$1006:M1006),$M$1006,0)))),"Fix")))</f>
        <v>0</v>
      </c>
      <c r="F240">
        <v>0</v>
      </c>
      <c r="G240">
        <v>0</v>
      </c>
      <c r="H240">
        <v>0</v>
      </c>
      <c r="I240">
        <f>IF(J240,TRUE,AND(M240))</f>
        <v>0</v>
      </c>
      <c r="J240">
        <f>COUNTBLANK(Metadata!B240)=COLUMNS(Metadata!B240)</f>
        <v>0</v>
      </c>
      <c r="K240">
        <v>0</v>
      </c>
      <c r="M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</row>
    <row r="241" spans="1:13">
      <c r="A241" s="3">
        <f>IF(B241=" "," ",HYPERLINK(CONCATENATE("#metadata!",ADDRESS(INDEX($H$2:$H$1001,MATCH(ROWS($F$2:F241),$F$2:$F$1001,0),0),2)),INDEX($K$2:$K$1001,MATCH(ROWS($F$2:F241),$F$2:$F$1001,0),0)))</f>
        <v>0</v>
      </c>
      <c r="B241" s="4">
        <f>IF(OR(INDEX($G$2:$G$1001,MATCH(ROWS($F$2:F241),$F$2:$F$1001,0),1)&gt;=100000,INDEX($M$1005,1,MATCH(COLUMNS($M$1006:M1006),$M$1006,0))&gt;=100000), " ",IF(INDEX($M$2:$M$1001,MATCH(ROWS($F$2:F241),$F$2:$F$1001,0),MATCH(COLUMNS($M$1006:M1006),$M$1006,0)), HYPERLINK("#",""), HYPERLINK(CONCATENATE("#Metadata!", ADDRESS(INDEX($H$2:$H$1001,MATCH(ROWS($F$2:F241),$F$2:$F$1001,0),0), INDEX($M$1004,1,MATCH(COLUMNS($M$1006:M1006),$M$1006,0)))),"Fix")))</f>
        <v>0</v>
      </c>
      <c r="F241">
        <v>0</v>
      </c>
      <c r="G241">
        <v>0</v>
      </c>
      <c r="H241">
        <v>0</v>
      </c>
      <c r="I241">
        <f>IF(J241,TRUE,AND(M241))</f>
        <v>0</v>
      </c>
      <c r="J241">
        <f>COUNTBLANK(Metadata!B241)=COLUMNS(Metadata!B241)</f>
        <v>0</v>
      </c>
      <c r="K241">
        <v>0</v>
      </c>
      <c r="M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</row>
    <row r="242" spans="1:13">
      <c r="A242" s="3">
        <f>IF(B242=" "," ",HYPERLINK(CONCATENATE("#metadata!",ADDRESS(INDEX($H$2:$H$1001,MATCH(ROWS($F$2:F242),$F$2:$F$1001,0),0),2)),INDEX($K$2:$K$1001,MATCH(ROWS($F$2:F242),$F$2:$F$1001,0),0)))</f>
        <v>0</v>
      </c>
      <c r="B242" s="4">
        <f>IF(OR(INDEX($G$2:$G$1001,MATCH(ROWS($F$2:F242),$F$2:$F$1001,0),1)&gt;=100000,INDEX($M$1005,1,MATCH(COLUMNS($M$1006:M1006),$M$1006,0))&gt;=100000), " ",IF(INDEX($M$2:$M$1001,MATCH(ROWS($F$2:F242),$F$2:$F$1001,0),MATCH(COLUMNS($M$1006:M1006),$M$1006,0)), HYPERLINK("#",""), HYPERLINK(CONCATENATE("#Metadata!", ADDRESS(INDEX($H$2:$H$1001,MATCH(ROWS($F$2:F242),$F$2:$F$1001,0),0), INDEX($M$1004,1,MATCH(COLUMNS($M$1006:M1006),$M$1006,0)))),"Fix")))</f>
        <v>0</v>
      </c>
      <c r="F242">
        <v>0</v>
      </c>
      <c r="G242">
        <v>0</v>
      </c>
      <c r="H242">
        <v>0</v>
      </c>
      <c r="I242">
        <f>IF(J242,TRUE,AND(M242))</f>
        <v>0</v>
      </c>
      <c r="J242">
        <f>COUNTBLANK(Metadata!B242)=COLUMNS(Metadata!B242)</f>
        <v>0</v>
      </c>
      <c r="K242">
        <v>0</v>
      </c>
      <c r="M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</row>
    <row r="243" spans="1:13">
      <c r="A243" s="3">
        <f>IF(B243=" "," ",HYPERLINK(CONCATENATE("#metadata!",ADDRESS(INDEX($H$2:$H$1001,MATCH(ROWS($F$2:F243),$F$2:$F$1001,0),0),2)),INDEX($K$2:$K$1001,MATCH(ROWS($F$2:F243),$F$2:$F$1001,0),0)))</f>
        <v>0</v>
      </c>
      <c r="B243" s="4">
        <f>IF(OR(INDEX($G$2:$G$1001,MATCH(ROWS($F$2:F243),$F$2:$F$1001,0),1)&gt;=100000,INDEX($M$1005,1,MATCH(COLUMNS($M$1006:M1006),$M$1006,0))&gt;=100000), " ",IF(INDEX($M$2:$M$1001,MATCH(ROWS($F$2:F243),$F$2:$F$1001,0),MATCH(COLUMNS($M$1006:M1006),$M$1006,0)), HYPERLINK("#",""), HYPERLINK(CONCATENATE("#Metadata!", ADDRESS(INDEX($H$2:$H$1001,MATCH(ROWS($F$2:F243),$F$2:$F$1001,0),0), INDEX($M$1004,1,MATCH(COLUMNS($M$1006:M1006),$M$1006,0)))),"Fix")))</f>
        <v>0</v>
      </c>
      <c r="F243">
        <v>0</v>
      </c>
      <c r="G243">
        <v>0</v>
      </c>
      <c r="H243">
        <v>0</v>
      </c>
      <c r="I243">
        <f>IF(J243,TRUE,AND(M243))</f>
        <v>0</v>
      </c>
      <c r="J243">
        <f>COUNTBLANK(Metadata!B243)=COLUMNS(Metadata!B243)</f>
        <v>0</v>
      </c>
      <c r="K243">
        <v>0</v>
      </c>
      <c r="M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</row>
    <row r="244" spans="1:13">
      <c r="A244" s="3">
        <f>IF(B244=" "," ",HYPERLINK(CONCATENATE("#metadata!",ADDRESS(INDEX($H$2:$H$1001,MATCH(ROWS($F$2:F244),$F$2:$F$1001,0),0),2)),INDEX($K$2:$K$1001,MATCH(ROWS($F$2:F244),$F$2:$F$1001,0),0)))</f>
        <v>0</v>
      </c>
      <c r="B244" s="4">
        <f>IF(OR(INDEX($G$2:$G$1001,MATCH(ROWS($F$2:F244),$F$2:$F$1001,0),1)&gt;=100000,INDEX($M$1005,1,MATCH(COLUMNS($M$1006:M1006),$M$1006,0))&gt;=100000), " ",IF(INDEX($M$2:$M$1001,MATCH(ROWS($F$2:F244),$F$2:$F$1001,0),MATCH(COLUMNS($M$1006:M1006),$M$1006,0)), HYPERLINK("#",""), HYPERLINK(CONCATENATE("#Metadata!", ADDRESS(INDEX($H$2:$H$1001,MATCH(ROWS($F$2:F244),$F$2:$F$1001,0),0), INDEX($M$1004,1,MATCH(COLUMNS($M$1006:M1006),$M$1006,0)))),"Fix")))</f>
        <v>0</v>
      </c>
      <c r="F244">
        <v>0</v>
      </c>
      <c r="G244">
        <v>0</v>
      </c>
      <c r="H244">
        <v>0</v>
      </c>
      <c r="I244">
        <f>IF(J244,TRUE,AND(M244))</f>
        <v>0</v>
      </c>
      <c r="J244">
        <f>COUNTBLANK(Metadata!B244)=COLUMNS(Metadata!B244)</f>
        <v>0</v>
      </c>
      <c r="K244">
        <v>0</v>
      </c>
      <c r="M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</row>
    <row r="245" spans="1:13">
      <c r="A245" s="3">
        <f>IF(B245=" "," ",HYPERLINK(CONCATENATE("#metadata!",ADDRESS(INDEX($H$2:$H$1001,MATCH(ROWS($F$2:F245),$F$2:$F$1001,0),0),2)),INDEX($K$2:$K$1001,MATCH(ROWS($F$2:F245),$F$2:$F$1001,0),0)))</f>
        <v>0</v>
      </c>
      <c r="B245" s="4">
        <f>IF(OR(INDEX($G$2:$G$1001,MATCH(ROWS($F$2:F245),$F$2:$F$1001,0),1)&gt;=100000,INDEX($M$1005,1,MATCH(COLUMNS($M$1006:M1006),$M$1006,0))&gt;=100000), " ",IF(INDEX($M$2:$M$1001,MATCH(ROWS($F$2:F245),$F$2:$F$1001,0),MATCH(COLUMNS($M$1006:M1006),$M$1006,0)), HYPERLINK("#",""), HYPERLINK(CONCATENATE("#Metadata!", ADDRESS(INDEX($H$2:$H$1001,MATCH(ROWS($F$2:F245),$F$2:$F$1001,0),0), INDEX($M$1004,1,MATCH(COLUMNS($M$1006:M1006),$M$1006,0)))),"Fix")))</f>
        <v>0</v>
      </c>
      <c r="F245">
        <v>0</v>
      </c>
      <c r="G245">
        <v>0</v>
      </c>
      <c r="H245">
        <v>0</v>
      </c>
      <c r="I245">
        <f>IF(J245,TRUE,AND(M245))</f>
        <v>0</v>
      </c>
      <c r="J245">
        <f>COUNTBLANK(Metadata!B245)=COLUMNS(Metadata!B245)</f>
        <v>0</v>
      </c>
      <c r="K245">
        <v>0</v>
      </c>
      <c r="M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</row>
    <row r="246" spans="1:13">
      <c r="A246" s="3">
        <f>IF(B246=" "," ",HYPERLINK(CONCATENATE("#metadata!",ADDRESS(INDEX($H$2:$H$1001,MATCH(ROWS($F$2:F246),$F$2:$F$1001,0),0),2)),INDEX($K$2:$K$1001,MATCH(ROWS($F$2:F246),$F$2:$F$1001,0),0)))</f>
        <v>0</v>
      </c>
      <c r="B246" s="4">
        <f>IF(OR(INDEX($G$2:$G$1001,MATCH(ROWS($F$2:F246),$F$2:$F$1001,0),1)&gt;=100000,INDEX($M$1005,1,MATCH(COLUMNS($M$1006:M1006),$M$1006,0))&gt;=100000), " ",IF(INDEX($M$2:$M$1001,MATCH(ROWS($F$2:F246),$F$2:$F$1001,0),MATCH(COLUMNS($M$1006:M1006),$M$1006,0)), HYPERLINK("#",""), HYPERLINK(CONCATENATE("#Metadata!", ADDRESS(INDEX($H$2:$H$1001,MATCH(ROWS($F$2:F246),$F$2:$F$1001,0),0), INDEX($M$1004,1,MATCH(COLUMNS($M$1006:M1006),$M$1006,0)))),"Fix")))</f>
        <v>0</v>
      </c>
      <c r="F246">
        <v>0</v>
      </c>
      <c r="G246">
        <v>0</v>
      </c>
      <c r="H246">
        <v>0</v>
      </c>
      <c r="I246">
        <f>IF(J246,TRUE,AND(M246))</f>
        <v>0</v>
      </c>
      <c r="J246">
        <f>COUNTBLANK(Metadata!B246)=COLUMNS(Metadata!B246)</f>
        <v>0</v>
      </c>
      <c r="K246">
        <v>0</v>
      </c>
      <c r="M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</row>
    <row r="247" spans="1:13">
      <c r="A247" s="3">
        <f>IF(B247=" "," ",HYPERLINK(CONCATENATE("#metadata!",ADDRESS(INDEX($H$2:$H$1001,MATCH(ROWS($F$2:F247),$F$2:$F$1001,0),0),2)),INDEX($K$2:$K$1001,MATCH(ROWS($F$2:F247),$F$2:$F$1001,0),0)))</f>
        <v>0</v>
      </c>
      <c r="B247" s="4">
        <f>IF(OR(INDEX($G$2:$G$1001,MATCH(ROWS($F$2:F247),$F$2:$F$1001,0),1)&gt;=100000,INDEX($M$1005,1,MATCH(COLUMNS($M$1006:M1006),$M$1006,0))&gt;=100000), " ",IF(INDEX($M$2:$M$1001,MATCH(ROWS($F$2:F247),$F$2:$F$1001,0),MATCH(COLUMNS($M$1006:M1006),$M$1006,0)), HYPERLINK("#",""), HYPERLINK(CONCATENATE("#Metadata!", ADDRESS(INDEX($H$2:$H$1001,MATCH(ROWS($F$2:F247),$F$2:$F$1001,0),0), INDEX($M$1004,1,MATCH(COLUMNS($M$1006:M1006),$M$1006,0)))),"Fix")))</f>
        <v>0</v>
      </c>
      <c r="F247">
        <v>0</v>
      </c>
      <c r="G247">
        <v>0</v>
      </c>
      <c r="H247">
        <v>0</v>
      </c>
      <c r="I247">
        <f>IF(J247,TRUE,AND(M247))</f>
        <v>0</v>
      </c>
      <c r="J247">
        <f>COUNTBLANK(Metadata!B247)=COLUMNS(Metadata!B247)</f>
        <v>0</v>
      </c>
      <c r="K247">
        <v>0</v>
      </c>
      <c r="M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</row>
    <row r="248" spans="1:13">
      <c r="A248" s="3">
        <f>IF(B248=" "," ",HYPERLINK(CONCATENATE("#metadata!",ADDRESS(INDEX($H$2:$H$1001,MATCH(ROWS($F$2:F248),$F$2:$F$1001,0),0),2)),INDEX($K$2:$K$1001,MATCH(ROWS($F$2:F248),$F$2:$F$1001,0),0)))</f>
        <v>0</v>
      </c>
      <c r="B248" s="4">
        <f>IF(OR(INDEX($G$2:$G$1001,MATCH(ROWS($F$2:F248),$F$2:$F$1001,0),1)&gt;=100000,INDEX($M$1005,1,MATCH(COLUMNS($M$1006:M1006),$M$1006,0))&gt;=100000), " ",IF(INDEX($M$2:$M$1001,MATCH(ROWS($F$2:F248),$F$2:$F$1001,0),MATCH(COLUMNS($M$1006:M1006),$M$1006,0)), HYPERLINK("#",""), HYPERLINK(CONCATENATE("#Metadata!", ADDRESS(INDEX($H$2:$H$1001,MATCH(ROWS($F$2:F248),$F$2:$F$1001,0),0), INDEX($M$1004,1,MATCH(COLUMNS($M$1006:M1006),$M$1006,0)))),"Fix")))</f>
        <v>0</v>
      </c>
      <c r="F248">
        <v>0</v>
      </c>
      <c r="G248">
        <v>0</v>
      </c>
      <c r="H248">
        <v>0</v>
      </c>
      <c r="I248">
        <f>IF(J248,TRUE,AND(M248))</f>
        <v>0</v>
      </c>
      <c r="J248">
        <f>COUNTBLANK(Metadata!B248)=COLUMNS(Metadata!B248)</f>
        <v>0</v>
      </c>
      <c r="K248">
        <v>0</v>
      </c>
      <c r="M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</row>
    <row r="249" spans="1:13">
      <c r="A249" s="3">
        <f>IF(B249=" "," ",HYPERLINK(CONCATENATE("#metadata!",ADDRESS(INDEX($H$2:$H$1001,MATCH(ROWS($F$2:F249),$F$2:$F$1001,0),0),2)),INDEX($K$2:$K$1001,MATCH(ROWS($F$2:F249),$F$2:$F$1001,0),0)))</f>
        <v>0</v>
      </c>
      <c r="B249" s="4">
        <f>IF(OR(INDEX($G$2:$G$1001,MATCH(ROWS($F$2:F249),$F$2:$F$1001,0),1)&gt;=100000,INDEX($M$1005,1,MATCH(COLUMNS($M$1006:M1006),$M$1006,0))&gt;=100000), " ",IF(INDEX($M$2:$M$1001,MATCH(ROWS($F$2:F249),$F$2:$F$1001,0),MATCH(COLUMNS($M$1006:M1006),$M$1006,0)), HYPERLINK("#",""), HYPERLINK(CONCATENATE("#Metadata!", ADDRESS(INDEX($H$2:$H$1001,MATCH(ROWS($F$2:F249),$F$2:$F$1001,0),0), INDEX($M$1004,1,MATCH(COLUMNS($M$1006:M1006),$M$1006,0)))),"Fix")))</f>
        <v>0</v>
      </c>
      <c r="F249">
        <v>0</v>
      </c>
      <c r="G249">
        <v>0</v>
      </c>
      <c r="H249">
        <v>0</v>
      </c>
      <c r="I249">
        <f>IF(J249,TRUE,AND(M249))</f>
        <v>0</v>
      </c>
      <c r="J249">
        <f>COUNTBLANK(Metadata!B249)=COLUMNS(Metadata!B249)</f>
        <v>0</v>
      </c>
      <c r="K249">
        <v>0</v>
      </c>
      <c r="M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</row>
    <row r="250" spans="1:13">
      <c r="A250" s="3">
        <f>IF(B250=" "," ",HYPERLINK(CONCATENATE("#metadata!",ADDRESS(INDEX($H$2:$H$1001,MATCH(ROWS($F$2:F250),$F$2:$F$1001,0),0),2)),INDEX($K$2:$K$1001,MATCH(ROWS($F$2:F250),$F$2:$F$1001,0),0)))</f>
        <v>0</v>
      </c>
      <c r="B250" s="4">
        <f>IF(OR(INDEX($G$2:$G$1001,MATCH(ROWS($F$2:F250),$F$2:$F$1001,0),1)&gt;=100000,INDEX($M$1005,1,MATCH(COLUMNS($M$1006:M1006),$M$1006,0))&gt;=100000), " ",IF(INDEX($M$2:$M$1001,MATCH(ROWS($F$2:F250),$F$2:$F$1001,0),MATCH(COLUMNS($M$1006:M1006),$M$1006,0)), HYPERLINK("#",""), HYPERLINK(CONCATENATE("#Metadata!", ADDRESS(INDEX($H$2:$H$1001,MATCH(ROWS($F$2:F250),$F$2:$F$1001,0),0), INDEX($M$1004,1,MATCH(COLUMNS($M$1006:M1006),$M$1006,0)))),"Fix")))</f>
        <v>0</v>
      </c>
      <c r="F250">
        <v>0</v>
      </c>
      <c r="G250">
        <v>0</v>
      </c>
      <c r="H250">
        <v>0</v>
      </c>
      <c r="I250">
        <f>IF(J250,TRUE,AND(M250))</f>
        <v>0</v>
      </c>
      <c r="J250">
        <f>COUNTBLANK(Metadata!B250)=COLUMNS(Metadata!B250)</f>
        <v>0</v>
      </c>
      <c r="K250">
        <v>0</v>
      </c>
      <c r="M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</row>
    <row r="251" spans="1:13">
      <c r="A251" s="3">
        <f>IF(B251=" "," ",HYPERLINK(CONCATENATE("#metadata!",ADDRESS(INDEX($H$2:$H$1001,MATCH(ROWS($F$2:F251),$F$2:$F$1001,0),0),2)),INDEX($K$2:$K$1001,MATCH(ROWS($F$2:F251),$F$2:$F$1001,0),0)))</f>
        <v>0</v>
      </c>
      <c r="B251" s="4">
        <f>IF(OR(INDEX($G$2:$G$1001,MATCH(ROWS($F$2:F251),$F$2:$F$1001,0),1)&gt;=100000,INDEX($M$1005,1,MATCH(COLUMNS($M$1006:M1006),$M$1006,0))&gt;=100000), " ",IF(INDEX($M$2:$M$1001,MATCH(ROWS($F$2:F251),$F$2:$F$1001,0),MATCH(COLUMNS($M$1006:M1006),$M$1006,0)), HYPERLINK("#",""), HYPERLINK(CONCATENATE("#Metadata!", ADDRESS(INDEX($H$2:$H$1001,MATCH(ROWS($F$2:F251),$F$2:$F$1001,0),0), INDEX($M$1004,1,MATCH(COLUMNS($M$1006:M1006),$M$1006,0)))),"Fix")))</f>
        <v>0</v>
      </c>
      <c r="F251">
        <v>0</v>
      </c>
      <c r="G251">
        <v>0</v>
      </c>
      <c r="H251">
        <v>0</v>
      </c>
      <c r="I251">
        <f>IF(J251,TRUE,AND(M251))</f>
        <v>0</v>
      </c>
      <c r="J251">
        <f>COUNTBLANK(Metadata!B251)=COLUMNS(Metadata!B251)</f>
        <v>0</v>
      </c>
      <c r="K251">
        <v>0</v>
      </c>
      <c r="M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</row>
    <row r="252" spans="1:13">
      <c r="A252" s="3">
        <f>IF(B252=" "," ",HYPERLINK(CONCATENATE("#metadata!",ADDRESS(INDEX($H$2:$H$1001,MATCH(ROWS($F$2:F252),$F$2:$F$1001,0),0),2)),INDEX($K$2:$K$1001,MATCH(ROWS($F$2:F252),$F$2:$F$1001,0),0)))</f>
        <v>0</v>
      </c>
      <c r="B252" s="4">
        <f>IF(OR(INDEX($G$2:$G$1001,MATCH(ROWS($F$2:F252),$F$2:$F$1001,0),1)&gt;=100000,INDEX($M$1005,1,MATCH(COLUMNS($M$1006:M1006),$M$1006,0))&gt;=100000), " ",IF(INDEX($M$2:$M$1001,MATCH(ROWS($F$2:F252),$F$2:$F$1001,0),MATCH(COLUMNS($M$1006:M1006),$M$1006,0)), HYPERLINK("#",""), HYPERLINK(CONCATENATE("#Metadata!", ADDRESS(INDEX($H$2:$H$1001,MATCH(ROWS($F$2:F252),$F$2:$F$1001,0),0), INDEX($M$1004,1,MATCH(COLUMNS($M$1006:M1006),$M$1006,0)))),"Fix")))</f>
        <v>0</v>
      </c>
      <c r="F252">
        <v>0</v>
      </c>
      <c r="G252">
        <v>0</v>
      </c>
      <c r="H252">
        <v>0</v>
      </c>
      <c r="I252">
        <f>IF(J252,TRUE,AND(M252))</f>
        <v>0</v>
      </c>
      <c r="J252">
        <f>COUNTBLANK(Metadata!B252)=COLUMNS(Metadata!B252)</f>
        <v>0</v>
      </c>
      <c r="K252">
        <v>0</v>
      </c>
      <c r="M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</row>
    <row r="253" spans="1:13">
      <c r="A253" s="3">
        <f>IF(B253=" "," ",HYPERLINK(CONCATENATE("#metadata!",ADDRESS(INDEX($H$2:$H$1001,MATCH(ROWS($F$2:F253),$F$2:$F$1001,0),0),2)),INDEX($K$2:$K$1001,MATCH(ROWS($F$2:F253),$F$2:$F$1001,0),0)))</f>
        <v>0</v>
      </c>
      <c r="B253" s="4">
        <f>IF(OR(INDEX($G$2:$G$1001,MATCH(ROWS($F$2:F253),$F$2:$F$1001,0),1)&gt;=100000,INDEX($M$1005,1,MATCH(COLUMNS($M$1006:M1006),$M$1006,0))&gt;=100000), " ",IF(INDEX($M$2:$M$1001,MATCH(ROWS($F$2:F253),$F$2:$F$1001,0),MATCH(COLUMNS($M$1006:M1006),$M$1006,0)), HYPERLINK("#",""), HYPERLINK(CONCATENATE("#Metadata!", ADDRESS(INDEX($H$2:$H$1001,MATCH(ROWS($F$2:F253),$F$2:$F$1001,0),0), INDEX($M$1004,1,MATCH(COLUMNS($M$1006:M1006),$M$1006,0)))),"Fix")))</f>
        <v>0</v>
      </c>
      <c r="F253">
        <v>0</v>
      </c>
      <c r="G253">
        <v>0</v>
      </c>
      <c r="H253">
        <v>0</v>
      </c>
      <c r="I253">
        <f>IF(J253,TRUE,AND(M253))</f>
        <v>0</v>
      </c>
      <c r="J253">
        <f>COUNTBLANK(Metadata!B253)=COLUMNS(Metadata!B253)</f>
        <v>0</v>
      </c>
      <c r="K253">
        <v>0</v>
      </c>
      <c r="M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</row>
    <row r="254" spans="1:13">
      <c r="A254" s="3">
        <f>IF(B254=" "," ",HYPERLINK(CONCATENATE("#metadata!",ADDRESS(INDEX($H$2:$H$1001,MATCH(ROWS($F$2:F254),$F$2:$F$1001,0),0),2)),INDEX($K$2:$K$1001,MATCH(ROWS($F$2:F254),$F$2:$F$1001,0),0)))</f>
        <v>0</v>
      </c>
      <c r="B254" s="4">
        <f>IF(OR(INDEX($G$2:$G$1001,MATCH(ROWS($F$2:F254),$F$2:$F$1001,0),1)&gt;=100000,INDEX($M$1005,1,MATCH(COLUMNS($M$1006:M1006),$M$1006,0))&gt;=100000), " ",IF(INDEX($M$2:$M$1001,MATCH(ROWS($F$2:F254),$F$2:$F$1001,0),MATCH(COLUMNS($M$1006:M1006),$M$1006,0)), HYPERLINK("#",""), HYPERLINK(CONCATENATE("#Metadata!", ADDRESS(INDEX($H$2:$H$1001,MATCH(ROWS($F$2:F254),$F$2:$F$1001,0),0), INDEX($M$1004,1,MATCH(COLUMNS($M$1006:M1006),$M$1006,0)))),"Fix")))</f>
        <v>0</v>
      </c>
      <c r="F254">
        <v>0</v>
      </c>
      <c r="G254">
        <v>0</v>
      </c>
      <c r="H254">
        <v>0</v>
      </c>
      <c r="I254">
        <f>IF(J254,TRUE,AND(M254))</f>
        <v>0</v>
      </c>
      <c r="J254">
        <f>COUNTBLANK(Metadata!B254)=COLUMNS(Metadata!B254)</f>
        <v>0</v>
      </c>
      <c r="K254">
        <v>0</v>
      </c>
      <c r="M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</row>
    <row r="255" spans="1:13">
      <c r="A255" s="3">
        <f>IF(B255=" "," ",HYPERLINK(CONCATENATE("#metadata!",ADDRESS(INDEX($H$2:$H$1001,MATCH(ROWS($F$2:F255),$F$2:$F$1001,0),0),2)),INDEX($K$2:$K$1001,MATCH(ROWS($F$2:F255),$F$2:$F$1001,0),0)))</f>
        <v>0</v>
      </c>
      <c r="B255" s="4">
        <f>IF(OR(INDEX($G$2:$G$1001,MATCH(ROWS($F$2:F255),$F$2:$F$1001,0),1)&gt;=100000,INDEX($M$1005,1,MATCH(COLUMNS($M$1006:M1006),$M$1006,0))&gt;=100000), " ",IF(INDEX($M$2:$M$1001,MATCH(ROWS($F$2:F255),$F$2:$F$1001,0),MATCH(COLUMNS($M$1006:M1006),$M$1006,0)), HYPERLINK("#",""), HYPERLINK(CONCATENATE("#Metadata!", ADDRESS(INDEX($H$2:$H$1001,MATCH(ROWS($F$2:F255),$F$2:$F$1001,0),0), INDEX($M$1004,1,MATCH(COLUMNS($M$1006:M1006),$M$1006,0)))),"Fix")))</f>
        <v>0</v>
      </c>
      <c r="F255">
        <v>0</v>
      </c>
      <c r="G255">
        <v>0</v>
      </c>
      <c r="H255">
        <v>0</v>
      </c>
      <c r="I255">
        <f>IF(J255,TRUE,AND(M255))</f>
        <v>0</v>
      </c>
      <c r="J255">
        <f>COUNTBLANK(Metadata!B255)=COLUMNS(Metadata!B255)</f>
        <v>0</v>
      </c>
      <c r="K255">
        <v>0</v>
      </c>
      <c r="M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</row>
    <row r="256" spans="1:13">
      <c r="A256" s="3">
        <f>IF(B256=" "," ",HYPERLINK(CONCATENATE("#metadata!",ADDRESS(INDEX($H$2:$H$1001,MATCH(ROWS($F$2:F256),$F$2:$F$1001,0),0),2)),INDEX($K$2:$K$1001,MATCH(ROWS($F$2:F256),$F$2:$F$1001,0),0)))</f>
        <v>0</v>
      </c>
      <c r="B256" s="4">
        <f>IF(OR(INDEX($G$2:$G$1001,MATCH(ROWS($F$2:F256),$F$2:$F$1001,0),1)&gt;=100000,INDEX($M$1005,1,MATCH(COLUMNS($M$1006:M1006),$M$1006,0))&gt;=100000), " ",IF(INDEX($M$2:$M$1001,MATCH(ROWS($F$2:F256),$F$2:$F$1001,0),MATCH(COLUMNS($M$1006:M1006),$M$1006,0)), HYPERLINK("#",""), HYPERLINK(CONCATENATE("#Metadata!", ADDRESS(INDEX($H$2:$H$1001,MATCH(ROWS($F$2:F256),$F$2:$F$1001,0),0), INDEX($M$1004,1,MATCH(COLUMNS($M$1006:M1006),$M$1006,0)))),"Fix")))</f>
        <v>0</v>
      </c>
      <c r="F256">
        <v>0</v>
      </c>
      <c r="G256">
        <v>0</v>
      </c>
      <c r="H256">
        <v>0</v>
      </c>
      <c r="I256">
        <f>IF(J256,TRUE,AND(M256))</f>
        <v>0</v>
      </c>
      <c r="J256">
        <f>COUNTBLANK(Metadata!B256)=COLUMNS(Metadata!B256)</f>
        <v>0</v>
      </c>
      <c r="K256">
        <v>0</v>
      </c>
      <c r="M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</row>
    <row r="257" spans="1:13">
      <c r="A257" s="3">
        <f>IF(B257=" "," ",HYPERLINK(CONCATENATE("#metadata!",ADDRESS(INDEX($H$2:$H$1001,MATCH(ROWS($F$2:F257),$F$2:$F$1001,0),0),2)),INDEX($K$2:$K$1001,MATCH(ROWS($F$2:F257),$F$2:$F$1001,0),0)))</f>
        <v>0</v>
      </c>
      <c r="B257" s="4">
        <f>IF(OR(INDEX($G$2:$G$1001,MATCH(ROWS($F$2:F257),$F$2:$F$1001,0),1)&gt;=100000,INDEX($M$1005,1,MATCH(COLUMNS($M$1006:M1006),$M$1006,0))&gt;=100000), " ",IF(INDEX($M$2:$M$1001,MATCH(ROWS($F$2:F257),$F$2:$F$1001,0),MATCH(COLUMNS($M$1006:M1006),$M$1006,0)), HYPERLINK("#",""), HYPERLINK(CONCATENATE("#Metadata!", ADDRESS(INDEX($H$2:$H$1001,MATCH(ROWS($F$2:F257),$F$2:$F$1001,0),0), INDEX($M$1004,1,MATCH(COLUMNS($M$1006:M1006),$M$1006,0)))),"Fix")))</f>
        <v>0</v>
      </c>
      <c r="F257">
        <v>0</v>
      </c>
      <c r="G257">
        <v>0</v>
      </c>
      <c r="H257">
        <v>0</v>
      </c>
      <c r="I257">
        <f>IF(J257,TRUE,AND(M257))</f>
        <v>0</v>
      </c>
      <c r="J257">
        <f>COUNTBLANK(Metadata!B257)=COLUMNS(Metadata!B257)</f>
        <v>0</v>
      </c>
      <c r="K257">
        <v>0</v>
      </c>
      <c r="M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</row>
    <row r="258" spans="1:13">
      <c r="A258" s="3">
        <f>IF(B258=" "," ",HYPERLINK(CONCATENATE("#metadata!",ADDRESS(INDEX($H$2:$H$1001,MATCH(ROWS($F$2:F258),$F$2:$F$1001,0),0),2)),INDEX($K$2:$K$1001,MATCH(ROWS($F$2:F258),$F$2:$F$1001,0),0)))</f>
        <v>0</v>
      </c>
      <c r="B258" s="4">
        <f>IF(OR(INDEX($G$2:$G$1001,MATCH(ROWS($F$2:F258),$F$2:$F$1001,0),1)&gt;=100000,INDEX($M$1005,1,MATCH(COLUMNS($M$1006:M1006),$M$1006,0))&gt;=100000), " ",IF(INDEX($M$2:$M$1001,MATCH(ROWS($F$2:F258),$F$2:$F$1001,0),MATCH(COLUMNS($M$1006:M1006),$M$1006,0)), HYPERLINK("#",""), HYPERLINK(CONCATENATE("#Metadata!", ADDRESS(INDEX($H$2:$H$1001,MATCH(ROWS($F$2:F258),$F$2:$F$1001,0),0), INDEX($M$1004,1,MATCH(COLUMNS($M$1006:M1006),$M$1006,0)))),"Fix")))</f>
        <v>0</v>
      </c>
      <c r="F258">
        <v>0</v>
      </c>
      <c r="G258">
        <v>0</v>
      </c>
      <c r="H258">
        <v>0</v>
      </c>
      <c r="I258">
        <f>IF(J258,TRUE,AND(M258))</f>
        <v>0</v>
      </c>
      <c r="J258">
        <f>COUNTBLANK(Metadata!B258)=COLUMNS(Metadata!B258)</f>
        <v>0</v>
      </c>
      <c r="K258">
        <v>0</v>
      </c>
      <c r="M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</row>
    <row r="259" spans="1:13">
      <c r="A259" s="3">
        <f>IF(B259=" "," ",HYPERLINK(CONCATENATE("#metadata!",ADDRESS(INDEX($H$2:$H$1001,MATCH(ROWS($F$2:F259),$F$2:$F$1001,0),0),2)),INDEX($K$2:$K$1001,MATCH(ROWS($F$2:F259),$F$2:$F$1001,0),0)))</f>
        <v>0</v>
      </c>
      <c r="B259" s="4">
        <f>IF(OR(INDEX($G$2:$G$1001,MATCH(ROWS($F$2:F259),$F$2:$F$1001,0),1)&gt;=100000,INDEX($M$1005,1,MATCH(COLUMNS($M$1006:M1006),$M$1006,0))&gt;=100000), " ",IF(INDEX($M$2:$M$1001,MATCH(ROWS($F$2:F259),$F$2:$F$1001,0),MATCH(COLUMNS($M$1006:M1006),$M$1006,0)), HYPERLINK("#",""), HYPERLINK(CONCATENATE("#Metadata!", ADDRESS(INDEX($H$2:$H$1001,MATCH(ROWS($F$2:F259),$F$2:$F$1001,0),0), INDEX($M$1004,1,MATCH(COLUMNS($M$1006:M1006),$M$1006,0)))),"Fix")))</f>
        <v>0</v>
      </c>
      <c r="F259">
        <v>0</v>
      </c>
      <c r="G259">
        <v>0</v>
      </c>
      <c r="H259">
        <v>0</v>
      </c>
      <c r="I259">
        <f>IF(J259,TRUE,AND(M259))</f>
        <v>0</v>
      </c>
      <c r="J259">
        <f>COUNTBLANK(Metadata!B259)=COLUMNS(Metadata!B259)</f>
        <v>0</v>
      </c>
      <c r="K259">
        <v>0</v>
      </c>
      <c r="M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</row>
    <row r="260" spans="1:13">
      <c r="A260" s="3">
        <f>IF(B260=" "," ",HYPERLINK(CONCATENATE("#metadata!",ADDRESS(INDEX($H$2:$H$1001,MATCH(ROWS($F$2:F260),$F$2:$F$1001,0),0),2)),INDEX($K$2:$K$1001,MATCH(ROWS($F$2:F260),$F$2:$F$1001,0),0)))</f>
        <v>0</v>
      </c>
      <c r="B260" s="4">
        <f>IF(OR(INDEX($G$2:$G$1001,MATCH(ROWS($F$2:F260),$F$2:$F$1001,0),1)&gt;=100000,INDEX($M$1005,1,MATCH(COLUMNS($M$1006:M1006),$M$1006,0))&gt;=100000), " ",IF(INDEX($M$2:$M$1001,MATCH(ROWS($F$2:F260),$F$2:$F$1001,0),MATCH(COLUMNS($M$1006:M1006),$M$1006,0)), HYPERLINK("#",""), HYPERLINK(CONCATENATE("#Metadata!", ADDRESS(INDEX($H$2:$H$1001,MATCH(ROWS($F$2:F260),$F$2:$F$1001,0),0), INDEX($M$1004,1,MATCH(COLUMNS($M$1006:M1006),$M$1006,0)))),"Fix")))</f>
        <v>0</v>
      </c>
      <c r="F260">
        <v>0</v>
      </c>
      <c r="G260">
        <v>0</v>
      </c>
      <c r="H260">
        <v>0</v>
      </c>
      <c r="I260">
        <f>IF(J260,TRUE,AND(M260))</f>
        <v>0</v>
      </c>
      <c r="J260">
        <f>COUNTBLANK(Metadata!B260)=COLUMNS(Metadata!B260)</f>
        <v>0</v>
      </c>
      <c r="K260">
        <v>0</v>
      </c>
      <c r="M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</row>
    <row r="261" spans="1:13">
      <c r="A261" s="3">
        <f>IF(B261=" "," ",HYPERLINK(CONCATENATE("#metadata!",ADDRESS(INDEX($H$2:$H$1001,MATCH(ROWS($F$2:F261),$F$2:$F$1001,0),0),2)),INDEX($K$2:$K$1001,MATCH(ROWS($F$2:F261),$F$2:$F$1001,0),0)))</f>
        <v>0</v>
      </c>
      <c r="B261" s="4">
        <f>IF(OR(INDEX($G$2:$G$1001,MATCH(ROWS($F$2:F261),$F$2:$F$1001,0),1)&gt;=100000,INDEX($M$1005,1,MATCH(COLUMNS($M$1006:M1006),$M$1006,0))&gt;=100000), " ",IF(INDEX($M$2:$M$1001,MATCH(ROWS($F$2:F261),$F$2:$F$1001,0),MATCH(COLUMNS($M$1006:M1006),$M$1006,0)), HYPERLINK("#",""), HYPERLINK(CONCATENATE("#Metadata!", ADDRESS(INDEX($H$2:$H$1001,MATCH(ROWS($F$2:F261),$F$2:$F$1001,0),0), INDEX($M$1004,1,MATCH(COLUMNS($M$1006:M1006),$M$1006,0)))),"Fix")))</f>
        <v>0</v>
      </c>
      <c r="F261">
        <v>0</v>
      </c>
      <c r="G261">
        <v>0</v>
      </c>
      <c r="H261">
        <v>0</v>
      </c>
      <c r="I261">
        <f>IF(J261,TRUE,AND(M261))</f>
        <v>0</v>
      </c>
      <c r="J261">
        <f>COUNTBLANK(Metadata!B261)=COLUMNS(Metadata!B261)</f>
        <v>0</v>
      </c>
      <c r="K261">
        <v>0</v>
      </c>
      <c r="M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</row>
    <row r="262" spans="1:13">
      <c r="A262" s="3">
        <f>IF(B262=" "," ",HYPERLINK(CONCATENATE("#metadata!",ADDRESS(INDEX($H$2:$H$1001,MATCH(ROWS($F$2:F262),$F$2:$F$1001,0),0),2)),INDEX($K$2:$K$1001,MATCH(ROWS($F$2:F262),$F$2:$F$1001,0),0)))</f>
        <v>0</v>
      </c>
      <c r="B262" s="4">
        <f>IF(OR(INDEX($G$2:$G$1001,MATCH(ROWS($F$2:F262),$F$2:$F$1001,0),1)&gt;=100000,INDEX($M$1005,1,MATCH(COLUMNS($M$1006:M1006),$M$1006,0))&gt;=100000), " ",IF(INDEX($M$2:$M$1001,MATCH(ROWS($F$2:F262),$F$2:$F$1001,0),MATCH(COLUMNS($M$1006:M1006),$M$1006,0)), HYPERLINK("#",""), HYPERLINK(CONCATENATE("#Metadata!", ADDRESS(INDEX($H$2:$H$1001,MATCH(ROWS($F$2:F262),$F$2:$F$1001,0),0), INDEX($M$1004,1,MATCH(COLUMNS($M$1006:M1006),$M$1006,0)))),"Fix")))</f>
        <v>0</v>
      </c>
      <c r="F262">
        <v>0</v>
      </c>
      <c r="G262">
        <v>0</v>
      </c>
      <c r="H262">
        <v>0</v>
      </c>
      <c r="I262">
        <f>IF(J262,TRUE,AND(M262))</f>
        <v>0</v>
      </c>
      <c r="J262">
        <f>COUNTBLANK(Metadata!B262)=COLUMNS(Metadata!B262)</f>
        <v>0</v>
      </c>
      <c r="K262">
        <v>0</v>
      </c>
      <c r="M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</row>
    <row r="263" spans="1:13">
      <c r="A263" s="3">
        <f>IF(B263=" "," ",HYPERLINK(CONCATENATE("#metadata!",ADDRESS(INDEX($H$2:$H$1001,MATCH(ROWS($F$2:F263),$F$2:$F$1001,0),0),2)),INDEX($K$2:$K$1001,MATCH(ROWS($F$2:F263),$F$2:$F$1001,0),0)))</f>
        <v>0</v>
      </c>
      <c r="B263" s="4">
        <f>IF(OR(INDEX($G$2:$G$1001,MATCH(ROWS($F$2:F263),$F$2:$F$1001,0),1)&gt;=100000,INDEX($M$1005,1,MATCH(COLUMNS($M$1006:M1006),$M$1006,0))&gt;=100000), " ",IF(INDEX($M$2:$M$1001,MATCH(ROWS($F$2:F263),$F$2:$F$1001,0),MATCH(COLUMNS($M$1006:M1006),$M$1006,0)), HYPERLINK("#",""), HYPERLINK(CONCATENATE("#Metadata!", ADDRESS(INDEX($H$2:$H$1001,MATCH(ROWS($F$2:F263),$F$2:$F$1001,0),0), INDEX($M$1004,1,MATCH(COLUMNS($M$1006:M1006),$M$1006,0)))),"Fix")))</f>
        <v>0</v>
      </c>
      <c r="F263">
        <v>0</v>
      </c>
      <c r="G263">
        <v>0</v>
      </c>
      <c r="H263">
        <v>0</v>
      </c>
      <c r="I263">
        <f>IF(J263,TRUE,AND(M263))</f>
        <v>0</v>
      </c>
      <c r="J263">
        <f>COUNTBLANK(Metadata!B263)=COLUMNS(Metadata!B263)</f>
        <v>0</v>
      </c>
      <c r="K263">
        <v>0</v>
      </c>
      <c r="M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</row>
    <row r="264" spans="1:13">
      <c r="A264" s="3">
        <f>IF(B264=" "," ",HYPERLINK(CONCATENATE("#metadata!",ADDRESS(INDEX($H$2:$H$1001,MATCH(ROWS($F$2:F264),$F$2:$F$1001,0),0),2)),INDEX($K$2:$K$1001,MATCH(ROWS($F$2:F264),$F$2:$F$1001,0),0)))</f>
        <v>0</v>
      </c>
      <c r="B264" s="4">
        <f>IF(OR(INDEX($G$2:$G$1001,MATCH(ROWS($F$2:F264),$F$2:$F$1001,0),1)&gt;=100000,INDEX($M$1005,1,MATCH(COLUMNS($M$1006:M1006),$M$1006,0))&gt;=100000), " ",IF(INDEX($M$2:$M$1001,MATCH(ROWS($F$2:F264),$F$2:$F$1001,0),MATCH(COLUMNS($M$1006:M1006),$M$1006,0)), HYPERLINK("#",""), HYPERLINK(CONCATENATE("#Metadata!", ADDRESS(INDEX($H$2:$H$1001,MATCH(ROWS($F$2:F264),$F$2:$F$1001,0),0), INDEX($M$1004,1,MATCH(COLUMNS($M$1006:M1006),$M$1006,0)))),"Fix")))</f>
        <v>0</v>
      </c>
      <c r="F264">
        <v>0</v>
      </c>
      <c r="G264">
        <v>0</v>
      </c>
      <c r="H264">
        <v>0</v>
      </c>
      <c r="I264">
        <f>IF(J264,TRUE,AND(M264))</f>
        <v>0</v>
      </c>
      <c r="J264">
        <f>COUNTBLANK(Metadata!B264)=COLUMNS(Metadata!B264)</f>
        <v>0</v>
      </c>
      <c r="K264">
        <v>0</v>
      </c>
      <c r="M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</row>
    <row r="265" spans="1:13">
      <c r="A265" s="3">
        <f>IF(B265=" "," ",HYPERLINK(CONCATENATE("#metadata!",ADDRESS(INDEX($H$2:$H$1001,MATCH(ROWS($F$2:F265),$F$2:$F$1001,0),0),2)),INDEX($K$2:$K$1001,MATCH(ROWS($F$2:F265),$F$2:$F$1001,0),0)))</f>
        <v>0</v>
      </c>
      <c r="B265" s="4">
        <f>IF(OR(INDEX($G$2:$G$1001,MATCH(ROWS($F$2:F265),$F$2:$F$1001,0),1)&gt;=100000,INDEX($M$1005,1,MATCH(COLUMNS($M$1006:M1006),$M$1006,0))&gt;=100000), " ",IF(INDEX($M$2:$M$1001,MATCH(ROWS($F$2:F265),$F$2:$F$1001,0),MATCH(COLUMNS($M$1006:M1006),$M$1006,0)), HYPERLINK("#",""), HYPERLINK(CONCATENATE("#Metadata!", ADDRESS(INDEX($H$2:$H$1001,MATCH(ROWS($F$2:F265),$F$2:$F$1001,0),0), INDEX($M$1004,1,MATCH(COLUMNS($M$1006:M1006),$M$1006,0)))),"Fix")))</f>
        <v>0</v>
      </c>
      <c r="F265">
        <v>0</v>
      </c>
      <c r="G265">
        <v>0</v>
      </c>
      <c r="H265">
        <v>0</v>
      </c>
      <c r="I265">
        <f>IF(J265,TRUE,AND(M265))</f>
        <v>0</v>
      </c>
      <c r="J265">
        <f>COUNTBLANK(Metadata!B265)=COLUMNS(Metadata!B265)</f>
        <v>0</v>
      </c>
      <c r="K265">
        <v>0</v>
      </c>
      <c r="M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</row>
    <row r="266" spans="1:13">
      <c r="A266" s="3">
        <f>IF(B266=" "," ",HYPERLINK(CONCATENATE("#metadata!",ADDRESS(INDEX($H$2:$H$1001,MATCH(ROWS($F$2:F266),$F$2:$F$1001,0),0),2)),INDEX($K$2:$K$1001,MATCH(ROWS($F$2:F266),$F$2:$F$1001,0),0)))</f>
        <v>0</v>
      </c>
      <c r="B266" s="4">
        <f>IF(OR(INDEX($G$2:$G$1001,MATCH(ROWS($F$2:F266),$F$2:$F$1001,0),1)&gt;=100000,INDEX($M$1005,1,MATCH(COLUMNS($M$1006:M1006),$M$1006,0))&gt;=100000), " ",IF(INDEX($M$2:$M$1001,MATCH(ROWS($F$2:F266),$F$2:$F$1001,0),MATCH(COLUMNS($M$1006:M1006),$M$1006,0)), HYPERLINK("#",""), HYPERLINK(CONCATENATE("#Metadata!", ADDRESS(INDEX($H$2:$H$1001,MATCH(ROWS($F$2:F266),$F$2:$F$1001,0),0), INDEX($M$1004,1,MATCH(COLUMNS($M$1006:M1006),$M$1006,0)))),"Fix")))</f>
        <v>0</v>
      </c>
      <c r="F266">
        <v>0</v>
      </c>
      <c r="G266">
        <v>0</v>
      </c>
      <c r="H266">
        <v>0</v>
      </c>
      <c r="I266">
        <f>IF(J266,TRUE,AND(M266))</f>
        <v>0</v>
      </c>
      <c r="J266">
        <f>COUNTBLANK(Metadata!B266)=COLUMNS(Metadata!B266)</f>
        <v>0</v>
      </c>
      <c r="K266">
        <v>0</v>
      </c>
      <c r="M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</row>
    <row r="267" spans="1:13">
      <c r="A267" s="3">
        <f>IF(B267=" "," ",HYPERLINK(CONCATENATE("#metadata!",ADDRESS(INDEX($H$2:$H$1001,MATCH(ROWS($F$2:F267),$F$2:$F$1001,0),0),2)),INDEX($K$2:$K$1001,MATCH(ROWS($F$2:F267),$F$2:$F$1001,0),0)))</f>
        <v>0</v>
      </c>
      <c r="B267" s="4">
        <f>IF(OR(INDEX($G$2:$G$1001,MATCH(ROWS($F$2:F267),$F$2:$F$1001,0),1)&gt;=100000,INDEX($M$1005,1,MATCH(COLUMNS($M$1006:M1006),$M$1006,0))&gt;=100000), " ",IF(INDEX($M$2:$M$1001,MATCH(ROWS($F$2:F267),$F$2:$F$1001,0),MATCH(COLUMNS($M$1006:M1006),$M$1006,0)), HYPERLINK("#",""), HYPERLINK(CONCATENATE("#Metadata!", ADDRESS(INDEX($H$2:$H$1001,MATCH(ROWS($F$2:F267),$F$2:$F$1001,0),0), INDEX($M$1004,1,MATCH(COLUMNS($M$1006:M1006),$M$1006,0)))),"Fix")))</f>
        <v>0</v>
      </c>
      <c r="F267">
        <v>0</v>
      </c>
      <c r="G267">
        <v>0</v>
      </c>
      <c r="H267">
        <v>0</v>
      </c>
      <c r="I267">
        <f>IF(J267,TRUE,AND(M267))</f>
        <v>0</v>
      </c>
      <c r="J267">
        <f>COUNTBLANK(Metadata!B267)=COLUMNS(Metadata!B267)</f>
        <v>0</v>
      </c>
      <c r="K267">
        <v>0</v>
      </c>
      <c r="M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</row>
    <row r="268" spans="1:13">
      <c r="A268" s="3">
        <f>IF(B268=" "," ",HYPERLINK(CONCATENATE("#metadata!",ADDRESS(INDEX($H$2:$H$1001,MATCH(ROWS($F$2:F268),$F$2:$F$1001,0),0),2)),INDEX($K$2:$K$1001,MATCH(ROWS($F$2:F268),$F$2:$F$1001,0),0)))</f>
        <v>0</v>
      </c>
      <c r="B268" s="4">
        <f>IF(OR(INDEX($G$2:$G$1001,MATCH(ROWS($F$2:F268),$F$2:$F$1001,0),1)&gt;=100000,INDEX($M$1005,1,MATCH(COLUMNS($M$1006:M1006),$M$1006,0))&gt;=100000), " ",IF(INDEX($M$2:$M$1001,MATCH(ROWS($F$2:F268),$F$2:$F$1001,0),MATCH(COLUMNS($M$1006:M1006),$M$1006,0)), HYPERLINK("#",""), HYPERLINK(CONCATENATE("#Metadata!", ADDRESS(INDEX($H$2:$H$1001,MATCH(ROWS($F$2:F268),$F$2:$F$1001,0),0), INDEX($M$1004,1,MATCH(COLUMNS($M$1006:M1006),$M$1006,0)))),"Fix")))</f>
        <v>0</v>
      </c>
      <c r="F268">
        <v>0</v>
      </c>
      <c r="G268">
        <v>0</v>
      </c>
      <c r="H268">
        <v>0</v>
      </c>
      <c r="I268">
        <f>IF(J268,TRUE,AND(M268))</f>
        <v>0</v>
      </c>
      <c r="J268">
        <f>COUNTBLANK(Metadata!B268)=COLUMNS(Metadata!B268)</f>
        <v>0</v>
      </c>
      <c r="K268">
        <v>0</v>
      </c>
      <c r="M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</row>
    <row r="269" spans="1:13">
      <c r="A269" s="3">
        <f>IF(B269=" "," ",HYPERLINK(CONCATENATE("#metadata!",ADDRESS(INDEX($H$2:$H$1001,MATCH(ROWS($F$2:F269),$F$2:$F$1001,0),0),2)),INDEX($K$2:$K$1001,MATCH(ROWS($F$2:F269),$F$2:$F$1001,0),0)))</f>
        <v>0</v>
      </c>
      <c r="B269" s="4">
        <f>IF(OR(INDEX($G$2:$G$1001,MATCH(ROWS($F$2:F269),$F$2:$F$1001,0),1)&gt;=100000,INDEX($M$1005,1,MATCH(COLUMNS($M$1006:M1006),$M$1006,0))&gt;=100000), " ",IF(INDEX($M$2:$M$1001,MATCH(ROWS($F$2:F269),$F$2:$F$1001,0),MATCH(COLUMNS($M$1006:M1006),$M$1006,0)), HYPERLINK("#",""), HYPERLINK(CONCATENATE("#Metadata!", ADDRESS(INDEX($H$2:$H$1001,MATCH(ROWS($F$2:F269),$F$2:$F$1001,0),0), INDEX($M$1004,1,MATCH(COLUMNS($M$1006:M1006),$M$1006,0)))),"Fix")))</f>
        <v>0</v>
      </c>
      <c r="F269">
        <v>0</v>
      </c>
      <c r="G269">
        <v>0</v>
      </c>
      <c r="H269">
        <v>0</v>
      </c>
      <c r="I269">
        <f>IF(J269,TRUE,AND(M269))</f>
        <v>0</v>
      </c>
      <c r="J269">
        <f>COUNTBLANK(Metadata!B269)=COLUMNS(Metadata!B269)</f>
        <v>0</v>
      </c>
      <c r="K269">
        <v>0</v>
      </c>
      <c r="M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</row>
    <row r="270" spans="1:13">
      <c r="A270" s="3">
        <f>IF(B270=" "," ",HYPERLINK(CONCATENATE("#metadata!",ADDRESS(INDEX($H$2:$H$1001,MATCH(ROWS($F$2:F270),$F$2:$F$1001,0),0),2)),INDEX($K$2:$K$1001,MATCH(ROWS($F$2:F270),$F$2:$F$1001,0),0)))</f>
        <v>0</v>
      </c>
      <c r="B270" s="4">
        <f>IF(OR(INDEX($G$2:$G$1001,MATCH(ROWS($F$2:F270),$F$2:$F$1001,0),1)&gt;=100000,INDEX($M$1005,1,MATCH(COLUMNS($M$1006:M1006),$M$1006,0))&gt;=100000), " ",IF(INDEX($M$2:$M$1001,MATCH(ROWS($F$2:F270),$F$2:$F$1001,0),MATCH(COLUMNS($M$1006:M1006),$M$1006,0)), HYPERLINK("#",""), HYPERLINK(CONCATENATE("#Metadata!", ADDRESS(INDEX($H$2:$H$1001,MATCH(ROWS($F$2:F270),$F$2:$F$1001,0),0), INDEX($M$1004,1,MATCH(COLUMNS($M$1006:M1006),$M$1006,0)))),"Fix")))</f>
        <v>0</v>
      </c>
      <c r="F270">
        <v>0</v>
      </c>
      <c r="G270">
        <v>0</v>
      </c>
      <c r="H270">
        <v>0</v>
      </c>
      <c r="I270">
        <f>IF(J270,TRUE,AND(M270))</f>
        <v>0</v>
      </c>
      <c r="J270">
        <f>COUNTBLANK(Metadata!B270)=COLUMNS(Metadata!B270)</f>
        <v>0</v>
      </c>
      <c r="K270">
        <v>0</v>
      </c>
      <c r="M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</row>
    <row r="271" spans="1:13">
      <c r="A271" s="3">
        <f>IF(B271=" "," ",HYPERLINK(CONCATENATE("#metadata!",ADDRESS(INDEX($H$2:$H$1001,MATCH(ROWS($F$2:F271),$F$2:$F$1001,0),0),2)),INDEX($K$2:$K$1001,MATCH(ROWS($F$2:F271),$F$2:$F$1001,0),0)))</f>
        <v>0</v>
      </c>
      <c r="B271" s="4">
        <f>IF(OR(INDEX($G$2:$G$1001,MATCH(ROWS($F$2:F271),$F$2:$F$1001,0),1)&gt;=100000,INDEX($M$1005,1,MATCH(COLUMNS($M$1006:M1006),$M$1006,0))&gt;=100000), " ",IF(INDEX($M$2:$M$1001,MATCH(ROWS($F$2:F271),$F$2:$F$1001,0),MATCH(COLUMNS($M$1006:M1006),$M$1006,0)), HYPERLINK("#",""), HYPERLINK(CONCATENATE("#Metadata!", ADDRESS(INDEX($H$2:$H$1001,MATCH(ROWS($F$2:F271),$F$2:$F$1001,0),0), INDEX($M$1004,1,MATCH(COLUMNS($M$1006:M1006),$M$1006,0)))),"Fix")))</f>
        <v>0</v>
      </c>
      <c r="F271">
        <v>0</v>
      </c>
      <c r="G271">
        <v>0</v>
      </c>
      <c r="H271">
        <v>0</v>
      </c>
      <c r="I271">
        <f>IF(J271,TRUE,AND(M271))</f>
        <v>0</v>
      </c>
      <c r="J271">
        <f>COUNTBLANK(Metadata!B271)=COLUMNS(Metadata!B271)</f>
        <v>0</v>
      </c>
      <c r="K271">
        <v>0</v>
      </c>
      <c r="M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</row>
    <row r="272" spans="1:13">
      <c r="A272" s="3">
        <f>IF(B272=" "," ",HYPERLINK(CONCATENATE("#metadata!",ADDRESS(INDEX($H$2:$H$1001,MATCH(ROWS($F$2:F272),$F$2:$F$1001,0),0),2)),INDEX($K$2:$K$1001,MATCH(ROWS($F$2:F272),$F$2:$F$1001,0),0)))</f>
        <v>0</v>
      </c>
      <c r="B272" s="4">
        <f>IF(OR(INDEX($G$2:$G$1001,MATCH(ROWS($F$2:F272),$F$2:$F$1001,0),1)&gt;=100000,INDEX($M$1005,1,MATCH(COLUMNS($M$1006:M1006),$M$1006,0))&gt;=100000), " ",IF(INDEX($M$2:$M$1001,MATCH(ROWS($F$2:F272),$F$2:$F$1001,0),MATCH(COLUMNS($M$1006:M1006),$M$1006,0)), HYPERLINK("#",""), HYPERLINK(CONCATENATE("#Metadata!", ADDRESS(INDEX($H$2:$H$1001,MATCH(ROWS($F$2:F272),$F$2:$F$1001,0),0), INDEX($M$1004,1,MATCH(COLUMNS($M$1006:M1006),$M$1006,0)))),"Fix")))</f>
        <v>0</v>
      </c>
      <c r="F272">
        <v>0</v>
      </c>
      <c r="G272">
        <v>0</v>
      </c>
      <c r="H272">
        <v>0</v>
      </c>
      <c r="I272">
        <f>IF(J272,TRUE,AND(M272))</f>
        <v>0</v>
      </c>
      <c r="J272">
        <f>COUNTBLANK(Metadata!B272)=COLUMNS(Metadata!B272)</f>
        <v>0</v>
      </c>
      <c r="K272">
        <v>0</v>
      </c>
      <c r="M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</row>
    <row r="273" spans="1:13">
      <c r="A273" s="3">
        <f>IF(B273=" "," ",HYPERLINK(CONCATENATE("#metadata!",ADDRESS(INDEX($H$2:$H$1001,MATCH(ROWS($F$2:F273),$F$2:$F$1001,0),0),2)),INDEX($K$2:$K$1001,MATCH(ROWS($F$2:F273),$F$2:$F$1001,0),0)))</f>
        <v>0</v>
      </c>
      <c r="B273" s="4">
        <f>IF(OR(INDEX($G$2:$G$1001,MATCH(ROWS($F$2:F273),$F$2:$F$1001,0),1)&gt;=100000,INDEX($M$1005,1,MATCH(COLUMNS($M$1006:M1006),$M$1006,0))&gt;=100000), " ",IF(INDEX($M$2:$M$1001,MATCH(ROWS($F$2:F273),$F$2:$F$1001,0),MATCH(COLUMNS($M$1006:M1006),$M$1006,0)), HYPERLINK("#",""), HYPERLINK(CONCATENATE("#Metadata!", ADDRESS(INDEX($H$2:$H$1001,MATCH(ROWS($F$2:F273),$F$2:$F$1001,0),0), INDEX($M$1004,1,MATCH(COLUMNS($M$1006:M1006),$M$1006,0)))),"Fix")))</f>
        <v>0</v>
      </c>
      <c r="F273">
        <v>0</v>
      </c>
      <c r="G273">
        <v>0</v>
      </c>
      <c r="H273">
        <v>0</v>
      </c>
      <c r="I273">
        <f>IF(J273,TRUE,AND(M273))</f>
        <v>0</v>
      </c>
      <c r="J273">
        <f>COUNTBLANK(Metadata!B273)=COLUMNS(Metadata!B273)</f>
        <v>0</v>
      </c>
      <c r="K273">
        <v>0</v>
      </c>
      <c r="M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</row>
    <row r="274" spans="1:13">
      <c r="A274" s="3">
        <f>IF(B274=" "," ",HYPERLINK(CONCATENATE("#metadata!",ADDRESS(INDEX($H$2:$H$1001,MATCH(ROWS($F$2:F274),$F$2:$F$1001,0),0),2)),INDEX($K$2:$K$1001,MATCH(ROWS($F$2:F274),$F$2:$F$1001,0),0)))</f>
        <v>0</v>
      </c>
      <c r="B274" s="4">
        <f>IF(OR(INDEX($G$2:$G$1001,MATCH(ROWS($F$2:F274),$F$2:$F$1001,0),1)&gt;=100000,INDEX($M$1005,1,MATCH(COLUMNS($M$1006:M1006),$M$1006,0))&gt;=100000), " ",IF(INDEX($M$2:$M$1001,MATCH(ROWS($F$2:F274),$F$2:$F$1001,0),MATCH(COLUMNS($M$1006:M1006),$M$1006,0)), HYPERLINK("#",""), HYPERLINK(CONCATENATE("#Metadata!", ADDRESS(INDEX($H$2:$H$1001,MATCH(ROWS($F$2:F274),$F$2:$F$1001,0),0), INDEX($M$1004,1,MATCH(COLUMNS($M$1006:M1006),$M$1006,0)))),"Fix")))</f>
        <v>0</v>
      </c>
      <c r="F274">
        <v>0</v>
      </c>
      <c r="G274">
        <v>0</v>
      </c>
      <c r="H274">
        <v>0</v>
      </c>
      <c r="I274">
        <f>IF(J274,TRUE,AND(M274))</f>
        <v>0</v>
      </c>
      <c r="J274">
        <f>COUNTBLANK(Metadata!B274)=COLUMNS(Metadata!B274)</f>
        <v>0</v>
      </c>
      <c r="K274">
        <v>0</v>
      </c>
      <c r="M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</row>
    <row r="275" spans="1:13">
      <c r="A275" s="3">
        <f>IF(B275=" "," ",HYPERLINK(CONCATENATE("#metadata!",ADDRESS(INDEX($H$2:$H$1001,MATCH(ROWS($F$2:F275),$F$2:$F$1001,0),0),2)),INDEX($K$2:$K$1001,MATCH(ROWS($F$2:F275),$F$2:$F$1001,0),0)))</f>
        <v>0</v>
      </c>
      <c r="B275" s="4">
        <f>IF(OR(INDEX($G$2:$G$1001,MATCH(ROWS($F$2:F275),$F$2:$F$1001,0),1)&gt;=100000,INDEX($M$1005,1,MATCH(COLUMNS($M$1006:M1006),$M$1006,0))&gt;=100000), " ",IF(INDEX($M$2:$M$1001,MATCH(ROWS($F$2:F275),$F$2:$F$1001,0),MATCH(COLUMNS($M$1006:M1006),$M$1006,0)), HYPERLINK("#",""), HYPERLINK(CONCATENATE("#Metadata!", ADDRESS(INDEX($H$2:$H$1001,MATCH(ROWS($F$2:F275),$F$2:$F$1001,0),0), INDEX($M$1004,1,MATCH(COLUMNS($M$1006:M1006),$M$1006,0)))),"Fix")))</f>
        <v>0</v>
      </c>
      <c r="F275">
        <v>0</v>
      </c>
      <c r="G275">
        <v>0</v>
      </c>
      <c r="H275">
        <v>0</v>
      </c>
      <c r="I275">
        <f>IF(J275,TRUE,AND(M275))</f>
        <v>0</v>
      </c>
      <c r="J275">
        <f>COUNTBLANK(Metadata!B275)=COLUMNS(Metadata!B275)</f>
        <v>0</v>
      </c>
      <c r="K275">
        <v>0</v>
      </c>
      <c r="M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</row>
    <row r="276" spans="1:13">
      <c r="A276" s="3">
        <f>IF(B276=" "," ",HYPERLINK(CONCATENATE("#metadata!",ADDRESS(INDEX($H$2:$H$1001,MATCH(ROWS($F$2:F276),$F$2:$F$1001,0),0),2)),INDEX($K$2:$K$1001,MATCH(ROWS($F$2:F276),$F$2:$F$1001,0),0)))</f>
        <v>0</v>
      </c>
      <c r="B276" s="4">
        <f>IF(OR(INDEX($G$2:$G$1001,MATCH(ROWS($F$2:F276),$F$2:$F$1001,0),1)&gt;=100000,INDEX($M$1005,1,MATCH(COLUMNS($M$1006:M1006),$M$1006,0))&gt;=100000), " ",IF(INDEX($M$2:$M$1001,MATCH(ROWS($F$2:F276),$F$2:$F$1001,0),MATCH(COLUMNS($M$1006:M1006),$M$1006,0)), HYPERLINK("#",""), HYPERLINK(CONCATENATE("#Metadata!", ADDRESS(INDEX($H$2:$H$1001,MATCH(ROWS($F$2:F276),$F$2:$F$1001,0),0), INDEX($M$1004,1,MATCH(COLUMNS($M$1006:M1006),$M$1006,0)))),"Fix")))</f>
        <v>0</v>
      </c>
      <c r="F276">
        <v>0</v>
      </c>
      <c r="G276">
        <v>0</v>
      </c>
      <c r="H276">
        <v>0</v>
      </c>
      <c r="I276">
        <f>IF(J276,TRUE,AND(M276))</f>
        <v>0</v>
      </c>
      <c r="J276">
        <f>COUNTBLANK(Metadata!B276)=COLUMNS(Metadata!B276)</f>
        <v>0</v>
      </c>
      <c r="K276">
        <v>0</v>
      </c>
      <c r="M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</row>
    <row r="277" spans="1:13">
      <c r="A277" s="3">
        <f>IF(B277=" "," ",HYPERLINK(CONCATENATE("#metadata!",ADDRESS(INDEX($H$2:$H$1001,MATCH(ROWS($F$2:F277),$F$2:$F$1001,0),0),2)),INDEX($K$2:$K$1001,MATCH(ROWS($F$2:F277),$F$2:$F$1001,0),0)))</f>
        <v>0</v>
      </c>
      <c r="B277" s="4">
        <f>IF(OR(INDEX($G$2:$G$1001,MATCH(ROWS($F$2:F277),$F$2:$F$1001,0),1)&gt;=100000,INDEX($M$1005,1,MATCH(COLUMNS($M$1006:M1006),$M$1006,0))&gt;=100000), " ",IF(INDEX($M$2:$M$1001,MATCH(ROWS($F$2:F277),$F$2:$F$1001,0),MATCH(COLUMNS($M$1006:M1006),$M$1006,0)), HYPERLINK("#",""), HYPERLINK(CONCATENATE("#Metadata!", ADDRESS(INDEX($H$2:$H$1001,MATCH(ROWS($F$2:F277),$F$2:$F$1001,0),0), INDEX($M$1004,1,MATCH(COLUMNS($M$1006:M1006),$M$1006,0)))),"Fix")))</f>
        <v>0</v>
      </c>
      <c r="F277">
        <v>0</v>
      </c>
      <c r="G277">
        <v>0</v>
      </c>
      <c r="H277">
        <v>0</v>
      </c>
      <c r="I277">
        <f>IF(J277,TRUE,AND(M277))</f>
        <v>0</v>
      </c>
      <c r="J277">
        <f>COUNTBLANK(Metadata!B277)=COLUMNS(Metadata!B277)</f>
        <v>0</v>
      </c>
      <c r="K277">
        <v>0</v>
      </c>
      <c r="M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</row>
    <row r="278" spans="1:13">
      <c r="A278" s="3">
        <f>IF(B278=" "," ",HYPERLINK(CONCATENATE("#metadata!",ADDRESS(INDEX($H$2:$H$1001,MATCH(ROWS($F$2:F278),$F$2:$F$1001,0),0),2)),INDEX($K$2:$K$1001,MATCH(ROWS($F$2:F278),$F$2:$F$1001,0),0)))</f>
        <v>0</v>
      </c>
      <c r="B278" s="4">
        <f>IF(OR(INDEX($G$2:$G$1001,MATCH(ROWS($F$2:F278),$F$2:$F$1001,0),1)&gt;=100000,INDEX($M$1005,1,MATCH(COLUMNS($M$1006:M1006),$M$1006,0))&gt;=100000), " ",IF(INDEX($M$2:$M$1001,MATCH(ROWS($F$2:F278),$F$2:$F$1001,0),MATCH(COLUMNS($M$1006:M1006),$M$1006,0)), HYPERLINK("#",""), HYPERLINK(CONCATENATE("#Metadata!", ADDRESS(INDEX($H$2:$H$1001,MATCH(ROWS($F$2:F278),$F$2:$F$1001,0),0), INDEX($M$1004,1,MATCH(COLUMNS($M$1006:M1006),$M$1006,0)))),"Fix")))</f>
        <v>0</v>
      </c>
      <c r="F278">
        <v>0</v>
      </c>
      <c r="G278">
        <v>0</v>
      </c>
      <c r="H278">
        <v>0</v>
      </c>
      <c r="I278">
        <f>IF(J278,TRUE,AND(M278))</f>
        <v>0</v>
      </c>
      <c r="J278">
        <f>COUNTBLANK(Metadata!B278)=COLUMNS(Metadata!B278)</f>
        <v>0</v>
      </c>
      <c r="K278">
        <v>0</v>
      </c>
      <c r="M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</row>
    <row r="279" spans="1:13">
      <c r="A279" s="3">
        <f>IF(B279=" "," ",HYPERLINK(CONCATENATE("#metadata!",ADDRESS(INDEX($H$2:$H$1001,MATCH(ROWS($F$2:F279),$F$2:$F$1001,0),0),2)),INDEX($K$2:$K$1001,MATCH(ROWS($F$2:F279),$F$2:$F$1001,0),0)))</f>
        <v>0</v>
      </c>
      <c r="B279" s="4">
        <f>IF(OR(INDEX($G$2:$G$1001,MATCH(ROWS($F$2:F279),$F$2:$F$1001,0),1)&gt;=100000,INDEX($M$1005,1,MATCH(COLUMNS($M$1006:M1006),$M$1006,0))&gt;=100000), " ",IF(INDEX($M$2:$M$1001,MATCH(ROWS($F$2:F279),$F$2:$F$1001,0),MATCH(COLUMNS($M$1006:M1006),$M$1006,0)), HYPERLINK("#",""), HYPERLINK(CONCATENATE("#Metadata!", ADDRESS(INDEX($H$2:$H$1001,MATCH(ROWS($F$2:F279),$F$2:$F$1001,0),0), INDEX($M$1004,1,MATCH(COLUMNS($M$1006:M1006),$M$1006,0)))),"Fix")))</f>
        <v>0</v>
      </c>
      <c r="F279">
        <v>0</v>
      </c>
      <c r="G279">
        <v>0</v>
      </c>
      <c r="H279">
        <v>0</v>
      </c>
      <c r="I279">
        <f>IF(J279,TRUE,AND(M279))</f>
        <v>0</v>
      </c>
      <c r="J279">
        <f>COUNTBLANK(Metadata!B279)=COLUMNS(Metadata!B279)</f>
        <v>0</v>
      </c>
      <c r="K279">
        <v>0</v>
      </c>
      <c r="M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</row>
    <row r="280" spans="1:13">
      <c r="A280" s="3">
        <f>IF(B280=" "," ",HYPERLINK(CONCATENATE("#metadata!",ADDRESS(INDEX($H$2:$H$1001,MATCH(ROWS($F$2:F280),$F$2:$F$1001,0),0),2)),INDEX($K$2:$K$1001,MATCH(ROWS($F$2:F280),$F$2:$F$1001,0),0)))</f>
        <v>0</v>
      </c>
      <c r="B280" s="4">
        <f>IF(OR(INDEX($G$2:$G$1001,MATCH(ROWS($F$2:F280),$F$2:$F$1001,0),1)&gt;=100000,INDEX($M$1005,1,MATCH(COLUMNS($M$1006:M1006),$M$1006,0))&gt;=100000), " ",IF(INDEX($M$2:$M$1001,MATCH(ROWS($F$2:F280),$F$2:$F$1001,0),MATCH(COLUMNS($M$1006:M1006),$M$1006,0)), HYPERLINK("#",""), HYPERLINK(CONCATENATE("#Metadata!", ADDRESS(INDEX($H$2:$H$1001,MATCH(ROWS($F$2:F280),$F$2:$F$1001,0),0), INDEX($M$1004,1,MATCH(COLUMNS($M$1006:M1006),$M$1006,0)))),"Fix")))</f>
        <v>0</v>
      </c>
      <c r="F280">
        <v>0</v>
      </c>
      <c r="G280">
        <v>0</v>
      </c>
      <c r="H280">
        <v>0</v>
      </c>
      <c r="I280">
        <f>IF(J280,TRUE,AND(M280))</f>
        <v>0</v>
      </c>
      <c r="J280">
        <f>COUNTBLANK(Metadata!B280)=COLUMNS(Metadata!B280)</f>
        <v>0</v>
      </c>
      <c r="K280">
        <v>0</v>
      </c>
      <c r="M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</row>
    <row r="281" spans="1:13">
      <c r="A281" s="3">
        <f>IF(B281=" "," ",HYPERLINK(CONCATENATE("#metadata!",ADDRESS(INDEX($H$2:$H$1001,MATCH(ROWS($F$2:F281),$F$2:$F$1001,0),0),2)),INDEX($K$2:$K$1001,MATCH(ROWS($F$2:F281),$F$2:$F$1001,0),0)))</f>
        <v>0</v>
      </c>
      <c r="B281" s="4">
        <f>IF(OR(INDEX($G$2:$G$1001,MATCH(ROWS($F$2:F281),$F$2:$F$1001,0),1)&gt;=100000,INDEX($M$1005,1,MATCH(COLUMNS($M$1006:M1006),$M$1006,0))&gt;=100000), " ",IF(INDEX($M$2:$M$1001,MATCH(ROWS($F$2:F281),$F$2:$F$1001,0),MATCH(COLUMNS($M$1006:M1006),$M$1006,0)), HYPERLINK("#",""), HYPERLINK(CONCATENATE("#Metadata!", ADDRESS(INDEX($H$2:$H$1001,MATCH(ROWS($F$2:F281),$F$2:$F$1001,0),0), INDEX($M$1004,1,MATCH(COLUMNS($M$1006:M1006),$M$1006,0)))),"Fix")))</f>
        <v>0</v>
      </c>
      <c r="F281">
        <v>0</v>
      </c>
      <c r="G281">
        <v>0</v>
      </c>
      <c r="H281">
        <v>0</v>
      </c>
      <c r="I281">
        <f>IF(J281,TRUE,AND(M281))</f>
        <v>0</v>
      </c>
      <c r="J281">
        <f>COUNTBLANK(Metadata!B281)=COLUMNS(Metadata!B281)</f>
        <v>0</v>
      </c>
      <c r="K281">
        <v>0</v>
      </c>
      <c r="M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</row>
    <row r="282" spans="1:13">
      <c r="A282" s="3">
        <f>IF(B282=" "," ",HYPERLINK(CONCATENATE("#metadata!",ADDRESS(INDEX($H$2:$H$1001,MATCH(ROWS($F$2:F282),$F$2:$F$1001,0),0),2)),INDEX($K$2:$K$1001,MATCH(ROWS($F$2:F282),$F$2:$F$1001,0),0)))</f>
        <v>0</v>
      </c>
      <c r="B282" s="4">
        <f>IF(OR(INDEX($G$2:$G$1001,MATCH(ROWS($F$2:F282),$F$2:$F$1001,0),1)&gt;=100000,INDEX($M$1005,1,MATCH(COLUMNS($M$1006:M1006),$M$1006,0))&gt;=100000), " ",IF(INDEX($M$2:$M$1001,MATCH(ROWS($F$2:F282),$F$2:$F$1001,0),MATCH(COLUMNS($M$1006:M1006),$M$1006,0)), HYPERLINK("#",""), HYPERLINK(CONCATENATE("#Metadata!", ADDRESS(INDEX($H$2:$H$1001,MATCH(ROWS($F$2:F282),$F$2:$F$1001,0),0), INDEX($M$1004,1,MATCH(COLUMNS($M$1006:M1006),$M$1006,0)))),"Fix")))</f>
        <v>0</v>
      </c>
      <c r="F282">
        <v>0</v>
      </c>
      <c r="G282">
        <v>0</v>
      </c>
      <c r="H282">
        <v>0</v>
      </c>
      <c r="I282">
        <f>IF(J282,TRUE,AND(M282))</f>
        <v>0</v>
      </c>
      <c r="J282">
        <f>COUNTBLANK(Metadata!B282)=COLUMNS(Metadata!B282)</f>
        <v>0</v>
      </c>
      <c r="K282">
        <v>0</v>
      </c>
      <c r="M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</row>
    <row r="283" spans="1:13">
      <c r="A283" s="3">
        <f>IF(B283=" "," ",HYPERLINK(CONCATENATE("#metadata!",ADDRESS(INDEX($H$2:$H$1001,MATCH(ROWS($F$2:F283),$F$2:$F$1001,0),0),2)),INDEX($K$2:$K$1001,MATCH(ROWS($F$2:F283),$F$2:$F$1001,0),0)))</f>
        <v>0</v>
      </c>
      <c r="B283" s="4">
        <f>IF(OR(INDEX($G$2:$G$1001,MATCH(ROWS($F$2:F283),$F$2:$F$1001,0),1)&gt;=100000,INDEX($M$1005,1,MATCH(COLUMNS($M$1006:M1006),$M$1006,0))&gt;=100000), " ",IF(INDEX($M$2:$M$1001,MATCH(ROWS($F$2:F283),$F$2:$F$1001,0),MATCH(COLUMNS($M$1006:M1006),$M$1006,0)), HYPERLINK("#",""), HYPERLINK(CONCATENATE("#Metadata!", ADDRESS(INDEX($H$2:$H$1001,MATCH(ROWS($F$2:F283),$F$2:$F$1001,0),0), INDEX($M$1004,1,MATCH(COLUMNS($M$1006:M1006),$M$1006,0)))),"Fix")))</f>
        <v>0</v>
      </c>
      <c r="F283">
        <v>0</v>
      </c>
      <c r="G283">
        <v>0</v>
      </c>
      <c r="H283">
        <v>0</v>
      </c>
      <c r="I283">
        <f>IF(J283,TRUE,AND(M283))</f>
        <v>0</v>
      </c>
      <c r="J283">
        <f>COUNTBLANK(Metadata!B283)=COLUMNS(Metadata!B283)</f>
        <v>0</v>
      </c>
      <c r="K283">
        <v>0</v>
      </c>
      <c r="M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</row>
    <row r="284" spans="1:13">
      <c r="A284" s="3">
        <f>IF(B284=" "," ",HYPERLINK(CONCATENATE("#metadata!",ADDRESS(INDEX($H$2:$H$1001,MATCH(ROWS($F$2:F284),$F$2:$F$1001,0),0),2)),INDEX($K$2:$K$1001,MATCH(ROWS($F$2:F284),$F$2:$F$1001,0),0)))</f>
        <v>0</v>
      </c>
      <c r="B284" s="4">
        <f>IF(OR(INDEX($G$2:$G$1001,MATCH(ROWS($F$2:F284),$F$2:$F$1001,0),1)&gt;=100000,INDEX($M$1005,1,MATCH(COLUMNS($M$1006:M1006),$M$1006,0))&gt;=100000), " ",IF(INDEX($M$2:$M$1001,MATCH(ROWS($F$2:F284),$F$2:$F$1001,0),MATCH(COLUMNS($M$1006:M1006),$M$1006,0)), HYPERLINK("#",""), HYPERLINK(CONCATENATE("#Metadata!", ADDRESS(INDEX($H$2:$H$1001,MATCH(ROWS($F$2:F284),$F$2:$F$1001,0),0), INDEX($M$1004,1,MATCH(COLUMNS($M$1006:M1006),$M$1006,0)))),"Fix")))</f>
        <v>0</v>
      </c>
      <c r="F284">
        <v>0</v>
      </c>
      <c r="G284">
        <v>0</v>
      </c>
      <c r="H284">
        <v>0</v>
      </c>
      <c r="I284">
        <f>IF(J284,TRUE,AND(M284))</f>
        <v>0</v>
      </c>
      <c r="J284">
        <f>COUNTBLANK(Metadata!B284)=COLUMNS(Metadata!B284)</f>
        <v>0</v>
      </c>
      <c r="K284">
        <v>0</v>
      </c>
      <c r="M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</row>
    <row r="285" spans="1:13">
      <c r="A285" s="3">
        <f>IF(B285=" "," ",HYPERLINK(CONCATENATE("#metadata!",ADDRESS(INDEX($H$2:$H$1001,MATCH(ROWS($F$2:F285),$F$2:$F$1001,0),0),2)),INDEX($K$2:$K$1001,MATCH(ROWS($F$2:F285),$F$2:$F$1001,0),0)))</f>
        <v>0</v>
      </c>
      <c r="B285" s="4">
        <f>IF(OR(INDEX($G$2:$G$1001,MATCH(ROWS($F$2:F285),$F$2:$F$1001,0),1)&gt;=100000,INDEX($M$1005,1,MATCH(COLUMNS($M$1006:M1006),$M$1006,0))&gt;=100000), " ",IF(INDEX($M$2:$M$1001,MATCH(ROWS($F$2:F285),$F$2:$F$1001,0),MATCH(COLUMNS($M$1006:M1006),$M$1006,0)), HYPERLINK("#",""), HYPERLINK(CONCATENATE("#Metadata!", ADDRESS(INDEX($H$2:$H$1001,MATCH(ROWS($F$2:F285),$F$2:$F$1001,0),0), INDEX($M$1004,1,MATCH(COLUMNS($M$1006:M1006),$M$1006,0)))),"Fix")))</f>
        <v>0</v>
      </c>
      <c r="F285">
        <v>0</v>
      </c>
      <c r="G285">
        <v>0</v>
      </c>
      <c r="H285">
        <v>0</v>
      </c>
      <c r="I285">
        <f>IF(J285,TRUE,AND(M285))</f>
        <v>0</v>
      </c>
      <c r="J285">
        <f>COUNTBLANK(Metadata!B285)=COLUMNS(Metadata!B285)</f>
        <v>0</v>
      </c>
      <c r="K285">
        <v>0</v>
      </c>
      <c r="M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</row>
    <row r="286" spans="1:13">
      <c r="A286" s="3">
        <f>IF(B286=" "," ",HYPERLINK(CONCATENATE("#metadata!",ADDRESS(INDEX($H$2:$H$1001,MATCH(ROWS($F$2:F286),$F$2:$F$1001,0),0),2)),INDEX($K$2:$K$1001,MATCH(ROWS($F$2:F286),$F$2:$F$1001,0),0)))</f>
        <v>0</v>
      </c>
      <c r="B286" s="4">
        <f>IF(OR(INDEX($G$2:$G$1001,MATCH(ROWS($F$2:F286),$F$2:$F$1001,0),1)&gt;=100000,INDEX($M$1005,1,MATCH(COLUMNS($M$1006:M1006),$M$1006,0))&gt;=100000), " ",IF(INDEX($M$2:$M$1001,MATCH(ROWS($F$2:F286),$F$2:$F$1001,0),MATCH(COLUMNS($M$1006:M1006),$M$1006,0)), HYPERLINK("#",""), HYPERLINK(CONCATENATE("#Metadata!", ADDRESS(INDEX($H$2:$H$1001,MATCH(ROWS($F$2:F286),$F$2:$F$1001,0),0), INDEX($M$1004,1,MATCH(COLUMNS($M$1006:M1006),$M$1006,0)))),"Fix")))</f>
        <v>0</v>
      </c>
      <c r="F286">
        <v>0</v>
      </c>
      <c r="G286">
        <v>0</v>
      </c>
      <c r="H286">
        <v>0</v>
      </c>
      <c r="I286">
        <f>IF(J286,TRUE,AND(M286))</f>
        <v>0</v>
      </c>
      <c r="J286">
        <f>COUNTBLANK(Metadata!B286)=COLUMNS(Metadata!B286)</f>
        <v>0</v>
      </c>
      <c r="K286">
        <v>0</v>
      </c>
      <c r="M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</row>
    <row r="287" spans="1:13">
      <c r="A287" s="3">
        <f>IF(B287=" "," ",HYPERLINK(CONCATENATE("#metadata!",ADDRESS(INDEX($H$2:$H$1001,MATCH(ROWS($F$2:F287),$F$2:$F$1001,0),0),2)),INDEX($K$2:$K$1001,MATCH(ROWS($F$2:F287),$F$2:$F$1001,0),0)))</f>
        <v>0</v>
      </c>
      <c r="B287" s="4">
        <f>IF(OR(INDEX($G$2:$G$1001,MATCH(ROWS($F$2:F287),$F$2:$F$1001,0),1)&gt;=100000,INDEX($M$1005,1,MATCH(COLUMNS($M$1006:M1006),$M$1006,0))&gt;=100000), " ",IF(INDEX($M$2:$M$1001,MATCH(ROWS($F$2:F287),$F$2:$F$1001,0),MATCH(COLUMNS($M$1006:M1006),$M$1006,0)), HYPERLINK("#",""), HYPERLINK(CONCATENATE("#Metadata!", ADDRESS(INDEX($H$2:$H$1001,MATCH(ROWS($F$2:F287),$F$2:$F$1001,0),0), INDEX($M$1004,1,MATCH(COLUMNS($M$1006:M1006),$M$1006,0)))),"Fix")))</f>
        <v>0</v>
      </c>
      <c r="F287">
        <v>0</v>
      </c>
      <c r="G287">
        <v>0</v>
      </c>
      <c r="H287">
        <v>0</v>
      </c>
      <c r="I287">
        <f>IF(J287,TRUE,AND(M287))</f>
        <v>0</v>
      </c>
      <c r="J287">
        <f>COUNTBLANK(Metadata!B287)=COLUMNS(Metadata!B287)</f>
        <v>0</v>
      </c>
      <c r="K287">
        <v>0</v>
      </c>
      <c r="M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</row>
    <row r="288" spans="1:13">
      <c r="A288" s="3">
        <f>IF(B288=" "," ",HYPERLINK(CONCATENATE("#metadata!",ADDRESS(INDEX($H$2:$H$1001,MATCH(ROWS($F$2:F288),$F$2:$F$1001,0),0),2)),INDEX($K$2:$K$1001,MATCH(ROWS($F$2:F288),$F$2:$F$1001,0),0)))</f>
        <v>0</v>
      </c>
      <c r="B288" s="4">
        <f>IF(OR(INDEX($G$2:$G$1001,MATCH(ROWS($F$2:F288),$F$2:$F$1001,0),1)&gt;=100000,INDEX($M$1005,1,MATCH(COLUMNS($M$1006:M1006),$M$1006,0))&gt;=100000), " ",IF(INDEX($M$2:$M$1001,MATCH(ROWS($F$2:F288),$F$2:$F$1001,0),MATCH(COLUMNS($M$1006:M1006),$M$1006,0)), HYPERLINK("#",""), HYPERLINK(CONCATENATE("#Metadata!", ADDRESS(INDEX($H$2:$H$1001,MATCH(ROWS($F$2:F288),$F$2:$F$1001,0),0), INDEX($M$1004,1,MATCH(COLUMNS($M$1006:M1006),$M$1006,0)))),"Fix")))</f>
        <v>0</v>
      </c>
      <c r="F288">
        <v>0</v>
      </c>
      <c r="G288">
        <v>0</v>
      </c>
      <c r="H288">
        <v>0</v>
      </c>
      <c r="I288">
        <f>IF(J288,TRUE,AND(M288))</f>
        <v>0</v>
      </c>
      <c r="J288">
        <f>COUNTBLANK(Metadata!B288)=COLUMNS(Metadata!B288)</f>
        <v>0</v>
      </c>
      <c r="K288">
        <v>0</v>
      </c>
      <c r="M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</row>
    <row r="289" spans="1:13">
      <c r="A289" s="3">
        <f>IF(B289=" "," ",HYPERLINK(CONCATENATE("#metadata!",ADDRESS(INDEX($H$2:$H$1001,MATCH(ROWS($F$2:F289),$F$2:$F$1001,0),0),2)),INDEX($K$2:$K$1001,MATCH(ROWS($F$2:F289),$F$2:$F$1001,0),0)))</f>
        <v>0</v>
      </c>
      <c r="B289" s="4">
        <f>IF(OR(INDEX($G$2:$G$1001,MATCH(ROWS($F$2:F289),$F$2:$F$1001,0),1)&gt;=100000,INDEX($M$1005,1,MATCH(COLUMNS($M$1006:M1006),$M$1006,0))&gt;=100000), " ",IF(INDEX($M$2:$M$1001,MATCH(ROWS($F$2:F289),$F$2:$F$1001,0),MATCH(COLUMNS($M$1006:M1006),$M$1006,0)), HYPERLINK("#",""), HYPERLINK(CONCATENATE("#Metadata!", ADDRESS(INDEX($H$2:$H$1001,MATCH(ROWS($F$2:F289),$F$2:$F$1001,0),0), INDEX($M$1004,1,MATCH(COLUMNS($M$1006:M1006),$M$1006,0)))),"Fix")))</f>
        <v>0</v>
      </c>
      <c r="F289">
        <v>0</v>
      </c>
      <c r="G289">
        <v>0</v>
      </c>
      <c r="H289">
        <v>0</v>
      </c>
      <c r="I289">
        <f>IF(J289,TRUE,AND(M289))</f>
        <v>0</v>
      </c>
      <c r="J289">
        <f>COUNTBLANK(Metadata!B289)=COLUMNS(Metadata!B289)</f>
        <v>0</v>
      </c>
      <c r="K289">
        <v>0</v>
      </c>
      <c r="M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</row>
    <row r="290" spans="1:13">
      <c r="A290" s="3">
        <f>IF(B290=" "," ",HYPERLINK(CONCATENATE("#metadata!",ADDRESS(INDEX($H$2:$H$1001,MATCH(ROWS($F$2:F290),$F$2:$F$1001,0),0),2)),INDEX($K$2:$K$1001,MATCH(ROWS($F$2:F290),$F$2:$F$1001,0),0)))</f>
        <v>0</v>
      </c>
      <c r="B290" s="4">
        <f>IF(OR(INDEX($G$2:$G$1001,MATCH(ROWS($F$2:F290),$F$2:$F$1001,0),1)&gt;=100000,INDEX($M$1005,1,MATCH(COLUMNS($M$1006:M1006),$M$1006,0))&gt;=100000), " ",IF(INDEX($M$2:$M$1001,MATCH(ROWS($F$2:F290),$F$2:$F$1001,0),MATCH(COLUMNS($M$1006:M1006),$M$1006,0)), HYPERLINK("#",""), HYPERLINK(CONCATENATE("#Metadata!", ADDRESS(INDEX($H$2:$H$1001,MATCH(ROWS($F$2:F290),$F$2:$F$1001,0),0), INDEX($M$1004,1,MATCH(COLUMNS($M$1006:M1006),$M$1006,0)))),"Fix")))</f>
        <v>0</v>
      </c>
      <c r="F290">
        <v>0</v>
      </c>
      <c r="G290">
        <v>0</v>
      </c>
      <c r="H290">
        <v>0</v>
      </c>
      <c r="I290">
        <f>IF(J290,TRUE,AND(M290))</f>
        <v>0</v>
      </c>
      <c r="J290">
        <f>COUNTBLANK(Metadata!B290)=COLUMNS(Metadata!B290)</f>
        <v>0</v>
      </c>
      <c r="K290">
        <v>0</v>
      </c>
      <c r="M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</row>
    <row r="291" spans="1:13">
      <c r="A291" s="3">
        <f>IF(B291=" "," ",HYPERLINK(CONCATENATE("#metadata!",ADDRESS(INDEX($H$2:$H$1001,MATCH(ROWS($F$2:F291),$F$2:$F$1001,0),0),2)),INDEX($K$2:$K$1001,MATCH(ROWS($F$2:F291),$F$2:$F$1001,0),0)))</f>
        <v>0</v>
      </c>
      <c r="B291" s="4">
        <f>IF(OR(INDEX($G$2:$G$1001,MATCH(ROWS($F$2:F291),$F$2:$F$1001,0),1)&gt;=100000,INDEX($M$1005,1,MATCH(COLUMNS($M$1006:M1006),$M$1006,0))&gt;=100000), " ",IF(INDEX($M$2:$M$1001,MATCH(ROWS($F$2:F291),$F$2:$F$1001,0),MATCH(COLUMNS($M$1006:M1006),$M$1006,0)), HYPERLINK("#",""), HYPERLINK(CONCATENATE("#Metadata!", ADDRESS(INDEX($H$2:$H$1001,MATCH(ROWS($F$2:F291),$F$2:$F$1001,0),0), INDEX($M$1004,1,MATCH(COLUMNS($M$1006:M1006),$M$1006,0)))),"Fix")))</f>
        <v>0</v>
      </c>
      <c r="F291">
        <v>0</v>
      </c>
      <c r="G291">
        <v>0</v>
      </c>
      <c r="H291">
        <v>0</v>
      </c>
      <c r="I291">
        <f>IF(J291,TRUE,AND(M291))</f>
        <v>0</v>
      </c>
      <c r="J291">
        <f>COUNTBLANK(Metadata!B291)=COLUMNS(Metadata!B291)</f>
        <v>0</v>
      </c>
      <c r="K291">
        <v>0</v>
      </c>
      <c r="M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</row>
    <row r="292" spans="1:13">
      <c r="A292" s="3">
        <f>IF(B292=" "," ",HYPERLINK(CONCATENATE("#metadata!",ADDRESS(INDEX($H$2:$H$1001,MATCH(ROWS($F$2:F292),$F$2:$F$1001,0),0),2)),INDEX($K$2:$K$1001,MATCH(ROWS($F$2:F292),$F$2:$F$1001,0),0)))</f>
        <v>0</v>
      </c>
      <c r="B292" s="4">
        <f>IF(OR(INDEX($G$2:$G$1001,MATCH(ROWS($F$2:F292),$F$2:$F$1001,0),1)&gt;=100000,INDEX($M$1005,1,MATCH(COLUMNS($M$1006:M1006),$M$1006,0))&gt;=100000), " ",IF(INDEX($M$2:$M$1001,MATCH(ROWS($F$2:F292),$F$2:$F$1001,0),MATCH(COLUMNS($M$1006:M1006),$M$1006,0)), HYPERLINK("#",""), HYPERLINK(CONCATENATE("#Metadata!", ADDRESS(INDEX($H$2:$H$1001,MATCH(ROWS($F$2:F292),$F$2:$F$1001,0),0), INDEX($M$1004,1,MATCH(COLUMNS($M$1006:M1006),$M$1006,0)))),"Fix")))</f>
        <v>0</v>
      </c>
      <c r="F292">
        <v>0</v>
      </c>
      <c r="G292">
        <v>0</v>
      </c>
      <c r="H292">
        <v>0</v>
      </c>
      <c r="I292">
        <f>IF(J292,TRUE,AND(M292))</f>
        <v>0</v>
      </c>
      <c r="J292">
        <f>COUNTBLANK(Metadata!B292)=COLUMNS(Metadata!B292)</f>
        <v>0</v>
      </c>
      <c r="K292">
        <v>0</v>
      </c>
      <c r="M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</row>
    <row r="293" spans="1:13">
      <c r="A293" s="3">
        <f>IF(B293=" "," ",HYPERLINK(CONCATENATE("#metadata!",ADDRESS(INDEX($H$2:$H$1001,MATCH(ROWS($F$2:F293),$F$2:$F$1001,0),0),2)),INDEX($K$2:$K$1001,MATCH(ROWS($F$2:F293),$F$2:$F$1001,0),0)))</f>
        <v>0</v>
      </c>
      <c r="B293" s="4">
        <f>IF(OR(INDEX($G$2:$G$1001,MATCH(ROWS($F$2:F293),$F$2:$F$1001,0),1)&gt;=100000,INDEX($M$1005,1,MATCH(COLUMNS($M$1006:M1006),$M$1006,0))&gt;=100000), " ",IF(INDEX($M$2:$M$1001,MATCH(ROWS($F$2:F293),$F$2:$F$1001,0),MATCH(COLUMNS($M$1006:M1006),$M$1006,0)), HYPERLINK("#",""), HYPERLINK(CONCATENATE("#Metadata!", ADDRESS(INDEX($H$2:$H$1001,MATCH(ROWS($F$2:F293),$F$2:$F$1001,0),0), INDEX($M$1004,1,MATCH(COLUMNS($M$1006:M1006),$M$1006,0)))),"Fix")))</f>
        <v>0</v>
      </c>
      <c r="F293">
        <v>0</v>
      </c>
      <c r="G293">
        <v>0</v>
      </c>
      <c r="H293">
        <v>0</v>
      </c>
      <c r="I293">
        <f>IF(J293,TRUE,AND(M293))</f>
        <v>0</v>
      </c>
      <c r="J293">
        <f>COUNTBLANK(Metadata!B293)=COLUMNS(Metadata!B293)</f>
        <v>0</v>
      </c>
      <c r="K293">
        <v>0</v>
      </c>
      <c r="M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</row>
    <row r="294" spans="1:13">
      <c r="A294" s="3">
        <f>IF(B294=" "," ",HYPERLINK(CONCATENATE("#metadata!",ADDRESS(INDEX($H$2:$H$1001,MATCH(ROWS($F$2:F294),$F$2:$F$1001,0),0),2)),INDEX($K$2:$K$1001,MATCH(ROWS($F$2:F294),$F$2:$F$1001,0),0)))</f>
        <v>0</v>
      </c>
      <c r="B294" s="4">
        <f>IF(OR(INDEX($G$2:$G$1001,MATCH(ROWS($F$2:F294),$F$2:$F$1001,0),1)&gt;=100000,INDEX($M$1005,1,MATCH(COLUMNS($M$1006:M1006),$M$1006,0))&gt;=100000), " ",IF(INDEX($M$2:$M$1001,MATCH(ROWS($F$2:F294),$F$2:$F$1001,0),MATCH(COLUMNS($M$1006:M1006),$M$1006,0)), HYPERLINK("#",""), HYPERLINK(CONCATENATE("#Metadata!", ADDRESS(INDEX($H$2:$H$1001,MATCH(ROWS($F$2:F294),$F$2:$F$1001,0),0), INDEX($M$1004,1,MATCH(COLUMNS($M$1006:M1006),$M$1006,0)))),"Fix")))</f>
        <v>0</v>
      </c>
      <c r="F294">
        <v>0</v>
      </c>
      <c r="G294">
        <v>0</v>
      </c>
      <c r="H294">
        <v>0</v>
      </c>
      <c r="I294">
        <f>IF(J294,TRUE,AND(M294))</f>
        <v>0</v>
      </c>
      <c r="J294">
        <f>COUNTBLANK(Metadata!B294)=COLUMNS(Metadata!B294)</f>
        <v>0</v>
      </c>
      <c r="K294">
        <v>0</v>
      </c>
      <c r="M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</row>
    <row r="295" spans="1:13">
      <c r="A295" s="3">
        <f>IF(B295=" "," ",HYPERLINK(CONCATENATE("#metadata!",ADDRESS(INDEX($H$2:$H$1001,MATCH(ROWS($F$2:F295),$F$2:$F$1001,0),0),2)),INDEX($K$2:$K$1001,MATCH(ROWS($F$2:F295),$F$2:$F$1001,0),0)))</f>
        <v>0</v>
      </c>
      <c r="B295" s="4">
        <f>IF(OR(INDEX($G$2:$G$1001,MATCH(ROWS($F$2:F295),$F$2:$F$1001,0),1)&gt;=100000,INDEX($M$1005,1,MATCH(COLUMNS($M$1006:M1006),$M$1006,0))&gt;=100000), " ",IF(INDEX($M$2:$M$1001,MATCH(ROWS($F$2:F295),$F$2:$F$1001,0),MATCH(COLUMNS($M$1006:M1006),$M$1006,0)), HYPERLINK("#",""), HYPERLINK(CONCATENATE("#Metadata!", ADDRESS(INDEX($H$2:$H$1001,MATCH(ROWS($F$2:F295),$F$2:$F$1001,0),0), INDEX($M$1004,1,MATCH(COLUMNS($M$1006:M1006),$M$1006,0)))),"Fix")))</f>
        <v>0</v>
      </c>
      <c r="F295">
        <v>0</v>
      </c>
      <c r="G295">
        <v>0</v>
      </c>
      <c r="H295">
        <v>0</v>
      </c>
      <c r="I295">
        <f>IF(J295,TRUE,AND(M295))</f>
        <v>0</v>
      </c>
      <c r="J295">
        <f>COUNTBLANK(Metadata!B295)=COLUMNS(Metadata!B295)</f>
        <v>0</v>
      </c>
      <c r="K295">
        <v>0</v>
      </c>
      <c r="M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</row>
    <row r="296" spans="1:13">
      <c r="A296" s="3">
        <f>IF(B296=" "," ",HYPERLINK(CONCATENATE("#metadata!",ADDRESS(INDEX($H$2:$H$1001,MATCH(ROWS($F$2:F296),$F$2:$F$1001,0),0),2)),INDEX($K$2:$K$1001,MATCH(ROWS($F$2:F296),$F$2:$F$1001,0),0)))</f>
        <v>0</v>
      </c>
      <c r="B296" s="4">
        <f>IF(OR(INDEX($G$2:$G$1001,MATCH(ROWS($F$2:F296),$F$2:$F$1001,0),1)&gt;=100000,INDEX($M$1005,1,MATCH(COLUMNS($M$1006:M1006),$M$1006,0))&gt;=100000), " ",IF(INDEX($M$2:$M$1001,MATCH(ROWS($F$2:F296),$F$2:$F$1001,0),MATCH(COLUMNS($M$1006:M1006),$M$1006,0)), HYPERLINK("#",""), HYPERLINK(CONCATENATE("#Metadata!", ADDRESS(INDEX($H$2:$H$1001,MATCH(ROWS($F$2:F296),$F$2:$F$1001,0),0), INDEX($M$1004,1,MATCH(COLUMNS($M$1006:M1006),$M$1006,0)))),"Fix")))</f>
        <v>0</v>
      </c>
      <c r="F296">
        <v>0</v>
      </c>
      <c r="G296">
        <v>0</v>
      </c>
      <c r="H296">
        <v>0</v>
      </c>
      <c r="I296">
        <f>IF(J296,TRUE,AND(M296))</f>
        <v>0</v>
      </c>
      <c r="J296">
        <f>COUNTBLANK(Metadata!B296)=COLUMNS(Metadata!B296)</f>
        <v>0</v>
      </c>
      <c r="K296">
        <v>0</v>
      </c>
      <c r="M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</row>
    <row r="297" spans="1:13">
      <c r="A297" s="3">
        <f>IF(B297=" "," ",HYPERLINK(CONCATENATE("#metadata!",ADDRESS(INDEX($H$2:$H$1001,MATCH(ROWS($F$2:F297),$F$2:$F$1001,0),0),2)),INDEX($K$2:$K$1001,MATCH(ROWS($F$2:F297),$F$2:$F$1001,0),0)))</f>
        <v>0</v>
      </c>
      <c r="B297" s="4">
        <f>IF(OR(INDEX($G$2:$G$1001,MATCH(ROWS($F$2:F297),$F$2:$F$1001,0),1)&gt;=100000,INDEX($M$1005,1,MATCH(COLUMNS($M$1006:M1006),$M$1006,0))&gt;=100000), " ",IF(INDEX($M$2:$M$1001,MATCH(ROWS($F$2:F297),$F$2:$F$1001,0),MATCH(COLUMNS($M$1006:M1006),$M$1006,0)), HYPERLINK("#",""), HYPERLINK(CONCATENATE("#Metadata!", ADDRESS(INDEX($H$2:$H$1001,MATCH(ROWS($F$2:F297),$F$2:$F$1001,0),0), INDEX($M$1004,1,MATCH(COLUMNS($M$1006:M1006),$M$1006,0)))),"Fix")))</f>
        <v>0</v>
      </c>
      <c r="F297">
        <v>0</v>
      </c>
      <c r="G297">
        <v>0</v>
      </c>
      <c r="H297">
        <v>0</v>
      </c>
      <c r="I297">
        <f>IF(J297,TRUE,AND(M297))</f>
        <v>0</v>
      </c>
      <c r="J297">
        <f>COUNTBLANK(Metadata!B297)=COLUMNS(Metadata!B297)</f>
        <v>0</v>
      </c>
      <c r="K297">
        <v>0</v>
      </c>
      <c r="M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</row>
    <row r="298" spans="1:13">
      <c r="A298" s="3">
        <f>IF(B298=" "," ",HYPERLINK(CONCATENATE("#metadata!",ADDRESS(INDEX($H$2:$H$1001,MATCH(ROWS($F$2:F298),$F$2:$F$1001,0),0),2)),INDEX($K$2:$K$1001,MATCH(ROWS($F$2:F298),$F$2:$F$1001,0),0)))</f>
        <v>0</v>
      </c>
      <c r="B298" s="4">
        <f>IF(OR(INDEX($G$2:$G$1001,MATCH(ROWS($F$2:F298),$F$2:$F$1001,0),1)&gt;=100000,INDEX($M$1005,1,MATCH(COLUMNS($M$1006:M1006),$M$1006,0))&gt;=100000), " ",IF(INDEX($M$2:$M$1001,MATCH(ROWS($F$2:F298),$F$2:$F$1001,0),MATCH(COLUMNS($M$1006:M1006),$M$1006,0)), HYPERLINK("#",""), HYPERLINK(CONCATENATE("#Metadata!", ADDRESS(INDEX($H$2:$H$1001,MATCH(ROWS($F$2:F298),$F$2:$F$1001,0),0), INDEX($M$1004,1,MATCH(COLUMNS($M$1006:M1006),$M$1006,0)))),"Fix")))</f>
        <v>0</v>
      </c>
      <c r="F298">
        <v>0</v>
      </c>
      <c r="G298">
        <v>0</v>
      </c>
      <c r="H298">
        <v>0</v>
      </c>
      <c r="I298">
        <f>IF(J298,TRUE,AND(M298))</f>
        <v>0</v>
      </c>
      <c r="J298">
        <f>COUNTBLANK(Metadata!B298)=COLUMNS(Metadata!B298)</f>
        <v>0</v>
      </c>
      <c r="K298">
        <v>0</v>
      </c>
      <c r="M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</row>
    <row r="299" spans="1:13">
      <c r="A299" s="3">
        <f>IF(B299=" "," ",HYPERLINK(CONCATENATE("#metadata!",ADDRESS(INDEX($H$2:$H$1001,MATCH(ROWS($F$2:F299),$F$2:$F$1001,0),0),2)),INDEX($K$2:$K$1001,MATCH(ROWS($F$2:F299),$F$2:$F$1001,0),0)))</f>
        <v>0</v>
      </c>
      <c r="B299" s="4">
        <f>IF(OR(INDEX($G$2:$G$1001,MATCH(ROWS($F$2:F299),$F$2:$F$1001,0),1)&gt;=100000,INDEX($M$1005,1,MATCH(COLUMNS($M$1006:M1006),$M$1006,0))&gt;=100000), " ",IF(INDEX($M$2:$M$1001,MATCH(ROWS($F$2:F299),$F$2:$F$1001,0),MATCH(COLUMNS($M$1006:M1006),$M$1006,0)), HYPERLINK("#",""), HYPERLINK(CONCATENATE("#Metadata!", ADDRESS(INDEX($H$2:$H$1001,MATCH(ROWS($F$2:F299),$F$2:$F$1001,0),0), INDEX($M$1004,1,MATCH(COLUMNS($M$1006:M1006),$M$1006,0)))),"Fix")))</f>
        <v>0</v>
      </c>
      <c r="F299">
        <v>0</v>
      </c>
      <c r="G299">
        <v>0</v>
      </c>
      <c r="H299">
        <v>0</v>
      </c>
      <c r="I299">
        <f>IF(J299,TRUE,AND(M299))</f>
        <v>0</v>
      </c>
      <c r="J299">
        <f>COUNTBLANK(Metadata!B299)=COLUMNS(Metadata!B299)</f>
        <v>0</v>
      </c>
      <c r="K299">
        <v>0</v>
      </c>
      <c r="M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</row>
    <row r="300" spans="1:13">
      <c r="A300" s="3">
        <f>IF(B300=" "," ",HYPERLINK(CONCATENATE("#metadata!",ADDRESS(INDEX($H$2:$H$1001,MATCH(ROWS($F$2:F300),$F$2:$F$1001,0),0),2)),INDEX($K$2:$K$1001,MATCH(ROWS($F$2:F300),$F$2:$F$1001,0),0)))</f>
        <v>0</v>
      </c>
      <c r="B300" s="4">
        <f>IF(OR(INDEX($G$2:$G$1001,MATCH(ROWS($F$2:F300),$F$2:$F$1001,0),1)&gt;=100000,INDEX($M$1005,1,MATCH(COLUMNS($M$1006:M1006),$M$1006,0))&gt;=100000), " ",IF(INDEX($M$2:$M$1001,MATCH(ROWS($F$2:F300),$F$2:$F$1001,0),MATCH(COLUMNS($M$1006:M1006),$M$1006,0)), HYPERLINK("#",""), HYPERLINK(CONCATENATE("#Metadata!", ADDRESS(INDEX($H$2:$H$1001,MATCH(ROWS($F$2:F300),$F$2:$F$1001,0),0), INDEX($M$1004,1,MATCH(COLUMNS($M$1006:M1006),$M$1006,0)))),"Fix")))</f>
        <v>0</v>
      </c>
      <c r="F300">
        <v>0</v>
      </c>
      <c r="G300">
        <v>0</v>
      </c>
      <c r="H300">
        <v>0</v>
      </c>
      <c r="I300">
        <f>IF(J300,TRUE,AND(M300))</f>
        <v>0</v>
      </c>
      <c r="J300">
        <f>COUNTBLANK(Metadata!B300)=COLUMNS(Metadata!B300)</f>
        <v>0</v>
      </c>
      <c r="K300">
        <v>0</v>
      </c>
      <c r="M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</row>
    <row r="301" spans="1:13">
      <c r="A301" s="3">
        <f>IF(B301=" "," ",HYPERLINK(CONCATENATE("#metadata!",ADDRESS(INDEX($H$2:$H$1001,MATCH(ROWS($F$2:F301),$F$2:$F$1001,0),0),2)),INDEX($K$2:$K$1001,MATCH(ROWS($F$2:F301),$F$2:$F$1001,0),0)))</f>
        <v>0</v>
      </c>
      <c r="B301" s="4">
        <f>IF(OR(INDEX($G$2:$G$1001,MATCH(ROWS($F$2:F301),$F$2:$F$1001,0),1)&gt;=100000,INDEX($M$1005,1,MATCH(COLUMNS($M$1006:M1006),$M$1006,0))&gt;=100000), " ",IF(INDEX($M$2:$M$1001,MATCH(ROWS($F$2:F301),$F$2:$F$1001,0),MATCH(COLUMNS($M$1006:M1006),$M$1006,0)), HYPERLINK("#",""), HYPERLINK(CONCATENATE("#Metadata!", ADDRESS(INDEX($H$2:$H$1001,MATCH(ROWS($F$2:F301),$F$2:$F$1001,0),0), INDEX($M$1004,1,MATCH(COLUMNS($M$1006:M1006),$M$1006,0)))),"Fix")))</f>
        <v>0</v>
      </c>
      <c r="F301">
        <v>0</v>
      </c>
      <c r="G301">
        <v>0</v>
      </c>
      <c r="H301">
        <v>0</v>
      </c>
      <c r="I301">
        <f>IF(J301,TRUE,AND(M301))</f>
        <v>0</v>
      </c>
      <c r="J301">
        <f>COUNTBLANK(Metadata!B301)=COLUMNS(Metadata!B301)</f>
        <v>0</v>
      </c>
      <c r="K301">
        <v>0</v>
      </c>
      <c r="M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</row>
    <row r="302" spans="1:13">
      <c r="A302" s="3">
        <f>IF(B302=" "," ",HYPERLINK(CONCATENATE("#metadata!",ADDRESS(INDEX($H$2:$H$1001,MATCH(ROWS($F$2:F302),$F$2:$F$1001,0),0),2)),INDEX($K$2:$K$1001,MATCH(ROWS($F$2:F302),$F$2:$F$1001,0),0)))</f>
        <v>0</v>
      </c>
      <c r="B302" s="4">
        <f>IF(OR(INDEX($G$2:$G$1001,MATCH(ROWS($F$2:F302),$F$2:$F$1001,0),1)&gt;=100000,INDEX($M$1005,1,MATCH(COLUMNS($M$1006:M1006),$M$1006,0))&gt;=100000), " ",IF(INDEX($M$2:$M$1001,MATCH(ROWS($F$2:F302),$F$2:$F$1001,0),MATCH(COLUMNS($M$1006:M1006),$M$1006,0)), HYPERLINK("#",""), HYPERLINK(CONCATENATE("#Metadata!", ADDRESS(INDEX($H$2:$H$1001,MATCH(ROWS($F$2:F302),$F$2:$F$1001,0),0), INDEX($M$1004,1,MATCH(COLUMNS($M$1006:M1006),$M$1006,0)))),"Fix")))</f>
        <v>0</v>
      </c>
      <c r="F302">
        <v>0</v>
      </c>
      <c r="G302">
        <v>0</v>
      </c>
      <c r="H302">
        <v>0</v>
      </c>
      <c r="I302">
        <f>IF(J302,TRUE,AND(M302))</f>
        <v>0</v>
      </c>
      <c r="J302">
        <f>COUNTBLANK(Metadata!B302)=COLUMNS(Metadata!B302)</f>
        <v>0</v>
      </c>
      <c r="K302">
        <v>0</v>
      </c>
      <c r="M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</row>
    <row r="303" spans="1:13">
      <c r="A303" s="3">
        <f>IF(B303=" "," ",HYPERLINK(CONCATENATE("#metadata!",ADDRESS(INDEX($H$2:$H$1001,MATCH(ROWS($F$2:F303),$F$2:$F$1001,0),0),2)),INDEX($K$2:$K$1001,MATCH(ROWS($F$2:F303),$F$2:$F$1001,0),0)))</f>
        <v>0</v>
      </c>
      <c r="B303" s="4">
        <f>IF(OR(INDEX($G$2:$G$1001,MATCH(ROWS($F$2:F303),$F$2:$F$1001,0),1)&gt;=100000,INDEX($M$1005,1,MATCH(COLUMNS($M$1006:M1006),$M$1006,0))&gt;=100000), " ",IF(INDEX($M$2:$M$1001,MATCH(ROWS($F$2:F303),$F$2:$F$1001,0),MATCH(COLUMNS($M$1006:M1006),$M$1006,0)), HYPERLINK("#",""), HYPERLINK(CONCATENATE("#Metadata!", ADDRESS(INDEX($H$2:$H$1001,MATCH(ROWS($F$2:F303),$F$2:$F$1001,0),0), INDEX($M$1004,1,MATCH(COLUMNS($M$1006:M1006),$M$1006,0)))),"Fix")))</f>
        <v>0</v>
      </c>
      <c r="F303">
        <v>0</v>
      </c>
      <c r="G303">
        <v>0</v>
      </c>
      <c r="H303">
        <v>0</v>
      </c>
      <c r="I303">
        <f>IF(J303,TRUE,AND(M303))</f>
        <v>0</v>
      </c>
      <c r="J303">
        <f>COUNTBLANK(Metadata!B303)=COLUMNS(Metadata!B303)</f>
        <v>0</v>
      </c>
      <c r="K303">
        <v>0</v>
      </c>
      <c r="M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</row>
    <row r="304" spans="1:13">
      <c r="A304" s="3">
        <f>IF(B304=" "," ",HYPERLINK(CONCATENATE("#metadata!",ADDRESS(INDEX($H$2:$H$1001,MATCH(ROWS($F$2:F304),$F$2:$F$1001,0),0),2)),INDEX($K$2:$K$1001,MATCH(ROWS($F$2:F304),$F$2:$F$1001,0),0)))</f>
        <v>0</v>
      </c>
      <c r="B304" s="4">
        <f>IF(OR(INDEX($G$2:$G$1001,MATCH(ROWS($F$2:F304),$F$2:$F$1001,0),1)&gt;=100000,INDEX($M$1005,1,MATCH(COLUMNS($M$1006:M1006),$M$1006,0))&gt;=100000), " ",IF(INDEX($M$2:$M$1001,MATCH(ROWS($F$2:F304),$F$2:$F$1001,0),MATCH(COLUMNS($M$1006:M1006),$M$1006,0)), HYPERLINK("#",""), HYPERLINK(CONCATENATE("#Metadata!", ADDRESS(INDEX($H$2:$H$1001,MATCH(ROWS($F$2:F304),$F$2:$F$1001,0),0), INDEX($M$1004,1,MATCH(COLUMNS($M$1006:M1006),$M$1006,0)))),"Fix")))</f>
        <v>0</v>
      </c>
      <c r="F304">
        <v>0</v>
      </c>
      <c r="G304">
        <v>0</v>
      </c>
      <c r="H304">
        <v>0</v>
      </c>
      <c r="I304">
        <f>IF(J304,TRUE,AND(M304))</f>
        <v>0</v>
      </c>
      <c r="J304">
        <f>COUNTBLANK(Metadata!B304)=COLUMNS(Metadata!B304)</f>
        <v>0</v>
      </c>
      <c r="K304">
        <v>0</v>
      </c>
      <c r="M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</row>
    <row r="305" spans="1:13">
      <c r="A305" s="3">
        <f>IF(B305=" "," ",HYPERLINK(CONCATENATE("#metadata!",ADDRESS(INDEX($H$2:$H$1001,MATCH(ROWS($F$2:F305),$F$2:$F$1001,0),0),2)),INDEX($K$2:$K$1001,MATCH(ROWS($F$2:F305),$F$2:$F$1001,0),0)))</f>
        <v>0</v>
      </c>
      <c r="B305" s="4">
        <f>IF(OR(INDEX($G$2:$G$1001,MATCH(ROWS($F$2:F305),$F$2:$F$1001,0),1)&gt;=100000,INDEX($M$1005,1,MATCH(COLUMNS($M$1006:M1006),$M$1006,0))&gt;=100000), " ",IF(INDEX($M$2:$M$1001,MATCH(ROWS($F$2:F305),$F$2:$F$1001,0),MATCH(COLUMNS($M$1006:M1006),$M$1006,0)), HYPERLINK("#",""), HYPERLINK(CONCATENATE("#Metadata!", ADDRESS(INDEX($H$2:$H$1001,MATCH(ROWS($F$2:F305),$F$2:$F$1001,0),0), INDEX($M$1004,1,MATCH(COLUMNS($M$1006:M1006),$M$1006,0)))),"Fix")))</f>
        <v>0</v>
      </c>
      <c r="F305">
        <v>0</v>
      </c>
      <c r="G305">
        <v>0</v>
      </c>
      <c r="H305">
        <v>0</v>
      </c>
      <c r="I305">
        <f>IF(J305,TRUE,AND(M305))</f>
        <v>0</v>
      </c>
      <c r="J305">
        <f>COUNTBLANK(Metadata!B305)=COLUMNS(Metadata!B305)</f>
        <v>0</v>
      </c>
      <c r="K305">
        <v>0</v>
      </c>
      <c r="M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</row>
    <row r="306" spans="1:13">
      <c r="A306" s="3">
        <f>IF(B306=" "," ",HYPERLINK(CONCATENATE("#metadata!",ADDRESS(INDEX($H$2:$H$1001,MATCH(ROWS($F$2:F306),$F$2:$F$1001,0),0),2)),INDEX($K$2:$K$1001,MATCH(ROWS($F$2:F306),$F$2:$F$1001,0),0)))</f>
        <v>0</v>
      </c>
      <c r="B306" s="4">
        <f>IF(OR(INDEX($G$2:$G$1001,MATCH(ROWS($F$2:F306),$F$2:$F$1001,0),1)&gt;=100000,INDEX($M$1005,1,MATCH(COLUMNS($M$1006:M1006),$M$1006,0))&gt;=100000), " ",IF(INDEX($M$2:$M$1001,MATCH(ROWS($F$2:F306),$F$2:$F$1001,0),MATCH(COLUMNS($M$1006:M1006),$M$1006,0)), HYPERLINK("#",""), HYPERLINK(CONCATENATE("#Metadata!", ADDRESS(INDEX($H$2:$H$1001,MATCH(ROWS($F$2:F306),$F$2:$F$1001,0),0), INDEX($M$1004,1,MATCH(COLUMNS($M$1006:M1006),$M$1006,0)))),"Fix")))</f>
        <v>0</v>
      </c>
      <c r="F306">
        <v>0</v>
      </c>
      <c r="G306">
        <v>0</v>
      </c>
      <c r="H306">
        <v>0</v>
      </c>
      <c r="I306">
        <f>IF(J306,TRUE,AND(M306))</f>
        <v>0</v>
      </c>
      <c r="J306">
        <f>COUNTBLANK(Metadata!B306)=COLUMNS(Metadata!B306)</f>
        <v>0</v>
      </c>
      <c r="K306">
        <v>0</v>
      </c>
      <c r="M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</row>
    <row r="307" spans="1:13">
      <c r="A307" s="3">
        <f>IF(B307=" "," ",HYPERLINK(CONCATENATE("#metadata!",ADDRESS(INDEX($H$2:$H$1001,MATCH(ROWS($F$2:F307),$F$2:$F$1001,0),0),2)),INDEX($K$2:$K$1001,MATCH(ROWS($F$2:F307),$F$2:$F$1001,0),0)))</f>
        <v>0</v>
      </c>
      <c r="B307" s="4">
        <f>IF(OR(INDEX($G$2:$G$1001,MATCH(ROWS($F$2:F307),$F$2:$F$1001,0),1)&gt;=100000,INDEX($M$1005,1,MATCH(COLUMNS($M$1006:M1006),$M$1006,0))&gt;=100000), " ",IF(INDEX($M$2:$M$1001,MATCH(ROWS($F$2:F307),$F$2:$F$1001,0),MATCH(COLUMNS($M$1006:M1006),$M$1006,0)), HYPERLINK("#",""), HYPERLINK(CONCATENATE("#Metadata!", ADDRESS(INDEX($H$2:$H$1001,MATCH(ROWS($F$2:F307),$F$2:$F$1001,0),0), INDEX($M$1004,1,MATCH(COLUMNS($M$1006:M1006),$M$1006,0)))),"Fix")))</f>
        <v>0</v>
      </c>
      <c r="F307">
        <v>0</v>
      </c>
      <c r="G307">
        <v>0</v>
      </c>
      <c r="H307">
        <v>0</v>
      </c>
      <c r="I307">
        <f>IF(J307,TRUE,AND(M307))</f>
        <v>0</v>
      </c>
      <c r="J307">
        <f>COUNTBLANK(Metadata!B307)=COLUMNS(Metadata!B307)</f>
        <v>0</v>
      </c>
      <c r="K307">
        <v>0</v>
      </c>
      <c r="M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</row>
    <row r="308" spans="1:13">
      <c r="A308" s="3">
        <f>IF(B308=" "," ",HYPERLINK(CONCATENATE("#metadata!",ADDRESS(INDEX($H$2:$H$1001,MATCH(ROWS($F$2:F308),$F$2:$F$1001,0),0),2)),INDEX($K$2:$K$1001,MATCH(ROWS($F$2:F308),$F$2:$F$1001,0),0)))</f>
        <v>0</v>
      </c>
      <c r="B308" s="4">
        <f>IF(OR(INDEX($G$2:$G$1001,MATCH(ROWS($F$2:F308),$F$2:$F$1001,0),1)&gt;=100000,INDEX($M$1005,1,MATCH(COLUMNS($M$1006:M1006),$M$1006,0))&gt;=100000), " ",IF(INDEX($M$2:$M$1001,MATCH(ROWS($F$2:F308),$F$2:$F$1001,0),MATCH(COLUMNS($M$1006:M1006),$M$1006,0)), HYPERLINK("#",""), HYPERLINK(CONCATENATE("#Metadata!", ADDRESS(INDEX($H$2:$H$1001,MATCH(ROWS($F$2:F308),$F$2:$F$1001,0),0), INDEX($M$1004,1,MATCH(COLUMNS($M$1006:M1006),$M$1006,0)))),"Fix")))</f>
        <v>0</v>
      </c>
      <c r="F308">
        <v>0</v>
      </c>
      <c r="G308">
        <v>0</v>
      </c>
      <c r="H308">
        <v>0</v>
      </c>
      <c r="I308">
        <f>IF(J308,TRUE,AND(M308))</f>
        <v>0</v>
      </c>
      <c r="J308">
        <f>COUNTBLANK(Metadata!B308)=COLUMNS(Metadata!B308)</f>
        <v>0</v>
      </c>
      <c r="K308">
        <v>0</v>
      </c>
      <c r="M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</row>
    <row r="309" spans="1:13">
      <c r="A309" s="3">
        <f>IF(B309=" "," ",HYPERLINK(CONCATENATE("#metadata!",ADDRESS(INDEX($H$2:$H$1001,MATCH(ROWS($F$2:F309),$F$2:$F$1001,0),0),2)),INDEX($K$2:$K$1001,MATCH(ROWS($F$2:F309),$F$2:$F$1001,0),0)))</f>
        <v>0</v>
      </c>
      <c r="B309" s="4">
        <f>IF(OR(INDEX($G$2:$G$1001,MATCH(ROWS($F$2:F309),$F$2:$F$1001,0),1)&gt;=100000,INDEX($M$1005,1,MATCH(COLUMNS($M$1006:M1006),$M$1006,0))&gt;=100000), " ",IF(INDEX($M$2:$M$1001,MATCH(ROWS($F$2:F309),$F$2:$F$1001,0),MATCH(COLUMNS($M$1006:M1006),$M$1006,0)), HYPERLINK("#",""), HYPERLINK(CONCATENATE("#Metadata!", ADDRESS(INDEX($H$2:$H$1001,MATCH(ROWS($F$2:F309),$F$2:$F$1001,0),0), INDEX($M$1004,1,MATCH(COLUMNS($M$1006:M1006),$M$1006,0)))),"Fix")))</f>
        <v>0</v>
      </c>
      <c r="F309">
        <v>0</v>
      </c>
      <c r="G309">
        <v>0</v>
      </c>
      <c r="H309">
        <v>0</v>
      </c>
      <c r="I309">
        <f>IF(J309,TRUE,AND(M309))</f>
        <v>0</v>
      </c>
      <c r="J309">
        <f>COUNTBLANK(Metadata!B309)=COLUMNS(Metadata!B309)</f>
        <v>0</v>
      </c>
      <c r="K309">
        <v>0</v>
      </c>
      <c r="M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</row>
    <row r="310" spans="1:13">
      <c r="A310" s="3">
        <f>IF(B310=" "," ",HYPERLINK(CONCATENATE("#metadata!",ADDRESS(INDEX($H$2:$H$1001,MATCH(ROWS($F$2:F310),$F$2:$F$1001,0),0),2)),INDEX($K$2:$K$1001,MATCH(ROWS($F$2:F310),$F$2:$F$1001,0),0)))</f>
        <v>0</v>
      </c>
      <c r="B310" s="4">
        <f>IF(OR(INDEX($G$2:$G$1001,MATCH(ROWS($F$2:F310),$F$2:$F$1001,0),1)&gt;=100000,INDEX($M$1005,1,MATCH(COLUMNS($M$1006:M1006),$M$1006,0))&gt;=100000), " ",IF(INDEX($M$2:$M$1001,MATCH(ROWS($F$2:F310),$F$2:$F$1001,0),MATCH(COLUMNS($M$1006:M1006),$M$1006,0)), HYPERLINK("#",""), HYPERLINK(CONCATENATE("#Metadata!", ADDRESS(INDEX($H$2:$H$1001,MATCH(ROWS($F$2:F310),$F$2:$F$1001,0),0), INDEX($M$1004,1,MATCH(COLUMNS($M$1006:M1006),$M$1006,0)))),"Fix")))</f>
        <v>0</v>
      </c>
      <c r="F310">
        <v>0</v>
      </c>
      <c r="G310">
        <v>0</v>
      </c>
      <c r="H310">
        <v>0</v>
      </c>
      <c r="I310">
        <f>IF(J310,TRUE,AND(M310))</f>
        <v>0</v>
      </c>
      <c r="J310">
        <f>COUNTBLANK(Metadata!B310)=COLUMNS(Metadata!B310)</f>
        <v>0</v>
      </c>
      <c r="K310">
        <v>0</v>
      </c>
      <c r="M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</row>
    <row r="311" spans="1:13">
      <c r="A311" s="3">
        <f>IF(B311=" "," ",HYPERLINK(CONCATENATE("#metadata!",ADDRESS(INDEX($H$2:$H$1001,MATCH(ROWS($F$2:F311),$F$2:$F$1001,0),0),2)),INDEX($K$2:$K$1001,MATCH(ROWS($F$2:F311),$F$2:$F$1001,0),0)))</f>
        <v>0</v>
      </c>
      <c r="B311" s="4">
        <f>IF(OR(INDEX($G$2:$G$1001,MATCH(ROWS($F$2:F311),$F$2:$F$1001,0),1)&gt;=100000,INDEX($M$1005,1,MATCH(COLUMNS($M$1006:M1006),$M$1006,0))&gt;=100000), " ",IF(INDEX($M$2:$M$1001,MATCH(ROWS($F$2:F311),$F$2:$F$1001,0),MATCH(COLUMNS($M$1006:M1006),$M$1006,0)), HYPERLINK("#",""), HYPERLINK(CONCATENATE("#Metadata!", ADDRESS(INDEX($H$2:$H$1001,MATCH(ROWS($F$2:F311),$F$2:$F$1001,0),0), INDEX($M$1004,1,MATCH(COLUMNS($M$1006:M1006),$M$1006,0)))),"Fix")))</f>
        <v>0</v>
      </c>
      <c r="F311">
        <v>0</v>
      </c>
      <c r="G311">
        <v>0</v>
      </c>
      <c r="H311">
        <v>0</v>
      </c>
      <c r="I311">
        <f>IF(J311,TRUE,AND(M311))</f>
        <v>0</v>
      </c>
      <c r="J311">
        <f>COUNTBLANK(Metadata!B311)=COLUMNS(Metadata!B311)</f>
        <v>0</v>
      </c>
      <c r="K311">
        <v>0</v>
      </c>
      <c r="M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</row>
    <row r="312" spans="1:13">
      <c r="A312" s="3">
        <f>IF(B312=" "," ",HYPERLINK(CONCATENATE("#metadata!",ADDRESS(INDEX($H$2:$H$1001,MATCH(ROWS($F$2:F312),$F$2:$F$1001,0),0),2)),INDEX($K$2:$K$1001,MATCH(ROWS($F$2:F312),$F$2:$F$1001,0),0)))</f>
        <v>0</v>
      </c>
      <c r="B312" s="4">
        <f>IF(OR(INDEX($G$2:$G$1001,MATCH(ROWS($F$2:F312),$F$2:$F$1001,0),1)&gt;=100000,INDEX($M$1005,1,MATCH(COLUMNS($M$1006:M1006),$M$1006,0))&gt;=100000), " ",IF(INDEX($M$2:$M$1001,MATCH(ROWS($F$2:F312),$F$2:$F$1001,0),MATCH(COLUMNS($M$1006:M1006),$M$1006,0)), HYPERLINK("#",""), HYPERLINK(CONCATENATE("#Metadata!", ADDRESS(INDEX($H$2:$H$1001,MATCH(ROWS($F$2:F312),$F$2:$F$1001,0),0), INDEX($M$1004,1,MATCH(COLUMNS($M$1006:M1006),$M$1006,0)))),"Fix")))</f>
        <v>0</v>
      </c>
      <c r="F312">
        <v>0</v>
      </c>
      <c r="G312">
        <v>0</v>
      </c>
      <c r="H312">
        <v>0</v>
      </c>
      <c r="I312">
        <f>IF(J312,TRUE,AND(M312))</f>
        <v>0</v>
      </c>
      <c r="J312">
        <f>COUNTBLANK(Metadata!B312)=COLUMNS(Metadata!B312)</f>
        <v>0</v>
      </c>
      <c r="K312">
        <v>0</v>
      </c>
      <c r="M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</row>
    <row r="313" spans="1:13">
      <c r="A313" s="3">
        <f>IF(B313=" "," ",HYPERLINK(CONCATENATE("#metadata!",ADDRESS(INDEX($H$2:$H$1001,MATCH(ROWS($F$2:F313),$F$2:$F$1001,0),0),2)),INDEX($K$2:$K$1001,MATCH(ROWS($F$2:F313),$F$2:$F$1001,0),0)))</f>
        <v>0</v>
      </c>
      <c r="B313" s="4">
        <f>IF(OR(INDEX($G$2:$G$1001,MATCH(ROWS($F$2:F313),$F$2:$F$1001,0),1)&gt;=100000,INDEX($M$1005,1,MATCH(COLUMNS($M$1006:M1006),$M$1006,0))&gt;=100000), " ",IF(INDEX($M$2:$M$1001,MATCH(ROWS($F$2:F313),$F$2:$F$1001,0),MATCH(COLUMNS($M$1006:M1006),$M$1006,0)), HYPERLINK("#",""), HYPERLINK(CONCATENATE("#Metadata!", ADDRESS(INDEX($H$2:$H$1001,MATCH(ROWS($F$2:F313),$F$2:$F$1001,0),0), INDEX($M$1004,1,MATCH(COLUMNS($M$1006:M1006),$M$1006,0)))),"Fix")))</f>
        <v>0</v>
      </c>
      <c r="F313">
        <v>0</v>
      </c>
      <c r="G313">
        <v>0</v>
      </c>
      <c r="H313">
        <v>0</v>
      </c>
      <c r="I313">
        <f>IF(J313,TRUE,AND(M313))</f>
        <v>0</v>
      </c>
      <c r="J313">
        <f>COUNTBLANK(Metadata!B313)=COLUMNS(Metadata!B313)</f>
        <v>0</v>
      </c>
      <c r="K313">
        <v>0</v>
      </c>
      <c r="M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</row>
    <row r="314" spans="1:13">
      <c r="A314" s="3">
        <f>IF(B314=" "," ",HYPERLINK(CONCATENATE("#metadata!",ADDRESS(INDEX($H$2:$H$1001,MATCH(ROWS($F$2:F314),$F$2:$F$1001,0),0),2)),INDEX($K$2:$K$1001,MATCH(ROWS($F$2:F314),$F$2:$F$1001,0),0)))</f>
        <v>0</v>
      </c>
      <c r="B314" s="4">
        <f>IF(OR(INDEX($G$2:$G$1001,MATCH(ROWS($F$2:F314),$F$2:$F$1001,0),1)&gt;=100000,INDEX($M$1005,1,MATCH(COLUMNS($M$1006:M1006),$M$1006,0))&gt;=100000), " ",IF(INDEX($M$2:$M$1001,MATCH(ROWS($F$2:F314),$F$2:$F$1001,0),MATCH(COLUMNS($M$1006:M1006),$M$1006,0)), HYPERLINK("#",""), HYPERLINK(CONCATENATE("#Metadata!", ADDRESS(INDEX($H$2:$H$1001,MATCH(ROWS($F$2:F314),$F$2:$F$1001,0),0), INDEX($M$1004,1,MATCH(COLUMNS($M$1006:M1006),$M$1006,0)))),"Fix")))</f>
        <v>0</v>
      </c>
      <c r="F314">
        <v>0</v>
      </c>
      <c r="G314">
        <v>0</v>
      </c>
      <c r="H314">
        <v>0</v>
      </c>
      <c r="I314">
        <f>IF(J314,TRUE,AND(M314))</f>
        <v>0</v>
      </c>
      <c r="J314">
        <f>COUNTBLANK(Metadata!B314)=COLUMNS(Metadata!B314)</f>
        <v>0</v>
      </c>
      <c r="K314">
        <v>0</v>
      </c>
      <c r="M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</row>
    <row r="315" spans="1:13">
      <c r="A315" s="3">
        <f>IF(B315=" "," ",HYPERLINK(CONCATENATE("#metadata!",ADDRESS(INDEX($H$2:$H$1001,MATCH(ROWS($F$2:F315),$F$2:$F$1001,0),0),2)),INDEX($K$2:$K$1001,MATCH(ROWS($F$2:F315),$F$2:$F$1001,0),0)))</f>
        <v>0</v>
      </c>
      <c r="B315" s="4">
        <f>IF(OR(INDEX($G$2:$G$1001,MATCH(ROWS($F$2:F315),$F$2:$F$1001,0),1)&gt;=100000,INDEX($M$1005,1,MATCH(COLUMNS($M$1006:M1006),$M$1006,0))&gt;=100000), " ",IF(INDEX($M$2:$M$1001,MATCH(ROWS($F$2:F315),$F$2:$F$1001,0),MATCH(COLUMNS($M$1006:M1006),$M$1006,0)), HYPERLINK("#",""), HYPERLINK(CONCATENATE("#Metadata!", ADDRESS(INDEX($H$2:$H$1001,MATCH(ROWS($F$2:F315),$F$2:$F$1001,0),0), INDEX($M$1004,1,MATCH(COLUMNS($M$1006:M1006),$M$1006,0)))),"Fix")))</f>
        <v>0</v>
      </c>
      <c r="F315">
        <v>0</v>
      </c>
      <c r="G315">
        <v>0</v>
      </c>
      <c r="H315">
        <v>0</v>
      </c>
      <c r="I315">
        <f>IF(J315,TRUE,AND(M315))</f>
        <v>0</v>
      </c>
      <c r="J315">
        <f>COUNTBLANK(Metadata!B315)=COLUMNS(Metadata!B315)</f>
        <v>0</v>
      </c>
      <c r="K315">
        <v>0</v>
      </c>
      <c r="M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</row>
    <row r="316" spans="1:13">
      <c r="A316" s="3">
        <f>IF(B316=" "," ",HYPERLINK(CONCATENATE("#metadata!",ADDRESS(INDEX($H$2:$H$1001,MATCH(ROWS($F$2:F316),$F$2:$F$1001,0),0),2)),INDEX($K$2:$K$1001,MATCH(ROWS($F$2:F316),$F$2:$F$1001,0),0)))</f>
        <v>0</v>
      </c>
      <c r="B316" s="4">
        <f>IF(OR(INDEX($G$2:$G$1001,MATCH(ROWS($F$2:F316),$F$2:$F$1001,0),1)&gt;=100000,INDEX($M$1005,1,MATCH(COLUMNS($M$1006:M1006),$M$1006,0))&gt;=100000), " ",IF(INDEX($M$2:$M$1001,MATCH(ROWS($F$2:F316),$F$2:$F$1001,0),MATCH(COLUMNS($M$1006:M1006),$M$1006,0)), HYPERLINK("#",""), HYPERLINK(CONCATENATE("#Metadata!", ADDRESS(INDEX($H$2:$H$1001,MATCH(ROWS($F$2:F316),$F$2:$F$1001,0),0), INDEX($M$1004,1,MATCH(COLUMNS($M$1006:M1006),$M$1006,0)))),"Fix")))</f>
        <v>0</v>
      </c>
      <c r="F316">
        <v>0</v>
      </c>
      <c r="G316">
        <v>0</v>
      </c>
      <c r="H316">
        <v>0</v>
      </c>
      <c r="I316">
        <f>IF(J316,TRUE,AND(M316))</f>
        <v>0</v>
      </c>
      <c r="J316">
        <f>COUNTBLANK(Metadata!B316)=COLUMNS(Metadata!B316)</f>
        <v>0</v>
      </c>
      <c r="K316">
        <v>0</v>
      </c>
      <c r="M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</row>
    <row r="317" spans="1:13">
      <c r="A317" s="3">
        <f>IF(B317=" "," ",HYPERLINK(CONCATENATE("#metadata!",ADDRESS(INDEX($H$2:$H$1001,MATCH(ROWS($F$2:F317),$F$2:$F$1001,0),0),2)),INDEX($K$2:$K$1001,MATCH(ROWS($F$2:F317),$F$2:$F$1001,0),0)))</f>
        <v>0</v>
      </c>
      <c r="B317" s="4">
        <f>IF(OR(INDEX($G$2:$G$1001,MATCH(ROWS($F$2:F317),$F$2:$F$1001,0),1)&gt;=100000,INDEX($M$1005,1,MATCH(COLUMNS($M$1006:M1006),$M$1006,0))&gt;=100000), " ",IF(INDEX($M$2:$M$1001,MATCH(ROWS($F$2:F317),$F$2:$F$1001,0),MATCH(COLUMNS($M$1006:M1006),$M$1006,0)), HYPERLINK("#",""), HYPERLINK(CONCATENATE("#Metadata!", ADDRESS(INDEX($H$2:$H$1001,MATCH(ROWS($F$2:F317),$F$2:$F$1001,0),0), INDEX($M$1004,1,MATCH(COLUMNS($M$1006:M1006),$M$1006,0)))),"Fix")))</f>
        <v>0</v>
      </c>
      <c r="F317">
        <v>0</v>
      </c>
      <c r="G317">
        <v>0</v>
      </c>
      <c r="H317">
        <v>0</v>
      </c>
      <c r="I317">
        <f>IF(J317,TRUE,AND(M317))</f>
        <v>0</v>
      </c>
      <c r="J317">
        <f>COUNTBLANK(Metadata!B317)=COLUMNS(Metadata!B317)</f>
        <v>0</v>
      </c>
      <c r="K317">
        <v>0</v>
      </c>
      <c r="M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</row>
    <row r="318" spans="1:13">
      <c r="A318" s="3">
        <f>IF(B318=" "," ",HYPERLINK(CONCATENATE("#metadata!",ADDRESS(INDEX($H$2:$H$1001,MATCH(ROWS($F$2:F318),$F$2:$F$1001,0),0),2)),INDEX($K$2:$K$1001,MATCH(ROWS($F$2:F318),$F$2:$F$1001,0),0)))</f>
        <v>0</v>
      </c>
      <c r="B318" s="4">
        <f>IF(OR(INDEX($G$2:$G$1001,MATCH(ROWS($F$2:F318),$F$2:$F$1001,0),1)&gt;=100000,INDEX($M$1005,1,MATCH(COLUMNS($M$1006:M1006),$M$1006,0))&gt;=100000), " ",IF(INDEX($M$2:$M$1001,MATCH(ROWS($F$2:F318),$F$2:$F$1001,0),MATCH(COLUMNS($M$1006:M1006),$M$1006,0)), HYPERLINK("#",""), HYPERLINK(CONCATENATE("#Metadata!", ADDRESS(INDEX($H$2:$H$1001,MATCH(ROWS($F$2:F318),$F$2:$F$1001,0),0), INDEX($M$1004,1,MATCH(COLUMNS($M$1006:M1006),$M$1006,0)))),"Fix")))</f>
        <v>0</v>
      </c>
      <c r="F318">
        <v>0</v>
      </c>
      <c r="G318">
        <v>0</v>
      </c>
      <c r="H318">
        <v>0</v>
      </c>
      <c r="I318">
        <f>IF(J318,TRUE,AND(M318))</f>
        <v>0</v>
      </c>
      <c r="J318">
        <f>COUNTBLANK(Metadata!B318)=COLUMNS(Metadata!B318)</f>
        <v>0</v>
      </c>
      <c r="K318">
        <v>0</v>
      </c>
      <c r="M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</row>
    <row r="319" spans="1:13">
      <c r="A319" s="3">
        <f>IF(B319=" "," ",HYPERLINK(CONCATENATE("#metadata!",ADDRESS(INDEX($H$2:$H$1001,MATCH(ROWS($F$2:F319),$F$2:$F$1001,0),0),2)),INDEX($K$2:$K$1001,MATCH(ROWS($F$2:F319),$F$2:$F$1001,0),0)))</f>
        <v>0</v>
      </c>
      <c r="B319" s="4">
        <f>IF(OR(INDEX($G$2:$G$1001,MATCH(ROWS($F$2:F319),$F$2:$F$1001,0),1)&gt;=100000,INDEX($M$1005,1,MATCH(COLUMNS($M$1006:M1006),$M$1006,0))&gt;=100000), " ",IF(INDEX($M$2:$M$1001,MATCH(ROWS($F$2:F319),$F$2:$F$1001,0),MATCH(COLUMNS($M$1006:M1006),$M$1006,0)), HYPERLINK("#",""), HYPERLINK(CONCATENATE("#Metadata!", ADDRESS(INDEX($H$2:$H$1001,MATCH(ROWS($F$2:F319),$F$2:$F$1001,0),0), INDEX($M$1004,1,MATCH(COLUMNS($M$1006:M1006),$M$1006,0)))),"Fix")))</f>
        <v>0</v>
      </c>
      <c r="F319">
        <v>0</v>
      </c>
      <c r="G319">
        <v>0</v>
      </c>
      <c r="H319">
        <v>0</v>
      </c>
      <c r="I319">
        <f>IF(J319,TRUE,AND(M319))</f>
        <v>0</v>
      </c>
      <c r="J319">
        <f>COUNTBLANK(Metadata!B319)=COLUMNS(Metadata!B319)</f>
        <v>0</v>
      </c>
      <c r="K319">
        <v>0</v>
      </c>
      <c r="M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</row>
    <row r="320" spans="1:13">
      <c r="A320" s="3">
        <f>IF(B320=" "," ",HYPERLINK(CONCATENATE("#metadata!",ADDRESS(INDEX($H$2:$H$1001,MATCH(ROWS($F$2:F320),$F$2:$F$1001,0),0),2)),INDEX($K$2:$K$1001,MATCH(ROWS($F$2:F320),$F$2:$F$1001,0),0)))</f>
        <v>0</v>
      </c>
      <c r="B320" s="4">
        <f>IF(OR(INDEX($G$2:$G$1001,MATCH(ROWS($F$2:F320),$F$2:$F$1001,0),1)&gt;=100000,INDEX($M$1005,1,MATCH(COLUMNS($M$1006:M1006),$M$1006,0))&gt;=100000), " ",IF(INDEX($M$2:$M$1001,MATCH(ROWS($F$2:F320),$F$2:$F$1001,0),MATCH(COLUMNS($M$1006:M1006),$M$1006,0)), HYPERLINK("#",""), HYPERLINK(CONCATENATE("#Metadata!", ADDRESS(INDEX($H$2:$H$1001,MATCH(ROWS($F$2:F320),$F$2:$F$1001,0),0), INDEX($M$1004,1,MATCH(COLUMNS($M$1006:M1006),$M$1006,0)))),"Fix")))</f>
        <v>0</v>
      </c>
      <c r="F320">
        <v>0</v>
      </c>
      <c r="G320">
        <v>0</v>
      </c>
      <c r="H320">
        <v>0</v>
      </c>
      <c r="I320">
        <f>IF(J320,TRUE,AND(M320))</f>
        <v>0</v>
      </c>
      <c r="J320">
        <f>COUNTBLANK(Metadata!B320)=COLUMNS(Metadata!B320)</f>
        <v>0</v>
      </c>
      <c r="K320">
        <v>0</v>
      </c>
      <c r="M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</row>
    <row r="321" spans="1:13">
      <c r="A321" s="3">
        <f>IF(B321=" "," ",HYPERLINK(CONCATENATE("#metadata!",ADDRESS(INDEX($H$2:$H$1001,MATCH(ROWS($F$2:F321),$F$2:$F$1001,0),0),2)),INDEX($K$2:$K$1001,MATCH(ROWS($F$2:F321),$F$2:$F$1001,0),0)))</f>
        <v>0</v>
      </c>
      <c r="B321" s="4">
        <f>IF(OR(INDEX($G$2:$G$1001,MATCH(ROWS($F$2:F321),$F$2:$F$1001,0),1)&gt;=100000,INDEX($M$1005,1,MATCH(COLUMNS($M$1006:M1006),$M$1006,0))&gt;=100000), " ",IF(INDEX($M$2:$M$1001,MATCH(ROWS($F$2:F321),$F$2:$F$1001,0),MATCH(COLUMNS($M$1006:M1006),$M$1006,0)), HYPERLINK("#",""), HYPERLINK(CONCATENATE("#Metadata!", ADDRESS(INDEX($H$2:$H$1001,MATCH(ROWS($F$2:F321),$F$2:$F$1001,0),0), INDEX($M$1004,1,MATCH(COLUMNS($M$1006:M1006),$M$1006,0)))),"Fix")))</f>
        <v>0</v>
      </c>
      <c r="F321">
        <v>0</v>
      </c>
      <c r="G321">
        <v>0</v>
      </c>
      <c r="H321">
        <v>0</v>
      </c>
      <c r="I321">
        <f>IF(J321,TRUE,AND(M321))</f>
        <v>0</v>
      </c>
      <c r="J321">
        <f>COUNTBLANK(Metadata!B321)=COLUMNS(Metadata!B321)</f>
        <v>0</v>
      </c>
      <c r="K321">
        <v>0</v>
      </c>
      <c r="M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</row>
    <row r="322" spans="1:13">
      <c r="A322" s="3">
        <f>IF(B322=" "," ",HYPERLINK(CONCATENATE("#metadata!",ADDRESS(INDEX($H$2:$H$1001,MATCH(ROWS($F$2:F322),$F$2:$F$1001,0),0),2)),INDEX($K$2:$K$1001,MATCH(ROWS($F$2:F322),$F$2:$F$1001,0),0)))</f>
        <v>0</v>
      </c>
      <c r="B322" s="4">
        <f>IF(OR(INDEX($G$2:$G$1001,MATCH(ROWS($F$2:F322),$F$2:$F$1001,0),1)&gt;=100000,INDEX($M$1005,1,MATCH(COLUMNS($M$1006:M1006),$M$1006,0))&gt;=100000), " ",IF(INDEX($M$2:$M$1001,MATCH(ROWS($F$2:F322),$F$2:$F$1001,0),MATCH(COLUMNS($M$1006:M1006),$M$1006,0)), HYPERLINK("#",""), HYPERLINK(CONCATENATE("#Metadata!", ADDRESS(INDEX($H$2:$H$1001,MATCH(ROWS($F$2:F322),$F$2:$F$1001,0),0), INDEX($M$1004,1,MATCH(COLUMNS($M$1006:M1006),$M$1006,0)))),"Fix")))</f>
        <v>0</v>
      </c>
      <c r="F322">
        <v>0</v>
      </c>
      <c r="G322">
        <v>0</v>
      </c>
      <c r="H322">
        <v>0</v>
      </c>
      <c r="I322">
        <f>IF(J322,TRUE,AND(M322))</f>
        <v>0</v>
      </c>
      <c r="J322">
        <f>COUNTBLANK(Metadata!B322)=COLUMNS(Metadata!B322)</f>
        <v>0</v>
      </c>
      <c r="K322">
        <v>0</v>
      </c>
      <c r="M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</row>
    <row r="323" spans="1:13">
      <c r="A323" s="3">
        <f>IF(B323=" "," ",HYPERLINK(CONCATENATE("#metadata!",ADDRESS(INDEX($H$2:$H$1001,MATCH(ROWS($F$2:F323),$F$2:$F$1001,0),0),2)),INDEX($K$2:$K$1001,MATCH(ROWS($F$2:F323),$F$2:$F$1001,0),0)))</f>
        <v>0</v>
      </c>
      <c r="B323" s="4">
        <f>IF(OR(INDEX($G$2:$G$1001,MATCH(ROWS($F$2:F323),$F$2:$F$1001,0),1)&gt;=100000,INDEX($M$1005,1,MATCH(COLUMNS($M$1006:M1006),$M$1006,0))&gt;=100000), " ",IF(INDEX($M$2:$M$1001,MATCH(ROWS($F$2:F323),$F$2:$F$1001,0),MATCH(COLUMNS($M$1006:M1006),$M$1006,0)), HYPERLINK("#",""), HYPERLINK(CONCATENATE("#Metadata!", ADDRESS(INDEX($H$2:$H$1001,MATCH(ROWS($F$2:F323),$F$2:$F$1001,0),0), INDEX($M$1004,1,MATCH(COLUMNS($M$1006:M1006),$M$1006,0)))),"Fix")))</f>
        <v>0</v>
      </c>
      <c r="F323">
        <v>0</v>
      </c>
      <c r="G323">
        <v>0</v>
      </c>
      <c r="H323">
        <v>0</v>
      </c>
      <c r="I323">
        <f>IF(J323,TRUE,AND(M323))</f>
        <v>0</v>
      </c>
      <c r="J323">
        <f>COUNTBLANK(Metadata!B323)=COLUMNS(Metadata!B323)</f>
        <v>0</v>
      </c>
      <c r="K323">
        <v>0</v>
      </c>
      <c r="M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</row>
    <row r="324" spans="1:13">
      <c r="A324" s="3">
        <f>IF(B324=" "," ",HYPERLINK(CONCATENATE("#metadata!",ADDRESS(INDEX($H$2:$H$1001,MATCH(ROWS($F$2:F324),$F$2:$F$1001,0),0),2)),INDEX($K$2:$K$1001,MATCH(ROWS($F$2:F324),$F$2:$F$1001,0),0)))</f>
        <v>0</v>
      </c>
      <c r="B324" s="4">
        <f>IF(OR(INDEX($G$2:$G$1001,MATCH(ROWS($F$2:F324),$F$2:$F$1001,0),1)&gt;=100000,INDEX($M$1005,1,MATCH(COLUMNS($M$1006:M1006),$M$1006,0))&gt;=100000), " ",IF(INDEX($M$2:$M$1001,MATCH(ROWS($F$2:F324),$F$2:$F$1001,0),MATCH(COLUMNS($M$1006:M1006),$M$1006,0)), HYPERLINK("#",""), HYPERLINK(CONCATENATE("#Metadata!", ADDRESS(INDEX($H$2:$H$1001,MATCH(ROWS($F$2:F324),$F$2:$F$1001,0),0), INDEX($M$1004,1,MATCH(COLUMNS($M$1006:M1006),$M$1006,0)))),"Fix")))</f>
        <v>0</v>
      </c>
      <c r="F324">
        <v>0</v>
      </c>
      <c r="G324">
        <v>0</v>
      </c>
      <c r="H324">
        <v>0</v>
      </c>
      <c r="I324">
        <f>IF(J324,TRUE,AND(M324))</f>
        <v>0</v>
      </c>
      <c r="J324">
        <f>COUNTBLANK(Metadata!B324)=COLUMNS(Metadata!B324)</f>
        <v>0</v>
      </c>
      <c r="K324">
        <v>0</v>
      </c>
      <c r="M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</row>
    <row r="325" spans="1:13">
      <c r="A325" s="3">
        <f>IF(B325=" "," ",HYPERLINK(CONCATENATE("#metadata!",ADDRESS(INDEX($H$2:$H$1001,MATCH(ROWS($F$2:F325),$F$2:$F$1001,0),0),2)),INDEX($K$2:$K$1001,MATCH(ROWS($F$2:F325),$F$2:$F$1001,0),0)))</f>
        <v>0</v>
      </c>
      <c r="B325" s="4">
        <f>IF(OR(INDEX($G$2:$G$1001,MATCH(ROWS($F$2:F325),$F$2:$F$1001,0),1)&gt;=100000,INDEX($M$1005,1,MATCH(COLUMNS($M$1006:M1006),$M$1006,0))&gt;=100000), " ",IF(INDEX($M$2:$M$1001,MATCH(ROWS($F$2:F325),$F$2:$F$1001,0),MATCH(COLUMNS($M$1006:M1006),$M$1006,0)), HYPERLINK("#",""), HYPERLINK(CONCATENATE("#Metadata!", ADDRESS(INDEX($H$2:$H$1001,MATCH(ROWS($F$2:F325),$F$2:$F$1001,0),0), INDEX($M$1004,1,MATCH(COLUMNS($M$1006:M1006),$M$1006,0)))),"Fix")))</f>
        <v>0</v>
      </c>
      <c r="F325">
        <v>0</v>
      </c>
      <c r="G325">
        <v>0</v>
      </c>
      <c r="H325">
        <v>0</v>
      </c>
      <c r="I325">
        <f>IF(J325,TRUE,AND(M325))</f>
        <v>0</v>
      </c>
      <c r="J325">
        <f>COUNTBLANK(Metadata!B325)=COLUMNS(Metadata!B325)</f>
        <v>0</v>
      </c>
      <c r="K325">
        <v>0</v>
      </c>
      <c r="M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</row>
    <row r="326" spans="1:13">
      <c r="A326" s="3">
        <f>IF(B326=" "," ",HYPERLINK(CONCATENATE("#metadata!",ADDRESS(INDEX($H$2:$H$1001,MATCH(ROWS($F$2:F326),$F$2:$F$1001,0),0),2)),INDEX($K$2:$K$1001,MATCH(ROWS($F$2:F326),$F$2:$F$1001,0),0)))</f>
        <v>0</v>
      </c>
      <c r="B326" s="4">
        <f>IF(OR(INDEX($G$2:$G$1001,MATCH(ROWS($F$2:F326),$F$2:$F$1001,0),1)&gt;=100000,INDEX($M$1005,1,MATCH(COLUMNS($M$1006:M1006),$M$1006,0))&gt;=100000), " ",IF(INDEX($M$2:$M$1001,MATCH(ROWS($F$2:F326),$F$2:$F$1001,0),MATCH(COLUMNS($M$1006:M1006),$M$1006,0)), HYPERLINK("#",""), HYPERLINK(CONCATENATE("#Metadata!", ADDRESS(INDEX($H$2:$H$1001,MATCH(ROWS($F$2:F326),$F$2:$F$1001,0),0), INDEX($M$1004,1,MATCH(COLUMNS($M$1006:M1006),$M$1006,0)))),"Fix")))</f>
        <v>0</v>
      </c>
      <c r="F326">
        <v>0</v>
      </c>
      <c r="G326">
        <v>0</v>
      </c>
      <c r="H326">
        <v>0</v>
      </c>
      <c r="I326">
        <f>IF(J326,TRUE,AND(M326))</f>
        <v>0</v>
      </c>
      <c r="J326">
        <f>COUNTBLANK(Metadata!B326)=COLUMNS(Metadata!B326)</f>
        <v>0</v>
      </c>
      <c r="K326">
        <v>0</v>
      </c>
      <c r="M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</row>
    <row r="327" spans="1:13">
      <c r="A327" s="3">
        <f>IF(B327=" "," ",HYPERLINK(CONCATENATE("#metadata!",ADDRESS(INDEX($H$2:$H$1001,MATCH(ROWS($F$2:F327),$F$2:$F$1001,0),0),2)),INDEX($K$2:$K$1001,MATCH(ROWS($F$2:F327),$F$2:$F$1001,0),0)))</f>
        <v>0</v>
      </c>
      <c r="B327" s="4">
        <f>IF(OR(INDEX($G$2:$G$1001,MATCH(ROWS($F$2:F327),$F$2:$F$1001,0),1)&gt;=100000,INDEX($M$1005,1,MATCH(COLUMNS($M$1006:M1006),$M$1006,0))&gt;=100000), " ",IF(INDEX($M$2:$M$1001,MATCH(ROWS($F$2:F327),$F$2:$F$1001,0),MATCH(COLUMNS($M$1006:M1006),$M$1006,0)), HYPERLINK("#",""), HYPERLINK(CONCATENATE("#Metadata!", ADDRESS(INDEX($H$2:$H$1001,MATCH(ROWS($F$2:F327),$F$2:$F$1001,0),0), INDEX($M$1004,1,MATCH(COLUMNS($M$1006:M1006),$M$1006,0)))),"Fix")))</f>
        <v>0</v>
      </c>
      <c r="F327">
        <v>0</v>
      </c>
      <c r="G327">
        <v>0</v>
      </c>
      <c r="H327">
        <v>0</v>
      </c>
      <c r="I327">
        <f>IF(J327,TRUE,AND(M327))</f>
        <v>0</v>
      </c>
      <c r="J327">
        <f>COUNTBLANK(Metadata!B327)=COLUMNS(Metadata!B327)</f>
        <v>0</v>
      </c>
      <c r="K327">
        <v>0</v>
      </c>
      <c r="M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</row>
    <row r="328" spans="1:13">
      <c r="A328" s="3">
        <f>IF(B328=" "," ",HYPERLINK(CONCATENATE("#metadata!",ADDRESS(INDEX($H$2:$H$1001,MATCH(ROWS($F$2:F328),$F$2:$F$1001,0),0),2)),INDEX($K$2:$K$1001,MATCH(ROWS($F$2:F328),$F$2:$F$1001,0),0)))</f>
        <v>0</v>
      </c>
      <c r="B328" s="4">
        <f>IF(OR(INDEX($G$2:$G$1001,MATCH(ROWS($F$2:F328),$F$2:$F$1001,0),1)&gt;=100000,INDEX($M$1005,1,MATCH(COLUMNS($M$1006:M1006),$M$1006,0))&gt;=100000), " ",IF(INDEX($M$2:$M$1001,MATCH(ROWS($F$2:F328),$F$2:$F$1001,0),MATCH(COLUMNS($M$1006:M1006),$M$1006,0)), HYPERLINK("#",""), HYPERLINK(CONCATENATE("#Metadata!", ADDRESS(INDEX($H$2:$H$1001,MATCH(ROWS($F$2:F328),$F$2:$F$1001,0),0), INDEX($M$1004,1,MATCH(COLUMNS($M$1006:M1006),$M$1006,0)))),"Fix")))</f>
        <v>0</v>
      </c>
      <c r="F328">
        <v>0</v>
      </c>
      <c r="G328">
        <v>0</v>
      </c>
      <c r="H328">
        <v>0</v>
      </c>
      <c r="I328">
        <f>IF(J328,TRUE,AND(M328))</f>
        <v>0</v>
      </c>
      <c r="J328">
        <f>COUNTBLANK(Metadata!B328)=COLUMNS(Metadata!B328)</f>
        <v>0</v>
      </c>
      <c r="K328">
        <v>0</v>
      </c>
      <c r="M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</row>
    <row r="329" spans="1:13">
      <c r="A329" s="3">
        <f>IF(B329=" "," ",HYPERLINK(CONCATENATE("#metadata!",ADDRESS(INDEX($H$2:$H$1001,MATCH(ROWS($F$2:F329),$F$2:$F$1001,0),0),2)),INDEX($K$2:$K$1001,MATCH(ROWS($F$2:F329),$F$2:$F$1001,0),0)))</f>
        <v>0</v>
      </c>
      <c r="B329" s="4">
        <f>IF(OR(INDEX($G$2:$G$1001,MATCH(ROWS($F$2:F329),$F$2:$F$1001,0),1)&gt;=100000,INDEX($M$1005,1,MATCH(COLUMNS($M$1006:M1006),$M$1006,0))&gt;=100000), " ",IF(INDEX($M$2:$M$1001,MATCH(ROWS($F$2:F329),$F$2:$F$1001,0),MATCH(COLUMNS($M$1006:M1006),$M$1006,0)), HYPERLINK("#",""), HYPERLINK(CONCATENATE("#Metadata!", ADDRESS(INDEX($H$2:$H$1001,MATCH(ROWS($F$2:F329),$F$2:$F$1001,0),0), INDEX($M$1004,1,MATCH(COLUMNS($M$1006:M1006),$M$1006,0)))),"Fix")))</f>
        <v>0</v>
      </c>
      <c r="F329">
        <v>0</v>
      </c>
      <c r="G329">
        <v>0</v>
      </c>
      <c r="H329">
        <v>0</v>
      </c>
      <c r="I329">
        <f>IF(J329,TRUE,AND(M329))</f>
        <v>0</v>
      </c>
      <c r="J329">
        <f>COUNTBLANK(Metadata!B329)=COLUMNS(Metadata!B329)</f>
        <v>0</v>
      </c>
      <c r="K329">
        <v>0</v>
      </c>
      <c r="M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</row>
    <row r="330" spans="1:13">
      <c r="A330" s="3">
        <f>IF(B330=" "," ",HYPERLINK(CONCATENATE("#metadata!",ADDRESS(INDEX($H$2:$H$1001,MATCH(ROWS($F$2:F330),$F$2:$F$1001,0),0),2)),INDEX($K$2:$K$1001,MATCH(ROWS($F$2:F330),$F$2:$F$1001,0),0)))</f>
        <v>0</v>
      </c>
      <c r="B330" s="4">
        <f>IF(OR(INDEX($G$2:$G$1001,MATCH(ROWS($F$2:F330),$F$2:$F$1001,0),1)&gt;=100000,INDEX($M$1005,1,MATCH(COLUMNS($M$1006:M1006),$M$1006,0))&gt;=100000), " ",IF(INDEX($M$2:$M$1001,MATCH(ROWS($F$2:F330),$F$2:$F$1001,0),MATCH(COLUMNS($M$1006:M1006),$M$1006,0)), HYPERLINK("#",""), HYPERLINK(CONCATENATE("#Metadata!", ADDRESS(INDEX($H$2:$H$1001,MATCH(ROWS($F$2:F330),$F$2:$F$1001,0),0), INDEX($M$1004,1,MATCH(COLUMNS($M$1006:M1006),$M$1006,0)))),"Fix")))</f>
        <v>0</v>
      </c>
      <c r="F330">
        <v>0</v>
      </c>
      <c r="G330">
        <v>0</v>
      </c>
      <c r="H330">
        <v>0</v>
      </c>
      <c r="I330">
        <f>IF(J330,TRUE,AND(M330))</f>
        <v>0</v>
      </c>
      <c r="J330">
        <f>COUNTBLANK(Metadata!B330)=COLUMNS(Metadata!B330)</f>
        <v>0</v>
      </c>
      <c r="K330">
        <v>0</v>
      </c>
      <c r="M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</row>
    <row r="331" spans="1:13">
      <c r="A331" s="3">
        <f>IF(B331=" "," ",HYPERLINK(CONCATENATE("#metadata!",ADDRESS(INDEX($H$2:$H$1001,MATCH(ROWS($F$2:F331),$F$2:$F$1001,0),0),2)),INDEX($K$2:$K$1001,MATCH(ROWS($F$2:F331),$F$2:$F$1001,0),0)))</f>
        <v>0</v>
      </c>
      <c r="B331" s="4">
        <f>IF(OR(INDEX($G$2:$G$1001,MATCH(ROWS($F$2:F331),$F$2:$F$1001,0),1)&gt;=100000,INDEX($M$1005,1,MATCH(COLUMNS($M$1006:M1006),$M$1006,0))&gt;=100000), " ",IF(INDEX($M$2:$M$1001,MATCH(ROWS($F$2:F331),$F$2:$F$1001,0),MATCH(COLUMNS($M$1006:M1006),$M$1006,0)), HYPERLINK("#",""), HYPERLINK(CONCATENATE("#Metadata!", ADDRESS(INDEX($H$2:$H$1001,MATCH(ROWS($F$2:F331),$F$2:$F$1001,0),0), INDEX($M$1004,1,MATCH(COLUMNS($M$1006:M1006),$M$1006,0)))),"Fix")))</f>
        <v>0</v>
      </c>
      <c r="F331">
        <v>0</v>
      </c>
      <c r="G331">
        <v>0</v>
      </c>
      <c r="H331">
        <v>0</v>
      </c>
      <c r="I331">
        <f>IF(J331,TRUE,AND(M331))</f>
        <v>0</v>
      </c>
      <c r="J331">
        <f>COUNTBLANK(Metadata!B331)=COLUMNS(Metadata!B331)</f>
        <v>0</v>
      </c>
      <c r="K331">
        <v>0</v>
      </c>
      <c r="M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</row>
    <row r="332" spans="1:13">
      <c r="A332" s="3">
        <f>IF(B332=" "," ",HYPERLINK(CONCATENATE("#metadata!",ADDRESS(INDEX($H$2:$H$1001,MATCH(ROWS($F$2:F332),$F$2:$F$1001,0),0),2)),INDEX($K$2:$K$1001,MATCH(ROWS($F$2:F332),$F$2:$F$1001,0),0)))</f>
        <v>0</v>
      </c>
      <c r="B332" s="4">
        <f>IF(OR(INDEX($G$2:$G$1001,MATCH(ROWS($F$2:F332),$F$2:$F$1001,0),1)&gt;=100000,INDEX($M$1005,1,MATCH(COLUMNS($M$1006:M1006),$M$1006,0))&gt;=100000), " ",IF(INDEX($M$2:$M$1001,MATCH(ROWS($F$2:F332),$F$2:$F$1001,0),MATCH(COLUMNS($M$1006:M1006),$M$1006,0)), HYPERLINK("#",""), HYPERLINK(CONCATENATE("#Metadata!", ADDRESS(INDEX($H$2:$H$1001,MATCH(ROWS($F$2:F332),$F$2:$F$1001,0),0), INDEX($M$1004,1,MATCH(COLUMNS($M$1006:M1006),$M$1006,0)))),"Fix")))</f>
        <v>0</v>
      </c>
      <c r="F332">
        <v>0</v>
      </c>
      <c r="G332">
        <v>0</v>
      </c>
      <c r="H332">
        <v>0</v>
      </c>
      <c r="I332">
        <f>IF(J332,TRUE,AND(M332))</f>
        <v>0</v>
      </c>
      <c r="J332">
        <f>COUNTBLANK(Metadata!B332)=COLUMNS(Metadata!B332)</f>
        <v>0</v>
      </c>
      <c r="K332">
        <v>0</v>
      </c>
      <c r="M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</row>
    <row r="333" spans="1:13">
      <c r="A333" s="3">
        <f>IF(B333=" "," ",HYPERLINK(CONCATENATE("#metadata!",ADDRESS(INDEX($H$2:$H$1001,MATCH(ROWS($F$2:F333),$F$2:$F$1001,0),0),2)),INDEX($K$2:$K$1001,MATCH(ROWS($F$2:F333),$F$2:$F$1001,0),0)))</f>
        <v>0</v>
      </c>
      <c r="B333" s="4">
        <f>IF(OR(INDEX($G$2:$G$1001,MATCH(ROWS($F$2:F333),$F$2:$F$1001,0),1)&gt;=100000,INDEX($M$1005,1,MATCH(COLUMNS($M$1006:M1006),$M$1006,0))&gt;=100000), " ",IF(INDEX($M$2:$M$1001,MATCH(ROWS($F$2:F333),$F$2:$F$1001,0),MATCH(COLUMNS($M$1006:M1006),$M$1006,0)), HYPERLINK("#",""), HYPERLINK(CONCATENATE("#Metadata!", ADDRESS(INDEX($H$2:$H$1001,MATCH(ROWS($F$2:F333),$F$2:$F$1001,0),0), INDEX($M$1004,1,MATCH(COLUMNS($M$1006:M1006),$M$1006,0)))),"Fix")))</f>
        <v>0</v>
      </c>
      <c r="F333">
        <v>0</v>
      </c>
      <c r="G333">
        <v>0</v>
      </c>
      <c r="H333">
        <v>0</v>
      </c>
      <c r="I333">
        <f>IF(J333,TRUE,AND(M333))</f>
        <v>0</v>
      </c>
      <c r="J333">
        <f>COUNTBLANK(Metadata!B333)=COLUMNS(Metadata!B333)</f>
        <v>0</v>
      </c>
      <c r="K333">
        <v>0</v>
      </c>
      <c r="M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</row>
    <row r="334" spans="1:13">
      <c r="A334" s="3">
        <f>IF(B334=" "," ",HYPERLINK(CONCATENATE("#metadata!",ADDRESS(INDEX($H$2:$H$1001,MATCH(ROWS($F$2:F334),$F$2:$F$1001,0),0),2)),INDEX($K$2:$K$1001,MATCH(ROWS($F$2:F334),$F$2:$F$1001,0),0)))</f>
        <v>0</v>
      </c>
      <c r="B334" s="4">
        <f>IF(OR(INDEX($G$2:$G$1001,MATCH(ROWS($F$2:F334),$F$2:$F$1001,0),1)&gt;=100000,INDEX($M$1005,1,MATCH(COLUMNS($M$1006:M1006),$M$1006,0))&gt;=100000), " ",IF(INDEX($M$2:$M$1001,MATCH(ROWS($F$2:F334),$F$2:$F$1001,0),MATCH(COLUMNS($M$1006:M1006),$M$1006,0)), HYPERLINK("#",""), HYPERLINK(CONCATENATE("#Metadata!", ADDRESS(INDEX($H$2:$H$1001,MATCH(ROWS($F$2:F334),$F$2:$F$1001,0),0), INDEX($M$1004,1,MATCH(COLUMNS($M$1006:M1006),$M$1006,0)))),"Fix")))</f>
        <v>0</v>
      </c>
      <c r="F334">
        <v>0</v>
      </c>
      <c r="G334">
        <v>0</v>
      </c>
      <c r="H334">
        <v>0</v>
      </c>
      <c r="I334">
        <f>IF(J334,TRUE,AND(M334))</f>
        <v>0</v>
      </c>
      <c r="J334">
        <f>COUNTBLANK(Metadata!B334)=COLUMNS(Metadata!B334)</f>
        <v>0</v>
      </c>
      <c r="K334">
        <v>0</v>
      </c>
      <c r="M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</row>
    <row r="335" spans="1:13">
      <c r="A335" s="3">
        <f>IF(B335=" "," ",HYPERLINK(CONCATENATE("#metadata!",ADDRESS(INDEX($H$2:$H$1001,MATCH(ROWS($F$2:F335),$F$2:$F$1001,0),0),2)),INDEX($K$2:$K$1001,MATCH(ROWS($F$2:F335),$F$2:$F$1001,0),0)))</f>
        <v>0</v>
      </c>
      <c r="B335" s="4">
        <f>IF(OR(INDEX($G$2:$G$1001,MATCH(ROWS($F$2:F335),$F$2:$F$1001,0),1)&gt;=100000,INDEX($M$1005,1,MATCH(COLUMNS($M$1006:M1006),$M$1006,0))&gt;=100000), " ",IF(INDEX($M$2:$M$1001,MATCH(ROWS($F$2:F335),$F$2:$F$1001,0),MATCH(COLUMNS($M$1006:M1006),$M$1006,0)), HYPERLINK("#",""), HYPERLINK(CONCATENATE("#Metadata!", ADDRESS(INDEX($H$2:$H$1001,MATCH(ROWS($F$2:F335),$F$2:$F$1001,0),0), INDEX($M$1004,1,MATCH(COLUMNS($M$1006:M1006),$M$1006,0)))),"Fix")))</f>
        <v>0</v>
      </c>
      <c r="F335">
        <v>0</v>
      </c>
      <c r="G335">
        <v>0</v>
      </c>
      <c r="H335">
        <v>0</v>
      </c>
      <c r="I335">
        <f>IF(J335,TRUE,AND(M335))</f>
        <v>0</v>
      </c>
      <c r="J335">
        <f>COUNTBLANK(Metadata!B335)=COLUMNS(Metadata!B335)</f>
        <v>0</v>
      </c>
      <c r="K335">
        <v>0</v>
      </c>
      <c r="M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</row>
    <row r="336" spans="1:13">
      <c r="A336" s="3">
        <f>IF(B336=" "," ",HYPERLINK(CONCATENATE("#metadata!",ADDRESS(INDEX($H$2:$H$1001,MATCH(ROWS($F$2:F336),$F$2:$F$1001,0),0),2)),INDEX($K$2:$K$1001,MATCH(ROWS($F$2:F336),$F$2:$F$1001,0),0)))</f>
        <v>0</v>
      </c>
      <c r="B336" s="4">
        <f>IF(OR(INDEX($G$2:$G$1001,MATCH(ROWS($F$2:F336),$F$2:$F$1001,0),1)&gt;=100000,INDEX($M$1005,1,MATCH(COLUMNS($M$1006:M1006),$M$1006,0))&gt;=100000), " ",IF(INDEX($M$2:$M$1001,MATCH(ROWS($F$2:F336),$F$2:$F$1001,0),MATCH(COLUMNS($M$1006:M1006),$M$1006,0)), HYPERLINK("#",""), HYPERLINK(CONCATENATE("#Metadata!", ADDRESS(INDEX($H$2:$H$1001,MATCH(ROWS($F$2:F336),$F$2:$F$1001,0),0), INDEX($M$1004,1,MATCH(COLUMNS($M$1006:M1006),$M$1006,0)))),"Fix")))</f>
        <v>0</v>
      </c>
      <c r="F336">
        <v>0</v>
      </c>
      <c r="G336">
        <v>0</v>
      </c>
      <c r="H336">
        <v>0</v>
      </c>
      <c r="I336">
        <f>IF(J336,TRUE,AND(M336))</f>
        <v>0</v>
      </c>
      <c r="J336">
        <f>COUNTBLANK(Metadata!B336)=COLUMNS(Metadata!B336)</f>
        <v>0</v>
      </c>
      <c r="K336">
        <v>0</v>
      </c>
      <c r="M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</row>
    <row r="337" spans="1:13">
      <c r="A337" s="3">
        <f>IF(B337=" "," ",HYPERLINK(CONCATENATE("#metadata!",ADDRESS(INDEX($H$2:$H$1001,MATCH(ROWS($F$2:F337),$F$2:$F$1001,0),0),2)),INDEX($K$2:$K$1001,MATCH(ROWS($F$2:F337),$F$2:$F$1001,0),0)))</f>
        <v>0</v>
      </c>
      <c r="B337" s="4">
        <f>IF(OR(INDEX($G$2:$G$1001,MATCH(ROWS($F$2:F337),$F$2:$F$1001,0),1)&gt;=100000,INDEX($M$1005,1,MATCH(COLUMNS($M$1006:M1006),$M$1006,0))&gt;=100000), " ",IF(INDEX($M$2:$M$1001,MATCH(ROWS($F$2:F337),$F$2:$F$1001,0),MATCH(COLUMNS($M$1006:M1006),$M$1006,0)), HYPERLINK("#",""), HYPERLINK(CONCATENATE("#Metadata!", ADDRESS(INDEX($H$2:$H$1001,MATCH(ROWS($F$2:F337),$F$2:$F$1001,0),0), INDEX($M$1004,1,MATCH(COLUMNS($M$1006:M1006),$M$1006,0)))),"Fix")))</f>
        <v>0</v>
      </c>
      <c r="F337">
        <v>0</v>
      </c>
      <c r="G337">
        <v>0</v>
      </c>
      <c r="H337">
        <v>0</v>
      </c>
      <c r="I337">
        <f>IF(J337,TRUE,AND(M337))</f>
        <v>0</v>
      </c>
      <c r="J337">
        <f>COUNTBLANK(Metadata!B337)=COLUMNS(Metadata!B337)</f>
        <v>0</v>
      </c>
      <c r="K337">
        <v>0</v>
      </c>
      <c r="M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</row>
    <row r="338" spans="1:13">
      <c r="A338" s="3">
        <f>IF(B338=" "," ",HYPERLINK(CONCATENATE("#metadata!",ADDRESS(INDEX($H$2:$H$1001,MATCH(ROWS($F$2:F338),$F$2:$F$1001,0),0),2)),INDEX($K$2:$K$1001,MATCH(ROWS($F$2:F338),$F$2:$F$1001,0),0)))</f>
        <v>0</v>
      </c>
      <c r="B338" s="4">
        <f>IF(OR(INDEX($G$2:$G$1001,MATCH(ROWS($F$2:F338),$F$2:$F$1001,0),1)&gt;=100000,INDEX($M$1005,1,MATCH(COLUMNS($M$1006:M1006),$M$1006,0))&gt;=100000), " ",IF(INDEX($M$2:$M$1001,MATCH(ROWS($F$2:F338),$F$2:$F$1001,0),MATCH(COLUMNS($M$1006:M1006),$M$1006,0)), HYPERLINK("#",""), HYPERLINK(CONCATENATE("#Metadata!", ADDRESS(INDEX($H$2:$H$1001,MATCH(ROWS($F$2:F338),$F$2:$F$1001,0),0), INDEX($M$1004,1,MATCH(COLUMNS($M$1006:M1006),$M$1006,0)))),"Fix")))</f>
        <v>0</v>
      </c>
      <c r="F338">
        <v>0</v>
      </c>
      <c r="G338">
        <v>0</v>
      </c>
      <c r="H338">
        <v>0</v>
      </c>
      <c r="I338">
        <f>IF(J338,TRUE,AND(M338))</f>
        <v>0</v>
      </c>
      <c r="J338">
        <f>COUNTBLANK(Metadata!B338)=COLUMNS(Metadata!B338)</f>
        <v>0</v>
      </c>
      <c r="K338">
        <v>0</v>
      </c>
      <c r="M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</row>
    <row r="339" spans="1:13">
      <c r="A339" s="3">
        <f>IF(B339=" "," ",HYPERLINK(CONCATENATE("#metadata!",ADDRESS(INDEX($H$2:$H$1001,MATCH(ROWS($F$2:F339),$F$2:$F$1001,0),0),2)),INDEX($K$2:$K$1001,MATCH(ROWS($F$2:F339),$F$2:$F$1001,0),0)))</f>
        <v>0</v>
      </c>
      <c r="B339" s="4">
        <f>IF(OR(INDEX($G$2:$G$1001,MATCH(ROWS($F$2:F339),$F$2:$F$1001,0),1)&gt;=100000,INDEX($M$1005,1,MATCH(COLUMNS($M$1006:M1006),$M$1006,0))&gt;=100000), " ",IF(INDEX($M$2:$M$1001,MATCH(ROWS($F$2:F339),$F$2:$F$1001,0),MATCH(COLUMNS($M$1006:M1006),$M$1006,0)), HYPERLINK("#",""), HYPERLINK(CONCATENATE("#Metadata!", ADDRESS(INDEX($H$2:$H$1001,MATCH(ROWS($F$2:F339),$F$2:$F$1001,0),0), INDEX($M$1004,1,MATCH(COLUMNS($M$1006:M1006),$M$1006,0)))),"Fix")))</f>
        <v>0</v>
      </c>
      <c r="F339">
        <v>0</v>
      </c>
      <c r="G339">
        <v>0</v>
      </c>
      <c r="H339">
        <v>0</v>
      </c>
      <c r="I339">
        <f>IF(J339,TRUE,AND(M339))</f>
        <v>0</v>
      </c>
      <c r="J339">
        <f>COUNTBLANK(Metadata!B339)=COLUMNS(Metadata!B339)</f>
        <v>0</v>
      </c>
      <c r="K339">
        <v>0</v>
      </c>
      <c r="M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</row>
    <row r="340" spans="1:13">
      <c r="A340" s="3">
        <f>IF(B340=" "," ",HYPERLINK(CONCATENATE("#metadata!",ADDRESS(INDEX($H$2:$H$1001,MATCH(ROWS($F$2:F340),$F$2:$F$1001,0),0),2)),INDEX($K$2:$K$1001,MATCH(ROWS($F$2:F340),$F$2:$F$1001,0),0)))</f>
        <v>0</v>
      </c>
      <c r="B340" s="4">
        <f>IF(OR(INDEX($G$2:$G$1001,MATCH(ROWS($F$2:F340),$F$2:$F$1001,0),1)&gt;=100000,INDEX($M$1005,1,MATCH(COLUMNS($M$1006:M1006),$M$1006,0))&gt;=100000), " ",IF(INDEX($M$2:$M$1001,MATCH(ROWS($F$2:F340),$F$2:$F$1001,0),MATCH(COLUMNS($M$1006:M1006),$M$1006,0)), HYPERLINK("#",""), HYPERLINK(CONCATENATE("#Metadata!", ADDRESS(INDEX($H$2:$H$1001,MATCH(ROWS($F$2:F340),$F$2:$F$1001,0),0), INDEX($M$1004,1,MATCH(COLUMNS($M$1006:M1006),$M$1006,0)))),"Fix")))</f>
        <v>0</v>
      </c>
      <c r="F340">
        <v>0</v>
      </c>
      <c r="G340">
        <v>0</v>
      </c>
      <c r="H340">
        <v>0</v>
      </c>
      <c r="I340">
        <f>IF(J340,TRUE,AND(M340))</f>
        <v>0</v>
      </c>
      <c r="J340">
        <f>COUNTBLANK(Metadata!B340)=COLUMNS(Metadata!B340)</f>
        <v>0</v>
      </c>
      <c r="K340">
        <v>0</v>
      </c>
      <c r="M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</row>
    <row r="341" spans="1:13">
      <c r="A341" s="3">
        <f>IF(B341=" "," ",HYPERLINK(CONCATENATE("#metadata!",ADDRESS(INDEX($H$2:$H$1001,MATCH(ROWS($F$2:F341),$F$2:$F$1001,0),0),2)),INDEX($K$2:$K$1001,MATCH(ROWS($F$2:F341),$F$2:$F$1001,0),0)))</f>
        <v>0</v>
      </c>
      <c r="B341" s="4">
        <f>IF(OR(INDEX($G$2:$G$1001,MATCH(ROWS($F$2:F341),$F$2:$F$1001,0),1)&gt;=100000,INDEX($M$1005,1,MATCH(COLUMNS($M$1006:M1006),$M$1006,0))&gt;=100000), " ",IF(INDEX($M$2:$M$1001,MATCH(ROWS($F$2:F341),$F$2:$F$1001,0),MATCH(COLUMNS($M$1006:M1006),$M$1006,0)), HYPERLINK("#",""), HYPERLINK(CONCATENATE("#Metadata!", ADDRESS(INDEX($H$2:$H$1001,MATCH(ROWS($F$2:F341),$F$2:$F$1001,0),0), INDEX($M$1004,1,MATCH(COLUMNS($M$1006:M1006),$M$1006,0)))),"Fix")))</f>
        <v>0</v>
      </c>
      <c r="F341">
        <v>0</v>
      </c>
      <c r="G341">
        <v>0</v>
      </c>
      <c r="H341">
        <v>0</v>
      </c>
      <c r="I341">
        <f>IF(J341,TRUE,AND(M341))</f>
        <v>0</v>
      </c>
      <c r="J341">
        <f>COUNTBLANK(Metadata!B341)=COLUMNS(Metadata!B341)</f>
        <v>0</v>
      </c>
      <c r="K341">
        <v>0</v>
      </c>
      <c r="M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</row>
    <row r="342" spans="1:13">
      <c r="A342" s="3">
        <f>IF(B342=" "," ",HYPERLINK(CONCATENATE("#metadata!",ADDRESS(INDEX($H$2:$H$1001,MATCH(ROWS($F$2:F342),$F$2:$F$1001,0),0),2)),INDEX($K$2:$K$1001,MATCH(ROWS($F$2:F342),$F$2:$F$1001,0),0)))</f>
        <v>0</v>
      </c>
      <c r="B342" s="4">
        <f>IF(OR(INDEX($G$2:$G$1001,MATCH(ROWS($F$2:F342),$F$2:$F$1001,0),1)&gt;=100000,INDEX($M$1005,1,MATCH(COLUMNS($M$1006:M1006),$M$1006,0))&gt;=100000), " ",IF(INDEX($M$2:$M$1001,MATCH(ROWS($F$2:F342),$F$2:$F$1001,0),MATCH(COLUMNS($M$1006:M1006),$M$1006,0)), HYPERLINK("#",""), HYPERLINK(CONCATENATE("#Metadata!", ADDRESS(INDEX($H$2:$H$1001,MATCH(ROWS($F$2:F342),$F$2:$F$1001,0),0), INDEX($M$1004,1,MATCH(COLUMNS($M$1006:M1006),$M$1006,0)))),"Fix")))</f>
        <v>0</v>
      </c>
      <c r="F342">
        <v>0</v>
      </c>
      <c r="G342">
        <v>0</v>
      </c>
      <c r="H342">
        <v>0</v>
      </c>
      <c r="I342">
        <f>IF(J342,TRUE,AND(M342))</f>
        <v>0</v>
      </c>
      <c r="J342">
        <f>COUNTBLANK(Metadata!B342)=COLUMNS(Metadata!B342)</f>
        <v>0</v>
      </c>
      <c r="K342">
        <v>0</v>
      </c>
      <c r="M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</row>
    <row r="343" spans="1:13">
      <c r="A343" s="3">
        <f>IF(B343=" "," ",HYPERLINK(CONCATENATE("#metadata!",ADDRESS(INDEX($H$2:$H$1001,MATCH(ROWS($F$2:F343),$F$2:$F$1001,0),0),2)),INDEX($K$2:$K$1001,MATCH(ROWS($F$2:F343),$F$2:$F$1001,0),0)))</f>
        <v>0</v>
      </c>
      <c r="B343" s="4">
        <f>IF(OR(INDEX($G$2:$G$1001,MATCH(ROWS($F$2:F343),$F$2:$F$1001,0),1)&gt;=100000,INDEX($M$1005,1,MATCH(COLUMNS($M$1006:M1006),$M$1006,0))&gt;=100000), " ",IF(INDEX($M$2:$M$1001,MATCH(ROWS($F$2:F343),$F$2:$F$1001,0),MATCH(COLUMNS($M$1006:M1006),$M$1006,0)), HYPERLINK("#",""), HYPERLINK(CONCATENATE("#Metadata!", ADDRESS(INDEX($H$2:$H$1001,MATCH(ROWS($F$2:F343),$F$2:$F$1001,0),0), INDEX($M$1004,1,MATCH(COLUMNS($M$1006:M1006),$M$1006,0)))),"Fix")))</f>
        <v>0</v>
      </c>
      <c r="F343">
        <v>0</v>
      </c>
      <c r="G343">
        <v>0</v>
      </c>
      <c r="H343">
        <v>0</v>
      </c>
      <c r="I343">
        <f>IF(J343,TRUE,AND(M343))</f>
        <v>0</v>
      </c>
      <c r="J343">
        <f>COUNTBLANK(Metadata!B343)=COLUMNS(Metadata!B343)</f>
        <v>0</v>
      </c>
      <c r="K343">
        <v>0</v>
      </c>
      <c r="M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</row>
    <row r="344" spans="1:13">
      <c r="A344" s="3">
        <f>IF(B344=" "," ",HYPERLINK(CONCATENATE("#metadata!",ADDRESS(INDEX($H$2:$H$1001,MATCH(ROWS($F$2:F344),$F$2:$F$1001,0),0),2)),INDEX($K$2:$K$1001,MATCH(ROWS($F$2:F344),$F$2:$F$1001,0),0)))</f>
        <v>0</v>
      </c>
      <c r="B344" s="4">
        <f>IF(OR(INDEX($G$2:$G$1001,MATCH(ROWS($F$2:F344),$F$2:$F$1001,0),1)&gt;=100000,INDEX($M$1005,1,MATCH(COLUMNS($M$1006:M1006),$M$1006,0))&gt;=100000), " ",IF(INDEX($M$2:$M$1001,MATCH(ROWS($F$2:F344),$F$2:$F$1001,0),MATCH(COLUMNS($M$1006:M1006),$M$1006,0)), HYPERLINK("#",""), HYPERLINK(CONCATENATE("#Metadata!", ADDRESS(INDEX($H$2:$H$1001,MATCH(ROWS($F$2:F344),$F$2:$F$1001,0),0), INDEX($M$1004,1,MATCH(COLUMNS($M$1006:M1006),$M$1006,0)))),"Fix")))</f>
        <v>0</v>
      </c>
      <c r="F344">
        <v>0</v>
      </c>
      <c r="G344">
        <v>0</v>
      </c>
      <c r="H344">
        <v>0</v>
      </c>
      <c r="I344">
        <f>IF(J344,TRUE,AND(M344))</f>
        <v>0</v>
      </c>
      <c r="J344">
        <f>COUNTBLANK(Metadata!B344)=COLUMNS(Metadata!B344)</f>
        <v>0</v>
      </c>
      <c r="K344">
        <v>0</v>
      </c>
      <c r="M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</row>
    <row r="345" spans="1:13">
      <c r="A345" s="3">
        <f>IF(B345=" "," ",HYPERLINK(CONCATENATE("#metadata!",ADDRESS(INDEX($H$2:$H$1001,MATCH(ROWS($F$2:F345),$F$2:$F$1001,0),0),2)),INDEX($K$2:$K$1001,MATCH(ROWS($F$2:F345),$F$2:$F$1001,0),0)))</f>
        <v>0</v>
      </c>
      <c r="B345" s="4">
        <f>IF(OR(INDEX($G$2:$G$1001,MATCH(ROWS($F$2:F345),$F$2:$F$1001,0),1)&gt;=100000,INDEX($M$1005,1,MATCH(COLUMNS($M$1006:M1006),$M$1006,0))&gt;=100000), " ",IF(INDEX($M$2:$M$1001,MATCH(ROWS($F$2:F345),$F$2:$F$1001,0),MATCH(COLUMNS($M$1006:M1006),$M$1006,0)), HYPERLINK("#",""), HYPERLINK(CONCATENATE("#Metadata!", ADDRESS(INDEX($H$2:$H$1001,MATCH(ROWS($F$2:F345),$F$2:$F$1001,0),0), INDEX($M$1004,1,MATCH(COLUMNS($M$1006:M1006),$M$1006,0)))),"Fix")))</f>
        <v>0</v>
      </c>
      <c r="F345">
        <v>0</v>
      </c>
      <c r="G345">
        <v>0</v>
      </c>
      <c r="H345">
        <v>0</v>
      </c>
      <c r="I345">
        <f>IF(J345,TRUE,AND(M345))</f>
        <v>0</v>
      </c>
      <c r="J345">
        <f>COUNTBLANK(Metadata!B345)=COLUMNS(Metadata!B345)</f>
        <v>0</v>
      </c>
      <c r="K345">
        <v>0</v>
      </c>
      <c r="M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</row>
    <row r="346" spans="1:13">
      <c r="A346" s="3">
        <f>IF(B346=" "," ",HYPERLINK(CONCATENATE("#metadata!",ADDRESS(INDEX($H$2:$H$1001,MATCH(ROWS($F$2:F346),$F$2:$F$1001,0),0),2)),INDEX($K$2:$K$1001,MATCH(ROWS($F$2:F346),$F$2:$F$1001,0),0)))</f>
        <v>0</v>
      </c>
      <c r="B346" s="4">
        <f>IF(OR(INDEX($G$2:$G$1001,MATCH(ROWS($F$2:F346),$F$2:$F$1001,0),1)&gt;=100000,INDEX($M$1005,1,MATCH(COLUMNS($M$1006:M1006),$M$1006,0))&gt;=100000), " ",IF(INDEX($M$2:$M$1001,MATCH(ROWS($F$2:F346),$F$2:$F$1001,0),MATCH(COLUMNS($M$1006:M1006),$M$1006,0)), HYPERLINK("#",""), HYPERLINK(CONCATENATE("#Metadata!", ADDRESS(INDEX($H$2:$H$1001,MATCH(ROWS($F$2:F346),$F$2:$F$1001,0),0), INDEX($M$1004,1,MATCH(COLUMNS($M$1006:M1006),$M$1006,0)))),"Fix")))</f>
        <v>0</v>
      </c>
      <c r="F346">
        <v>0</v>
      </c>
      <c r="G346">
        <v>0</v>
      </c>
      <c r="H346">
        <v>0</v>
      </c>
      <c r="I346">
        <f>IF(J346,TRUE,AND(M346))</f>
        <v>0</v>
      </c>
      <c r="J346">
        <f>COUNTBLANK(Metadata!B346)=COLUMNS(Metadata!B346)</f>
        <v>0</v>
      </c>
      <c r="K346">
        <v>0</v>
      </c>
      <c r="M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</row>
    <row r="347" spans="1:13">
      <c r="A347" s="3">
        <f>IF(B347=" "," ",HYPERLINK(CONCATENATE("#metadata!",ADDRESS(INDEX($H$2:$H$1001,MATCH(ROWS($F$2:F347),$F$2:$F$1001,0),0),2)),INDEX($K$2:$K$1001,MATCH(ROWS($F$2:F347),$F$2:$F$1001,0),0)))</f>
        <v>0</v>
      </c>
      <c r="B347" s="4">
        <f>IF(OR(INDEX($G$2:$G$1001,MATCH(ROWS($F$2:F347),$F$2:$F$1001,0),1)&gt;=100000,INDEX($M$1005,1,MATCH(COLUMNS($M$1006:M1006),$M$1006,0))&gt;=100000), " ",IF(INDEX($M$2:$M$1001,MATCH(ROWS($F$2:F347),$F$2:$F$1001,0),MATCH(COLUMNS($M$1006:M1006),$M$1006,0)), HYPERLINK("#",""), HYPERLINK(CONCATENATE("#Metadata!", ADDRESS(INDEX($H$2:$H$1001,MATCH(ROWS($F$2:F347),$F$2:$F$1001,0),0), INDEX($M$1004,1,MATCH(COLUMNS($M$1006:M1006),$M$1006,0)))),"Fix")))</f>
        <v>0</v>
      </c>
      <c r="F347">
        <v>0</v>
      </c>
      <c r="G347">
        <v>0</v>
      </c>
      <c r="H347">
        <v>0</v>
      </c>
      <c r="I347">
        <f>IF(J347,TRUE,AND(M347))</f>
        <v>0</v>
      </c>
      <c r="J347">
        <f>COUNTBLANK(Metadata!B347)=COLUMNS(Metadata!B347)</f>
        <v>0</v>
      </c>
      <c r="K347">
        <v>0</v>
      </c>
      <c r="M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</row>
    <row r="348" spans="1:13">
      <c r="A348" s="3">
        <f>IF(B348=" "," ",HYPERLINK(CONCATENATE("#metadata!",ADDRESS(INDEX($H$2:$H$1001,MATCH(ROWS($F$2:F348),$F$2:$F$1001,0),0),2)),INDEX($K$2:$K$1001,MATCH(ROWS($F$2:F348),$F$2:$F$1001,0),0)))</f>
        <v>0</v>
      </c>
      <c r="B348" s="4">
        <f>IF(OR(INDEX($G$2:$G$1001,MATCH(ROWS($F$2:F348),$F$2:$F$1001,0),1)&gt;=100000,INDEX($M$1005,1,MATCH(COLUMNS($M$1006:M1006),$M$1006,0))&gt;=100000), " ",IF(INDEX($M$2:$M$1001,MATCH(ROWS($F$2:F348),$F$2:$F$1001,0),MATCH(COLUMNS($M$1006:M1006),$M$1006,0)), HYPERLINK("#",""), HYPERLINK(CONCATENATE("#Metadata!", ADDRESS(INDEX($H$2:$H$1001,MATCH(ROWS($F$2:F348),$F$2:$F$1001,0),0), INDEX($M$1004,1,MATCH(COLUMNS($M$1006:M1006),$M$1006,0)))),"Fix")))</f>
        <v>0</v>
      </c>
      <c r="F348">
        <v>0</v>
      </c>
      <c r="G348">
        <v>0</v>
      </c>
      <c r="H348">
        <v>0</v>
      </c>
      <c r="I348">
        <f>IF(J348,TRUE,AND(M348))</f>
        <v>0</v>
      </c>
      <c r="J348">
        <f>COUNTBLANK(Metadata!B348)=COLUMNS(Metadata!B348)</f>
        <v>0</v>
      </c>
      <c r="K348">
        <v>0</v>
      </c>
      <c r="M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</row>
    <row r="349" spans="1:13">
      <c r="A349" s="3">
        <f>IF(B349=" "," ",HYPERLINK(CONCATENATE("#metadata!",ADDRESS(INDEX($H$2:$H$1001,MATCH(ROWS($F$2:F349),$F$2:$F$1001,0),0),2)),INDEX($K$2:$K$1001,MATCH(ROWS($F$2:F349),$F$2:$F$1001,0),0)))</f>
        <v>0</v>
      </c>
      <c r="B349" s="4">
        <f>IF(OR(INDEX($G$2:$G$1001,MATCH(ROWS($F$2:F349),$F$2:$F$1001,0),1)&gt;=100000,INDEX($M$1005,1,MATCH(COLUMNS($M$1006:M1006),$M$1006,0))&gt;=100000), " ",IF(INDEX($M$2:$M$1001,MATCH(ROWS($F$2:F349),$F$2:$F$1001,0),MATCH(COLUMNS($M$1006:M1006),$M$1006,0)), HYPERLINK("#",""), HYPERLINK(CONCATENATE("#Metadata!", ADDRESS(INDEX($H$2:$H$1001,MATCH(ROWS($F$2:F349),$F$2:$F$1001,0),0), INDEX($M$1004,1,MATCH(COLUMNS($M$1006:M1006),$M$1006,0)))),"Fix")))</f>
        <v>0</v>
      </c>
      <c r="F349">
        <v>0</v>
      </c>
      <c r="G349">
        <v>0</v>
      </c>
      <c r="H349">
        <v>0</v>
      </c>
      <c r="I349">
        <f>IF(J349,TRUE,AND(M349))</f>
        <v>0</v>
      </c>
      <c r="J349">
        <f>COUNTBLANK(Metadata!B349)=COLUMNS(Metadata!B349)</f>
        <v>0</v>
      </c>
      <c r="K349">
        <v>0</v>
      </c>
      <c r="M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</row>
    <row r="350" spans="1:13">
      <c r="A350" s="3">
        <f>IF(B350=" "," ",HYPERLINK(CONCATENATE("#metadata!",ADDRESS(INDEX($H$2:$H$1001,MATCH(ROWS($F$2:F350),$F$2:$F$1001,0),0),2)),INDEX($K$2:$K$1001,MATCH(ROWS($F$2:F350),$F$2:$F$1001,0),0)))</f>
        <v>0</v>
      </c>
      <c r="B350" s="4">
        <f>IF(OR(INDEX($G$2:$G$1001,MATCH(ROWS($F$2:F350),$F$2:$F$1001,0),1)&gt;=100000,INDEX($M$1005,1,MATCH(COLUMNS($M$1006:M1006),$M$1006,0))&gt;=100000), " ",IF(INDEX($M$2:$M$1001,MATCH(ROWS($F$2:F350),$F$2:$F$1001,0),MATCH(COLUMNS($M$1006:M1006),$M$1006,0)), HYPERLINK("#",""), HYPERLINK(CONCATENATE("#Metadata!", ADDRESS(INDEX($H$2:$H$1001,MATCH(ROWS($F$2:F350),$F$2:$F$1001,0),0), INDEX($M$1004,1,MATCH(COLUMNS($M$1006:M1006),$M$1006,0)))),"Fix")))</f>
        <v>0</v>
      </c>
      <c r="F350">
        <v>0</v>
      </c>
      <c r="G350">
        <v>0</v>
      </c>
      <c r="H350">
        <v>0</v>
      </c>
      <c r="I350">
        <f>IF(J350,TRUE,AND(M350))</f>
        <v>0</v>
      </c>
      <c r="J350">
        <f>COUNTBLANK(Metadata!B350)=COLUMNS(Metadata!B350)</f>
        <v>0</v>
      </c>
      <c r="K350">
        <v>0</v>
      </c>
      <c r="M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</row>
    <row r="351" spans="1:13">
      <c r="A351" s="3">
        <f>IF(B351=" "," ",HYPERLINK(CONCATENATE("#metadata!",ADDRESS(INDEX($H$2:$H$1001,MATCH(ROWS($F$2:F351),$F$2:$F$1001,0),0),2)),INDEX($K$2:$K$1001,MATCH(ROWS($F$2:F351),$F$2:$F$1001,0),0)))</f>
        <v>0</v>
      </c>
      <c r="B351" s="4">
        <f>IF(OR(INDEX($G$2:$G$1001,MATCH(ROWS($F$2:F351),$F$2:$F$1001,0),1)&gt;=100000,INDEX($M$1005,1,MATCH(COLUMNS($M$1006:M1006),$M$1006,0))&gt;=100000), " ",IF(INDEX($M$2:$M$1001,MATCH(ROWS($F$2:F351),$F$2:$F$1001,0),MATCH(COLUMNS($M$1006:M1006),$M$1006,0)), HYPERLINK("#",""), HYPERLINK(CONCATENATE("#Metadata!", ADDRESS(INDEX($H$2:$H$1001,MATCH(ROWS($F$2:F351),$F$2:$F$1001,0),0), INDEX($M$1004,1,MATCH(COLUMNS($M$1006:M1006),$M$1006,0)))),"Fix")))</f>
        <v>0</v>
      </c>
      <c r="F351">
        <v>0</v>
      </c>
      <c r="G351">
        <v>0</v>
      </c>
      <c r="H351">
        <v>0</v>
      </c>
      <c r="I351">
        <f>IF(J351,TRUE,AND(M351))</f>
        <v>0</v>
      </c>
      <c r="J351">
        <f>COUNTBLANK(Metadata!B351)=COLUMNS(Metadata!B351)</f>
        <v>0</v>
      </c>
      <c r="K351">
        <v>0</v>
      </c>
      <c r="M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</row>
    <row r="352" spans="1:13">
      <c r="A352" s="3">
        <f>IF(B352=" "," ",HYPERLINK(CONCATENATE("#metadata!",ADDRESS(INDEX($H$2:$H$1001,MATCH(ROWS($F$2:F352),$F$2:$F$1001,0),0),2)),INDEX($K$2:$K$1001,MATCH(ROWS($F$2:F352),$F$2:$F$1001,0),0)))</f>
        <v>0</v>
      </c>
      <c r="B352" s="4">
        <f>IF(OR(INDEX($G$2:$G$1001,MATCH(ROWS($F$2:F352),$F$2:$F$1001,0),1)&gt;=100000,INDEX($M$1005,1,MATCH(COLUMNS($M$1006:M1006),$M$1006,0))&gt;=100000), " ",IF(INDEX($M$2:$M$1001,MATCH(ROWS($F$2:F352),$F$2:$F$1001,0),MATCH(COLUMNS($M$1006:M1006),$M$1006,0)), HYPERLINK("#",""), HYPERLINK(CONCATENATE("#Metadata!", ADDRESS(INDEX($H$2:$H$1001,MATCH(ROWS($F$2:F352),$F$2:$F$1001,0),0), INDEX($M$1004,1,MATCH(COLUMNS($M$1006:M1006),$M$1006,0)))),"Fix")))</f>
        <v>0</v>
      </c>
      <c r="F352">
        <v>0</v>
      </c>
      <c r="G352">
        <v>0</v>
      </c>
      <c r="H352">
        <v>0</v>
      </c>
      <c r="I352">
        <f>IF(J352,TRUE,AND(M352))</f>
        <v>0</v>
      </c>
      <c r="J352">
        <f>COUNTBLANK(Metadata!B352)=COLUMNS(Metadata!B352)</f>
        <v>0</v>
      </c>
      <c r="K352">
        <v>0</v>
      </c>
      <c r="M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</row>
    <row r="353" spans="1:13">
      <c r="A353" s="3">
        <f>IF(B353=" "," ",HYPERLINK(CONCATENATE("#metadata!",ADDRESS(INDEX($H$2:$H$1001,MATCH(ROWS($F$2:F353),$F$2:$F$1001,0),0),2)),INDEX($K$2:$K$1001,MATCH(ROWS($F$2:F353),$F$2:$F$1001,0),0)))</f>
        <v>0</v>
      </c>
      <c r="B353" s="4">
        <f>IF(OR(INDEX($G$2:$G$1001,MATCH(ROWS($F$2:F353),$F$2:$F$1001,0),1)&gt;=100000,INDEX($M$1005,1,MATCH(COLUMNS($M$1006:M1006),$M$1006,0))&gt;=100000), " ",IF(INDEX($M$2:$M$1001,MATCH(ROWS($F$2:F353),$F$2:$F$1001,0),MATCH(COLUMNS($M$1006:M1006),$M$1006,0)), HYPERLINK("#",""), HYPERLINK(CONCATENATE("#Metadata!", ADDRESS(INDEX($H$2:$H$1001,MATCH(ROWS($F$2:F353),$F$2:$F$1001,0),0), INDEX($M$1004,1,MATCH(COLUMNS($M$1006:M1006),$M$1006,0)))),"Fix")))</f>
        <v>0</v>
      </c>
      <c r="F353">
        <v>0</v>
      </c>
      <c r="G353">
        <v>0</v>
      </c>
      <c r="H353">
        <v>0</v>
      </c>
      <c r="I353">
        <f>IF(J353,TRUE,AND(M353))</f>
        <v>0</v>
      </c>
      <c r="J353">
        <f>COUNTBLANK(Metadata!B353)=COLUMNS(Metadata!B353)</f>
        <v>0</v>
      </c>
      <c r="K353">
        <v>0</v>
      </c>
      <c r="M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</row>
    <row r="354" spans="1:13">
      <c r="A354" s="3">
        <f>IF(B354=" "," ",HYPERLINK(CONCATENATE("#metadata!",ADDRESS(INDEX($H$2:$H$1001,MATCH(ROWS($F$2:F354),$F$2:$F$1001,0),0),2)),INDEX($K$2:$K$1001,MATCH(ROWS($F$2:F354),$F$2:$F$1001,0),0)))</f>
        <v>0</v>
      </c>
      <c r="B354" s="4">
        <f>IF(OR(INDEX($G$2:$G$1001,MATCH(ROWS($F$2:F354),$F$2:$F$1001,0),1)&gt;=100000,INDEX($M$1005,1,MATCH(COLUMNS($M$1006:M1006),$M$1006,0))&gt;=100000), " ",IF(INDEX($M$2:$M$1001,MATCH(ROWS($F$2:F354),$F$2:$F$1001,0),MATCH(COLUMNS($M$1006:M1006),$M$1006,0)), HYPERLINK("#",""), HYPERLINK(CONCATENATE("#Metadata!", ADDRESS(INDEX($H$2:$H$1001,MATCH(ROWS($F$2:F354),$F$2:$F$1001,0),0), INDEX($M$1004,1,MATCH(COLUMNS($M$1006:M1006),$M$1006,0)))),"Fix")))</f>
        <v>0</v>
      </c>
      <c r="F354">
        <v>0</v>
      </c>
      <c r="G354">
        <v>0</v>
      </c>
      <c r="H354">
        <v>0</v>
      </c>
      <c r="I354">
        <f>IF(J354,TRUE,AND(M354))</f>
        <v>0</v>
      </c>
      <c r="J354">
        <f>COUNTBLANK(Metadata!B354)=COLUMNS(Metadata!B354)</f>
        <v>0</v>
      </c>
      <c r="K354">
        <v>0</v>
      </c>
      <c r="M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</row>
    <row r="355" spans="1:13">
      <c r="A355" s="3">
        <f>IF(B355=" "," ",HYPERLINK(CONCATENATE("#metadata!",ADDRESS(INDEX($H$2:$H$1001,MATCH(ROWS($F$2:F355),$F$2:$F$1001,0),0),2)),INDEX($K$2:$K$1001,MATCH(ROWS($F$2:F355),$F$2:$F$1001,0),0)))</f>
        <v>0</v>
      </c>
      <c r="B355" s="4">
        <f>IF(OR(INDEX($G$2:$G$1001,MATCH(ROWS($F$2:F355),$F$2:$F$1001,0),1)&gt;=100000,INDEX($M$1005,1,MATCH(COLUMNS($M$1006:M1006),$M$1006,0))&gt;=100000), " ",IF(INDEX($M$2:$M$1001,MATCH(ROWS($F$2:F355),$F$2:$F$1001,0),MATCH(COLUMNS($M$1006:M1006),$M$1006,0)), HYPERLINK("#",""), HYPERLINK(CONCATENATE("#Metadata!", ADDRESS(INDEX($H$2:$H$1001,MATCH(ROWS($F$2:F355),$F$2:$F$1001,0),0), INDEX($M$1004,1,MATCH(COLUMNS($M$1006:M1006),$M$1006,0)))),"Fix")))</f>
        <v>0</v>
      </c>
      <c r="F355">
        <v>0</v>
      </c>
      <c r="G355">
        <v>0</v>
      </c>
      <c r="H355">
        <v>0</v>
      </c>
      <c r="I355">
        <f>IF(J355,TRUE,AND(M355))</f>
        <v>0</v>
      </c>
      <c r="J355">
        <f>COUNTBLANK(Metadata!B355)=COLUMNS(Metadata!B355)</f>
        <v>0</v>
      </c>
      <c r="K355">
        <v>0</v>
      </c>
      <c r="M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</row>
    <row r="356" spans="1:13">
      <c r="A356" s="3">
        <f>IF(B356=" "," ",HYPERLINK(CONCATENATE("#metadata!",ADDRESS(INDEX($H$2:$H$1001,MATCH(ROWS($F$2:F356),$F$2:$F$1001,0),0),2)),INDEX($K$2:$K$1001,MATCH(ROWS($F$2:F356),$F$2:$F$1001,0),0)))</f>
        <v>0</v>
      </c>
      <c r="B356" s="4">
        <f>IF(OR(INDEX($G$2:$G$1001,MATCH(ROWS($F$2:F356),$F$2:$F$1001,0),1)&gt;=100000,INDEX($M$1005,1,MATCH(COLUMNS($M$1006:M1006),$M$1006,0))&gt;=100000), " ",IF(INDEX($M$2:$M$1001,MATCH(ROWS($F$2:F356),$F$2:$F$1001,0),MATCH(COLUMNS($M$1006:M1006),$M$1006,0)), HYPERLINK("#",""), HYPERLINK(CONCATENATE("#Metadata!", ADDRESS(INDEX($H$2:$H$1001,MATCH(ROWS($F$2:F356),$F$2:$F$1001,0),0), INDEX($M$1004,1,MATCH(COLUMNS($M$1006:M1006),$M$1006,0)))),"Fix")))</f>
        <v>0</v>
      </c>
      <c r="F356">
        <v>0</v>
      </c>
      <c r="G356">
        <v>0</v>
      </c>
      <c r="H356">
        <v>0</v>
      </c>
      <c r="I356">
        <f>IF(J356,TRUE,AND(M356))</f>
        <v>0</v>
      </c>
      <c r="J356">
        <f>COUNTBLANK(Metadata!B356)=COLUMNS(Metadata!B356)</f>
        <v>0</v>
      </c>
      <c r="K356">
        <v>0</v>
      </c>
      <c r="M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</row>
    <row r="357" spans="1:13">
      <c r="A357" s="3">
        <f>IF(B357=" "," ",HYPERLINK(CONCATENATE("#metadata!",ADDRESS(INDEX($H$2:$H$1001,MATCH(ROWS($F$2:F357),$F$2:$F$1001,0),0),2)),INDEX($K$2:$K$1001,MATCH(ROWS($F$2:F357),$F$2:$F$1001,0),0)))</f>
        <v>0</v>
      </c>
      <c r="B357" s="4">
        <f>IF(OR(INDEX($G$2:$G$1001,MATCH(ROWS($F$2:F357),$F$2:$F$1001,0),1)&gt;=100000,INDEX($M$1005,1,MATCH(COLUMNS($M$1006:M1006),$M$1006,0))&gt;=100000), " ",IF(INDEX($M$2:$M$1001,MATCH(ROWS($F$2:F357),$F$2:$F$1001,0),MATCH(COLUMNS($M$1006:M1006),$M$1006,0)), HYPERLINK("#",""), HYPERLINK(CONCATENATE("#Metadata!", ADDRESS(INDEX($H$2:$H$1001,MATCH(ROWS($F$2:F357),$F$2:$F$1001,0),0), INDEX($M$1004,1,MATCH(COLUMNS($M$1006:M1006),$M$1006,0)))),"Fix")))</f>
        <v>0</v>
      </c>
      <c r="F357">
        <v>0</v>
      </c>
      <c r="G357">
        <v>0</v>
      </c>
      <c r="H357">
        <v>0</v>
      </c>
      <c r="I357">
        <f>IF(J357,TRUE,AND(M357))</f>
        <v>0</v>
      </c>
      <c r="J357">
        <f>COUNTBLANK(Metadata!B357)=COLUMNS(Metadata!B357)</f>
        <v>0</v>
      </c>
      <c r="K357">
        <v>0</v>
      </c>
      <c r="M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</row>
    <row r="358" spans="1:13">
      <c r="A358" s="3">
        <f>IF(B358=" "," ",HYPERLINK(CONCATENATE("#metadata!",ADDRESS(INDEX($H$2:$H$1001,MATCH(ROWS($F$2:F358),$F$2:$F$1001,0),0),2)),INDEX($K$2:$K$1001,MATCH(ROWS($F$2:F358),$F$2:$F$1001,0),0)))</f>
        <v>0</v>
      </c>
      <c r="B358" s="4">
        <f>IF(OR(INDEX($G$2:$G$1001,MATCH(ROWS($F$2:F358),$F$2:$F$1001,0),1)&gt;=100000,INDEX($M$1005,1,MATCH(COLUMNS($M$1006:M1006),$M$1006,0))&gt;=100000), " ",IF(INDEX($M$2:$M$1001,MATCH(ROWS($F$2:F358),$F$2:$F$1001,0),MATCH(COLUMNS($M$1006:M1006),$M$1006,0)), HYPERLINK("#",""), HYPERLINK(CONCATENATE("#Metadata!", ADDRESS(INDEX($H$2:$H$1001,MATCH(ROWS($F$2:F358),$F$2:$F$1001,0),0), INDEX($M$1004,1,MATCH(COLUMNS($M$1006:M1006),$M$1006,0)))),"Fix")))</f>
        <v>0</v>
      </c>
      <c r="F358">
        <v>0</v>
      </c>
      <c r="G358">
        <v>0</v>
      </c>
      <c r="H358">
        <v>0</v>
      </c>
      <c r="I358">
        <f>IF(J358,TRUE,AND(M358))</f>
        <v>0</v>
      </c>
      <c r="J358">
        <f>COUNTBLANK(Metadata!B358)=COLUMNS(Metadata!B358)</f>
        <v>0</v>
      </c>
      <c r="K358">
        <v>0</v>
      </c>
      <c r="M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</row>
    <row r="359" spans="1:13">
      <c r="A359" s="3">
        <f>IF(B359=" "," ",HYPERLINK(CONCATENATE("#metadata!",ADDRESS(INDEX($H$2:$H$1001,MATCH(ROWS($F$2:F359),$F$2:$F$1001,0),0),2)),INDEX($K$2:$K$1001,MATCH(ROWS($F$2:F359),$F$2:$F$1001,0),0)))</f>
        <v>0</v>
      </c>
      <c r="B359" s="4">
        <f>IF(OR(INDEX($G$2:$G$1001,MATCH(ROWS($F$2:F359),$F$2:$F$1001,0),1)&gt;=100000,INDEX($M$1005,1,MATCH(COLUMNS($M$1006:M1006),$M$1006,0))&gt;=100000), " ",IF(INDEX($M$2:$M$1001,MATCH(ROWS($F$2:F359),$F$2:$F$1001,0),MATCH(COLUMNS($M$1006:M1006),$M$1006,0)), HYPERLINK("#",""), HYPERLINK(CONCATENATE("#Metadata!", ADDRESS(INDEX($H$2:$H$1001,MATCH(ROWS($F$2:F359),$F$2:$F$1001,0),0), INDEX($M$1004,1,MATCH(COLUMNS($M$1006:M1006),$M$1006,0)))),"Fix")))</f>
        <v>0</v>
      </c>
      <c r="F359">
        <v>0</v>
      </c>
      <c r="G359">
        <v>0</v>
      </c>
      <c r="H359">
        <v>0</v>
      </c>
      <c r="I359">
        <f>IF(J359,TRUE,AND(M359))</f>
        <v>0</v>
      </c>
      <c r="J359">
        <f>COUNTBLANK(Metadata!B359)=COLUMNS(Metadata!B359)</f>
        <v>0</v>
      </c>
      <c r="K359">
        <v>0</v>
      </c>
      <c r="M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</row>
    <row r="360" spans="1:13">
      <c r="A360" s="3">
        <f>IF(B360=" "," ",HYPERLINK(CONCATENATE("#metadata!",ADDRESS(INDEX($H$2:$H$1001,MATCH(ROWS($F$2:F360),$F$2:$F$1001,0),0),2)),INDEX($K$2:$K$1001,MATCH(ROWS($F$2:F360),$F$2:$F$1001,0),0)))</f>
        <v>0</v>
      </c>
      <c r="B360" s="4">
        <f>IF(OR(INDEX($G$2:$G$1001,MATCH(ROWS($F$2:F360),$F$2:$F$1001,0),1)&gt;=100000,INDEX($M$1005,1,MATCH(COLUMNS($M$1006:M1006),$M$1006,0))&gt;=100000), " ",IF(INDEX($M$2:$M$1001,MATCH(ROWS($F$2:F360),$F$2:$F$1001,0),MATCH(COLUMNS($M$1006:M1006),$M$1006,0)), HYPERLINK("#",""), HYPERLINK(CONCATENATE("#Metadata!", ADDRESS(INDEX($H$2:$H$1001,MATCH(ROWS($F$2:F360),$F$2:$F$1001,0),0), INDEX($M$1004,1,MATCH(COLUMNS($M$1006:M1006),$M$1006,0)))),"Fix")))</f>
        <v>0</v>
      </c>
      <c r="F360">
        <v>0</v>
      </c>
      <c r="G360">
        <v>0</v>
      </c>
      <c r="H360">
        <v>0</v>
      </c>
      <c r="I360">
        <f>IF(J360,TRUE,AND(M360))</f>
        <v>0</v>
      </c>
      <c r="J360">
        <f>COUNTBLANK(Metadata!B360)=COLUMNS(Metadata!B360)</f>
        <v>0</v>
      </c>
      <c r="K360">
        <v>0</v>
      </c>
      <c r="M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</row>
    <row r="361" spans="1:13">
      <c r="A361" s="3">
        <f>IF(B361=" "," ",HYPERLINK(CONCATENATE("#metadata!",ADDRESS(INDEX($H$2:$H$1001,MATCH(ROWS($F$2:F361),$F$2:$F$1001,0),0),2)),INDEX($K$2:$K$1001,MATCH(ROWS($F$2:F361),$F$2:$F$1001,0),0)))</f>
        <v>0</v>
      </c>
      <c r="B361" s="4">
        <f>IF(OR(INDEX($G$2:$G$1001,MATCH(ROWS($F$2:F361),$F$2:$F$1001,0),1)&gt;=100000,INDEX($M$1005,1,MATCH(COLUMNS($M$1006:M1006),$M$1006,0))&gt;=100000), " ",IF(INDEX($M$2:$M$1001,MATCH(ROWS($F$2:F361),$F$2:$F$1001,0),MATCH(COLUMNS($M$1006:M1006),$M$1006,0)), HYPERLINK("#",""), HYPERLINK(CONCATENATE("#Metadata!", ADDRESS(INDEX($H$2:$H$1001,MATCH(ROWS($F$2:F361),$F$2:$F$1001,0),0), INDEX($M$1004,1,MATCH(COLUMNS($M$1006:M1006),$M$1006,0)))),"Fix")))</f>
        <v>0</v>
      </c>
      <c r="F361">
        <v>0</v>
      </c>
      <c r="G361">
        <v>0</v>
      </c>
      <c r="H361">
        <v>0</v>
      </c>
      <c r="I361">
        <f>IF(J361,TRUE,AND(M361))</f>
        <v>0</v>
      </c>
      <c r="J361">
        <f>COUNTBLANK(Metadata!B361)=COLUMNS(Metadata!B361)</f>
        <v>0</v>
      </c>
      <c r="K361">
        <v>0</v>
      </c>
      <c r="M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</row>
    <row r="362" spans="1:13">
      <c r="A362" s="3">
        <f>IF(B362=" "," ",HYPERLINK(CONCATENATE("#metadata!",ADDRESS(INDEX($H$2:$H$1001,MATCH(ROWS($F$2:F362),$F$2:$F$1001,0),0),2)),INDEX($K$2:$K$1001,MATCH(ROWS($F$2:F362),$F$2:$F$1001,0),0)))</f>
        <v>0</v>
      </c>
      <c r="B362" s="4">
        <f>IF(OR(INDEX($G$2:$G$1001,MATCH(ROWS($F$2:F362),$F$2:$F$1001,0),1)&gt;=100000,INDEX($M$1005,1,MATCH(COLUMNS($M$1006:M1006),$M$1006,0))&gt;=100000), " ",IF(INDEX($M$2:$M$1001,MATCH(ROWS($F$2:F362),$F$2:$F$1001,0),MATCH(COLUMNS($M$1006:M1006),$M$1006,0)), HYPERLINK("#",""), HYPERLINK(CONCATENATE("#Metadata!", ADDRESS(INDEX($H$2:$H$1001,MATCH(ROWS($F$2:F362),$F$2:$F$1001,0),0), INDEX($M$1004,1,MATCH(COLUMNS($M$1006:M1006),$M$1006,0)))),"Fix")))</f>
        <v>0</v>
      </c>
      <c r="F362">
        <v>0</v>
      </c>
      <c r="G362">
        <v>0</v>
      </c>
      <c r="H362">
        <v>0</v>
      </c>
      <c r="I362">
        <f>IF(J362,TRUE,AND(M362))</f>
        <v>0</v>
      </c>
      <c r="J362">
        <f>COUNTBLANK(Metadata!B362)=COLUMNS(Metadata!B362)</f>
        <v>0</v>
      </c>
      <c r="K362">
        <v>0</v>
      </c>
      <c r="M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</row>
    <row r="363" spans="1:13">
      <c r="A363" s="3">
        <f>IF(B363=" "," ",HYPERLINK(CONCATENATE("#metadata!",ADDRESS(INDEX($H$2:$H$1001,MATCH(ROWS($F$2:F363),$F$2:$F$1001,0),0),2)),INDEX($K$2:$K$1001,MATCH(ROWS($F$2:F363),$F$2:$F$1001,0),0)))</f>
        <v>0</v>
      </c>
      <c r="B363" s="4">
        <f>IF(OR(INDEX($G$2:$G$1001,MATCH(ROWS($F$2:F363),$F$2:$F$1001,0),1)&gt;=100000,INDEX($M$1005,1,MATCH(COLUMNS($M$1006:M1006),$M$1006,0))&gt;=100000), " ",IF(INDEX($M$2:$M$1001,MATCH(ROWS($F$2:F363),$F$2:$F$1001,0),MATCH(COLUMNS($M$1006:M1006),$M$1006,0)), HYPERLINK("#",""), HYPERLINK(CONCATENATE("#Metadata!", ADDRESS(INDEX($H$2:$H$1001,MATCH(ROWS($F$2:F363),$F$2:$F$1001,0),0), INDEX($M$1004,1,MATCH(COLUMNS($M$1006:M1006),$M$1006,0)))),"Fix")))</f>
        <v>0</v>
      </c>
      <c r="F363">
        <v>0</v>
      </c>
      <c r="G363">
        <v>0</v>
      </c>
      <c r="H363">
        <v>0</v>
      </c>
      <c r="I363">
        <f>IF(J363,TRUE,AND(M363))</f>
        <v>0</v>
      </c>
      <c r="J363">
        <f>COUNTBLANK(Metadata!B363)=COLUMNS(Metadata!B363)</f>
        <v>0</v>
      </c>
      <c r="K363">
        <v>0</v>
      </c>
      <c r="M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</row>
    <row r="364" spans="1:13">
      <c r="A364" s="3">
        <f>IF(B364=" "," ",HYPERLINK(CONCATENATE("#metadata!",ADDRESS(INDEX($H$2:$H$1001,MATCH(ROWS($F$2:F364),$F$2:$F$1001,0),0),2)),INDEX($K$2:$K$1001,MATCH(ROWS($F$2:F364),$F$2:$F$1001,0),0)))</f>
        <v>0</v>
      </c>
      <c r="B364" s="4">
        <f>IF(OR(INDEX($G$2:$G$1001,MATCH(ROWS($F$2:F364),$F$2:$F$1001,0),1)&gt;=100000,INDEX($M$1005,1,MATCH(COLUMNS($M$1006:M1006),$M$1006,0))&gt;=100000), " ",IF(INDEX($M$2:$M$1001,MATCH(ROWS($F$2:F364),$F$2:$F$1001,0),MATCH(COLUMNS($M$1006:M1006),$M$1006,0)), HYPERLINK("#",""), HYPERLINK(CONCATENATE("#Metadata!", ADDRESS(INDEX($H$2:$H$1001,MATCH(ROWS($F$2:F364),$F$2:$F$1001,0),0), INDEX($M$1004,1,MATCH(COLUMNS($M$1006:M1006),$M$1006,0)))),"Fix")))</f>
        <v>0</v>
      </c>
      <c r="F364">
        <v>0</v>
      </c>
      <c r="G364">
        <v>0</v>
      </c>
      <c r="H364">
        <v>0</v>
      </c>
      <c r="I364">
        <f>IF(J364,TRUE,AND(M364))</f>
        <v>0</v>
      </c>
      <c r="J364">
        <f>COUNTBLANK(Metadata!B364)=COLUMNS(Metadata!B364)</f>
        <v>0</v>
      </c>
      <c r="K364">
        <v>0</v>
      </c>
      <c r="M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</row>
    <row r="365" spans="1:13">
      <c r="A365" s="3">
        <f>IF(B365=" "," ",HYPERLINK(CONCATENATE("#metadata!",ADDRESS(INDEX($H$2:$H$1001,MATCH(ROWS($F$2:F365),$F$2:$F$1001,0),0),2)),INDEX($K$2:$K$1001,MATCH(ROWS($F$2:F365),$F$2:$F$1001,0),0)))</f>
        <v>0</v>
      </c>
      <c r="B365" s="4">
        <f>IF(OR(INDEX($G$2:$G$1001,MATCH(ROWS($F$2:F365),$F$2:$F$1001,0),1)&gt;=100000,INDEX($M$1005,1,MATCH(COLUMNS($M$1006:M1006),$M$1006,0))&gt;=100000), " ",IF(INDEX($M$2:$M$1001,MATCH(ROWS($F$2:F365),$F$2:$F$1001,0),MATCH(COLUMNS($M$1006:M1006),$M$1006,0)), HYPERLINK("#",""), HYPERLINK(CONCATENATE("#Metadata!", ADDRESS(INDEX($H$2:$H$1001,MATCH(ROWS($F$2:F365),$F$2:$F$1001,0),0), INDEX($M$1004,1,MATCH(COLUMNS($M$1006:M1006),$M$1006,0)))),"Fix")))</f>
        <v>0</v>
      </c>
      <c r="F365">
        <v>0</v>
      </c>
      <c r="G365">
        <v>0</v>
      </c>
      <c r="H365">
        <v>0</v>
      </c>
      <c r="I365">
        <f>IF(J365,TRUE,AND(M365))</f>
        <v>0</v>
      </c>
      <c r="J365">
        <f>COUNTBLANK(Metadata!B365)=COLUMNS(Metadata!B365)</f>
        <v>0</v>
      </c>
      <c r="K365">
        <v>0</v>
      </c>
      <c r="M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</row>
    <row r="366" spans="1:13">
      <c r="A366" s="3">
        <f>IF(B366=" "," ",HYPERLINK(CONCATENATE("#metadata!",ADDRESS(INDEX($H$2:$H$1001,MATCH(ROWS($F$2:F366),$F$2:$F$1001,0),0),2)),INDEX($K$2:$K$1001,MATCH(ROWS($F$2:F366),$F$2:$F$1001,0),0)))</f>
        <v>0</v>
      </c>
      <c r="B366" s="4">
        <f>IF(OR(INDEX($G$2:$G$1001,MATCH(ROWS($F$2:F366),$F$2:$F$1001,0),1)&gt;=100000,INDEX($M$1005,1,MATCH(COLUMNS($M$1006:M1006),$M$1006,0))&gt;=100000), " ",IF(INDEX($M$2:$M$1001,MATCH(ROWS($F$2:F366),$F$2:$F$1001,0),MATCH(COLUMNS($M$1006:M1006),$M$1006,0)), HYPERLINK("#",""), HYPERLINK(CONCATENATE("#Metadata!", ADDRESS(INDEX($H$2:$H$1001,MATCH(ROWS($F$2:F366),$F$2:$F$1001,0),0), INDEX($M$1004,1,MATCH(COLUMNS($M$1006:M1006),$M$1006,0)))),"Fix")))</f>
        <v>0</v>
      </c>
      <c r="F366">
        <v>0</v>
      </c>
      <c r="G366">
        <v>0</v>
      </c>
      <c r="H366">
        <v>0</v>
      </c>
      <c r="I366">
        <f>IF(J366,TRUE,AND(M366))</f>
        <v>0</v>
      </c>
      <c r="J366">
        <f>COUNTBLANK(Metadata!B366)=COLUMNS(Metadata!B366)</f>
        <v>0</v>
      </c>
      <c r="K366">
        <v>0</v>
      </c>
      <c r="M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</row>
    <row r="367" spans="1:13">
      <c r="A367" s="3">
        <f>IF(B367=" "," ",HYPERLINK(CONCATENATE("#metadata!",ADDRESS(INDEX($H$2:$H$1001,MATCH(ROWS($F$2:F367),$F$2:$F$1001,0),0),2)),INDEX($K$2:$K$1001,MATCH(ROWS($F$2:F367),$F$2:$F$1001,0),0)))</f>
        <v>0</v>
      </c>
      <c r="B367" s="4">
        <f>IF(OR(INDEX($G$2:$G$1001,MATCH(ROWS($F$2:F367),$F$2:$F$1001,0),1)&gt;=100000,INDEX($M$1005,1,MATCH(COLUMNS($M$1006:M1006),$M$1006,0))&gt;=100000), " ",IF(INDEX($M$2:$M$1001,MATCH(ROWS($F$2:F367),$F$2:$F$1001,0),MATCH(COLUMNS($M$1006:M1006),$M$1006,0)), HYPERLINK("#",""), HYPERLINK(CONCATENATE("#Metadata!", ADDRESS(INDEX($H$2:$H$1001,MATCH(ROWS($F$2:F367),$F$2:$F$1001,0),0), INDEX($M$1004,1,MATCH(COLUMNS($M$1006:M1006),$M$1006,0)))),"Fix")))</f>
        <v>0</v>
      </c>
      <c r="F367">
        <v>0</v>
      </c>
      <c r="G367">
        <v>0</v>
      </c>
      <c r="H367">
        <v>0</v>
      </c>
      <c r="I367">
        <f>IF(J367,TRUE,AND(M367))</f>
        <v>0</v>
      </c>
      <c r="J367">
        <f>COUNTBLANK(Metadata!B367)=COLUMNS(Metadata!B367)</f>
        <v>0</v>
      </c>
      <c r="K367">
        <v>0</v>
      </c>
      <c r="M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</row>
    <row r="368" spans="1:13">
      <c r="A368" s="3">
        <f>IF(B368=" "," ",HYPERLINK(CONCATENATE("#metadata!",ADDRESS(INDEX($H$2:$H$1001,MATCH(ROWS($F$2:F368),$F$2:$F$1001,0),0),2)),INDEX($K$2:$K$1001,MATCH(ROWS($F$2:F368),$F$2:$F$1001,0),0)))</f>
        <v>0</v>
      </c>
      <c r="B368" s="4">
        <f>IF(OR(INDEX($G$2:$G$1001,MATCH(ROWS($F$2:F368),$F$2:$F$1001,0),1)&gt;=100000,INDEX($M$1005,1,MATCH(COLUMNS($M$1006:M1006),$M$1006,0))&gt;=100000), " ",IF(INDEX($M$2:$M$1001,MATCH(ROWS($F$2:F368),$F$2:$F$1001,0),MATCH(COLUMNS($M$1006:M1006),$M$1006,0)), HYPERLINK("#",""), HYPERLINK(CONCATENATE("#Metadata!", ADDRESS(INDEX($H$2:$H$1001,MATCH(ROWS($F$2:F368),$F$2:$F$1001,0),0), INDEX($M$1004,1,MATCH(COLUMNS($M$1006:M1006),$M$1006,0)))),"Fix")))</f>
        <v>0</v>
      </c>
      <c r="F368">
        <v>0</v>
      </c>
      <c r="G368">
        <v>0</v>
      </c>
      <c r="H368">
        <v>0</v>
      </c>
      <c r="I368">
        <f>IF(J368,TRUE,AND(M368))</f>
        <v>0</v>
      </c>
      <c r="J368">
        <f>COUNTBLANK(Metadata!B368)=COLUMNS(Metadata!B368)</f>
        <v>0</v>
      </c>
      <c r="K368">
        <v>0</v>
      </c>
      <c r="M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</row>
    <row r="369" spans="1:13">
      <c r="A369" s="3">
        <f>IF(B369=" "," ",HYPERLINK(CONCATENATE("#metadata!",ADDRESS(INDEX($H$2:$H$1001,MATCH(ROWS($F$2:F369),$F$2:$F$1001,0),0),2)),INDEX($K$2:$K$1001,MATCH(ROWS($F$2:F369),$F$2:$F$1001,0),0)))</f>
        <v>0</v>
      </c>
      <c r="B369" s="4">
        <f>IF(OR(INDEX($G$2:$G$1001,MATCH(ROWS($F$2:F369),$F$2:$F$1001,0),1)&gt;=100000,INDEX($M$1005,1,MATCH(COLUMNS($M$1006:M1006),$M$1006,0))&gt;=100000), " ",IF(INDEX($M$2:$M$1001,MATCH(ROWS($F$2:F369),$F$2:$F$1001,0),MATCH(COLUMNS($M$1006:M1006),$M$1006,0)), HYPERLINK("#",""), HYPERLINK(CONCATENATE("#Metadata!", ADDRESS(INDEX($H$2:$H$1001,MATCH(ROWS($F$2:F369),$F$2:$F$1001,0),0), INDEX($M$1004,1,MATCH(COLUMNS($M$1006:M1006),$M$1006,0)))),"Fix")))</f>
        <v>0</v>
      </c>
      <c r="F369">
        <v>0</v>
      </c>
      <c r="G369">
        <v>0</v>
      </c>
      <c r="H369">
        <v>0</v>
      </c>
      <c r="I369">
        <f>IF(J369,TRUE,AND(M369))</f>
        <v>0</v>
      </c>
      <c r="J369">
        <f>COUNTBLANK(Metadata!B369)=COLUMNS(Metadata!B369)</f>
        <v>0</v>
      </c>
      <c r="K369">
        <v>0</v>
      </c>
      <c r="M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</row>
    <row r="370" spans="1:13">
      <c r="A370" s="3">
        <f>IF(B370=" "," ",HYPERLINK(CONCATENATE("#metadata!",ADDRESS(INDEX($H$2:$H$1001,MATCH(ROWS($F$2:F370),$F$2:$F$1001,0),0),2)),INDEX($K$2:$K$1001,MATCH(ROWS($F$2:F370),$F$2:$F$1001,0),0)))</f>
        <v>0</v>
      </c>
      <c r="B370" s="4">
        <f>IF(OR(INDEX($G$2:$G$1001,MATCH(ROWS($F$2:F370),$F$2:$F$1001,0),1)&gt;=100000,INDEX($M$1005,1,MATCH(COLUMNS($M$1006:M1006),$M$1006,0))&gt;=100000), " ",IF(INDEX($M$2:$M$1001,MATCH(ROWS($F$2:F370),$F$2:$F$1001,0),MATCH(COLUMNS($M$1006:M1006),$M$1006,0)), HYPERLINK("#",""), HYPERLINK(CONCATENATE("#Metadata!", ADDRESS(INDEX($H$2:$H$1001,MATCH(ROWS($F$2:F370),$F$2:$F$1001,0),0), INDEX($M$1004,1,MATCH(COLUMNS($M$1006:M1006),$M$1006,0)))),"Fix")))</f>
        <v>0</v>
      </c>
      <c r="F370">
        <v>0</v>
      </c>
      <c r="G370">
        <v>0</v>
      </c>
      <c r="H370">
        <v>0</v>
      </c>
      <c r="I370">
        <f>IF(J370,TRUE,AND(M370))</f>
        <v>0</v>
      </c>
      <c r="J370">
        <f>COUNTBLANK(Metadata!B370)=COLUMNS(Metadata!B370)</f>
        <v>0</v>
      </c>
      <c r="K370">
        <v>0</v>
      </c>
      <c r="M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</row>
    <row r="371" spans="1:13">
      <c r="A371" s="3">
        <f>IF(B371=" "," ",HYPERLINK(CONCATENATE("#metadata!",ADDRESS(INDEX($H$2:$H$1001,MATCH(ROWS($F$2:F371),$F$2:$F$1001,0),0),2)),INDEX($K$2:$K$1001,MATCH(ROWS($F$2:F371),$F$2:$F$1001,0),0)))</f>
        <v>0</v>
      </c>
      <c r="B371" s="4">
        <f>IF(OR(INDEX($G$2:$G$1001,MATCH(ROWS($F$2:F371),$F$2:$F$1001,0),1)&gt;=100000,INDEX($M$1005,1,MATCH(COLUMNS($M$1006:M1006),$M$1006,0))&gt;=100000), " ",IF(INDEX($M$2:$M$1001,MATCH(ROWS($F$2:F371),$F$2:$F$1001,0),MATCH(COLUMNS($M$1006:M1006),$M$1006,0)), HYPERLINK("#",""), HYPERLINK(CONCATENATE("#Metadata!", ADDRESS(INDEX($H$2:$H$1001,MATCH(ROWS($F$2:F371),$F$2:$F$1001,0),0), INDEX($M$1004,1,MATCH(COLUMNS($M$1006:M1006),$M$1006,0)))),"Fix")))</f>
        <v>0</v>
      </c>
      <c r="F371">
        <v>0</v>
      </c>
      <c r="G371">
        <v>0</v>
      </c>
      <c r="H371">
        <v>0</v>
      </c>
      <c r="I371">
        <f>IF(J371,TRUE,AND(M371))</f>
        <v>0</v>
      </c>
      <c r="J371">
        <f>COUNTBLANK(Metadata!B371)=COLUMNS(Metadata!B371)</f>
        <v>0</v>
      </c>
      <c r="K371">
        <v>0</v>
      </c>
      <c r="M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</row>
    <row r="372" spans="1:13">
      <c r="A372" s="3">
        <f>IF(B372=" "," ",HYPERLINK(CONCATENATE("#metadata!",ADDRESS(INDEX($H$2:$H$1001,MATCH(ROWS($F$2:F372),$F$2:$F$1001,0),0),2)),INDEX($K$2:$K$1001,MATCH(ROWS($F$2:F372),$F$2:$F$1001,0),0)))</f>
        <v>0</v>
      </c>
      <c r="B372" s="4">
        <f>IF(OR(INDEX($G$2:$G$1001,MATCH(ROWS($F$2:F372),$F$2:$F$1001,0),1)&gt;=100000,INDEX($M$1005,1,MATCH(COLUMNS($M$1006:M1006),$M$1006,0))&gt;=100000), " ",IF(INDEX($M$2:$M$1001,MATCH(ROWS($F$2:F372),$F$2:$F$1001,0),MATCH(COLUMNS($M$1006:M1006),$M$1006,0)), HYPERLINK("#",""), HYPERLINK(CONCATENATE("#Metadata!", ADDRESS(INDEX($H$2:$H$1001,MATCH(ROWS($F$2:F372),$F$2:$F$1001,0),0), INDEX($M$1004,1,MATCH(COLUMNS($M$1006:M1006),$M$1006,0)))),"Fix")))</f>
        <v>0</v>
      </c>
      <c r="F372">
        <v>0</v>
      </c>
      <c r="G372">
        <v>0</v>
      </c>
      <c r="H372">
        <v>0</v>
      </c>
      <c r="I372">
        <f>IF(J372,TRUE,AND(M372))</f>
        <v>0</v>
      </c>
      <c r="J372">
        <f>COUNTBLANK(Metadata!B372)=COLUMNS(Metadata!B372)</f>
        <v>0</v>
      </c>
      <c r="K372">
        <v>0</v>
      </c>
      <c r="M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</row>
    <row r="373" spans="1:13">
      <c r="A373" s="3">
        <f>IF(B373=" "," ",HYPERLINK(CONCATENATE("#metadata!",ADDRESS(INDEX($H$2:$H$1001,MATCH(ROWS($F$2:F373),$F$2:$F$1001,0),0),2)),INDEX($K$2:$K$1001,MATCH(ROWS($F$2:F373),$F$2:$F$1001,0),0)))</f>
        <v>0</v>
      </c>
      <c r="B373" s="4">
        <f>IF(OR(INDEX($G$2:$G$1001,MATCH(ROWS($F$2:F373),$F$2:$F$1001,0),1)&gt;=100000,INDEX($M$1005,1,MATCH(COLUMNS($M$1006:M1006),$M$1006,0))&gt;=100000), " ",IF(INDEX($M$2:$M$1001,MATCH(ROWS($F$2:F373),$F$2:$F$1001,0),MATCH(COLUMNS($M$1006:M1006),$M$1006,0)), HYPERLINK("#",""), HYPERLINK(CONCATENATE("#Metadata!", ADDRESS(INDEX($H$2:$H$1001,MATCH(ROWS($F$2:F373),$F$2:$F$1001,0),0), INDEX($M$1004,1,MATCH(COLUMNS($M$1006:M1006),$M$1006,0)))),"Fix")))</f>
        <v>0</v>
      </c>
      <c r="F373">
        <v>0</v>
      </c>
      <c r="G373">
        <v>0</v>
      </c>
      <c r="H373">
        <v>0</v>
      </c>
      <c r="I373">
        <f>IF(J373,TRUE,AND(M373))</f>
        <v>0</v>
      </c>
      <c r="J373">
        <f>COUNTBLANK(Metadata!B373)=COLUMNS(Metadata!B373)</f>
        <v>0</v>
      </c>
      <c r="K373">
        <v>0</v>
      </c>
      <c r="M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</row>
    <row r="374" spans="1:13">
      <c r="A374" s="3">
        <f>IF(B374=" "," ",HYPERLINK(CONCATENATE("#metadata!",ADDRESS(INDEX($H$2:$H$1001,MATCH(ROWS($F$2:F374),$F$2:$F$1001,0),0),2)),INDEX($K$2:$K$1001,MATCH(ROWS($F$2:F374),$F$2:$F$1001,0),0)))</f>
        <v>0</v>
      </c>
      <c r="B374" s="4">
        <f>IF(OR(INDEX($G$2:$G$1001,MATCH(ROWS($F$2:F374),$F$2:$F$1001,0),1)&gt;=100000,INDEX($M$1005,1,MATCH(COLUMNS($M$1006:M1006),$M$1006,0))&gt;=100000), " ",IF(INDEX($M$2:$M$1001,MATCH(ROWS($F$2:F374),$F$2:$F$1001,0),MATCH(COLUMNS($M$1006:M1006),$M$1006,0)), HYPERLINK("#",""), HYPERLINK(CONCATENATE("#Metadata!", ADDRESS(INDEX($H$2:$H$1001,MATCH(ROWS($F$2:F374),$F$2:$F$1001,0),0), INDEX($M$1004,1,MATCH(COLUMNS($M$1006:M1006),$M$1006,0)))),"Fix")))</f>
        <v>0</v>
      </c>
      <c r="F374">
        <v>0</v>
      </c>
      <c r="G374">
        <v>0</v>
      </c>
      <c r="H374">
        <v>0</v>
      </c>
      <c r="I374">
        <f>IF(J374,TRUE,AND(M374))</f>
        <v>0</v>
      </c>
      <c r="J374">
        <f>COUNTBLANK(Metadata!B374)=COLUMNS(Metadata!B374)</f>
        <v>0</v>
      </c>
      <c r="K374">
        <v>0</v>
      </c>
      <c r="M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</row>
    <row r="375" spans="1:13">
      <c r="A375" s="3">
        <f>IF(B375=" "," ",HYPERLINK(CONCATENATE("#metadata!",ADDRESS(INDEX($H$2:$H$1001,MATCH(ROWS($F$2:F375),$F$2:$F$1001,0),0),2)),INDEX($K$2:$K$1001,MATCH(ROWS($F$2:F375),$F$2:$F$1001,0),0)))</f>
        <v>0</v>
      </c>
      <c r="B375" s="4">
        <f>IF(OR(INDEX($G$2:$G$1001,MATCH(ROWS($F$2:F375),$F$2:$F$1001,0),1)&gt;=100000,INDEX($M$1005,1,MATCH(COLUMNS($M$1006:M1006),$M$1006,0))&gt;=100000), " ",IF(INDEX($M$2:$M$1001,MATCH(ROWS($F$2:F375),$F$2:$F$1001,0),MATCH(COLUMNS($M$1006:M1006),$M$1006,0)), HYPERLINK("#",""), HYPERLINK(CONCATENATE("#Metadata!", ADDRESS(INDEX($H$2:$H$1001,MATCH(ROWS($F$2:F375),$F$2:$F$1001,0),0), INDEX($M$1004,1,MATCH(COLUMNS($M$1006:M1006),$M$1006,0)))),"Fix")))</f>
        <v>0</v>
      </c>
      <c r="F375">
        <v>0</v>
      </c>
      <c r="G375">
        <v>0</v>
      </c>
      <c r="H375">
        <v>0</v>
      </c>
      <c r="I375">
        <f>IF(J375,TRUE,AND(M375))</f>
        <v>0</v>
      </c>
      <c r="J375">
        <f>COUNTBLANK(Metadata!B375)=COLUMNS(Metadata!B375)</f>
        <v>0</v>
      </c>
      <c r="K375">
        <v>0</v>
      </c>
      <c r="M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</row>
    <row r="376" spans="1:13">
      <c r="A376" s="3">
        <f>IF(B376=" "," ",HYPERLINK(CONCATENATE("#metadata!",ADDRESS(INDEX($H$2:$H$1001,MATCH(ROWS($F$2:F376),$F$2:$F$1001,0),0),2)),INDEX($K$2:$K$1001,MATCH(ROWS($F$2:F376),$F$2:$F$1001,0),0)))</f>
        <v>0</v>
      </c>
      <c r="B376" s="4">
        <f>IF(OR(INDEX($G$2:$G$1001,MATCH(ROWS($F$2:F376),$F$2:$F$1001,0),1)&gt;=100000,INDEX($M$1005,1,MATCH(COLUMNS($M$1006:M1006),$M$1006,0))&gt;=100000), " ",IF(INDEX($M$2:$M$1001,MATCH(ROWS($F$2:F376),$F$2:$F$1001,0),MATCH(COLUMNS($M$1006:M1006),$M$1006,0)), HYPERLINK("#",""), HYPERLINK(CONCATENATE("#Metadata!", ADDRESS(INDEX($H$2:$H$1001,MATCH(ROWS($F$2:F376),$F$2:$F$1001,0),0), INDEX($M$1004,1,MATCH(COLUMNS($M$1006:M1006),$M$1006,0)))),"Fix")))</f>
        <v>0</v>
      </c>
      <c r="F376">
        <v>0</v>
      </c>
      <c r="G376">
        <v>0</v>
      </c>
      <c r="H376">
        <v>0</v>
      </c>
      <c r="I376">
        <f>IF(J376,TRUE,AND(M376))</f>
        <v>0</v>
      </c>
      <c r="J376">
        <f>COUNTBLANK(Metadata!B376)=COLUMNS(Metadata!B376)</f>
        <v>0</v>
      </c>
      <c r="K376">
        <v>0</v>
      </c>
      <c r="M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</row>
    <row r="377" spans="1:13">
      <c r="A377" s="3">
        <f>IF(B377=" "," ",HYPERLINK(CONCATENATE("#metadata!",ADDRESS(INDEX($H$2:$H$1001,MATCH(ROWS($F$2:F377),$F$2:$F$1001,0),0),2)),INDEX($K$2:$K$1001,MATCH(ROWS($F$2:F377),$F$2:$F$1001,0),0)))</f>
        <v>0</v>
      </c>
      <c r="B377" s="4">
        <f>IF(OR(INDEX($G$2:$G$1001,MATCH(ROWS($F$2:F377),$F$2:$F$1001,0),1)&gt;=100000,INDEX($M$1005,1,MATCH(COLUMNS($M$1006:M1006),$M$1006,0))&gt;=100000), " ",IF(INDEX($M$2:$M$1001,MATCH(ROWS($F$2:F377),$F$2:$F$1001,0),MATCH(COLUMNS($M$1006:M1006),$M$1006,0)), HYPERLINK("#",""), HYPERLINK(CONCATENATE("#Metadata!", ADDRESS(INDEX($H$2:$H$1001,MATCH(ROWS($F$2:F377),$F$2:$F$1001,0),0), INDEX($M$1004,1,MATCH(COLUMNS($M$1006:M1006),$M$1006,0)))),"Fix")))</f>
        <v>0</v>
      </c>
      <c r="F377">
        <v>0</v>
      </c>
      <c r="G377">
        <v>0</v>
      </c>
      <c r="H377">
        <v>0</v>
      </c>
      <c r="I377">
        <f>IF(J377,TRUE,AND(M377))</f>
        <v>0</v>
      </c>
      <c r="J377">
        <f>COUNTBLANK(Metadata!B377)=COLUMNS(Metadata!B377)</f>
        <v>0</v>
      </c>
      <c r="K377">
        <v>0</v>
      </c>
      <c r="M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</row>
    <row r="378" spans="1:13">
      <c r="A378" s="3">
        <f>IF(B378=" "," ",HYPERLINK(CONCATENATE("#metadata!",ADDRESS(INDEX($H$2:$H$1001,MATCH(ROWS($F$2:F378),$F$2:$F$1001,0),0),2)),INDEX($K$2:$K$1001,MATCH(ROWS($F$2:F378),$F$2:$F$1001,0),0)))</f>
        <v>0</v>
      </c>
      <c r="B378" s="4">
        <f>IF(OR(INDEX($G$2:$G$1001,MATCH(ROWS($F$2:F378),$F$2:$F$1001,0),1)&gt;=100000,INDEX($M$1005,1,MATCH(COLUMNS($M$1006:M1006),$M$1006,0))&gt;=100000), " ",IF(INDEX($M$2:$M$1001,MATCH(ROWS($F$2:F378),$F$2:$F$1001,0),MATCH(COLUMNS($M$1006:M1006),$M$1006,0)), HYPERLINK("#",""), HYPERLINK(CONCATENATE("#Metadata!", ADDRESS(INDEX($H$2:$H$1001,MATCH(ROWS($F$2:F378),$F$2:$F$1001,0),0), INDEX($M$1004,1,MATCH(COLUMNS($M$1006:M1006),$M$1006,0)))),"Fix")))</f>
        <v>0</v>
      </c>
      <c r="F378">
        <v>0</v>
      </c>
      <c r="G378">
        <v>0</v>
      </c>
      <c r="H378">
        <v>0</v>
      </c>
      <c r="I378">
        <f>IF(J378,TRUE,AND(M378))</f>
        <v>0</v>
      </c>
      <c r="J378">
        <f>COUNTBLANK(Metadata!B378)=COLUMNS(Metadata!B378)</f>
        <v>0</v>
      </c>
      <c r="K378">
        <v>0</v>
      </c>
      <c r="M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</row>
    <row r="379" spans="1:13">
      <c r="A379" s="3">
        <f>IF(B379=" "," ",HYPERLINK(CONCATENATE("#metadata!",ADDRESS(INDEX($H$2:$H$1001,MATCH(ROWS($F$2:F379),$F$2:$F$1001,0),0),2)),INDEX($K$2:$K$1001,MATCH(ROWS($F$2:F379),$F$2:$F$1001,0),0)))</f>
        <v>0</v>
      </c>
      <c r="B379" s="4">
        <f>IF(OR(INDEX($G$2:$G$1001,MATCH(ROWS($F$2:F379),$F$2:$F$1001,0),1)&gt;=100000,INDEX($M$1005,1,MATCH(COLUMNS($M$1006:M1006),$M$1006,0))&gt;=100000), " ",IF(INDEX($M$2:$M$1001,MATCH(ROWS($F$2:F379),$F$2:$F$1001,0),MATCH(COLUMNS($M$1006:M1006),$M$1006,0)), HYPERLINK("#",""), HYPERLINK(CONCATENATE("#Metadata!", ADDRESS(INDEX($H$2:$H$1001,MATCH(ROWS($F$2:F379),$F$2:$F$1001,0),0), INDEX($M$1004,1,MATCH(COLUMNS($M$1006:M1006),$M$1006,0)))),"Fix")))</f>
        <v>0</v>
      </c>
      <c r="F379">
        <v>0</v>
      </c>
      <c r="G379">
        <v>0</v>
      </c>
      <c r="H379">
        <v>0</v>
      </c>
      <c r="I379">
        <f>IF(J379,TRUE,AND(M379))</f>
        <v>0</v>
      </c>
      <c r="J379">
        <f>COUNTBLANK(Metadata!B379)=COLUMNS(Metadata!B379)</f>
        <v>0</v>
      </c>
      <c r="K379">
        <v>0</v>
      </c>
      <c r="M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</row>
    <row r="380" spans="1:13">
      <c r="A380" s="3">
        <f>IF(B380=" "," ",HYPERLINK(CONCATENATE("#metadata!",ADDRESS(INDEX($H$2:$H$1001,MATCH(ROWS($F$2:F380),$F$2:$F$1001,0),0),2)),INDEX($K$2:$K$1001,MATCH(ROWS($F$2:F380),$F$2:$F$1001,0),0)))</f>
        <v>0</v>
      </c>
      <c r="B380" s="4">
        <f>IF(OR(INDEX($G$2:$G$1001,MATCH(ROWS($F$2:F380),$F$2:$F$1001,0),1)&gt;=100000,INDEX($M$1005,1,MATCH(COLUMNS($M$1006:M1006),$M$1006,0))&gt;=100000), " ",IF(INDEX($M$2:$M$1001,MATCH(ROWS($F$2:F380),$F$2:$F$1001,0),MATCH(COLUMNS($M$1006:M1006),$M$1006,0)), HYPERLINK("#",""), HYPERLINK(CONCATENATE("#Metadata!", ADDRESS(INDEX($H$2:$H$1001,MATCH(ROWS($F$2:F380),$F$2:$F$1001,0),0), INDEX($M$1004,1,MATCH(COLUMNS($M$1006:M1006),$M$1006,0)))),"Fix")))</f>
        <v>0</v>
      </c>
      <c r="F380">
        <v>0</v>
      </c>
      <c r="G380">
        <v>0</v>
      </c>
      <c r="H380">
        <v>0</v>
      </c>
      <c r="I380">
        <f>IF(J380,TRUE,AND(M380))</f>
        <v>0</v>
      </c>
      <c r="J380">
        <f>COUNTBLANK(Metadata!B380)=COLUMNS(Metadata!B380)</f>
        <v>0</v>
      </c>
      <c r="K380">
        <v>0</v>
      </c>
      <c r="M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</row>
    <row r="381" spans="1:13">
      <c r="A381" s="3">
        <f>IF(B381=" "," ",HYPERLINK(CONCATENATE("#metadata!",ADDRESS(INDEX($H$2:$H$1001,MATCH(ROWS($F$2:F381),$F$2:$F$1001,0),0),2)),INDEX($K$2:$K$1001,MATCH(ROWS($F$2:F381),$F$2:$F$1001,0),0)))</f>
        <v>0</v>
      </c>
      <c r="B381" s="4">
        <f>IF(OR(INDEX($G$2:$G$1001,MATCH(ROWS($F$2:F381),$F$2:$F$1001,0),1)&gt;=100000,INDEX($M$1005,1,MATCH(COLUMNS($M$1006:M1006),$M$1006,0))&gt;=100000), " ",IF(INDEX($M$2:$M$1001,MATCH(ROWS($F$2:F381),$F$2:$F$1001,0),MATCH(COLUMNS($M$1006:M1006),$M$1006,0)), HYPERLINK("#",""), HYPERLINK(CONCATENATE("#Metadata!", ADDRESS(INDEX($H$2:$H$1001,MATCH(ROWS($F$2:F381),$F$2:$F$1001,0),0), INDEX($M$1004,1,MATCH(COLUMNS($M$1006:M1006),$M$1006,0)))),"Fix")))</f>
        <v>0</v>
      </c>
      <c r="F381">
        <v>0</v>
      </c>
      <c r="G381">
        <v>0</v>
      </c>
      <c r="H381">
        <v>0</v>
      </c>
      <c r="I381">
        <f>IF(J381,TRUE,AND(M381))</f>
        <v>0</v>
      </c>
      <c r="J381">
        <f>COUNTBLANK(Metadata!B381)=COLUMNS(Metadata!B381)</f>
        <v>0</v>
      </c>
      <c r="K381">
        <v>0</v>
      </c>
      <c r="M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</row>
    <row r="382" spans="1:13">
      <c r="A382" s="3">
        <f>IF(B382=" "," ",HYPERLINK(CONCATENATE("#metadata!",ADDRESS(INDEX($H$2:$H$1001,MATCH(ROWS($F$2:F382),$F$2:$F$1001,0),0),2)),INDEX($K$2:$K$1001,MATCH(ROWS($F$2:F382),$F$2:$F$1001,0),0)))</f>
        <v>0</v>
      </c>
      <c r="B382" s="4">
        <f>IF(OR(INDEX($G$2:$G$1001,MATCH(ROWS($F$2:F382),$F$2:$F$1001,0),1)&gt;=100000,INDEX($M$1005,1,MATCH(COLUMNS($M$1006:M1006),$M$1006,0))&gt;=100000), " ",IF(INDEX($M$2:$M$1001,MATCH(ROWS($F$2:F382),$F$2:$F$1001,0),MATCH(COLUMNS($M$1006:M1006),$M$1006,0)), HYPERLINK("#",""), HYPERLINK(CONCATENATE("#Metadata!", ADDRESS(INDEX($H$2:$H$1001,MATCH(ROWS($F$2:F382),$F$2:$F$1001,0),0), INDEX($M$1004,1,MATCH(COLUMNS($M$1006:M1006),$M$1006,0)))),"Fix")))</f>
        <v>0</v>
      </c>
      <c r="F382">
        <v>0</v>
      </c>
      <c r="G382">
        <v>0</v>
      </c>
      <c r="H382">
        <v>0</v>
      </c>
      <c r="I382">
        <f>IF(J382,TRUE,AND(M382))</f>
        <v>0</v>
      </c>
      <c r="J382">
        <f>COUNTBLANK(Metadata!B382)=COLUMNS(Metadata!B382)</f>
        <v>0</v>
      </c>
      <c r="K382">
        <v>0</v>
      </c>
      <c r="M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</row>
    <row r="383" spans="1:13">
      <c r="A383" s="3">
        <f>IF(B383=" "," ",HYPERLINK(CONCATENATE("#metadata!",ADDRESS(INDEX($H$2:$H$1001,MATCH(ROWS($F$2:F383),$F$2:$F$1001,0),0),2)),INDEX($K$2:$K$1001,MATCH(ROWS($F$2:F383),$F$2:$F$1001,0),0)))</f>
        <v>0</v>
      </c>
      <c r="B383" s="4">
        <f>IF(OR(INDEX($G$2:$G$1001,MATCH(ROWS($F$2:F383),$F$2:$F$1001,0),1)&gt;=100000,INDEX($M$1005,1,MATCH(COLUMNS($M$1006:M1006),$M$1006,0))&gt;=100000), " ",IF(INDEX($M$2:$M$1001,MATCH(ROWS($F$2:F383),$F$2:$F$1001,0),MATCH(COLUMNS($M$1006:M1006),$M$1006,0)), HYPERLINK("#",""), HYPERLINK(CONCATENATE("#Metadata!", ADDRESS(INDEX($H$2:$H$1001,MATCH(ROWS($F$2:F383),$F$2:$F$1001,0),0), INDEX($M$1004,1,MATCH(COLUMNS($M$1006:M1006),$M$1006,0)))),"Fix")))</f>
        <v>0</v>
      </c>
      <c r="F383">
        <v>0</v>
      </c>
      <c r="G383">
        <v>0</v>
      </c>
      <c r="H383">
        <v>0</v>
      </c>
      <c r="I383">
        <f>IF(J383,TRUE,AND(M383))</f>
        <v>0</v>
      </c>
      <c r="J383">
        <f>COUNTBLANK(Metadata!B383)=COLUMNS(Metadata!B383)</f>
        <v>0</v>
      </c>
      <c r="K383">
        <v>0</v>
      </c>
      <c r="M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</row>
    <row r="384" spans="1:13">
      <c r="A384" s="3">
        <f>IF(B384=" "," ",HYPERLINK(CONCATENATE("#metadata!",ADDRESS(INDEX($H$2:$H$1001,MATCH(ROWS($F$2:F384),$F$2:$F$1001,0),0),2)),INDEX($K$2:$K$1001,MATCH(ROWS($F$2:F384),$F$2:$F$1001,0),0)))</f>
        <v>0</v>
      </c>
      <c r="B384" s="4">
        <f>IF(OR(INDEX($G$2:$G$1001,MATCH(ROWS($F$2:F384),$F$2:$F$1001,0),1)&gt;=100000,INDEX($M$1005,1,MATCH(COLUMNS($M$1006:M1006),$M$1006,0))&gt;=100000), " ",IF(INDEX($M$2:$M$1001,MATCH(ROWS($F$2:F384),$F$2:$F$1001,0),MATCH(COLUMNS($M$1006:M1006),$M$1006,0)), HYPERLINK("#",""), HYPERLINK(CONCATENATE("#Metadata!", ADDRESS(INDEX($H$2:$H$1001,MATCH(ROWS($F$2:F384),$F$2:$F$1001,0),0), INDEX($M$1004,1,MATCH(COLUMNS($M$1006:M1006),$M$1006,0)))),"Fix")))</f>
        <v>0</v>
      </c>
      <c r="F384">
        <v>0</v>
      </c>
      <c r="G384">
        <v>0</v>
      </c>
      <c r="H384">
        <v>0</v>
      </c>
      <c r="I384">
        <f>IF(J384,TRUE,AND(M384))</f>
        <v>0</v>
      </c>
      <c r="J384">
        <f>COUNTBLANK(Metadata!B384)=COLUMNS(Metadata!B384)</f>
        <v>0</v>
      </c>
      <c r="K384">
        <v>0</v>
      </c>
      <c r="M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</row>
    <row r="385" spans="1:13">
      <c r="A385" s="3">
        <f>IF(B385=" "," ",HYPERLINK(CONCATENATE("#metadata!",ADDRESS(INDEX($H$2:$H$1001,MATCH(ROWS($F$2:F385),$F$2:$F$1001,0),0),2)),INDEX($K$2:$K$1001,MATCH(ROWS($F$2:F385),$F$2:$F$1001,0),0)))</f>
        <v>0</v>
      </c>
      <c r="B385" s="4">
        <f>IF(OR(INDEX($G$2:$G$1001,MATCH(ROWS($F$2:F385),$F$2:$F$1001,0),1)&gt;=100000,INDEX($M$1005,1,MATCH(COLUMNS($M$1006:M1006),$M$1006,0))&gt;=100000), " ",IF(INDEX($M$2:$M$1001,MATCH(ROWS($F$2:F385),$F$2:$F$1001,0),MATCH(COLUMNS($M$1006:M1006),$M$1006,0)), HYPERLINK("#",""), HYPERLINK(CONCATENATE("#Metadata!", ADDRESS(INDEX($H$2:$H$1001,MATCH(ROWS($F$2:F385),$F$2:$F$1001,0),0), INDEX($M$1004,1,MATCH(COLUMNS($M$1006:M1006),$M$1006,0)))),"Fix")))</f>
        <v>0</v>
      </c>
      <c r="F385">
        <v>0</v>
      </c>
      <c r="G385">
        <v>0</v>
      </c>
      <c r="H385">
        <v>0</v>
      </c>
      <c r="I385">
        <f>IF(J385,TRUE,AND(M385))</f>
        <v>0</v>
      </c>
      <c r="J385">
        <f>COUNTBLANK(Metadata!B385)=COLUMNS(Metadata!B385)</f>
        <v>0</v>
      </c>
      <c r="K385">
        <v>0</v>
      </c>
      <c r="M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</row>
    <row r="386" spans="1:13">
      <c r="A386" s="3">
        <f>IF(B386=" "," ",HYPERLINK(CONCATENATE("#metadata!",ADDRESS(INDEX($H$2:$H$1001,MATCH(ROWS($F$2:F386),$F$2:$F$1001,0),0),2)),INDEX($K$2:$K$1001,MATCH(ROWS($F$2:F386),$F$2:$F$1001,0),0)))</f>
        <v>0</v>
      </c>
      <c r="B386" s="4">
        <f>IF(OR(INDEX($G$2:$G$1001,MATCH(ROWS($F$2:F386),$F$2:$F$1001,0),1)&gt;=100000,INDEX($M$1005,1,MATCH(COLUMNS($M$1006:M1006),$M$1006,0))&gt;=100000), " ",IF(INDEX($M$2:$M$1001,MATCH(ROWS($F$2:F386),$F$2:$F$1001,0),MATCH(COLUMNS($M$1006:M1006),$M$1006,0)), HYPERLINK("#",""), HYPERLINK(CONCATENATE("#Metadata!", ADDRESS(INDEX($H$2:$H$1001,MATCH(ROWS($F$2:F386),$F$2:$F$1001,0),0), INDEX($M$1004,1,MATCH(COLUMNS($M$1006:M1006),$M$1006,0)))),"Fix")))</f>
        <v>0</v>
      </c>
      <c r="F386">
        <v>0</v>
      </c>
      <c r="G386">
        <v>0</v>
      </c>
      <c r="H386">
        <v>0</v>
      </c>
      <c r="I386">
        <f>IF(J386,TRUE,AND(M386))</f>
        <v>0</v>
      </c>
      <c r="J386">
        <f>COUNTBLANK(Metadata!B386)=COLUMNS(Metadata!B386)</f>
        <v>0</v>
      </c>
      <c r="K386">
        <v>0</v>
      </c>
      <c r="M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</row>
    <row r="387" spans="1:13">
      <c r="A387" s="3">
        <f>IF(B387=" "," ",HYPERLINK(CONCATENATE("#metadata!",ADDRESS(INDEX($H$2:$H$1001,MATCH(ROWS($F$2:F387),$F$2:$F$1001,0),0),2)),INDEX($K$2:$K$1001,MATCH(ROWS($F$2:F387),$F$2:$F$1001,0),0)))</f>
        <v>0</v>
      </c>
      <c r="B387" s="4">
        <f>IF(OR(INDEX($G$2:$G$1001,MATCH(ROWS($F$2:F387),$F$2:$F$1001,0),1)&gt;=100000,INDEX($M$1005,1,MATCH(COLUMNS($M$1006:M1006),$M$1006,0))&gt;=100000), " ",IF(INDEX($M$2:$M$1001,MATCH(ROWS($F$2:F387),$F$2:$F$1001,0),MATCH(COLUMNS($M$1006:M1006),$M$1006,0)), HYPERLINK("#",""), HYPERLINK(CONCATENATE("#Metadata!", ADDRESS(INDEX($H$2:$H$1001,MATCH(ROWS($F$2:F387),$F$2:$F$1001,0),0), INDEX($M$1004,1,MATCH(COLUMNS($M$1006:M1006),$M$1006,0)))),"Fix")))</f>
        <v>0</v>
      </c>
      <c r="F387">
        <v>0</v>
      </c>
      <c r="G387">
        <v>0</v>
      </c>
      <c r="H387">
        <v>0</v>
      </c>
      <c r="I387">
        <f>IF(J387,TRUE,AND(M387))</f>
        <v>0</v>
      </c>
      <c r="J387">
        <f>COUNTBLANK(Metadata!B387)=COLUMNS(Metadata!B387)</f>
        <v>0</v>
      </c>
      <c r="K387">
        <v>0</v>
      </c>
      <c r="M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</row>
    <row r="388" spans="1:13">
      <c r="A388" s="3">
        <f>IF(B388=" "," ",HYPERLINK(CONCATENATE("#metadata!",ADDRESS(INDEX($H$2:$H$1001,MATCH(ROWS($F$2:F388),$F$2:$F$1001,0),0),2)),INDEX($K$2:$K$1001,MATCH(ROWS($F$2:F388),$F$2:$F$1001,0),0)))</f>
        <v>0</v>
      </c>
      <c r="B388" s="4">
        <f>IF(OR(INDEX($G$2:$G$1001,MATCH(ROWS($F$2:F388),$F$2:$F$1001,0),1)&gt;=100000,INDEX($M$1005,1,MATCH(COLUMNS($M$1006:M1006),$M$1006,0))&gt;=100000), " ",IF(INDEX($M$2:$M$1001,MATCH(ROWS($F$2:F388),$F$2:$F$1001,0),MATCH(COLUMNS($M$1006:M1006),$M$1006,0)), HYPERLINK("#",""), HYPERLINK(CONCATENATE("#Metadata!", ADDRESS(INDEX($H$2:$H$1001,MATCH(ROWS($F$2:F388),$F$2:$F$1001,0),0), INDEX($M$1004,1,MATCH(COLUMNS($M$1006:M1006),$M$1006,0)))),"Fix")))</f>
        <v>0</v>
      </c>
      <c r="F388">
        <v>0</v>
      </c>
      <c r="G388">
        <v>0</v>
      </c>
      <c r="H388">
        <v>0</v>
      </c>
      <c r="I388">
        <f>IF(J388,TRUE,AND(M388))</f>
        <v>0</v>
      </c>
      <c r="J388">
        <f>COUNTBLANK(Metadata!B388)=COLUMNS(Metadata!B388)</f>
        <v>0</v>
      </c>
      <c r="K388">
        <v>0</v>
      </c>
      <c r="M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</row>
    <row r="389" spans="1:13">
      <c r="A389" s="3">
        <f>IF(B389=" "," ",HYPERLINK(CONCATENATE("#metadata!",ADDRESS(INDEX($H$2:$H$1001,MATCH(ROWS($F$2:F389),$F$2:$F$1001,0),0),2)),INDEX($K$2:$K$1001,MATCH(ROWS($F$2:F389),$F$2:$F$1001,0),0)))</f>
        <v>0</v>
      </c>
      <c r="B389" s="4">
        <f>IF(OR(INDEX($G$2:$G$1001,MATCH(ROWS($F$2:F389),$F$2:$F$1001,0),1)&gt;=100000,INDEX($M$1005,1,MATCH(COLUMNS($M$1006:M1006),$M$1006,0))&gt;=100000), " ",IF(INDEX($M$2:$M$1001,MATCH(ROWS($F$2:F389),$F$2:$F$1001,0),MATCH(COLUMNS($M$1006:M1006),$M$1006,0)), HYPERLINK("#",""), HYPERLINK(CONCATENATE("#Metadata!", ADDRESS(INDEX($H$2:$H$1001,MATCH(ROWS($F$2:F389),$F$2:$F$1001,0),0), INDEX($M$1004,1,MATCH(COLUMNS($M$1006:M1006),$M$1006,0)))),"Fix")))</f>
        <v>0</v>
      </c>
      <c r="F389">
        <v>0</v>
      </c>
      <c r="G389">
        <v>0</v>
      </c>
      <c r="H389">
        <v>0</v>
      </c>
      <c r="I389">
        <f>IF(J389,TRUE,AND(M389))</f>
        <v>0</v>
      </c>
      <c r="J389">
        <f>COUNTBLANK(Metadata!B389)=COLUMNS(Metadata!B389)</f>
        <v>0</v>
      </c>
      <c r="K389">
        <v>0</v>
      </c>
      <c r="M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</row>
    <row r="390" spans="1:13">
      <c r="A390" s="3">
        <f>IF(B390=" "," ",HYPERLINK(CONCATENATE("#metadata!",ADDRESS(INDEX($H$2:$H$1001,MATCH(ROWS($F$2:F390),$F$2:$F$1001,0),0),2)),INDEX($K$2:$K$1001,MATCH(ROWS($F$2:F390),$F$2:$F$1001,0),0)))</f>
        <v>0</v>
      </c>
      <c r="B390" s="4">
        <f>IF(OR(INDEX($G$2:$G$1001,MATCH(ROWS($F$2:F390),$F$2:$F$1001,0),1)&gt;=100000,INDEX($M$1005,1,MATCH(COLUMNS($M$1006:M1006),$M$1006,0))&gt;=100000), " ",IF(INDEX($M$2:$M$1001,MATCH(ROWS($F$2:F390),$F$2:$F$1001,0),MATCH(COLUMNS($M$1006:M1006),$M$1006,0)), HYPERLINK("#",""), HYPERLINK(CONCATENATE("#Metadata!", ADDRESS(INDEX($H$2:$H$1001,MATCH(ROWS($F$2:F390),$F$2:$F$1001,0),0), INDEX($M$1004,1,MATCH(COLUMNS($M$1006:M1006),$M$1006,0)))),"Fix")))</f>
        <v>0</v>
      </c>
      <c r="F390">
        <v>0</v>
      </c>
      <c r="G390">
        <v>0</v>
      </c>
      <c r="H390">
        <v>0</v>
      </c>
      <c r="I390">
        <f>IF(J390,TRUE,AND(M390))</f>
        <v>0</v>
      </c>
      <c r="J390">
        <f>COUNTBLANK(Metadata!B390)=COLUMNS(Metadata!B390)</f>
        <v>0</v>
      </c>
      <c r="K390">
        <v>0</v>
      </c>
      <c r="M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</row>
    <row r="391" spans="1:13">
      <c r="A391" s="3">
        <f>IF(B391=" "," ",HYPERLINK(CONCATENATE("#metadata!",ADDRESS(INDEX($H$2:$H$1001,MATCH(ROWS($F$2:F391),$F$2:$F$1001,0),0),2)),INDEX($K$2:$K$1001,MATCH(ROWS($F$2:F391),$F$2:$F$1001,0),0)))</f>
        <v>0</v>
      </c>
      <c r="B391" s="4">
        <f>IF(OR(INDEX($G$2:$G$1001,MATCH(ROWS($F$2:F391),$F$2:$F$1001,0),1)&gt;=100000,INDEX($M$1005,1,MATCH(COLUMNS($M$1006:M1006),$M$1006,0))&gt;=100000), " ",IF(INDEX($M$2:$M$1001,MATCH(ROWS($F$2:F391),$F$2:$F$1001,0),MATCH(COLUMNS($M$1006:M1006),$M$1006,0)), HYPERLINK("#",""), HYPERLINK(CONCATENATE("#Metadata!", ADDRESS(INDEX($H$2:$H$1001,MATCH(ROWS($F$2:F391),$F$2:$F$1001,0),0), INDEX($M$1004,1,MATCH(COLUMNS($M$1006:M1006),$M$1006,0)))),"Fix")))</f>
        <v>0</v>
      </c>
      <c r="F391">
        <v>0</v>
      </c>
      <c r="G391">
        <v>0</v>
      </c>
      <c r="H391">
        <v>0</v>
      </c>
      <c r="I391">
        <f>IF(J391,TRUE,AND(M391))</f>
        <v>0</v>
      </c>
      <c r="J391">
        <f>COUNTBLANK(Metadata!B391)=COLUMNS(Metadata!B391)</f>
        <v>0</v>
      </c>
      <c r="K391">
        <v>0</v>
      </c>
      <c r="M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</row>
    <row r="392" spans="1:13">
      <c r="A392" s="3">
        <f>IF(B392=" "," ",HYPERLINK(CONCATENATE("#metadata!",ADDRESS(INDEX($H$2:$H$1001,MATCH(ROWS($F$2:F392),$F$2:$F$1001,0),0),2)),INDEX($K$2:$K$1001,MATCH(ROWS($F$2:F392),$F$2:$F$1001,0),0)))</f>
        <v>0</v>
      </c>
      <c r="B392" s="4">
        <f>IF(OR(INDEX($G$2:$G$1001,MATCH(ROWS($F$2:F392),$F$2:$F$1001,0),1)&gt;=100000,INDEX($M$1005,1,MATCH(COLUMNS($M$1006:M1006),$M$1006,0))&gt;=100000), " ",IF(INDEX($M$2:$M$1001,MATCH(ROWS($F$2:F392),$F$2:$F$1001,0),MATCH(COLUMNS($M$1006:M1006),$M$1006,0)), HYPERLINK("#",""), HYPERLINK(CONCATENATE("#Metadata!", ADDRESS(INDEX($H$2:$H$1001,MATCH(ROWS($F$2:F392),$F$2:$F$1001,0),0), INDEX($M$1004,1,MATCH(COLUMNS($M$1006:M1006),$M$1006,0)))),"Fix")))</f>
        <v>0</v>
      </c>
      <c r="F392">
        <v>0</v>
      </c>
      <c r="G392">
        <v>0</v>
      </c>
      <c r="H392">
        <v>0</v>
      </c>
      <c r="I392">
        <f>IF(J392,TRUE,AND(M392))</f>
        <v>0</v>
      </c>
      <c r="J392">
        <f>COUNTBLANK(Metadata!B392)=COLUMNS(Metadata!B392)</f>
        <v>0</v>
      </c>
      <c r="K392">
        <v>0</v>
      </c>
      <c r="M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</row>
    <row r="393" spans="1:13">
      <c r="A393" s="3">
        <f>IF(B393=" "," ",HYPERLINK(CONCATENATE("#metadata!",ADDRESS(INDEX($H$2:$H$1001,MATCH(ROWS($F$2:F393),$F$2:$F$1001,0),0),2)),INDEX($K$2:$K$1001,MATCH(ROWS($F$2:F393),$F$2:$F$1001,0),0)))</f>
        <v>0</v>
      </c>
      <c r="B393" s="4">
        <f>IF(OR(INDEX($G$2:$G$1001,MATCH(ROWS($F$2:F393),$F$2:$F$1001,0),1)&gt;=100000,INDEX($M$1005,1,MATCH(COLUMNS($M$1006:M1006),$M$1006,0))&gt;=100000), " ",IF(INDEX($M$2:$M$1001,MATCH(ROWS($F$2:F393),$F$2:$F$1001,0),MATCH(COLUMNS($M$1006:M1006),$M$1006,0)), HYPERLINK("#",""), HYPERLINK(CONCATENATE("#Metadata!", ADDRESS(INDEX($H$2:$H$1001,MATCH(ROWS($F$2:F393),$F$2:$F$1001,0),0), INDEX($M$1004,1,MATCH(COLUMNS($M$1006:M1006),$M$1006,0)))),"Fix")))</f>
        <v>0</v>
      </c>
      <c r="F393">
        <v>0</v>
      </c>
      <c r="G393">
        <v>0</v>
      </c>
      <c r="H393">
        <v>0</v>
      </c>
      <c r="I393">
        <f>IF(J393,TRUE,AND(M393))</f>
        <v>0</v>
      </c>
      <c r="J393">
        <f>COUNTBLANK(Metadata!B393)=COLUMNS(Metadata!B393)</f>
        <v>0</v>
      </c>
      <c r="K393">
        <v>0</v>
      </c>
      <c r="M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</row>
    <row r="394" spans="1:13">
      <c r="A394" s="3">
        <f>IF(B394=" "," ",HYPERLINK(CONCATENATE("#metadata!",ADDRESS(INDEX($H$2:$H$1001,MATCH(ROWS($F$2:F394),$F$2:$F$1001,0),0),2)),INDEX($K$2:$K$1001,MATCH(ROWS($F$2:F394),$F$2:$F$1001,0),0)))</f>
        <v>0</v>
      </c>
      <c r="B394" s="4">
        <f>IF(OR(INDEX($G$2:$G$1001,MATCH(ROWS($F$2:F394),$F$2:$F$1001,0),1)&gt;=100000,INDEX($M$1005,1,MATCH(COLUMNS($M$1006:M1006),$M$1006,0))&gt;=100000), " ",IF(INDEX($M$2:$M$1001,MATCH(ROWS($F$2:F394),$F$2:$F$1001,0),MATCH(COLUMNS($M$1006:M1006),$M$1006,0)), HYPERLINK("#",""), HYPERLINK(CONCATENATE("#Metadata!", ADDRESS(INDEX($H$2:$H$1001,MATCH(ROWS($F$2:F394),$F$2:$F$1001,0),0), INDEX($M$1004,1,MATCH(COLUMNS($M$1006:M1006),$M$1006,0)))),"Fix")))</f>
        <v>0</v>
      </c>
      <c r="F394">
        <v>0</v>
      </c>
      <c r="G394">
        <v>0</v>
      </c>
      <c r="H394">
        <v>0</v>
      </c>
      <c r="I394">
        <f>IF(J394,TRUE,AND(M394))</f>
        <v>0</v>
      </c>
      <c r="J394">
        <f>COUNTBLANK(Metadata!B394)=COLUMNS(Metadata!B394)</f>
        <v>0</v>
      </c>
      <c r="K394">
        <v>0</v>
      </c>
      <c r="M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</row>
    <row r="395" spans="1:13">
      <c r="A395" s="3">
        <f>IF(B395=" "," ",HYPERLINK(CONCATENATE("#metadata!",ADDRESS(INDEX($H$2:$H$1001,MATCH(ROWS($F$2:F395),$F$2:$F$1001,0),0),2)),INDEX($K$2:$K$1001,MATCH(ROWS($F$2:F395),$F$2:$F$1001,0),0)))</f>
        <v>0</v>
      </c>
      <c r="B395" s="4">
        <f>IF(OR(INDEX($G$2:$G$1001,MATCH(ROWS($F$2:F395),$F$2:$F$1001,0),1)&gt;=100000,INDEX($M$1005,1,MATCH(COLUMNS($M$1006:M1006),$M$1006,0))&gt;=100000), " ",IF(INDEX($M$2:$M$1001,MATCH(ROWS($F$2:F395),$F$2:$F$1001,0),MATCH(COLUMNS($M$1006:M1006),$M$1006,0)), HYPERLINK("#",""), HYPERLINK(CONCATENATE("#Metadata!", ADDRESS(INDEX($H$2:$H$1001,MATCH(ROWS($F$2:F395),$F$2:$F$1001,0),0), INDEX($M$1004,1,MATCH(COLUMNS($M$1006:M1006),$M$1006,0)))),"Fix")))</f>
        <v>0</v>
      </c>
      <c r="F395">
        <v>0</v>
      </c>
      <c r="G395">
        <v>0</v>
      </c>
      <c r="H395">
        <v>0</v>
      </c>
      <c r="I395">
        <f>IF(J395,TRUE,AND(M395))</f>
        <v>0</v>
      </c>
      <c r="J395">
        <f>COUNTBLANK(Metadata!B395)=COLUMNS(Metadata!B395)</f>
        <v>0</v>
      </c>
      <c r="K395">
        <v>0</v>
      </c>
      <c r="M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</row>
    <row r="396" spans="1:13">
      <c r="A396" s="3">
        <f>IF(B396=" "," ",HYPERLINK(CONCATENATE("#metadata!",ADDRESS(INDEX($H$2:$H$1001,MATCH(ROWS($F$2:F396),$F$2:$F$1001,0),0),2)),INDEX($K$2:$K$1001,MATCH(ROWS($F$2:F396),$F$2:$F$1001,0),0)))</f>
        <v>0</v>
      </c>
      <c r="B396" s="4">
        <f>IF(OR(INDEX($G$2:$G$1001,MATCH(ROWS($F$2:F396),$F$2:$F$1001,0),1)&gt;=100000,INDEX($M$1005,1,MATCH(COLUMNS($M$1006:M1006),$M$1006,0))&gt;=100000), " ",IF(INDEX($M$2:$M$1001,MATCH(ROWS($F$2:F396),$F$2:$F$1001,0),MATCH(COLUMNS($M$1006:M1006),$M$1006,0)), HYPERLINK("#",""), HYPERLINK(CONCATENATE("#Metadata!", ADDRESS(INDEX($H$2:$H$1001,MATCH(ROWS($F$2:F396),$F$2:$F$1001,0),0), INDEX($M$1004,1,MATCH(COLUMNS($M$1006:M1006),$M$1006,0)))),"Fix")))</f>
        <v>0</v>
      </c>
      <c r="F396">
        <v>0</v>
      </c>
      <c r="G396">
        <v>0</v>
      </c>
      <c r="H396">
        <v>0</v>
      </c>
      <c r="I396">
        <f>IF(J396,TRUE,AND(M396))</f>
        <v>0</v>
      </c>
      <c r="J396">
        <f>COUNTBLANK(Metadata!B396)=COLUMNS(Metadata!B396)</f>
        <v>0</v>
      </c>
      <c r="K396">
        <v>0</v>
      </c>
      <c r="M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</row>
    <row r="397" spans="1:13">
      <c r="A397" s="3">
        <f>IF(B397=" "," ",HYPERLINK(CONCATENATE("#metadata!",ADDRESS(INDEX($H$2:$H$1001,MATCH(ROWS($F$2:F397),$F$2:$F$1001,0),0),2)),INDEX($K$2:$K$1001,MATCH(ROWS($F$2:F397),$F$2:$F$1001,0),0)))</f>
        <v>0</v>
      </c>
      <c r="B397" s="4">
        <f>IF(OR(INDEX($G$2:$G$1001,MATCH(ROWS($F$2:F397),$F$2:$F$1001,0),1)&gt;=100000,INDEX($M$1005,1,MATCH(COLUMNS($M$1006:M1006),$M$1006,0))&gt;=100000), " ",IF(INDEX($M$2:$M$1001,MATCH(ROWS($F$2:F397),$F$2:$F$1001,0),MATCH(COLUMNS($M$1006:M1006),$M$1006,0)), HYPERLINK("#",""), HYPERLINK(CONCATENATE("#Metadata!", ADDRESS(INDEX($H$2:$H$1001,MATCH(ROWS($F$2:F397),$F$2:$F$1001,0),0), INDEX($M$1004,1,MATCH(COLUMNS($M$1006:M1006),$M$1006,0)))),"Fix")))</f>
        <v>0</v>
      </c>
      <c r="F397">
        <v>0</v>
      </c>
      <c r="G397">
        <v>0</v>
      </c>
      <c r="H397">
        <v>0</v>
      </c>
      <c r="I397">
        <f>IF(J397,TRUE,AND(M397))</f>
        <v>0</v>
      </c>
      <c r="J397">
        <f>COUNTBLANK(Metadata!B397)=COLUMNS(Metadata!B397)</f>
        <v>0</v>
      </c>
      <c r="K397">
        <v>0</v>
      </c>
      <c r="M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</row>
    <row r="398" spans="1:13">
      <c r="A398" s="3">
        <f>IF(B398=" "," ",HYPERLINK(CONCATENATE("#metadata!",ADDRESS(INDEX($H$2:$H$1001,MATCH(ROWS($F$2:F398),$F$2:$F$1001,0),0),2)),INDEX($K$2:$K$1001,MATCH(ROWS($F$2:F398),$F$2:$F$1001,0),0)))</f>
        <v>0</v>
      </c>
      <c r="B398" s="4">
        <f>IF(OR(INDEX($G$2:$G$1001,MATCH(ROWS($F$2:F398),$F$2:$F$1001,0),1)&gt;=100000,INDEX($M$1005,1,MATCH(COLUMNS($M$1006:M1006),$M$1006,0))&gt;=100000), " ",IF(INDEX($M$2:$M$1001,MATCH(ROWS($F$2:F398),$F$2:$F$1001,0),MATCH(COLUMNS($M$1006:M1006),$M$1006,0)), HYPERLINK("#",""), HYPERLINK(CONCATENATE("#Metadata!", ADDRESS(INDEX($H$2:$H$1001,MATCH(ROWS($F$2:F398),$F$2:$F$1001,0),0), INDEX($M$1004,1,MATCH(COLUMNS($M$1006:M1006),$M$1006,0)))),"Fix")))</f>
        <v>0</v>
      </c>
      <c r="F398">
        <v>0</v>
      </c>
      <c r="G398">
        <v>0</v>
      </c>
      <c r="H398">
        <v>0</v>
      </c>
      <c r="I398">
        <f>IF(J398,TRUE,AND(M398))</f>
        <v>0</v>
      </c>
      <c r="J398">
        <f>COUNTBLANK(Metadata!B398)=COLUMNS(Metadata!B398)</f>
        <v>0</v>
      </c>
      <c r="K398">
        <v>0</v>
      </c>
      <c r="M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</row>
    <row r="399" spans="1:13">
      <c r="A399" s="3">
        <f>IF(B399=" "," ",HYPERLINK(CONCATENATE("#metadata!",ADDRESS(INDEX($H$2:$H$1001,MATCH(ROWS($F$2:F399),$F$2:$F$1001,0),0),2)),INDEX($K$2:$K$1001,MATCH(ROWS($F$2:F399),$F$2:$F$1001,0),0)))</f>
        <v>0</v>
      </c>
      <c r="B399" s="4">
        <f>IF(OR(INDEX($G$2:$G$1001,MATCH(ROWS($F$2:F399),$F$2:$F$1001,0),1)&gt;=100000,INDEX($M$1005,1,MATCH(COLUMNS($M$1006:M1006),$M$1006,0))&gt;=100000), " ",IF(INDEX($M$2:$M$1001,MATCH(ROWS($F$2:F399),$F$2:$F$1001,0),MATCH(COLUMNS($M$1006:M1006),$M$1006,0)), HYPERLINK("#",""), HYPERLINK(CONCATENATE("#Metadata!", ADDRESS(INDEX($H$2:$H$1001,MATCH(ROWS($F$2:F399),$F$2:$F$1001,0),0), INDEX($M$1004,1,MATCH(COLUMNS($M$1006:M1006),$M$1006,0)))),"Fix")))</f>
        <v>0</v>
      </c>
      <c r="F399">
        <v>0</v>
      </c>
      <c r="G399">
        <v>0</v>
      </c>
      <c r="H399">
        <v>0</v>
      </c>
      <c r="I399">
        <f>IF(J399,TRUE,AND(M399))</f>
        <v>0</v>
      </c>
      <c r="J399">
        <f>COUNTBLANK(Metadata!B399)=COLUMNS(Metadata!B399)</f>
        <v>0</v>
      </c>
      <c r="K399">
        <v>0</v>
      </c>
      <c r="M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</row>
    <row r="400" spans="1:13">
      <c r="A400" s="3">
        <f>IF(B400=" "," ",HYPERLINK(CONCATENATE("#metadata!",ADDRESS(INDEX($H$2:$H$1001,MATCH(ROWS($F$2:F400),$F$2:$F$1001,0),0),2)),INDEX($K$2:$K$1001,MATCH(ROWS($F$2:F400),$F$2:$F$1001,0),0)))</f>
        <v>0</v>
      </c>
      <c r="B400" s="4">
        <f>IF(OR(INDEX($G$2:$G$1001,MATCH(ROWS($F$2:F400),$F$2:$F$1001,0),1)&gt;=100000,INDEX($M$1005,1,MATCH(COLUMNS($M$1006:M1006),$M$1006,0))&gt;=100000), " ",IF(INDEX($M$2:$M$1001,MATCH(ROWS($F$2:F400),$F$2:$F$1001,0),MATCH(COLUMNS($M$1006:M1006),$M$1006,0)), HYPERLINK("#",""), HYPERLINK(CONCATENATE("#Metadata!", ADDRESS(INDEX($H$2:$H$1001,MATCH(ROWS($F$2:F400),$F$2:$F$1001,0),0), INDEX($M$1004,1,MATCH(COLUMNS($M$1006:M1006),$M$1006,0)))),"Fix")))</f>
        <v>0</v>
      </c>
      <c r="F400">
        <v>0</v>
      </c>
      <c r="G400">
        <v>0</v>
      </c>
      <c r="H400">
        <v>0</v>
      </c>
      <c r="I400">
        <f>IF(J400,TRUE,AND(M400))</f>
        <v>0</v>
      </c>
      <c r="J400">
        <f>COUNTBLANK(Metadata!B400)=COLUMNS(Metadata!B400)</f>
        <v>0</v>
      </c>
      <c r="K400">
        <v>0</v>
      </c>
      <c r="M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</row>
    <row r="401" spans="1:13">
      <c r="A401" s="3">
        <f>IF(B401=" "," ",HYPERLINK(CONCATENATE("#metadata!",ADDRESS(INDEX($H$2:$H$1001,MATCH(ROWS($F$2:F401),$F$2:$F$1001,0),0),2)),INDEX($K$2:$K$1001,MATCH(ROWS($F$2:F401),$F$2:$F$1001,0),0)))</f>
        <v>0</v>
      </c>
      <c r="B401" s="4">
        <f>IF(OR(INDEX($G$2:$G$1001,MATCH(ROWS($F$2:F401),$F$2:$F$1001,0),1)&gt;=100000,INDEX($M$1005,1,MATCH(COLUMNS($M$1006:M1006),$M$1006,0))&gt;=100000), " ",IF(INDEX($M$2:$M$1001,MATCH(ROWS($F$2:F401),$F$2:$F$1001,0),MATCH(COLUMNS($M$1006:M1006),$M$1006,0)), HYPERLINK("#",""), HYPERLINK(CONCATENATE("#Metadata!", ADDRESS(INDEX($H$2:$H$1001,MATCH(ROWS($F$2:F401),$F$2:$F$1001,0),0), INDEX($M$1004,1,MATCH(COLUMNS($M$1006:M1006),$M$1006,0)))),"Fix")))</f>
        <v>0</v>
      </c>
      <c r="F401">
        <v>0</v>
      </c>
      <c r="G401">
        <v>0</v>
      </c>
      <c r="H401">
        <v>0</v>
      </c>
      <c r="I401">
        <f>IF(J401,TRUE,AND(M401))</f>
        <v>0</v>
      </c>
      <c r="J401">
        <f>COUNTBLANK(Metadata!B401)=COLUMNS(Metadata!B401)</f>
        <v>0</v>
      </c>
      <c r="K401">
        <v>0</v>
      </c>
      <c r="M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</row>
    <row r="402" spans="1:13">
      <c r="A402" s="3">
        <f>IF(B402=" "," ",HYPERLINK(CONCATENATE("#metadata!",ADDRESS(INDEX($H$2:$H$1001,MATCH(ROWS($F$2:F402),$F$2:$F$1001,0),0),2)),INDEX($K$2:$K$1001,MATCH(ROWS($F$2:F402),$F$2:$F$1001,0),0)))</f>
        <v>0</v>
      </c>
      <c r="B402" s="4">
        <f>IF(OR(INDEX($G$2:$G$1001,MATCH(ROWS($F$2:F402),$F$2:$F$1001,0),1)&gt;=100000,INDEX($M$1005,1,MATCH(COLUMNS($M$1006:M1006),$M$1006,0))&gt;=100000), " ",IF(INDEX($M$2:$M$1001,MATCH(ROWS($F$2:F402),$F$2:$F$1001,0),MATCH(COLUMNS($M$1006:M1006),$M$1006,0)), HYPERLINK("#",""), HYPERLINK(CONCATENATE("#Metadata!", ADDRESS(INDEX($H$2:$H$1001,MATCH(ROWS($F$2:F402),$F$2:$F$1001,0),0), INDEX($M$1004,1,MATCH(COLUMNS($M$1006:M1006),$M$1006,0)))),"Fix")))</f>
        <v>0</v>
      </c>
      <c r="F402">
        <v>0</v>
      </c>
      <c r="G402">
        <v>0</v>
      </c>
      <c r="H402">
        <v>0</v>
      </c>
      <c r="I402">
        <f>IF(J402,TRUE,AND(M402))</f>
        <v>0</v>
      </c>
      <c r="J402">
        <f>COUNTBLANK(Metadata!B402)=COLUMNS(Metadata!B402)</f>
        <v>0</v>
      </c>
      <c r="K402">
        <v>0</v>
      </c>
      <c r="M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</row>
    <row r="403" spans="1:13">
      <c r="A403" s="3">
        <f>IF(B403=" "," ",HYPERLINK(CONCATENATE("#metadata!",ADDRESS(INDEX($H$2:$H$1001,MATCH(ROWS($F$2:F403),$F$2:$F$1001,0),0),2)),INDEX($K$2:$K$1001,MATCH(ROWS($F$2:F403),$F$2:$F$1001,0),0)))</f>
        <v>0</v>
      </c>
      <c r="B403" s="4">
        <f>IF(OR(INDEX($G$2:$G$1001,MATCH(ROWS($F$2:F403),$F$2:$F$1001,0),1)&gt;=100000,INDEX($M$1005,1,MATCH(COLUMNS($M$1006:M1006),$M$1006,0))&gt;=100000), " ",IF(INDEX($M$2:$M$1001,MATCH(ROWS($F$2:F403),$F$2:$F$1001,0),MATCH(COLUMNS($M$1006:M1006),$M$1006,0)), HYPERLINK("#",""), HYPERLINK(CONCATENATE("#Metadata!", ADDRESS(INDEX($H$2:$H$1001,MATCH(ROWS($F$2:F403),$F$2:$F$1001,0),0), INDEX($M$1004,1,MATCH(COLUMNS($M$1006:M1006),$M$1006,0)))),"Fix")))</f>
        <v>0</v>
      </c>
      <c r="F403">
        <v>0</v>
      </c>
      <c r="G403">
        <v>0</v>
      </c>
      <c r="H403">
        <v>0</v>
      </c>
      <c r="I403">
        <f>IF(J403,TRUE,AND(M403))</f>
        <v>0</v>
      </c>
      <c r="J403">
        <f>COUNTBLANK(Metadata!B403)=COLUMNS(Metadata!B403)</f>
        <v>0</v>
      </c>
      <c r="K403">
        <v>0</v>
      </c>
      <c r="M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</row>
    <row r="404" spans="1:13">
      <c r="A404" s="3">
        <f>IF(B404=" "," ",HYPERLINK(CONCATENATE("#metadata!",ADDRESS(INDEX($H$2:$H$1001,MATCH(ROWS($F$2:F404),$F$2:$F$1001,0),0),2)),INDEX($K$2:$K$1001,MATCH(ROWS($F$2:F404),$F$2:$F$1001,0),0)))</f>
        <v>0</v>
      </c>
      <c r="B404" s="4">
        <f>IF(OR(INDEX($G$2:$G$1001,MATCH(ROWS($F$2:F404),$F$2:$F$1001,0),1)&gt;=100000,INDEX($M$1005,1,MATCH(COLUMNS($M$1006:M1006),$M$1006,0))&gt;=100000), " ",IF(INDEX($M$2:$M$1001,MATCH(ROWS($F$2:F404),$F$2:$F$1001,0),MATCH(COLUMNS($M$1006:M1006),$M$1006,0)), HYPERLINK("#",""), HYPERLINK(CONCATENATE("#Metadata!", ADDRESS(INDEX($H$2:$H$1001,MATCH(ROWS($F$2:F404),$F$2:$F$1001,0),0), INDEX($M$1004,1,MATCH(COLUMNS($M$1006:M1006),$M$1006,0)))),"Fix")))</f>
        <v>0</v>
      </c>
      <c r="F404">
        <v>0</v>
      </c>
      <c r="G404">
        <v>0</v>
      </c>
      <c r="H404">
        <v>0</v>
      </c>
      <c r="I404">
        <f>IF(J404,TRUE,AND(M404))</f>
        <v>0</v>
      </c>
      <c r="J404">
        <f>COUNTBLANK(Metadata!B404)=COLUMNS(Metadata!B404)</f>
        <v>0</v>
      </c>
      <c r="K404">
        <v>0</v>
      </c>
      <c r="M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</row>
    <row r="405" spans="1:13">
      <c r="A405" s="3">
        <f>IF(B405=" "," ",HYPERLINK(CONCATENATE("#metadata!",ADDRESS(INDEX($H$2:$H$1001,MATCH(ROWS($F$2:F405),$F$2:$F$1001,0),0),2)),INDEX($K$2:$K$1001,MATCH(ROWS($F$2:F405),$F$2:$F$1001,0),0)))</f>
        <v>0</v>
      </c>
      <c r="B405" s="4">
        <f>IF(OR(INDEX($G$2:$G$1001,MATCH(ROWS($F$2:F405),$F$2:$F$1001,0),1)&gt;=100000,INDEX($M$1005,1,MATCH(COLUMNS($M$1006:M1006),$M$1006,0))&gt;=100000), " ",IF(INDEX($M$2:$M$1001,MATCH(ROWS($F$2:F405),$F$2:$F$1001,0),MATCH(COLUMNS($M$1006:M1006),$M$1006,0)), HYPERLINK("#",""), HYPERLINK(CONCATENATE("#Metadata!", ADDRESS(INDEX($H$2:$H$1001,MATCH(ROWS($F$2:F405),$F$2:$F$1001,0),0), INDEX($M$1004,1,MATCH(COLUMNS($M$1006:M1006),$M$1006,0)))),"Fix")))</f>
        <v>0</v>
      </c>
      <c r="F405">
        <v>0</v>
      </c>
      <c r="G405">
        <v>0</v>
      </c>
      <c r="H405">
        <v>0</v>
      </c>
      <c r="I405">
        <f>IF(J405,TRUE,AND(M405))</f>
        <v>0</v>
      </c>
      <c r="J405">
        <f>COUNTBLANK(Metadata!B405)=COLUMNS(Metadata!B405)</f>
        <v>0</v>
      </c>
      <c r="K405">
        <v>0</v>
      </c>
      <c r="M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</row>
    <row r="406" spans="1:13">
      <c r="A406" s="3">
        <f>IF(B406=" "," ",HYPERLINK(CONCATENATE("#metadata!",ADDRESS(INDEX($H$2:$H$1001,MATCH(ROWS($F$2:F406),$F$2:$F$1001,0),0),2)),INDEX($K$2:$K$1001,MATCH(ROWS($F$2:F406),$F$2:$F$1001,0),0)))</f>
        <v>0</v>
      </c>
      <c r="B406" s="4">
        <f>IF(OR(INDEX($G$2:$G$1001,MATCH(ROWS($F$2:F406),$F$2:$F$1001,0),1)&gt;=100000,INDEX($M$1005,1,MATCH(COLUMNS($M$1006:M1006),$M$1006,0))&gt;=100000), " ",IF(INDEX($M$2:$M$1001,MATCH(ROWS($F$2:F406),$F$2:$F$1001,0),MATCH(COLUMNS($M$1006:M1006),$M$1006,0)), HYPERLINK("#",""), HYPERLINK(CONCATENATE("#Metadata!", ADDRESS(INDEX($H$2:$H$1001,MATCH(ROWS($F$2:F406),$F$2:$F$1001,0),0), INDEX($M$1004,1,MATCH(COLUMNS($M$1006:M1006),$M$1006,0)))),"Fix")))</f>
        <v>0</v>
      </c>
      <c r="F406">
        <v>0</v>
      </c>
      <c r="G406">
        <v>0</v>
      </c>
      <c r="H406">
        <v>0</v>
      </c>
      <c r="I406">
        <f>IF(J406,TRUE,AND(M406))</f>
        <v>0</v>
      </c>
      <c r="J406">
        <f>COUNTBLANK(Metadata!B406)=COLUMNS(Metadata!B406)</f>
        <v>0</v>
      </c>
      <c r="K406">
        <v>0</v>
      </c>
      <c r="M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</row>
    <row r="407" spans="1:13">
      <c r="A407" s="3">
        <f>IF(B407=" "," ",HYPERLINK(CONCATENATE("#metadata!",ADDRESS(INDEX($H$2:$H$1001,MATCH(ROWS($F$2:F407),$F$2:$F$1001,0),0),2)),INDEX($K$2:$K$1001,MATCH(ROWS($F$2:F407),$F$2:$F$1001,0),0)))</f>
        <v>0</v>
      </c>
      <c r="B407" s="4">
        <f>IF(OR(INDEX($G$2:$G$1001,MATCH(ROWS($F$2:F407),$F$2:$F$1001,0),1)&gt;=100000,INDEX($M$1005,1,MATCH(COLUMNS($M$1006:M1006),$M$1006,0))&gt;=100000), " ",IF(INDEX($M$2:$M$1001,MATCH(ROWS($F$2:F407),$F$2:$F$1001,0),MATCH(COLUMNS($M$1006:M1006),$M$1006,0)), HYPERLINK("#",""), HYPERLINK(CONCATENATE("#Metadata!", ADDRESS(INDEX($H$2:$H$1001,MATCH(ROWS($F$2:F407),$F$2:$F$1001,0),0), INDEX($M$1004,1,MATCH(COLUMNS($M$1006:M1006),$M$1006,0)))),"Fix")))</f>
        <v>0</v>
      </c>
      <c r="F407">
        <v>0</v>
      </c>
      <c r="G407">
        <v>0</v>
      </c>
      <c r="H407">
        <v>0</v>
      </c>
      <c r="I407">
        <f>IF(J407,TRUE,AND(M407))</f>
        <v>0</v>
      </c>
      <c r="J407">
        <f>COUNTBLANK(Metadata!B407)=COLUMNS(Metadata!B407)</f>
        <v>0</v>
      </c>
      <c r="K407">
        <v>0</v>
      </c>
      <c r="M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</row>
    <row r="408" spans="1:13">
      <c r="A408" s="3">
        <f>IF(B408=" "," ",HYPERLINK(CONCATENATE("#metadata!",ADDRESS(INDEX($H$2:$H$1001,MATCH(ROWS($F$2:F408),$F$2:$F$1001,0),0),2)),INDEX($K$2:$K$1001,MATCH(ROWS($F$2:F408),$F$2:$F$1001,0),0)))</f>
        <v>0</v>
      </c>
      <c r="B408" s="4">
        <f>IF(OR(INDEX($G$2:$G$1001,MATCH(ROWS($F$2:F408),$F$2:$F$1001,0),1)&gt;=100000,INDEX($M$1005,1,MATCH(COLUMNS($M$1006:M1006),$M$1006,0))&gt;=100000), " ",IF(INDEX($M$2:$M$1001,MATCH(ROWS($F$2:F408),$F$2:$F$1001,0),MATCH(COLUMNS($M$1006:M1006),$M$1006,0)), HYPERLINK("#",""), HYPERLINK(CONCATENATE("#Metadata!", ADDRESS(INDEX($H$2:$H$1001,MATCH(ROWS($F$2:F408),$F$2:$F$1001,0),0), INDEX($M$1004,1,MATCH(COLUMNS($M$1006:M1006),$M$1006,0)))),"Fix")))</f>
        <v>0</v>
      </c>
      <c r="F408">
        <v>0</v>
      </c>
      <c r="G408">
        <v>0</v>
      </c>
      <c r="H408">
        <v>0</v>
      </c>
      <c r="I408">
        <f>IF(J408,TRUE,AND(M408))</f>
        <v>0</v>
      </c>
      <c r="J408">
        <f>COUNTBLANK(Metadata!B408)=COLUMNS(Metadata!B408)</f>
        <v>0</v>
      </c>
      <c r="K408">
        <v>0</v>
      </c>
      <c r="M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</row>
    <row r="409" spans="1:13">
      <c r="A409" s="3">
        <f>IF(B409=" "," ",HYPERLINK(CONCATENATE("#metadata!",ADDRESS(INDEX($H$2:$H$1001,MATCH(ROWS($F$2:F409),$F$2:$F$1001,0),0),2)),INDEX($K$2:$K$1001,MATCH(ROWS($F$2:F409),$F$2:$F$1001,0),0)))</f>
        <v>0</v>
      </c>
      <c r="B409" s="4">
        <f>IF(OR(INDEX($G$2:$G$1001,MATCH(ROWS($F$2:F409),$F$2:$F$1001,0),1)&gt;=100000,INDEX($M$1005,1,MATCH(COLUMNS($M$1006:M1006),$M$1006,0))&gt;=100000), " ",IF(INDEX($M$2:$M$1001,MATCH(ROWS($F$2:F409),$F$2:$F$1001,0),MATCH(COLUMNS($M$1006:M1006),$M$1006,0)), HYPERLINK("#",""), HYPERLINK(CONCATENATE("#Metadata!", ADDRESS(INDEX($H$2:$H$1001,MATCH(ROWS($F$2:F409),$F$2:$F$1001,0),0), INDEX($M$1004,1,MATCH(COLUMNS($M$1006:M1006),$M$1006,0)))),"Fix")))</f>
        <v>0</v>
      </c>
      <c r="F409">
        <v>0</v>
      </c>
      <c r="G409">
        <v>0</v>
      </c>
      <c r="H409">
        <v>0</v>
      </c>
      <c r="I409">
        <f>IF(J409,TRUE,AND(M409))</f>
        <v>0</v>
      </c>
      <c r="J409">
        <f>COUNTBLANK(Metadata!B409)=COLUMNS(Metadata!B409)</f>
        <v>0</v>
      </c>
      <c r="K409">
        <v>0</v>
      </c>
      <c r="M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</row>
    <row r="410" spans="1:13">
      <c r="A410" s="3">
        <f>IF(B410=" "," ",HYPERLINK(CONCATENATE("#metadata!",ADDRESS(INDEX($H$2:$H$1001,MATCH(ROWS($F$2:F410),$F$2:$F$1001,0),0),2)),INDEX($K$2:$K$1001,MATCH(ROWS($F$2:F410),$F$2:$F$1001,0),0)))</f>
        <v>0</v>
      </c>
      <c r="B410" s="4">
        <f>IF(OR(INDEX($G$2:$G$1001,MATCH(ROWS($F$2:F410),$F$2:$F$1001,0),1)&gt;=100000,INDEX($M$1005,1,MATCH(COLUMNS($M$1006:M1006),$M$1006,0))&gt;=100000), " ",IF(INDEX($M$2:$M$1001,MATCH(ROWS($F$2:F410),$F$2:$F$1001,0),MATCH(COLUMNS($M$1006:M1006),$M$1006,0)), HYPERLINK("#",""), HYPERLINK(CONCATENATE("#Metadata!", ADDRESS(INDEX($H$2:$H$1001,MATCH(ROWS($F$2:F410),$F$2:$F$1001,0),0), INDEX($M$1004,1,MATCH(COLUMNS($M$1006:M1006),$M$1006,0)))),"Fix")))</f>
        <v>0</v>
      </c>
      <c r="F410">
        <v>0</v>
      </c>
      <c r="G410">
        <v>0</v>
      </c>
      <c r="H410">
        <v>0</v>
      </c>
      <c r="I410">
        <f>IF(J410,TRUE,AND(M410))</f>
        <v>0</v>
      </c>
      <c r="J410">
        <f>COUNTBLANK(Metadata!B410)=COLUMNS(Metadata!B410)</f>
        <v>0</v>
      </c>
      <c r="K410">
        <v>0</v>
      </c>
      <c r="M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</row>
    <row r="411" spans="1:13">
      <c r="A411" s="3">
        <f>IF(B411=" "," ",HYPERLINK(CONCATENATE("#metadata!",ADDRESS(INDEX($H$2:$H$1001,MATCH(ROWS($F$2:F411),$F$2:$F$1001,0),0),2)),INDEX($K$2:$K$1001,MATCH(ROWS($F$2:F411),$F$2:$F$1001,0),0)))</f>
        <v>0</v>
      </c>
      <c r="B411" s="4">
        <f>IF(OR(INDEX($G$2:$G$1001,MATCH(ROWS($F$2:F411),$F$2:$F$1001,0),1)&gt;=100000,INDEX($M$1005,1,MATCH(COLUMNS($M$1006:M1006),$M$1006,0))&gt;=100000), " ",IF(INDEX($M$2:$M$1001,MATCH(ROWS($F$2:F411),$F$2:$F$1001,0),MATCH(COLUMNS($M$1006:M1006),$M$1006,0)), HYPERLINK("#",""), HYPERLINK(CONCATENATE("#Metadata!", ADDRESS(INDEX($H$2:$H$1001,MATCH(ROWS($F$2:F411),$F$2:$F$1001,0),0), INDEX($M$1004,1,MATCH(COLUMNS($M$1006:M1006),$M$1006,0)))),"Fix")))</f>
        <v>0</v>
      </c>
      <c r="F411">
        <v>0</v>
      </c>
      <c r="G411">
        <v>0</v>
      </c>
      <c r="H411">
        <v>0</v>
      </c>
      <c r="I411">
        <f>IF(J411,TRUE,AND(M411))</f>
        <v>0</v>
      </c>
      <c r="J411">
        <f>COUNTBLANK(Metadata!B411)=COLUMNS(Metadata!B411)</f>
        <v>0</v>
      </c>
      <c r="K411">
        <v>0</v>
      </c>
      <c r="M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</row>
    <row r="412" spans="1:13">
      <c r="A412" s="3">
        <f>IF(B412=" "," ",HYPERLINK(CONCATENATE("#metadata!",ADDRESS(INDEX($H$2:$H$1001,MATCH(ROWS($F$2:F412),$F$2:$F$1001,0),0),2)),INDEX($K$2:$K$1001,MATCH(ROWS($F$2:F412),$F$2:$F$1001,0),0)))</f>
        <v>0</v>
      </c>
      <c r="B412" s="4">
        <f>IF(OR(INDEX($G$2:$G$1001,MATCH(ROWS($F$2:F412),$F$2:$F$1001,0),1)&gt;=100000,INDEX($M$1005,1,MATCH(COLUMNS($M$1006:M1006),$M$1006,0))&gt;=100000), " ",IF(INDEX($M$2:$M$1001,MATCH(ROWS($F$2:F412),$F$2:$F$1001,0),MATCH(COLUMNS($M$1006:M1006),$M$1006,0)), HYPERLINK("#",""), HYPERLINK(CONCATENATE("#Metadata!", ADDRESS(INDEX($H$2:$H$1001,MATCH(ROWS($F$2:F412),$F$2:$F$1001,0),0), INDEX($M$1004,1,MATCH(COLUMNS($M$1006:M1006),$M$1006,0)))),"Fix")))</f>
        <v>0</v>
      </c>
      <c r="F412">
        <v>0</v>
      </c>
      <c r="G412">
        <v>0</v>
      </c>
      <c r="H412">
        <v>0</v>
      </c>
      <c r="I412">
        <f>IF(J412,TRUE,AND(M412))</f>
        <v>0</v>
      </c>
      <c r="J412">
        <f>COUNTBLANK(Metadata!B412)=COLUMNS(Metadata!B412)</f>
        <v>0</v>
      </c>
      <c r="K412">
        <v>0</v>
      </c>
      <c r="M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</row>
    <row r="413" spans="1:13">
      <c r="A413" s="3">
        <f>IF(B413=" "," ",HYPERLINK(CONCATENATE("#metadata!",ADDRESS(INDEX($H$2:$H$1001,MATCH(ROWS($F$2:F413),$F$2:$F$1001,0),0),2)),INDEX($K$2:$K$1001,MATCH(ROWS($F$2:F413),$F$2:$F$1001,0),0)))</f>
        <v>0</v>
      </c>
      <c r="B413" s="4">
        <f>IF(OR(INDEX($G$2:$G$1001,MATCH(ROWS($F$2:F413),$F$2:$F$1001,0),1)&gt;=100000,INDEX($M$1005,1,MATCH(COLUMNS($M$1006:M1006),$M$1006,0))&gt;=100000), " ",IF(INDEX($M$2:$M$1001,MATCH(ROWS($F$2:F413),$F$2:$F$1001,0),MATCH(COLUMNS($M$1006:M1006),$M$1006,0)), HYPERLINK("#",""), HYPERLINK(CONCATENATE("#Metadata!", ADDRESS(INDEX($H$2:$H$1001,MATCH(ROWS($F$2:F413),$F$2:$F$1001,0),0), INDEX($M$1004,1,MATCH(COLUMNS($M$1006:M1006),$M$1006,0)))),"Fix")))</f>
        <v>0</v>
      </c>
      <c r="F413">
        <v>0</v>
      </c>
      <c r="G413">
        <v>0</v>
      </c>
      <c r="H413">
        <v>0</v>
      </c>
      <c r="I413">
        <f>IF(J413,TRUE,AND(M413))</f>
        <v>0</v>
      </c>
      <c r="J413">
        <f>COUNTBLANK(Metadata!B413)=COLUMNS(Metadata!B413)</f>
        <v>0</v>
      </c>
      <c r="K413">
        <v>0</v>
      </c>
      <c r="M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</row>
    <row r="414" spans="1:13">
      <c r="A414" s="3">
        <f>IF(B414=" "," ",HYPERLINK(CONCATENATE("#metadata!",ADDRESS(INDEX($H$2:$H$1001,MATCH(ROWS($F$2:F414),$F$2:$F$1001,0),0),2)),INDEX($K$2:$K$1001,MATCH(ROWS($F$2:F414),$F$2:$F$1001,0),0)))</f>
        <v>0</v>
      </c>
      <c r="B414" s="4">
        <f>IF(OR(INDEX($G$2:$G$1001,MATCH(ROWS($F$2:F414),$F$2:$F$1001,0),1)&gt;=100000,INDEX($M$1005,1,MATCH(COLUMNS($M$1006:M1006),$M$1006,0))&gt;=100000), " ",IF(INDEX($M$2:$M$1001,MATCH(ROWS($F$2:F414),$F$2:$F$1001,0),MATCH(COLUMNS($M$1006:M1006),$M$1006,0)), HYPERLINK("#",""), HYPERLINK(CONCATENATE("#Metadata!", ADDRESS(INDEX($H$2:$H$1001,MATCH(ROWS($F$2:F414),$F$2:$F$1001,0),0), INDEX($M$1004,1,MATCH(COLUMNS($M$1006:M1006),$M$1006,0)))),"Fix")))</f>
        <v>0</v>
      </c>
      <c r="F414">
        <v>0</v>
      </c>
      <c r="G414">
        <v>0</v>
      </c>
      <c r="H414">
        <v>0</v>
      </c>
      <c r="I414">
        <f>IF(J414,TRUE,AND(M414))</f>
        <v>0</v>
      </c>
      <c r="J414">
        <f>COUNTBLANK(Metadata!B414)=COLUMNS(Metadata!B414)</f>
        <v>0</v>
      </c>
      <c r="K414">
        <v>0</v>
      </c>
      <c r="M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</row>
    <row r="415" spans="1:13">
      <c r="A415" s="3">
        <f>IF(B415=" "," ",HYPERLINK(CONCATENATE("#metadata!",ADDRESS(INDEX($H$2:$H$1001,MATCH(ROWS($F$2:F415),$F$2:$F$1001,0),0),2)),INDEX($K$2:$K$1001,MATCH(ROWS($F$2:F415),$F$2:$F$1001,0),0)))</f>
        <v>0</v>
      </c>
      <c r="B415" s="4">
        <f>IF(OR(INDEX($G$2:$G$1001,MATCH(ROWS($F$2:F415),$F$2:$F$1001,0),1)&gt;=100000,INDEX($M$1005,1,MATCH(COLUMNS($M$1006:M1006),$M$1006,0))&gt;=100000), " ",IF(INDEX($M$2:$M$1001,MATCH(ROWS($F$2:F415),$F$2:$F$1001,0),MATCH(COLUMNS($M$1006:M1006),$M$1006,0)), HYPERLINK("#",""), HYPERLINK(CONCATENATE("#Metadata!", ADDRESS(INDEX($H$2:$H$1001,MATCH(ROWS($F$2:F415),$F$2:$F$1001,0),0), INDEX($M$1004,1,MATCH(COLUMNS($M$1006:M1006),$M$1006,0)))),"Fix")))</f>
        <v>0</v>
      </c>
      <c r="F415">
        <v>0</v>
      </c>
      <c r="G415">
        <v>0</v>
      </c>
      <c r="H415">
        <v>0</v>
      </c>
      <c r="I415">
        <f>IF(J415,TRUE,AND(M415))</f>
        <v>0</v>
      </c>
      <c r="J415">
        <f>COUNTBLANK(Metadata!B415)=COLUMNS(Metadata!B415)</f>
        <v>0</v>
      </c>
      <c r="K415">
        <v>0</v>
      </c>
      <c r="M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</row>
    <row r="416" spans="1:13">
      <c r="A416" s="3">
        <f>IF(B416=" "," ",HYPERLINK(CONCATENATE("#metadata!",ADDRESS(INDEX($H$2:$H$1001,MATCH(ROWS($F$2:F416),$F$2:$F$1001,0),0),2)),INDEX($K$2:$K$1001,MATCH(ROWS($F$2:F416),$F$2:$F$1001,0),0)))</f>
        <v>0</v>
      </c>
      <c r="B416" s="4">
        <f>IF(OR(INDEX($G$2:$G$1001,MATCH(ROWS($F$2:F416),$F$2:$F$1001,0),1)&gt;=100000,INDEX($M$1005,1,MATCH(COLUMNS($M$1006:M1006),$M$1006,0))&gt;=100000), " ",IF(INDEX($M$2:$M$1001,MATCH(ROWS($F$2:F416),$F$2:$F$1001,0),MATCH(COLUMNS($M$1006:M1006),$M$1006,0)), HYPERLINK("#",""), HYPERLINK(CONCATENATE("#Metadata!", ADDRESS(INDEX($H$2:$H$1001,MATCH(ROWS($F$2:F416),$F$2:$F$1001,0),0), INDEX($M$1004,1,MATCH(COLUMNS($M$1006:M1006),$M$1006,0)))),"Fix")))</f>
        <v>0</v>
      </c>
      <c r="F416">
        <v>0</v>
      </c>
      <c r="G416">
        <v>0</v>
      </c>
      <c r="H416">
        <v>0</v>
      </c>
      <c r="I416">
        <f>IF(J416,TRUE,AND(M416))</f>
        <v>0</v>
      </c>
      <c r="J416">
        <f>COUNTBLANK(Metadata!B416)=COLUMNS(Metadata!B416)</f>
        <v>0</v>
      </c>
      <c r="K416">
        <v>0</v>
      </c>
      <c r="M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</row>
    <row r="417" spans="1:13">
      <c r="A417" s="3">
        <f>IF(B417=" "," ",HYPERLINK(CONCATENATE("#metadata!",ADDRESS(INDEX($H$2:$H$1001,MATCH(ROWS($F$2:F417),$F$2:$F$1001,0),0),2)),INDEX($K$2:$K$1001,MATCH(ROWS($F$2:F417),$F$2:$F$1001,0),0)))</f>
        <v>0</v>
      </c>
      <c r="B417" s="4">
        <f>IF(OR(INDEX($G$2:$G$1001,MATCH(ROWS($F$2:F417),$F$2:$F$1001,0),1)&gt;=100000,INDEX($M$1005,1,MATCH(COLUMNS($M$1006:M1006),$M$1006,0))&gt;=100000), " ",IF(INDEX($M$2:$M$1001,MATCH(ROWS($F$2:F417),$F$2:$F$1001,0),MATCH(COLUMNS($M$1006:M1006),$M$1006,0)), HYPERLINK("#",""), HYPERLINK(CONCATENATE("#Metadata!", ADDRESS(INDEX($H$2:$H$1001,MATCH(ROWS($F$2:F417),$F$2:$F$1001,0),0), INDEX($M$1004,1,MATCH(COLUMNS($M$1006:M1006),$M$1006,0)))),"Fix")))</f>
        <v>0</v>
      </c>
      <c r="F417">
        <v>0</v>
      </c>
      <c r="G417">
        <v>0</v>
      </c>
      <c r="H417">
        <v>0</v>
      </c>
      <c r="I417">
        <f>IF(J417,TRUE,AND(M417))</f>
        <v>0</v>
      </c>
      <c r="J417">
        <f>COUNTBLANK(Metadata!B417)=COLUMNS(Metadata!B417)</f>
        <v>0</v>
      </c>
      <c r="K417">
        <v>0</v>
      </c>
      <c r="M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</row>
    <row r="418" spans="1:13">
      <c r="A418" s="3">
        <f>IF(B418=" "," ",HYPERLINK(CONCATENATE("#metadata!",ADDRESS(INDEX($H$2:$H$1001,MATCH(ROWS($F$2:F418),$F$2:$F$1001,0),0),2)),INDEX($K$2:$K$1001,MATCH(ROWS($F$2:F418),$F$2:$F$1001,0),0)))</f>
        <v>0</v>
      </c>
      <c r="B418" s="4">
        <f>IF(OR(INDEX($G$2:$G$1001,MATCH(ROWS($F$2:F418),$F$2:$F$1001,0),1)&gt;=100000,INDEX($M$1005,1,MATCH(COLUMNS($M$1006:M1006),$M$1006,0))&gt;=100000), " ",IF(INDEX($M$2:$M$1001,MATCH(ROWS($F$2:F418),$F$2:$F$1001,0),MATCH(COLUMNS($M$1006:M1006),$M$1006,0)), HYPERLINK("#",""), HYPERLINK(CONCATENATE("#Metadata!", ADDRESS(INDEX($H$2:$H$1001,MATCH(ROWS($F$2:F418),$F$2:$F$1001,0),0), INDEX($M$1004,1,MATCH(COLUMNS($M$1006:M1006),$M$1006,0)))),"Fix")))</f>
        <v>0</v>
      </c>
      <c r="F418">
        <v>0</v>
      </c>
      <c r="G418">
        <v>0</v>
      </c>
      <c r="H418">
        <v>0</v>
      </c>
      <c r="I418">
        <f>IF(J418,TRUE,AND(M418))</f>
        <v>0</v>
      </c>
      <c r="J418">
        <f>COUNTBLANK(Metadata!B418)=COLUMNS(Metadata!B418)</f>
        <v>0</v>
      </c>
      <c r="K418">
        <v>0</v>
      </c>
      <c r="M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</row>
    <row r="419" spans="1:13">
      <c r="A419" s="3">
        <f>IF(B419=" "," ",HYPERLINK(CONCATENATE("#metadata!",ADDRESS(INDEX($H$2:$H$1001,MATCH(ROWS($F$2:F419),$F$2:$F$1001,0),0),2)),INDEX($K$2:$K$1001,MATCH(ROWS($F$2:F419),$F$2:$F$1001,0),0)))</f>
        <v>0</v>
      </c>
      <c r="B419" s="4">
        <f>IF(OR(INDEX($G$2:$G$1001,MATCH(ROWS($F$2:F419),$F$2:$F$1001,0),1)&gt;=100000,INDEX($M$1005,1,MATCH(COLUMNS($M$1006:M1006),$M$1006,0))&gt;=100000), " ",IF(INDEX($M$2:$M$1001,MATCH(ROWS($F$2:F419),$F$2:$F$1001,0),MATCH(COLUMNS($M$1006:M1006),$M$1006,0)), HYPERLINK("#",""), HYPERLINK(CONCATENATE("#Metadata!", ADDRESS(INDEX($H$2:$H$1001,MATCH(ROWS($F$2:F419),$F$2:$F$1001,0),0), INDEX($M$1004,1,MATCH(COLUMNS($M$1006:M1006),$M$1006,0)))),"Fix")))</f>
        <v>0</v>
      </c>
      <c r="F419">
        <v>0</v>
      </c>
      <c r="G419">
        <v>0</v>
      </c>
      <c r="H419">
        <v>0</v>
      </c>
      <c r="I419">
        <f>IF(J419,TRUE,AND(M419))</f>
        <v>0</v>
      </c>
      <c r="J419">
        <f>COUNTBLANK(Metadata!B419)=COLUMNS(Metadata!B419)</f>
        <v>0</v>
      </c>
      <c r="K419">
        <v>0</v>
      </c>
      <c r="M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</row>
    <row r="420" spans="1:13">
      <c r="A420" s="3">
        <f>IF(B420=" "," ",HYPERLINK(CONCATENATE("#metadata!",ADDRESS(INDEX($H$2:$H$1001,MATCH(ROWS($F$2:F420),$F$2:$F$1001,0),0),2)),INDEX($K$2:$K$1001,MATCH(ROWS($F$2:F420),$F$2:$F$1001,0),0)))</f>
        <v>0</v>
      </c>
      <c r="B420" s="4">
        <f>IF(OR(INDEX($G$2:$G$1001,MATCH(ROWS($F$2:F420),$F$2:$F$1001,0),1)&gt;=100000,INDEX($M$1005,1,MATCH(COLUMNS($M$1006:M1006),$M$1006,0))&gt;=100000), " ",IF(INDEX($M$2:$M$1001,MATCH(ROWS($F$2:F420),$F$2:$F$1001,0),MATCH(COLUMNS($M$1006:M1006),$M$1006,0)), HYPERLINK("#",""), HYPERLINK(CONCATENATE("#Metadata!", ADDRESS(INDEX($H$2:$H$1001,MATCH(ROWS($F$2:F420),$F$2:$F$1001,0),0), INDEX($M$1004,1,MATCH(COLUMNS($M$1006:M1006),$M$1006,0)))),"Fix")))</f>
        <v>0</v>
      </c>
      <c r="F420">
        <v>0</v>
      </c>
      <c r="G420">
        <v>0</v>
      </c>
      <c r="H420">
        <v>0</v>
      </c>
      <c r="I420">
        <f>IF(J420,TRUE,AND(M420))</f>
        <v>0</v>
      </c>
      <c r="J420">
        <f>COUNTBLANK(Metadata!B420)=COLUMNS(Metadata!B420)</f>
        <v>0</v>
      </c>
      <c r="K420">
        <v>0</v>
      </c>
      <c r="M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</row>
    <row r="421" spans="1:13">
      <c r="A421" s="3">
        <f>IF(B421=" "," ",HYPERLINK(CONCATENATE("#metadata!",ADDRESS(INDEX($H$2:$H$1001,MATCH(ROWS($F$2:F421),$F$2:$F$1001,0),0),2)),INDEX($K$2:$K$1001,MATCH(ROWS($F$2:F421),$F$2:$F$1001,0),0)))</f>
        <v>0</v>
      </c>
      <c r="B421" s="4">
        <f>IF(OR(INDEX($G$2:$G$1001,MATCH(ROWS($F$2:F421),$F$2:$F$1001,0),1)&gt;=100000,INDEX($M$1005,1,MATCH(COLUMNS($M$1006:M1006),$M$1006,0))&gt;=100000), " ",IF(INDEX($M$2:$M$1001,MATCH(ROWS($F$2:F421),$F$2:$F$1001,0),MATCH(COLUMNS($M$1006:M1006),$M$1006,0)), HYPERLINK("#",""), HYPERLINK(CONCATENATE("#Metadata!", ADDRESS(INDEX($H$2:$H$1001,MATCH(ROWS($F$2:F421),$F$2:$F$1001,0),0), INDEX($M$1004,1,MATCH(COLUMNS($M$1006:M1006),$M$1006,0)))),"Fix")))</f>
        <v>0</v>
      </c>
      <c r="F421">
        <v>0</v>
      </c>
      <c r="G421">
        <v>0</v>
      </c>
      <c r="H421">
        <v>0</v>
      </c>
      <c r="I421">
        <f>IF(J421,TRUE,AND(M421))</f>
        <v>0</v>
      </c>
      <c r="J421">
        <f>COUNTBLANK(Metadata!B421)=COLUMNS(Metadata!B421)</f>
        <v>0</v>
      </c>
      <c r="K421">
        <v>0</v>
      </c>
      <c r="M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</row>
    <row r="422" spans="1:13">
      <c r="A422" s="3">
        <f>IF(B422=" "," ",HYPERLINK(CONCATENATE("#metadata!",ADDRESS(INDEX($H$2:$H$1001,MATCH(ROWS($F$2:F422),$F$2:$F$1001,0),0),2)),INDEX($K$2:$K$1001,MATCH(ROWS($F$2:F422),$F$2:$F$1001,0),0)))</f>
        <v>0</v>
      </c>
      <c r="B422" s="4">
        <f>IF(OR(INDEX($G$2:$G$1001,MATCH(ROWS($F$2:F422),$F$2:$F$1001,0),1)&gt;=100000,INDEX($M$1005,1,MATCH(COLUMNS($M$1006:M1006),$M$1006,0))&gt;=100000), " ",IF(INDEX($M$2:$M$1001,MATCH(ROWS($F$2:F422),$F$2:$F$1001,0),MATCH(COLUMNS($M$1006:M1006),$M$1006,0)), HYPERLINK("#",""), HYPERLINK(CONCATENATE("#Metadata!", ADDRESS(INDEX($H$2:$H$1001,MATCH(ROWS($F$2:F422),$F$2:$F$1001,0),0), INDEX($M$1004,1,MATCH(COLUMNS($M$1006:M1006),$M$1006,0)))),"Fix")))</f>
        <v>0</v>
      </c>
      <c r="F422">
        <v>0</v>
      </c>
      <c r="G422">
        <v>0</v>
      </c>
      <c r="H422">
        <v>0</v>
      </c>
      <c r="I422">
        <f>IF(J422,TRUE,AND(M422))</f>
        <v>0</v>
      </c>
      <c r="J422">
        <f>COUNTBLANK(Metadata!B422)=COLUMNS(Metadata!B422)</f>
        <v>0</v>
      </c>
      <c r="K422">
        <v>0</v>
      </c>
      <c r="M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</row>
    <row r="423" spans="1:13">
      <c r="A423" s="3">
        <f>IF(B423=" "," ",HYPERLINK(CONCATENATE("#metadata!",ADDRESS(INDEX($H$2:$H$1001,MATCH(ROWS($F$2:F423),$F$2:$F$1001,0),0),2)),INDEX($K$2:$K$1001,MATCH(ROWS($F$2:F423),$F$2:$F$1001,0),0)))</f>
        <v>0</v>
      </c>
      <c r="B423" s="4">
        <f>IF(OR(INDEX($G$2:$G$1001,MATCH(ROWS($F$2:F423),$F$2:$F$1001,0),1)&gt;=100000,INDEX($M$1005,1,MATCH(COLUMNS($M$1006:M1006),$M$1006,0))&gt;=100000), " ",IF(INDEX($M$2:$M$1001,MATCH(ROWS($F$2:F423),$F$2:$F$1001,0),MATCH(COLUMNS($M$1006:M1006),$M$1006,0)), HYPERLINK("#",""), HYPERLINK(CONCATENATE("#Metadata!", ADDRESS(INDEX($H$2:$H$1001,MATCH(ROWS($F$2:F423),$F$2:$F$1001,0),0), INDEX($M$1004,1,MATCH(COLUMNS($M$1006:M1006),$M$1006,0)))),"Fix")))</f>
        <v>0</v>
      </c>
      <c r="F423">
        <v>0</v>
      </c>
      <c r="G423">
        <v>0</v>
      </c>
      <c r="H423">
        <v>0</v>
      </c>
      <c r="I423">
        <f>IF(J423,TRUE,AND(M423))</f>
        <v>0</v>
      </c>
      <c r="J423">
        <f>COUNTBLANK(Metadata!B423)=COLUMNS(Metadata!B423)</f>
        <v>0</v>
      </c>
      <c r="K423">
        <v>0</v>
      </c>
      <c r="M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</row>
    <row r="424" spans="1:13">
      <c r="A424" s="3">
        <f>IF(B424=" "," ",HYPERLINK(CONCATENATE("#metadata!",ADDRESS(INDEX($H$2:$H$1001,MATCH(ROWS($F$2:F424),$F$2:$F$1001,0),0),2)),INDEX($K$2:$K$1001,MATCH(ROWS($F$2:F424),$F$2:$F$1001,0),0)))</f>
        <v>0</v>
      </c>
      <c r="B424" s="4">
        <f>IF(OR(INDEX($G$2:$G$1001,MATCH(ROWS($F$2:F424),$F$2:$F$1001,0),1)&gt;=100000,INDEX($M$1005,1,MATCH(COLUMNS($M$1006:M1006),$M$1006,0))&gt;=100000), " ",IF(INDEX($M$2:$M$1001,MATCH(ROWS($F$2:F424),$F$2:$F$1001,0),MATCH(COLUMNS($M$1006:M1006),$M$1006,0)), HYPERLINK("#",""), HYPERLINK(CONCATENATE("#Metadata!", ADDRESS(INDEX($H$2:$H$1001,MATCH(ROWS($F$2:F424),$F$2:$F$1001,0),0), INDEX($M$1004,1,MATCH(COLUMNS($M$1006:M1006),$M$1006,0)))),"Fix")))</f>
        <v>0</v>
      </c>
      <c r="F424">
        <v>0</v>
      </c>
      <c r="G424">
        <v>0</v>
      </c>
      <c r="H424">
        <v>0</v>
      </c>
      <c r="I424">
        <f>IF(J424,TRUE,AND(M424))</f>
        <v>0</v>
      </c>
      <c r="J424">
        <f>COUNTBLANK(Metadata!B424)=COLUMNS(Metadata!B424)</f>
        <v>0</v>
      </c>
      <c r="K424">
        <v>0</v>
      </c>
      <c r="M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</row>
    <row r="425" spans="1:13">
      <c r="A425" s="3">
        <f>IF(B425=" "," ",HYPERLINK(CONCATENATE("#metadata!",ADDRESS(INDEX($H$2:$H$1001,MATCH(ROWS($F$2:F425),$F$2:$F$1001,0),0),2)),INDEX($K$2:$K$1001,MATCH(ROWS($F$2:F425),$F$2:$F$1001,0),0)))</f>
        <v>0</v>
      </c>
      <c r="B425" s="4">
        <f>IF(OR(INDEX($G$2:$G$1001,MATCH(ROWS($F$2:F425),$F$2:$F$1001,0),1)&gt;=100000,INDEX($M$1005,1,MATCH(COLUMNS($M$1006:M1006),$M$1006,0))&gt;=100000), " ",IF(INDEX($M$2:$M$1001,MATCH(ROWS($F$2:F425),$F$2:$F$1001,0),MATCH(COLUMNS($M$1006:M1006),$M$1006,0)), HYPERLINK("#",""), HYPERLINK(CONCATENATE("#Metadata!", ADDRESS(INDEX($H$2:$H$1001,MATCH(ROWS($F$2:F425),$F$2:$F$1001,0),0), INDEX($M$1004,1,MATCH(COLUMNS($M$1006:M1006),$M$1006,0)))),"Fix")))</f>
        <v>0</v>
      </c>
      <c r="F425">
        <v>0</v>
      </c>
      <c r="G425">
        <v>0</v>
      </c>
      <c r="H425">
        <v>0</v>
      </c>
      <c r="I425">
        <f>IF(J425,TRUE,AND(M425))</f>
        <v>0</v>
      </c>
      <c r="J425">
        <f>COUNTBLANK(Metadata!B425)=COLUMNS(Metadata!B425)</f>
        <v>0</v>
      </c>
      <c r="K425">
        <v>0</v>
      </c>
      <c r="M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</row>
    <row r="426" spans="1:13">
      <c r="A426" s="3">
        <f>IF(B426=" "," ",HYPERLINK(CONCATENATE("#metadata!",ADDRESS(INDEX($H$2:$H$1001,MATCH(ROWS($F$2:F426),$F$2:$F$1001,0),0),2)),INDEX($K$2:$K$1001,MATCH(ROWS($F$2:F426),$F$2:$F$1001,0),0)))</f>
        <v>0</v>
      </c>
      <c r="B426" s="4">
        <f>IF(OR(INDEX($G$2:$G$1001,MATCH(ROWS($F$2:F426),$F$2:$F$1001,0),1)&gt;=100000,INDEX($M$1005,1,MATCH(COLUMNS($M$1006:M1006),$M$1006,0))&gt;=100000), " ",IF(INDEX($M$2:$M$1001,MATCH(ROWS($F$2:F426),$F$2:$F$1001,0),MATCH(COLUMNS($M$1006:M1006),$M$1006,0)), HYPERLINK("#",""), HYPERLINK(CONCATENATE("#Metadata!", ADDRESS(INDEX($H$2:$H$1001,MATCH(ROWS($F$2:F426),$F$2:$F$1001,0),0), INDEX($M$1004,1,MATCH(COLUMNS($M$1006:M1006),$M$1006,0)))),"Fix")))</f>
        <v>0</v>
      </c>
      <c r="F426">
        <v>0</v>
      </c>
      <c r="G426">
        <v>0</v>
      </c>
      <c r="H426">
        <v>0</v>
      </c>
      <c r="I426">
        <f>IF(J426,TRUE,AND(M426))</f>
        <v>0</v>
      </c>
      <c r="J426">
        <f>COUNTBLANK(Metadata!B426)=COLUMNS(Metadata!B426)</f>
        <v>0</v>
      </c>
      <c r="K426">
        <v>0</v>
      </c>
      <c r="M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</row>
    <row r="427" spans="1:13">
      <c r="A427" s="3">
        <f>IF(B427=" "," ",HYPERLINK(CONCATENATE("#metadata!",ADDRESS(INDEX($H$2:$H$1001,MATCH(ROWS($F$2:F427),$F$2:$F$1001,0),0),2)),INDEX($K$2:$K$1001,MATCH(ROWS($F$2:F427),$F$2:$F$1001,0),0)))</f>
        <v>0</v>
      </c>
      <c r="B427" s="4">
        <f>IF(OR(INDEX($G$2:$G$1001,MATCH(ROWS($F$2:F427),$F$2:$F$1001,0),1)&gt;=100000,INDEX($M$1005,1,MATCH(COLUMNS($M$1006:M1006),$M$1006,0))&gt;=100000), " ",IF(INDEX($M$2:$M$1001,MATCH(ROWS($F$2:F427),$F$2:$F$1001,0),MATCH(COLUMNS($M$1006:M1006),$M$1006,0)), HYPERLINK("#",""), HYPERLINK(CONCATENATE("#Metadata!", ADDRESS(INDEX($H$2:$H$1001,MATCH(ROWS($F$2:F427),$F$2:$F$1001,0),0), INDEX($M$1004,1,MATCH(COLUMNS($M$1006:M1006),$M$1006,0)))),"Fix")))</f>
        <v>0</v>
      </c>
      <c r="F427">
        <v>0</v>
      </c>
      <c r="G427">
        <v>0</v>
      </c>
      <c r="H427">
        <v>0</v>
      </c>
      <c r="I427">
        <f>IF(J427,TRUE,AND(M427))</f>
        <v>0</v>
      </c>
      <c r="J427">
        <f>COUNTBLANK(Metadata!B427)=COLUMNS(Metadata!B427)</f>
        <v>0</v>
      </c>
      <c r="K427">
        <v>0</v>
      </c>
      <c r="M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</row>
    <row r="428" spans="1:13">
      <c r="A428" s="3">
        <f>IF(B428=" "," ",HYPERLINK(CONCATENATE("#metadata!",ADDRESS(INDEX($H$2:$H$1001,MATCH(ROWS($F$2:F428),$F$2:$F$1001,0),0),2)),INDEX($K$2:$K$1001,MATCH(ROWS($F$2:F428),$F$2:$F$1001,0),0)))</f>
        <v>0</v>
      </c>
      <c r="B428" s="4">
        <f>IF(OR(INDEX($G$2:$G$1001,MATCH(ROWS($F$2:F428),$F$2:$F$1001,0),1)&gt;=100000,INDEX($M$1005,1,MATCH(COLUMNS($M$1006:M1006),$M$1006,0))&gt;=100000), " ",IF(INDEX($M$2:$M$1001,MATCH(ROWS($F$2:F428),$F$2:$F$1001,0),MATCH(COLUMNS($M$1006:M1006),$M$1006,0)), HYPERLINK("#",""), HYPERLINK(CONCATENATE("#Metadata!", ADDRESS(INDEX($H$2:$H$1001,MATCH(ROWS($F$2:F428),$F$2:$F$1001,0),0), INDEX($M$1004,1,MATCH(COLUMNS($M$1006:M1006),$M$1006,0)))),"Fix")))</f>
        <v>0</v>
      </c>
      <c r="F428">
        <v>0</v>
      </c>
      <c r="G428">
        <v>0</v>
      </c>
      <c r="H428">
        <v>0</v>
      </c>
      <c r="I428">
        <f>IF(J428,TRUE,AND(M428))</f>
        <v>0</v>
      </c>
      <c r="J428">
        <f>COUNTBLANK(Metadata!B428)=COLUMNS(Metadata!B428)</f>
        <v>0</v>
      </c>
      <c r="K428">
        <v>0</v>
      </c>
      <c r="M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</row>
    <row r="429" spans="1:13">
      <c r="A429" s="3">
        <f>IF(B429=" "," ",HYPERLINK(CONCATENATE("#metadata!",ADDRESS(INDEX($H$2:$H$1001,MATCH(ROWS($F$2:F429),$F$2:$F$1001,0),0),2)),INDEX($K$2:$K$1001,MATCH(ROWS($F$2:F429),$F$2:$F$1001,0),0)))</f>
        <v>0</v>
      </c>
      <c r="B429" s="4">
        <f>IF(OR(INDEX($G$2:$G$1001,MATCH(ROWS($F$2:F429),$F$2:$F$1001,0),1)&gt;=100000,INDEX($M$1005,1,MATCH(COLUMNS($M$1006:M1006),$M$1006,0))&gt;=100000), " ",IF(INDEX($M$2:$M$1001,MATCH(ROWS($F$2:F429),$F$2:$F$1001,0),MATCH(COLUMNS($M$1006:M1006),$M$1006,0)), HYPERLINK("#",""), HYPERLINK(CONCATENATE("#Metadata!", ADDRESS(INDEX($H$2:$H$1001,MATCH(ROWS($F$2:F429),$F$2:$F$1001,0),0), INDEX($M$1004,1,MATCH(COLUMNS($M$1006:M1006),$M$1006,0)))),"Fix")))</f>
        <v>0</v>
      </c>
      <c r="F429">
        <v>0</v>
      </c>
      <c r="G429">
        <v>0</v>
      </c>
      <c r="H429">
        <v>0</v>
      </c>
      <c r="I429">
        <f>IF(J429,TRUE,AND(M429))</f>
        <v>0</v>
      </c>
      <c r="J429">
        <f>COUNTBLANK(Metadata!B429)=COLUMNS(Metadata!B429)</f>
        <v>0</v>
      </c>
      <c r="K429">
        <v>0</v>
      </c>
      <c r="M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</row>
    <row r="430" spans="1:13">
      <c r="A430" s="3">
        <f>IF(B430=" "," ",HYPERLINK(CONCATENATE("#metadata!",ADDRESS(INDEX($H$2:$H$1001,MATCH(ROWS($F$2:F430),$F$2:$F$1001,0),0),2)),INDEX($K$2:$K$1001,MATCH(ROWS($F$2:F430),$F$2:$F$1001,0),0)))</f>
        <v>0</v>
      </c>
      <c r="B430" s="4">
        <f>IF(OR(INDEX($G$2:$G$1001,MATCH(ROWS($F$2:F430),$F$2:$F$1001,0),1)&gt;=100000,INDEX($M$1005,1,MATCH(COLUMNS($M$1006:M1006),$M$1006,0))&gt;=100000), " ",IF(INDEX($M$2:$M$1001,MATCH(ROWS($F$2:F430),$F$2:$F$1001,0),MATCH(COLUMNS($M$1006:M1006),$M$1006,0)), HYPERLINK("#",""), HYPERLINK(CONCATENATE("#Metadata!", ADDRESS(INDEX($H$2:$H$1001,MATCH(ROWS($F$2:F430),$F$2:$F$1001,0),0), INDEX($M$1004,1,MATCH(COLUMNS($M$1006:M1006),$M$1006,0)))),"Fix")))</f>
        <v>0</v>
      </c>
      <c r="F430">
        <v>0</v>
      </c>
      <c r="G430">
        <v>0</v>
      </c>
      <c r="H430">
        <v>0</v>
      </c>
      <c r="I430">
        <f>IF(J430,TRUE,AND(M430))</f>
        <v>0</v>
      </c>
      <c r="J430">
        <f>COUNTBLANK(Metadata!B430)=COLUMNS(Metadata!B430)</f>
        <v>0</v>
      </c>
      <c r="K430">
        <v>0</v>
      </c>
      <c r="M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</row>
    <row r="431" spans="1:13">
      <c r="A431" s="3">
        <f>IF(B431=" "," ",HYPERLINK(CONCATENATE("#metadata!",ADDRESS(INDEX($H$2:$H$1001,MATCH(ROWS($F$2:F431),$F$2:$F$1001,0),0),2)),INDEX($K$2:$K$1001,MATCH(ROWS($F$2:F431),$F$2:$F$1001,0),0)))</f>
        <v>0</v>
      </c>
      <c r="B431" s="4">
        <f>IF(OR(INDEX($G$2:$G$1001,MATCH(ROWS($F$2:F431),$F$2:$F$1001,0),1)&gt;=100000,INDEX($M$1005,1,MATCH(COLUMNS($M$1006:M1006),$M$1006,0))&gt;=100000), " ",IF(INDEX($M$2:$M$1001,MATCH(ROWS($F$2:F431),$F$2:$F$1001,0),MATCH(COLUMNS($M$1006:M1006),$M$1006,0)), HYPERLINK("#",""), HYPERLINK(CONCATENATE("#Metadata!", ADDRESS(INDEX($H$2:$H$1001,MATCH(ROWS($F$2:F431),$F$2:$F$1001,0),0), INDEX($M$1004,1,MATCH(COLUMNS($M$1006:M1006),$M$1006,0)))),"Fix")))</f>
        <v>0</v>
      </c>
      <c r="F431">
        <v>0</v>
      </c>
      <c r="G431">
        <v>0</v>
      </c>
      <c r="H431">
        <v>0</v>
      </c>
      <c r="I431">
        <f>IF(J431,TRUE,AND(M431))</f>
        <v>0</v>
      </c>
      <c r="J431">
        <f>COUNTBLANK(Metadata!B431)=COLUMNS(Metadata!B431)</f>
        <v>0</v>
      </c>
      <c r="K431">
        <v>0</v>
      </c>
      <c r="M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</row>
    <row r="432" spans="1:13">
      <c r="A432" s="3">
        <f>IF(B432=" "," ",HYPERLINK(CONCATENATE("#metadata!",ADDRESS(INDEX($H$2:$H$1001,MATCH(ROWS($F$2:F432),$F$2:$F$1001,0),0),2)),INDEX($K$2:$K$1001,MATCH(ROWS($F$2:F432),$F$2:$F$1001,0),0)))</f>
        <v>0</v>
      </c>
      <c r="B432" s="4">
        <f>IF(OR(INDEX($G$2:$G$1001,MATCH(ROWS($F$2:F432),$F$2:$F$1001,0),1)&gt;=100000,INDEX($M$1005,1,MATCH(COLUMNS($M$1006:M1006),$M$1006,0))&gt;=100000), " ",IF(INDEX($M$2:$M$1001,MATCH(ROWS($F$2:F432),$F$2:$F$1001,0),MATCH(COLUMNS($M$1006:M1006),$M$1006,0)), HYPERLINK("#",""), HYPERLINK(CONCATENATE("#Metadata!", ADDRESS(INDEX($H$2:$H$1001,MATCH(ROWS($F$2:F432),$F$2:$F$1001,0),0), INDEX($M$1004,1,MATCH(COLUMNS($M$1006:M1006),$M$1006,0)))),"Fix")))</f>
        <v>0</v>
      </c>
      <c r="F432">
        <v>0</v>
      </c>
      <c r="G432">
        <v>0</v>
      </c>
      <c r="H432">
        <v>0</v>
      </c>
      <c r="I432">
        <f>IF(J432,TRUE,AND(M432))</f>
        <v>0</v>
      </c>
      <c r="J432">
        <f>COUNTBLANK(Metadata!B432)=COLUMNS(Metadata!B432)</f>
        <v>0</v>
      </c>
      <c r="K432">
        <v>0</v>
      </c>
      <c r="M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</row>
    <row r="433" spans="1:13">
      <c r="A433" s="3">
        <f>IF(B433=" "," ",HYPERLINK(CONCATENATE("#metadata!",ADDRESS(INDEX($H$2:$H$1001,MATCH(ROWS($F$2:F433),$F$2:$F$1001,0),0),2)),INDEX($K$2:$K$1001,MATCH(ROWS($F$2:F433),$F$2:$F$1001,0),0)))</f>
        <v>0</v>
      </c>
      <c r="B433" s="4">
        <f>IF(OR(INDEX($G$2:$G$1001,MATCH(ROWS($F$2:F433),$F$2:$F$1001,0),1)&gt;=100000,INDEX($M$1005,1,MATCH(COLUMNS($M$1006:M1006),$M$1006,0))&gt;=100000), " ",IF(INDEX($M$2:$M$1001,MATCH(ROWS($F$2:F433),$F$2:$F$1001,0),MATCH(COLUMNS($M$1006:M1006),$M$1006,0)), HYPERLINK("#",""), HYPERLINK(CONCATENATE("#Metadata!", ADDRESS(INDEX($H$2:$H$1001,MATCH(ROWS($F$2:F433),$F$2:$F$1001,0),0), INDEX($M$1004,1,MATCH(COLUMNS($M$1006:M1006),$M$1006,0)))),"Fix")))</f>
        <v>0</v>
      </c>
      <c r="F433">
        <v>0</v>
      </c>
      <c r="G433">
        <v>0</v>
      </c>
      <c r="H433">
        <v>0</v>
      </c>
      <c r="I433">
        <f>IF(J433,TRUE,AND(M433))</f>
        <v>0</v>
      </c>
      <c r="J433">
        <f>COUNTBLANK(Metadata!B433)=COLUMNS(Metadata!B433)</f>
        <v>0</v>
      </c>
      <c r="K433">
        <v>0</v>
      </c>
      <c r="M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</row>
    <row r="434" spans="1:13">
      <c r="A434" s="3">
        <f>IF(B434=" "," ",HYPERLINK(CONCATENATE("#metadata!",ADDRESS(INDEX($H$2:$H$1001,MATCH(ROWS($F$2:F434),$F$2:$F$1001,0),0),2)),INDEX($K$2:$K$1001,MATCH(ROWS($F$2:F434),$F$2:$F$1001,0),0)))</f>
        <v>0</v>
      </c>
      <c r="B434" s="4">
        <f>IF(OR(INDEX($G$2:$G$1001,MATCH(ROWS($F$2:F434),$F$2:$F$1001,0),1)&gt;=100000,INDEX($M$1005,1,MATCH(COLUMNS($M$1006:M1006),$M$1006,0))&gt;=100000), " ",IF(INDEX($M$2:$M$1001,MATCH(ROWS($F$2:F434),$F$2:$F$1001,0),MATCH(COLUMNS($M$1006:M1006),$M$1006,0)), HYPERLINK("#",""), HYPERLINK(CONCATENATE("#Metadata!", ADDRESS(INDEX($H$2:$H$1001,MATCH(ROWS($F$2:F434),$F$2:$F$1001,0),0), INDEX($M$1004,1,MATCH(COLUMNS($M$1006:M1006),$M$1006,0)))),"Fix")))</f>
        <v>0</v>
      </c>
      <c r="F434">
        <v>0</v>
      </c>
      <c r="G434">
        <v>0</v>
      </c>
      <c r="H434">
        <v>0</v>
      </c>
      <c r="I434">
        <f>IF(J434,TRUE,AND(M434))</f>
        <v>0</v>
      </c>
      <c r="J434">
        <f>COUNTBLANK(Metadata!B434)=COLUMNS(Metadata!B434)</f>
        <v>0</v>
      </c>
      <c r="K434">
        <v>0</v>
      </c>
      <c r="M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</row>
    <row r="435" spans="1:13">
      <c r="A435" s="3">
        <f>IF(B435=" "," ",HYPERLINK(CONCATENATE("#metadata!",ADDRESS(INDEX($H$2:$H$1001,MATCH(ROWS($F$2:F435),$F$2:$F$1001,0),0),2)),INDEX($K$2:$K$1001,MATCH(ROWS($F$2:F435),$F$2:$F$1001,0),0)))</f>
        <v>0</v>
      </c>
      <c r="B435" s="4">
        <f>IF(OR(INDEX($G$2:$G$1001,MATCH(ROWS($F$2:F435),$F$2:$F$1001,0),1)&gt;=100000,INDEX($M$1005,1,MATCH(COLUMNS($M$1006:M1006),$M$1006,0))&gt;=100000), " ",IF(INDEX($M$2:$M$1001,MATCH(ROWS($F$2:F435),$F$2:$F$1001,0),MATCH(COLUMNS($M$1006:M1006),$M$1006,0)), HYPERLINK("#",""), HYPERLINK(CONCATENATE("#Metadata!", ADDRESS(INDEX($H$2:$H$1001,MATCH(ROWS($F$2:F435),$F$2:$F$1001,0),0), INDEX($M$1004,1,MATCH(COLUMNS($M$1006:M1006),$M$1006,0)))),"Fix")))</f>
        <v>0</v>
      </c>
      <c r="F435">
        <v>0</v>
      </c>
      <c r="G435">
        <v>0</v>
      </c>
      <c r="H435">
        <v>0</v>
      </c>
      <c r="I435">
        <f>IF(J435,TRUE,AND(M435))</f>
        <v>0</v>
      </c>
      <c r="J435">
        <f>COUNTBLANK(Metadata!B435)=COLUMNS(Metadata!B435)</f>
        <v>0</v>
      </c>
      <c r="K435">
        <v>0</v>
      </c>
      <c r="M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</row>
    <row r="436" spans="1:13">
      <c r="A436" s="3">
        <f>IF(B436=" "," ",HYPERLINK(CONCATENATE("#metadata!",ADDRESS(INDEX($H$2:$H$1001,MATCH(ROWS($F$2:F436),$F$2:$F$1001,0),0),2)),INDEX($K$2:$K$1001,MATCH(ROWS($F$2:F436),$F$2:$F$1001,0),0)))</f>
        <v>0</v>
      </c>
      <c r="B436" s="4">
        <f>IF(OR(INDEX($G$2:$G$1001,MATCH(ROWS($F$2:F436),$F$2:$F$1001,0),1)&gt;=100000,INDEX($M$1005,1,MATCH(COLUMNS($M$1006:M1006),$M$1006,0))&gt;=100000), " ",IF(INDEX($M$2:$M$1001,MATCH(ROWS($F$2:F436),$F$2:$F$1001,0),MATCH(COLUMNS($M$1006:M1006),$M$1006,0)), HYPERLINK("#",""), HYPERLINK(CONCATENATE("#Metadata!", ADDRESS(INDEX($H$2:$H$1001,MATCH(ROWS($F$2:F436),$F$2:$F$1001,0),0), INDEX($M$1004,1,MATCH(COLUMNS($M$1006:M1006),$M$1006,0)))),"Fix")))</f>
        <v>0</v>
      </c>
      <c r="F436">
        <v>0</v>
      </c>
      <c r="G436">
        <v>0</v>
      </c>
      <c r="H436">
        <v>0</v>
      </c>
      <c r="I436">
        <f>IF(J436,TRUE,AND(M436))</f>
        <v>0</v>
      </c>
      <c r="J436">
        <f>COUNTBLANK(Metadata!B436)=COLUMNS(Metadata!B436)</f>
        <v>0</v>
      </c>
      <c r="K436">
        <v>0</v>
      </c>
      <c r="M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</row>
    <row r="437" spans="1:13">
      <c r="A437" s="3">
        <f>IF(B437=" "," ",HYPERLINK(CONCATENATE("#metadata!",ADDRESS(INDEX($H$2:$H$1001,MATCH(ROWS($F$2:F437),$F$2:$F$1001,0),0),2)),INDEX($K$2:$K$1001,MATCH(ROWS($F$2:F437),$F$2:$F$1001,0),0)))</f>
        <v>0</v>
      </c>
      <c r="B437" s="4">
        <f>IF(OR(INDEX($G$2:$G$1001,MATCH(ROWS($F$2:F437),$F$2:$F$1001,0),1)&gt;=100000,INDEX($M$1005,1,MATCH(COLUMNS($M$1006:M1006),$M$1006,0))&gt;=100000), " ",IF(INDEX($M$2:$M$1001,MATCH(ROWS($F$2:F437),$F$2:$F$1001,0),MATCH(COLUMNS($M$1006:M1006),$M$1006,0)), HYPERLINK("#",""), HYPERLINK(CONCATENATE("#Metadata!", ADDRESS(INDEX($H$2:$H$1001,MATCH(ROWS($F$2:F437),$F$2:$F$1001,0),0), INDEX($M$1004,1,MATCH(COLUMNS($M$1006:M1006),$M$1006,0)))),"Fix")))</f>
        <v>0</v>
      </c>
      <c r="F437">
        <v>0</v>
      </c>
      <c r="G437">
        <v>0</v>
      </c>
      <c r="H437">
        <v>0</v>
      </c>
      <c r="I437">
        <f>IF(J437,TRUE,AND(M437))</f>
        <v>0</v>
      </c>
      <c r="J437">
        <f>COUNTBLANK(Metadata!B437)=COLUMNS(Metadata!B437)</f>
        <v>0</v>
      </c>
      <c r="K437">
        <v>0</v>
      </c>
      <c r="M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</row>
    <row r="438" spans="1:13">
      <c r="A438" s="3">
        <f>IF(B438=" "," ",HYPERLINK(CONCATENATE("#metadata!",ADDRESS(INDEX($H$2:$H$1001,MATCH(ROWS($F$2:F438),$F$2:$F$1001,0),0),2)),INDEX($K$2:$K$1001,MATCH(ROWS($F$2:F438),$F$2:$F$1001,0),0)))</f>
        <v>0</v>
      </c>
      <c r="B438" s="4">
        <f>IF(OR(INDEX($G$2:$G$1001,MATCH(ROWS($F$2:F438),$F$2:$F$1001,0),1)&gt;=100000,INDEX($M$1005,1,MATCH(COLUMNS($M$1006:M1006),$M$1006,0))&gt;=100000), " ",IF(INDEX($M$2:$M$1001,MATCH(ROWS($F$2:F438),$F$2:$F$1001,0),MATCH(COLUMNS($M$1006:M1006),$M$1006,0)), HYPERLINK("#",""), HYPERLINK(CONCATENATE("#Metadata!", ADDRESS(INDEX($H$2:$H$1001,MATCH(ROWS($F$2:F438),$F$2:$F$1001,0),0), INDEX($M$1004,1,MATCH(COLUMNS($M$1006:M1006),$M$1006,0)))),"Fix")))</f>
        <v>0</v>
      </c>
      <c r="F438">
        <v>0</v>
      </c>
      <c r="G438">
        <v>0</v>
      </c>
      <c r="H438">
        <v>0</v>
      </c>
      <c r="I438">
        <f>IF(J438,TRUE,AND(M438))</f>
        <v>0</v>
      </c>
      <c r="J438">
        <f>COUNTBLANK(Metadata!B438)=COLUMNS(Metadata!B438)</f>
        <v>0</v>
      </c>
      <c r="K438">
        <v>0</v>
      </c>
      <c r="M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</row>
    <row r="439" spans="1:13">
      <c r="A439" s="3">
        <f>IF(B439=" "," ",HYPERLINK(CONCATENATE("#metadata!",ADDRESS(INDEX($H$2:$H$1001,MATCH(ROWS($F$2:F439),$F$2:$F$1001,0),0),2)),INDEX($K$2:$K$1001,MATCH(ROWS($F$2:F439),$F$2:$F$1001,0),0)))</f>
        <v>0</v>
      </c>
      <c r="B439" s="4">
        <f>IF(OR(INDEX($G$2:$G$1001,MATCH(ROWS($F$2:F439),$F$2:$F$1001,0),1)&gt;=100000,INDEX($M$1005,1,MATCH(COLUMNS($M$1006:M1006),$M$1006,0))&gt;=100000), " ",IF(INDEX($M$2:$M$1001,MATCH(ROWS($F$2:F439),$F$2:$F$1001,0),MATCH(COLUMNS($M$1006:M1006),$M$1006,0)), HYPERLINK("#",""), HYPERLINK(CONCATENATE("#Metadata!", ADDRESS(INDEX($H$2:$H$1001,MATCH(ROWS($F$2:F439),$F$2:$F$1001,0),0), INDEX($M$1004,1,MATCH(COLUMNS($M$1006:M1006),$M$1006,0)))),"Fix")))</f>
        <v>0</v>
      </c>
      <c r="F439">
        <v>0</v>
      </c>
      <c r="G439">
        <v>0</v>
      </c>
      <c r="H439">
        <v>0</v>
      </c>
      <c r="I439">
        <f>IF(J439,TRUE,AND(M439))</f>
        <v>0</v>
      </c>
      <c r="J439">
        <f>COUNTBLANK(Metadata!B439)=COLUMNS(Metadata!B439)</f>
        <v>0</v>
      </c>
      <c r="K439">
        <v>0</v>
      </c>
      <c r="M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</row>
    <row r="440" spans="1:13">
      <c r="A440" s="3">
        <f>IF(B440=" "," ",HYPERLINK(CONCATENATE("#metadata!",ADDRESS(INDEX($H$2:$H$1001,MATCH(ROWS($F$2:F440),$F$2:$F$1001,0),0),2)),INDEX($K$2:$K$1001,MATCH(ROWS($F$2:F440),$F$2:$F$1001,0),0)))</f>
        <v>0</v>
      </c>
      <c r="B440" s="4">
        <f>IF(OR(INDEX($G$2:$G$1001,MATCH(ROWS($F$2:F440),$F$2:$F$1001,0),1)&gt;=100000,INDEX($M$1005,1,MATCH(COLUMNS($M$1006:M1006),$M$1006,0))&gt;=100000), " ",IF(INDEX($M$2:$M$1001,MATCH(ROWS($F$2:F440),$F$2:$F$1001,0),MATCH(COLUMNS($M$1006:M1006),$M$1006,0)), HYPERLINK("#",""), HYPERLINK(CONCATENATE("#Metadata!", ADDRESS(INDEX($H$2:$H$1001,MATCH(ROWS($F$2:F440),$F$2:$F$1001,0),0), INDEX($M$1004,1,MATCH(COLUMNS($M$1006:M1006),$M$1006,0)))),"Fix")))</f>
        <v>0</v>
      </c>
      <c r="F440">
        <v>0</v>
      </c>
      <c r="G440">
        <v>0</v>
      </c>
      <c r="H440">
        <v>0</v>
      </c>
      <c r="I440">
        <f>IF(J440,TRUE,AND(M440))</f>
        <v>0</v>
      </c>
      <c r="J440">
        <f>COUNTBLANK(Metadata!B440)=COLUMNS(Metadata!B440)</f>
        <v>0</v>
      </c>
      <c r="K440">
        <v>0</v>
      </c>
      <c r="M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</row>
    <row r="441" spans="1:13">
      <c r="A441" s="3">
        <f>IF(B441=" "," ",HYPERLINK(CONCATENATE("#metadata!",ADDRESS(INDEX($H$2:$H$1001,MATCH(ROWS($F$2:F441),$F$2:$F$1001,0),0),2)),INDEX($K$2:$K$1001,MATCH(ROWS($F$2:F441),$F$2:$F$1001,0),0)))</f>
        <v>0</v>
      </c>
      <c r="B441" s="4">
        <f>IF(OR(INDEX($G$2:$G$1001,MATCH(ROWS($F$2:F441),$F$2:$F$1001,0),1)&gt;=100000,INDEX($M$1005,1,MATCH(COLUMNS($M$1006:M1006),$M$1006,0))&gt;=100000), " ",IF(INDEX($M$2:$M$1001,MATCH(ROWS($F$2:F441),$F$2:$F$1001,0),MATCH(COLUMNS($M$1006:M1006),$M$1006,0)), HYPERLINK("#",""), HYPERLINK(CONCATENATE("#Metadata!", ADDRESS(INDEX($H$2:$H$1001,MATCH(ROWS($F$2:F441),$F$2:$F$1001,0),0), INDEX($M$1004,1,MATCH(COLUMNS($M$1006:M1006),$M$1006,0)))),"Fix")))</f>
        <v>0</v>
      </c>
      <c r="F441">
        <v>0</v>
      </c>
      <c r="G441">
        <v>0</v>
      </c>
      <c r="H441">
        <v>0</v>
      </c>
      <c r="I441">
        <f>IF(J441,TRUE,AND(M441))</f>
        <v>0</v>
      </c>
      <c r="J441">
        <f>COUNTBLANK(Metadata!B441)=COLUMNS(Metadata!B441)</f>
        <v>0</v>
      </c>
      <c r="K441">
        <v>0</v>
      </c>
      <c r="M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</row>
    <row r="442" spans="1:13">
      <c r="A442" s="3">
        <f>IF(B442=" "," ",HYPERLINK(CONCATENATE("#metadata!",ADDRESS(INDEX($H$2:$H$1001,MATCH(ROWS($F$2:F442),$F$2:$F$1001,0),0),2)),INDEX($K$2:$K$1001,MATCH(ROWS($F$2:F442),$F$2:$F$1001,0),0)))</f>
        <v>0</v>
      </c>
      <c r="B442" s="4">
        <f>IF(OR(INDEX($G$2:$G$1001,MATCH(ROWS($F$2:F442),$F$2:$F$1001,0),1)&gt;=100000,INDEX($M$1005,1,MATCH(COLUMNS($M$1006:M1006),$M$1006,0))&gt;=100000), " ",IF(INDEX($M$2:$M$1001,MATCH(ROWS($F$2:F442),$F$2:$F$1001,0),MATCH(COLUMNS($M$1006:M1006),$M$1006,0)), HYPERLINK("#",""), HYPERLINK(CONCATENATE("#Metadata!", ADDRESS(INDEX($H$2:$H$1001,MATCH(ROWS($F$2:F442),$F$2:$F$1001,0),0), INDEX($M$1004,1,MATCH(COLUMNS($M$1006:M1006),$M$1006,0)))),"Fix")))</f>
        <v>0</v>
      </c>
      <c r="F442">
        <v>0</v>
      </c>
      <c r="G442">
        <v>0</v>
      </c>
      <c r="H442">
        <v>0</v>
      </c>
      <c r="I442">
        <f>IF(J442,TRUE,AND(M442))</f>
        <v>0</v>
      </c>
      <c r="J442">
        <f>COUNTBLANK(Metadata!B442)=COLUMNS(Metadata!B442)</f>
        <v>0</v>
      </c>
      <c r="K442">
        <v>0</v>
      </c>
      <c r="M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</row>
    <row r="443" spans="1:13">
      <c r="A443" s="3">
        <f>IF(B443=" "," ",HYPERLINK(CONCATENATE("#metadata!",ADDRESS(INDEX($H$2:$H$1001,MATCH(ROWS($F$2:F443),$F$2:$F$1001,0),0),2)),INDEX($K$2:$K$1001,MATCH(ROWS($F$2:F443),$F$2:$F$1001,0),0)))</f>
        <v>0</v>
      </c>
      <c r="B443" s="4">
        <f>IF(OR(INDEX($G$2:$G$1001,MATCH(ROWS($F$2:F443),$F$2:$F$1001,0),1)&gt;=100000,INDEX($M$1005,1,MATCH(COLUMNS($M$1006:M1006),$M$1006,0))&gt;=100000), " ",IF(INDEX($M$2:$M$1001,MATCH(ROWS($F$2:F443),$F$2:$F$1001,0),MATCH(COLUMNS($M$1006:M1006),$M$1006,0)), HYPERLINK("#",""), HYPERLINK(CONCATENATE("#Metadata!", ADDRESS(INDEX($H$2:$H$1001,MATCH(ROWS($F$2:F443),$F$2:$F$1001,0),0), INDEX($M$1004,1,MATCH(COLUMNS($M$1006:M1006),$M$1006,0)))),"Fix")))</f>
        <v>0</v>
      </c>
      <c r="F443">
        <v>0</v>
      </c>
      <c r="G443">
        <v>0</v>
      </c>
      <c r="H443">
        <v>0</v>
      </c>
      <c r="I443">
        <f>IF(J443,TRUE,AND(M443))</f>
        <v>0</v>
      </c>
      <c r="J443">
        <f>COUNTBLANK(Metadata!B443)=COLUMNS(Metadata!B443)</f>
        <v>0</v>
      </c>
      <c r="K443">
        <v>0</v>
      </c>
      <c r="M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</row>
    <row r="444" spans="1:13">
      <c r="A444" s="3">
        <f>IF(B444=" "," ",HYPERLINK(CONCATENATE("#metadata!",ADDRESS(INDEX($H$2:$H$1001,MATCH(ROWS($F$2:F444),$F$2:$F$1001,0),0),2)),INDEX($K$2:$K$1001,MATCH(ROWS($F$2:F444),$F$2:$F$1001,0),0)))</f>
        <v>0</v>
      </c>
      <c r="B444" s="4">
        <f>IF(OR(INDEX($G$2:$G$1001,MATCH(ROWS($F$2:F444),$F$2:$F$1001,0),1)&gt;=100000,INDEX($M$1005,1,MATCH(COLUMNS($M$1006:M1006),$M$1006,0))&gt;=100000), " ",IF(INDEX($M$2:$M$1001,MATCH(ROWS($F$2:F444),$F$2:$F$1001,0),MATCH(COLUMNS($M$1006:M1006),$M$1006,0)), HYPERLINK("#",""), HYPERLINK(CONCATENATE("#Metadata!", ADDRESS(INDEX($H$2:$H$1001,MATCH(ROWS($F$2:F444),$F$2:$F$1001,0),0), INDEX($M$1004,1,MATCH(COLUMNS($M$1006:M1006),$M$1006,0)))),"Fix")))</f>
        <v>0</v>
      </c>
      <c r="F444">
        <v>0</v>
      </c>
      <c r="G444">
        <v>0</v>
      </c>
      <c r="H444">
        <v>0</v>
      </c>
      <c r="I444">
        <f>IF(J444,TRUE,AND(M444))</f>
        <v>0</v>
      </c>
      <c r="J444">
        <f>COUNTBLANK(Metadata!B444)=COLUMNS(Metadata!B444)</f>
        <v>0</v>
      </c>
      <c r="K444">
        <v>0</v>
      </c>
      <c r="M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</row>
    <row r="445" spans="1:13">
      <c r="A445" s="3">
        <f>IF(B445=" "," ",HYPERLINK(CONCATENATE("#metadata!",ADDRESS(INDEX($H$2:$H$1001,MATCH(ROWS($F$2:F445),$F$2:$F$1001,0),0),2)),INDEX($K$2:$K$1001,MATCH(ROWS($F$2:F445),$F$2:$F$1001,0),0)))</f>
        <v>0</v>
      </c>
      <c r="B445" s="4">
        <f>IF(OR(INDEX($G$2:$G$1001,MATCH(ROWS($F$2:F445),$F$2:$F$1001,0),1)&gt;=100000,INDEX($M$1005,1,MATCH(COLUMNS($M$1006:M1006),$M$1006,0))&gt;=100000), " ",IF(INDEX($M$2:$M$1001,MATCH(ROWS($F$2:F445),$F$2:$F$1001,0),MATCH(COLUMNS($M$1006:M1006),$M$1006,0)), HYPERLINK("#",""), HYPERLINK(CONCATENATE("#Metadata!", ADDRESS(INDEX($H$2:$H$1001,MATCH(ROWS($F$2:F445),$F$2:$F$1001,0),0), INDEX($M$1004,1,MATCH(COLUMNS($M$1006:M1006),$M$1006,0)))),"Fix")))</f>
        <v>0</v>
      </c>
      <c r="F445">
        <v>0</v>
      </c>
      <c r="G445">
        <v>0</v>
      </c>
      <c r="H445">
        <v>0</v>
      </c>
      <c r="I445">
        <f>IF(J445,TRUE,AND(M445))</f>
        <v>0</v>
      </c>
      <c r="J445">
        <f>COUNTBLANK(Metadata!B445)=COLUMNS(Metadata!B445)</f>
        <v>0</v>
      </c>
      <c r="K445">
        <v>0</v>
      </c>
      <c r="M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</row>
    <row r="446" spans="1:13">
      <c r="A446" s="3">
        <f>IF(B446=" "," ",HYPERLINK(CONCATENATE("#metadata!",ADDRESS(INDEX($H$2:$H$1001,MATCH(ROWS($F$2:F446),$F$2:$F$1001,0),0),2)),INDEX($K$2:$K$1001,MATCH(ROWS($F$2:F446),$F$2:$F$1001,0),0)))</f>
        <v>0</v>
      </c>
      <c r="B446" s="4">
        <f>IF(OR(INDEX($G$2:$G$1001,MATCH(ROWS($F$2:F446),$F$2:$F$1001,0),1)&gt;=100000,INDEX($M$1005,1,MATCH(COLUMNS($M$1006:M1006),$M$1006,0))&gt;=100000), " ",IF(INDEX($M$2:$M$1001,MATCH(ROWS($F$2:F446),$F$2:$F$1001,0),MATCH(COLUMNS($M$1006:M1006),$M$1006,0)), HYPERLINK("#",""), HYPERLINK(CONCATENATE("#Metadata!", ADDRESS(INDEX($H$2:$H$1001,MATCH(ROWS($F$2:F446),$F$2:$F$1001,0),0), INDEX($M$1004,1,MATCH(COLUMNS($M$1006:M1006),$M$1006,0)))),"Fix")))</f>
        <v>0</v>
      </c>
      <c r="F446">
        <v>0</v>
      </c>
      <c r="G446">
        <v>0</v>
      </c>
      <c r="H446">
        <v>0</v>
      </c>
      <c r="I446">
        <f>IF(J446,TRUE,AND(M446))</f>
        <v>0</v>
      </c>
      <c r="J446">
        <f>COUNTBLANK(Metadata!B446)=COLUMNS(Metadata!B446)</f>
        <v>0</v>
      </c>
      <c r="K446">
        <v>0</v>
      </c>
      <c r="M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</row>
    <row r="447" spans="1:13">
      <c r="A447" s="3">
        <f>IF(B447=" "," ",HYPERLINK(CONCATENATE("#metadata!",ADDRESS(INDEX($H$2:$H$1001,MATCH(ROWS($F$2:F447),$F$2:$F$1001,0),0),2)),INDEX($K$2:$K$1001,MATCH(ROWS($F$2:F447),$F$2:$F$1001,0),0)))</f>
        <v>0</v>
      </c>
      <c r="B447" s="4">
        <f>IF(OR(INDEX($G$2:$G$1001,MATCH(ROWS($F$2:F447),$F$2:$F$1001,0),1)&gt;=100000,INDEX($M$1005,1,MATCH(COLUMNS($M$1006:M1006),$M$1006,0))&gt;=100000), " ",IF(INDEX($M$2:$M$1001,MATCH(ROWS($F$2:F447),$F$2:$F$1001,0),MATCH(COLUMNS($M$1006:M1006),$M$1006,0)), HYPERLINK("#",""), HYPERLINK(CONCATENATE("#Metadata!", ADDRESS(INDEX($H$2:$H$1001,MATCH(ROWS($F$2:F447),$F$2:$F$1001,0),0), INDEX($M$1004,1,MATCH(COLUMNS($M$1006:M1006),$M$1006,0)))),"Fix")))</f>
        <v>0</v>
      </c>
      <c r="F447">
        <v>0</v>
      </c>
      <c r="G447">
        <v>0</v>
      </c>
      <c r="H447">
        <v>0</v>
      </c>
      <c r="I447">
        <f>IF(J447,TRUE,AND(M447))</f>
        <v>0</v>
      </c>
      <c r="J447">
        <f>COUNTBLANK(Metadata!B447)=COLUMNS(Metadata!B447)</f>
        <v>0</v>
      </c>
      <c r="K447">
        <v>0</v>
      </c>
      <c r="M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</row>
    <row r="448" spans="1:13">
      <c r="A448" s="3">
        <f>IF(B448=" "," ",HYPERLINK(CONCATENATE("#metadata!",ADDRESS(INDEX($H$2:$H$1001,MATCH(ROWS($F$2:F448),$F$2:$F$1001,0),0),2)),INDEX($K$2:$K$1001,MATCH(ROWS($F$2:F448),$F$2:$F$1001,0),0)))</f>
        <v>0</v>
      </c>
      <c r="B448" s="4">
        <f>IF(OR(INDEX($G$2:$G$1001,MATCH(ROWS($F$2:F448),$F$2:$F$1001,0),1)&gt;=100000,INDEX($M$1005,1,MATCH(COLUMNS($M$1006:M1006),$M$1006,0))&gt;=100000), " ",IF(INDEX($M$2:$M$1001,MATCH(ROWS($F$2:F448),$F$2:$F$1001,0),MATCH(COLUMNS($M$1006:M1006),$M$1006,0)), HYPERLINK("#",""), HYPERLINK(CONCATENATE("#Metadata!", ADDRESS(INDEX($H$2:$H$1001,MATCH(ROWS($F$2:F448),$F$2:$F$1001,0),0), INDEX($M$1004,1,MATCH(COLUMNS($M$1006:M1006),$M$1006,0)))),"Fix")))</f>
        <v>0</v>
      </c>
      <c r="F448">
        <v>0</v>
      </c>
      <c r="G448">
        <v>0</v>
      </c>
      <c r="H448">
        <v>0</v>
      </c>
      <c r="I448">
        <f>IF(J448,TRUE,AND(M448))</f>
        <v>0</v>
      </c>
      <c r="J448">
        <f>COUNTBLANK(Metadata!B448)=COLUMNS(Metadata!B448)</f>
        <v>0</v>
      </c>
      <c r="K448">
        <v>0</v>
      </c>
      <c r="M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</row>
    <row r="449" spans="1:13">
      <c r="A449" s="3">
        <f>IF(B449=" "," ",HYPERLINK(CONCATENATE("#metadata!",ADDRESS(INDEX($H$2:$H$1001,MATCH(ROWS($F$2:F449),$F$2:$F$1001,0),0),2)),INDEX($K$2:$K$1001,MATCH(ROWS($F$2:F449),$F$2:$F$1001,0),0)))</f>
        <v>0</v>
      </c>
      <c r="B449" s="4">
        <f>IF(OR(INDEX($G$2:$G$1001,MATCH(ROWS($F$2:F449),$F$2:$F$1001,0),1)&gt;=100000,INDEX($M$1005,1,MATCH(COLUMNS($M$1006:M1006),$M$1006,0))&gt;=100000), " ",IF(INDEX($M$2:$M$1001,MATCH(ROWS($F$2:F449),$F$2:$F$1001,0),MATCH(COLUMNS($M$1006:M1006),$M$1006,0)), HYPERLINK("#",""), HYPERLINK(CONCATENATE("#Metadata!", ADDRESS(INDEX($H$2:$H$1001,MATCH(ROWS($F$2:F449),$F$2:$F$1001,0),0), INDEX($M$1004,1,MATCH(COLUMNS($M$1006:M1006),$M$1006,0)))),"Fix")))</f>
        <v>0</v>
      </c>
      <c r="F449">
        <v>0</v>
      </c>
      <c r="G449">
        <v>0</v>
      </c>
      <c r="H449">
        <v>0</v>
      </c>
      <c r="I449">
        <f>IF(J449,TRUE,AND(M449))</f>
        <v>0</v>
      </c>
      <c r="J449">
        <f>COUNTBLANK(Metadata!B449)=COLUMNS(Metadata!B449)</f>
        <v>0</v>
      </c>
      <c r="K449">
        <v>0</v>
      </c>
      <c r="M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</row>
    <row r="450" spans="1:13">
      <c r="A450" s="3">
        <f>IF(B450=" "," ",HYPERLINK(CONCATENATE("#metadata!",ADDRESS(INDEX($H$2:$H$1001,MATCH(ROWS($F$2:F450),$F$2:$F$1001,0),0),2)),INDEX($K$2:$K$1001,MATCH(ROWS($F$2:F450),$F$2:$F$1001,0),0)))</f>
        <v>0</v>
      </c>
      <c r="B450" s="4">
        <f>IF(OR(INDEX($G$2:$G$1001,MATCH(ROWS($F$2:F450),$F$2:$F$1001,0),1)&gt;=100000,INDEX($M$1005,1,MATCH(COLUMNS($M$1006:M1006),$M$1006,0))&gt;=100000), " ",IF(INDEX($M$2:$M$1001,MATCH(ROWS($F$2:F450),$F$2:$F$1001,0),MATCH(COLUMNS($M$1006:M1006),$M$1006,0)), HYPERLINK("#",""), HYPERLINK(CONCATENATE("#Metadata!", ADDRESS(INDEX($H$2:$H$1001,MATCH(ROWS($F$2:F450),$F$2:$F$1001,0),0), INDEX($M$1004,1,MATCH(COLUMNS($M$1006:M1006),$M$1006,0)))),"Fix")))</f>
        <v>0</v>
      </c>
      <c r="F450">
        <v>0</v>
      </c>
      <c r="G450">
        <v>0</v>
      </c>
      <c r="H450">
        <v>0</v>
      </c>
      <c r="I450">
        <f>IF(J450,TRUE,AND(M450))</f>
        <v>0</v>
      </c>
      <c r="J450">
        <f>COUNTBLANK(Metadata!B450)=COLUMNS(Metadata!B450)</f>
        <v>0</v>
      </c>
      <c r="K450">
        <v>0</v>
      </c>
      <c r="M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</row>
    <row r="451" spans="1:13">
      <c r="A451" s="3">
        <f>IF(B451=" "," ",HYPERLINK(CONCATENATE("#metadata!",ADDRESS(INDEX($H$2:$H$1001,MATCH(ROWS($F$2:F451),$F$2:$F$1001,0),0),2)),INDEX($K$2:$K$1001,MATCH(ROWS($F$2:F451),$F$2:$F$1001,0),0)))</f>
        <v>0</v>
      </c>
      <c r="B451" s="4">
        <f>IF(OR(INDEX($G$2:$G$1001,MATCH(ROWS($F$2:F451),$F$2:$F$1001,0),1)&gt;=100000,INDEX($M$1005,1,MATCH(COLUMNS($M$1006:M1006),$M$1006,0))&gt;=100000), " ",IF(INDEX($M$2:$M$1001,MATCH(ROWS($F$2:F451),$F$2:$F$1001,0),MATCH(COLUMNS($M$1006:M1006),$M$1006,0)), HYPERLINK("#",""), HYPERLINK(CONCATENATE("#Metadata!", ADDRESS(INDEX($H$2:$H$1001,MATCH(ROWS($F$2:F451),$F$2:$F$1001,0),0), INDEX($M$1004,1,MATCH(COLUMNS($M$1006:M1006),$M$1006,0)))),"Fix")))</f>
        <v>0</v>
      </c>
      <c r="F451">
        <v>0</v>
      </c>
      <c r="G451">
        <v>0</v>
      </c>
      <c r="H451">
        <v>0</v>
      </c>
      <c r="I451">
        <f>IF(J451,TRUE,AND(M451))</f>
        <v>0</v>
      </c>
      <c r="J451">
        <f>COUNTBLANK(Metadata!B451)=COLUMNS(Metadata!B451)</f>
        <v>0</v>
      </c>
      <c r="K451">
        <v>0</v>
      </c>
      <c r="M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</row>
    <row r="452" spans="1:13">
      <c r="A452" s="3">
        <f>IF(B452=" "," ",HYPERLINK(CONCATENATE("#metadata!",ADDRESS(INDEX($H$2:$H$1001,MATCH(ROWS($F$2:F452),$F$2:$F$1001,0),0),2)),INDEX($K$2:$K$1001,MATCH(ROWS($F$2:F452),$F$2:$F$1001,0),0)))</f>
        <v>0</v>
      </c>
      <c r="B452" s="4">
        <f>IF(OR(INDEX($G$2:$G$1001,MATCH(ROWS($F$2:F452),$F$2:$F$1001,0),1)&gt;=100000,INDEX($M$1005,1,MATCH(COLUMNS($M$1006:M1006),$M$1006,0))&gt;=100000), " ",IF(INDEX($M$2:$M$1001,MATCH(ROWS($F$2:F452),$F$2:$F$1001,0),MATCH(COLUMNS($M$1006:M1006),$M$1006,0)), HYPERLINK("#",""), HYPERLINK(CONCATENATE("#Metadata!", ADDRESS(INDEX($H$2:$H$1001,MATCH(ROWS($F$2:F452),$F$2:$F$1001,0),0), INDEX($M$1004,1,MATCH(COLUMNS($M$1006:M1006),$M$1006,0)))),"Fix")))</f>
        <v>0</v>
      </c>
      <c r="F452">
        <v>0</v>
      </c>
      <c r="G452">
        <v>0</v>
      </c>
      <c r="H452">
        <v>0</v>
      </c>
      <c r="I452">
        <f>IF(J452,TRUE,AND(M452))</f>
        <v>0</v>
      </c>
      <c r="J452">
        <f>COUNTBLANK(Metadata!B452)=COLUMNS(Metadata!B452)</f>
        <v>0</v>
      </c>
      <c r="K452">
        <v>0</v>
      </c>
      <c r="M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</row>
    <row r="453" spans="1:13">
      <c r="A453" s="3">
        <f>IF(B453=" "," ",HYPERLINK(CONCATENATE("#metadata!",ADDRESS(INDEX($H$2:$H$1001,MATCH(ROWS($F$2:F453),$F$2:$F$1001,0),0),2)),INDEX($K$2:$K$1001,MATCH(ROWS($F$2:F453),$F$2:$F$1001,0),0)))</f>
        <v>0</v>
      </c>
      <c r="B453" s="4">
        <f>IF(OR(INDEX($G$2:$G$1001,MATCH(ROWS($F$2:F453),$F$2:$F$1001,0),1)&gt;=100000,INDEX($M$1005,1,MATCH(COLUMNS($M$1006:M1006),$M$1006,0))&gt;=100000), " ",IF(INDEX($M$2:$M$1001,MATCH(ROWS($F$2:F453),$F$2:$F$1001,0),MATCH(COLUMNS($M$1006:M1006),$M$1006,0)), HYPERLINK("#",""), HYPERLINK(CONCATENATE("#Metadata!", ADDRESS(INDEX($H$2:$H$1001,MATCH(ROWS($F$2:F453),$F$2:$F$1001,0),0), INDEX($M$1004,1,MATCH(COLUMNS($M$1006:M1006),$M$1006,0)))),"Fix")))</f>
        <v>0</v>
      </c>
      <c r="F453">
        <v>0</v>
      </c>
      <c r="G453">
        <v>0</v>
      </c>
      <c r="H453">
        <v>0</v>
      </c>
      <c r="I453">
        <f>IF(J453,TRUE,AND(M453))</f>
        <v>0</v>
      </c>
      <c r="J453">
        <f>COUNTBLANK(Metadata!B453)=COLUMNS(Metadata!B453)</f>
        <v>0</v>
      </c>
      <c r="K453">
        <v>0</v>
      </c>
      <c r="M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</row>
    <row r="454" spans="1:13">
      <c r="A454" s="3">
        <f>IF(B454=" "," ",HYPERLINK(CONCATENATE("#metadata!",ADDRESS(INDEX($H$2:$H$1001,MATCH(ROWS($F$2:F454),$F$2:$F$1001,0),0),2)),INDEX($K$2:$K$1001,MATCH(ROWS($F$2:F454),$F$2:$F$1001,0),0)))</f>
        <v>0</v>
      </c>
      <c r="B454" s="4">
        <f>IF(OR(INDEX($G$2:$G$1001,MATCH(ROWS($F$2:F454),$F$2:$F$1001,0),1)&gt;=100000,INDEX($M$1005,1,MATCH(COLUMNS($M$1006:M1006),$M$1006,0))&gt;=100000), " ",IF(INDEX($M$2:$M$1001,MATCH(ROWS($F$2:F454),$F$2:$F$1001,0),MATCH(COLUMNS($M$1006:M1006),$M$1006,0)), HYPERLINK("#",""), HYPERLINK(CONCATENATE("#Metadata!", ADDRESS(INDEX($H$2:$H$1001,MATCH(ROWS($F$2:F454),$F$2:$F$1001,0),0), INDEX($M$1004,1,MATCH(COLUMNS($M$1006:M1006),$M$1006,0)))),"Fix")))</f>
        <v>0</v>
      </c>
      <c r="F454">
        <v>0</v>
      </c>
      <c r="G454">
        <v>0</v>
      </c>
      <c r="H454">
        <v>0</v>
      </c>
      <c r="I454">
        <f>IF(J454,TRUE,AND(M454))</f>
        <v>0</v>
      </c>
      <c r="J454">
        <f>COUNTBLANK(Metadata!B454)=COLUMNS(Metadata!B454)</f>
        <v>0</v>
      </c>
      <c r="K454">
        <v>0</v>
      </c>
      <c r="M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</row>
    <row r="455" spans="1:13">
      <c r="A455" s="3">
        <f>IF(B455=" "," ",HYPERLINK(CONCATENATE("#metadata!",ADDRESS(INDEX($H$2:$H$1001,MATCH(ROWS($F$2:F455),$F$2:$F$1001,0),0),2)),INDEX($K$2:$K$1001,MATCH(ROWS($F$2:F455),$F$2:$F$1001,0),0)))</f>
        <v>0</v>
      </c>
      <c r="B455" s="4">
        <f>IF(OR(INDEX($G$2:$G$1001,MATCH(ROWS($F$2:F455),$F$2:$F$1001,0),1)&gt;=100000,INDEX($M$1005,1,MATCH(COLUMNS($M$1006:M1006),$M$1006,0))&gt;=100000), " ",IF(INDEX($M$2:$M$1001,MATCH(ROWS($F$2:F455),$F$2:$F$1001,0),MATCH(COLUMNS($M$1006:M1006),$M$1006,0)), HYPERLINK("#",""), HYPERLINK(CONCATENATE("#Metadata!", ADDRESS(INDEX($H$2:$H$1001,MATCH(ROWS($F$2:F455),$F$2:$F$1001,0),0), INDEX($M$1004,1,MATCH(COLUMNS($M$1006:M1006),$M$1006,0)))),"Fix")))</f>
        <v>0</v>
      </c>
      <c r="F455">
        <v>0</v>
      </c>
      <c r="G455">
        <v>0</v>
      </c>
      <c r="H455">
        <v>0</v>
      </c>
      <c r="I455">
        <f>IF(J455,TRUE,AND(M455))</f>
        <v>0</v>
      </c>
      <c r="J455">
        <f>COUNTBLANK(Metadata!B455)=COLUMNS(Metadata!B455)</f>
        <v>0</v>
      </c>
      <c r="K455">
        <v>0</v>
      </c>
      <c r="M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</row>
    <row r="456" spans="1:13">
      <c r="A456" s="3">
        <f>IF(B456=" "," ",HYPERLINK(CONCATENATE("#metadata!",ADDRESS(INDEX($H$2:$H$1001,MATCH(ROWS($F$2:F456),$F$2:$F$1001,0),0),2)),INDEX($K$2:$K$1001,MATCH(ROWS($F$2:F456),$F$2:$F$1001,0),0)))</f>
        <v>0</v>
      </c>
      <c r="B456" s="4">
        <f>IF(OR(INDEX($G$2:$G$1001,MATCH(ROWS($F$2:F456),$F$2:$F$1001,0),1)&gt;=100000,INDEX($M$1005,1,MATCH(COLUMNS($M$1006:M1006),$M$1006,0))&gt;=100000), " ",IF(INDEX($M$2:$M$1001,MATCH(ROWS($F$2:F456),$F$2:$F$1001,0),MATCH(COLUMNS($M$1006:M1006),$M$1006,0)), HYPERLINK("#",""), HYPERLINK(CONCATENATE("#Metadata!", ADDRESS(INDEX($H$2:$H$1001,MATCH(ROWS($F$2:F456),$F$2:$F$1001,0),0), INDEX($M$1004,1,MATCH(COLUMNS($M$1006:M1006),$M$1006,0)))),"Fix")))</f>
        <v>0</v>
      </c>
      <c r="F456">
        <v>0</v>
      </c>
      <c r="G456">
        <v>0</v>
      </c>
      <c r="H456">
        <v>0</v>
      </c>
      <c r="I456">
        <f>IF(J456,TRUE,AND(M456))</f>
        <v>0</v>
      </c>
      <c r="J456">
        <f>COUNTBLANK(Metadata!B456)=COLUMNS(Metadata!B456)</f>
        <v>0</v>
      </c>
      <c r="K456">
        <v>0</v>
      </c>
      <c r="M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</row>
    <row r="457" spans="1:13">
      <c r="A457" s="3">
        <f>IF(B457=" "," ",HYPERLINK(CONCATENATE("#metadata!",ADDRESS(INDEX($H$2:$H$1001,MATCH(ROWS($F$2:F457),$F$2:$F$1001,0),0),2)),INDEX($K$2:$K$1001,MATCH(ROWS($F$2:F457),$F$2:$F$1001,0),0)))</f>
        <v>0</v>
      </c>
      <c r="B457" s="4">
        <f>IF(OR(INDEX($G$2:$G$1001,MATCH(ROWS($F$2:F457),$F$2:$F$1001,0),1)&gt;=100000,INDEX($M$1005,1,MATCH(COLUMNS($M$1006:M1006),$M$1006,0))&gt;=100000), " ",IF(INDEX($M$2:$M$1001,MATCH(ROWS($F$2:F457),$F$2:$F$1001,0),MATCH(COLUMNS($M$1006:M1006),$M$1006,0)), HYPERLINK("#",""), HYPERLINK(CONCATENATE("#Metadata!", ADDRESS(INDEX($H$2:$H$1001,MATCH(ROWS($F$2:F457),$F$2:$F$1001,0),0), INDEX($M$1004,1,MATCH(COLUMNS($M$1006:M1006),$M$1006,0)))),"Fix")))</f>
        <v>0</v>
      </c>
      <c r="F457">
        <v>0</v>
      </c>
      <c r="G457">
        <v>0</v>
      </c>
      <c r="H457">
        <v>0</v>
      </c>
      <c r="I457">
        <f>IF(J457,TRUE,AND(M457))</f>
        <v>0</v>
      </c>
      <c r="J457">
        <f>COUNTBLANK(Metadata!B457)=COLUMNS(Metadata!B457)</f>
        <v>0</v>
      </c>
      <c r="K457">
        <v>0</v>
      </c>
      <c r="M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</row>
    <row r="458" spans="1:13">
      <c r="A458" s="3">
        <f>IF(B458=" "," ",HYPERLINK(CONCATENATE("#metadata!",ADDRESS(INDEX($H$2:$H$1001,MATCH(ROWS($F$2:F458),$F$2:$F$1001,0),0),2)),INDEX($K$2:$K$1001,MATCH(ROWS($F$2:F458),$F$2:$F$1001,0),0)))</f>
        <v>0</v>
      </c>
      <c r="B458" s="4">
        <f>IF(OR(INDEX($G$2:$G$1001,MATCH(ROWS($F$2:F458),$F$2:$F$1001,0),1)&gt;=100000,INDEX($M$1005,1,MATCH(COLUMNS($M$1006:M1006),$M$1006,0))&gt;=100000), " ",IF(INDEX($M$2:$M$1001,MATCH(ROWS($F$2:F458),$F$2:$F$1001,0),MATCH(COLUMNS($M$1006:M1006),$M$1006,0)), HYPERLINK("#",""), HYPERLINK(CONCATENATE("#Metadata!", ADDRESS(INDEX($H$2:$H$1001,MATCH(ROWS($F$2:F458),$F$2:$F$1001,0),0), INDEX($M$1004,1,MATCH(COLUMNS($M$1006:M1006),$M$1006,0)))),"Fix")))</f>
        <v>0</v>
      </c>
      <c r="F458">
        <v>0</v>
      </c>
      <c r="G458">
        <v>0</v>
      </c>
      <c r="H458">
        <v>0</v>
      </c>
      <c r="I458">
        <f>IF(J458,TRUE,AND(M458))</f>
        <v>0</v>
      </c>
      <c r="J458">
        <f>COUNTBLANK(Metadata!B458)=COLUMNS(Metadata!B458)</f>
        <v>0</v>
      </c>
      <c r="K458">
        <v>0</v>
      </c>
      <c r="M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</row>
    <row r="459" spans="1:13">
      <c r="A459" s="3">
        <f>IF(B459=" "," ",HYPERLINK(CONCATENATE("#metadata!",ADDRESS(INDEX($H$2:$H$1001,MATCH(ROWS($F$2:F459),$F$2:$F$1001,0),0),2)),INDEX($K$2:$K$1001,MATCH(ROWS($F$2:F459),$F$2:$F$1001,0),0)))</f>
        <v>0</v>
      </c>
      <c r="B459" s="4">
        <f>IF(OR(INDEX($G$2:$G$1001,MATCH(ROWS($F$2:F459),$F$2:$F$1001,0),1)&gt;=100000,INDEX($M$1005,1,MATCH(COLUMNS($M$1006:M1006),$M$1006,0))&gt;=100000), " ",IF(INDEX($M$2:$M$1001,MATCH(ROWS($F$2:F459),$F$2:$F$1001,0),MATCH(COLUMNS($M$1006:M1006),$M$1006,0)), HYPERLINK("#",""), HYPERLINK(CONCATENATE("#Metadata!", ADDRESS(INDEX($H$2:$H$1001,MATCH(ROWS($F$2:F459),$F$2:$F$1001,0),0), INDEX($M$1004,1,MATCH(COLUMNS($M$1006:M1006),$M$1006,0)))),"Fix")))</f>
        <v>0</v>
      </c>
      <c r="F459">
        <v>0</v>
      </c>
      <c r="G459">
        <v>0</v>
      </c>
      <c r="H459">
        <v>0</v>
      </c>
      <c r="I459">
        <f>IF(J459,TRUE,AND(M459))</f>
        <v>0</v>
      </c>
      <c r="J459">
        <f>COUNTBLANK(Metadata!B459)=COLUMNS(Metadata!B459)</f>
        <v>0</v>
      </c>
      <c r="K459">
        <v>0</v>
      </c>
      <c r="M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</row>
    <row r="460" spans="1:13">
      <c r="A460" s="3">
        <f>IF(B460=" "," ",HYPERLINK(CONCATENATE("#metadata!",ADDRESS(INDEX($H$2:$H$1001,MATCH(ROWS($F$2:F460),$F$2:$F$1001,0),0),2)),INDEX($K$2:$K$1001,MATCH(ROWS($F$2:F460),$F$2:$F$1001,0),0)))</f>
        <v>0</v>
      </c>
      <c r="B460" s="4">
        <f>IF(OR(INDEX($G$2:$G$1001,MATCH(ROWS($F$2:F460),$F$2:$F$1001,0),1)&gt;=100000,INDEX($M$1005,1,MATCH(COLUMNS($M$1006:M1006),$M$1006,0))&gt;=100000), " ",IF(INDEX($M$2:$M$1001,MATCH(ROWS($F$2:F460),$F$2:$F$1001,0),MATCH(COLUMNS($M$1006:M1006),$M$1006,0)), HYPERLINK("#",""), HYPERLINK(CONCATENATE("#Metadata!", ADDRESS(INDEX($H$2:$H$1001,MATCH(ROWS($F$2:F460),$F$2:$F$1001,0),0), INDEX($M$1004,1,MATCH(COLUMNS($M$1006:M1006),$M$1006,0)))),"Fix")))</f>
        <v>0</v>
      </c>
      <c r="F460">
        <v>0</v>
      </c>
      <c r="G460">
        <v>0</v>
      </c>
      <c r="H460">
        <v>0</v>
      </c>
      <c r="I460">
        <f>IF(J460,TRUE,AND(M460))</f>
        <v>0</v>
      </c>
      <c r="J460">
        <f>COUNTBLANK(Metadata!B460)=COLUMNS(Metadata!B460)</f>
        <v>0</v>
      </c>
      <c r="K460">
        <v>0</v>
      </c>
      <c r="M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</row>
    <row r="461" spans="1:13">
      <c r="A461" s="3">
        <f>IF(B461=" "," ",HYPERLINK(CONCATENATE("#metadata!",ADDRESS(INDEX($H$2:$H$1001,MATCH(ROWS($F$2:F461),$F$2:$F$1001,0),0),2)),INDEX($K$2:$K$1001,MATCH(ROWS($F$2:F461),$F$2:$F$1001,0),0)))</f>
        <v>0</v>
      </c>
      <c r="B461" s="4">
        <f>IF(OR(INDEX($G$2:$G$1001,MATCH(ROWS($F$2:F461),$F$2:$F$1001,0),1)&gt;=100000,INDEX($M$1005,1,MATCH(COLUMNS($M$1006:M1006),$M$1006,0))&gt;=100000), " ",IF(INDEX($M$2:$M$1001,MATCH(ROWS($F$2:F461),$F$2:$F$1001,0),MATCH(COLUMNS($M$1006:M1006),$M$1006,0)), HYPERLINK("#",""), HYPERLINK(CONCATENATE("#Metadata!", ADDRESS(INDEX($H$2:$H$1001,MATCH(ROWS($F$2:F461),$F$2:$F$1001,0),0), INDEX($M$1004,1,MATCH(COLUMNS($M$1006:M1006),$M$1006,0)))),"Fix")))</f>
        <v>0</v>
      </c>
      <c r="F461">
        <v>0</v>
      </c>
      <c r="G461">
        <v>0</v>
      </c>
      <c r="H461">
        <v>0</v>
      </c>
      <c r="I461">
        <f>IF(J461,TRUE,AND(M461))</f>
        <v>0</v>
      </c>
      <c r="J461">
        <f>COUNTBLANK(Metadata!B461)=COLUMNS(Metadata!B461)</f>
        <v>0</v>
      </c>
      <c r="K461">
        <v>0</v>
      </c>
      <c r="M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</row>
    <row r="462" spans="1:13">
      <c r="A462" s="3">
        <f>IF(B462=" "," ",HYPERLINK(CONCATENATE("#metadata!",ADDRESS(INDEX($H$2:$H$1001,MATCH(ROWS($F$2:F462),$F$2:$F$1001,0),0),2)),INDEX($K$2:$K$1001,MATCH(ROWS($F$2:F462),$F$2:$F$1001,0),0)))</f>
        <v>0</v>
      </c>
      <c r="B462" s="4">
        <f>IF(OR(INDEX($G$2:$G$1001,MATCH(ROWS($F$2:F462),$F$2:$F$1001,0),1)&gt;=100000,INDEX($M$1005,1,MATCH(COLUMNS($M$1006:M1006),$M$1006,0))&gt;=100000), " ",IF(INDEX($M$2:$M$1001,MATCH(ROWS($F$2:F462),$F$2:$F$1001,0),MATCH(COLUMNS($M$1006:M1006),$M$1006,0)), HYPERLINK("#",""), HYPERLINK(CONCATENATE("#Metadata!", ADDRESS(INDEX($H$2:$H$1001,MATCH(ROWS($F$2:F462),$F$2:$F$1001,0),0), INDEX($M$1004,1,MATCH(COLUMNS($M$1006:M1006),$M$1006,0)))),"Fix")))</f>
        <v>0</v>
      </c>
      <c r="F462">
        <v>0</v>
      </c>
      <c r="G462">
        <v>0</v>
      </c>
      <c r="H462">
        <v>0</v>
      </c>
      <c r="I462">
        <f>IF(J462,TRUE,AND(M462))</f>
        <v>0</v>
      </c>
      <c r="J462">
        <f>COUNTBLANK(Metadata!B462)=COLUMNS(Metadata!B462)</f>
        <v>0</v>
      </c>
      <c r="K462">
        <v>0</v>
      </c>
      <c r="M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</row>
    <row r="463" spans="1:13">
      <c r="A463" s="3">
        <f>IF(B463=" "," ",HYPERLINK(CONCATENATE("#metadata!",ADDRESS(INDEX($H$2:$H$1001,MATCH(ROWS($F$2:F463),$F$2:$F$1001,0),0),2)),INDEX($K$2:$K$1001,MATCH(ROWS($F$2:F463),$F$2:$F$1001,0),0)))</f>
        <v>0</v>
      </c>
      <c r="B463" s="4">
        <f>IF(OR(INDEX($G$2:$G$1001,MATCH(ROWS($F$2:F463),$F$2:$F$1001,0),1)&gt;=100000,INDEX($M$1005,1,MATCH(COLUMNS($M$1006:M1006),$M$1006,0))&gt;=100000), " ",IF(INDEX($M$2:$M$1001,MATCH(ROWS($F$2:F463),$F$2:$F$1001,0),MATCH(COLUMNS($M$1006:M1006),$M$1006,0)), HYPERLINK("#",""), HYPERLINK(CONCATENATE("#Metadata!", ADDRESS(INDEX($H$2:$H$1001,MATCH(ROWS($F$2:F463),$F$2:$F$1001,0),0), INDEX($M$1004,1,MATCH(COLUMNS($M$1006:M1006),$M$1006,0)))),"Fix")))</f>
        <v>0</v>
      </c>
      <c r="F463">
        <v>0</v>
      </c>
      <c r="G463">
        <v>0</v>
      </c>
      <c r="H463">
        <v>0</v>
      </c>
      <c r="I463">
        <f>IF(J463,TRUE,AND(M463))</f>
        <v>0</v>
      </c>
      <c r="J463">
        <f>COUNTBLANK(Metadata!B463)=COLUMNS(Metadata!B463)</f>
        <v>0</v>
      </c>
      <c r="K463">
        <v>0</v>
      </c>
      <c r="M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</row>
    <row r="464" spans="1:13">
      <c r="A464" s="3">
        <f>IF(B464=" "," ",HYPERLINK(CONCATENATE("#metadata!",ADDRESS(INDEX($H$2:$H$1001,MATCH(ROWS($F$2:F464),$F$2:$F$1001,0),0),2)),INDEX($K$2:$K$1001,MATCH(ROWS($F$2:F464),$F$2:$F$1001,0),0)))</f>
        <v>0</v>
      </c>
      <c r="B464" s="4">
        <f>IF(OR(INDEX($G$2:$G$1001,MATCH(ROWS($F$2:F464),$F$2:$F$1001,0),1)&gt;=100000,INDEX($M$1005,1,MATCH(COLUMNS($M$1006:M1006),$M$1006,0))&gt;=100000), " ",IF(INDEX($M$2:$M$1001,MATCH(ROWS($F$2:F464),$F$2:$F$1001,0),MATCH(COLUMNS($M$1006:M1006),$M$1006,0)), HYPERLINK("#",""), HYPERLINK(CONCATENATE("#Metadata!", ADDRESS(INDEX($H$2:$H$1001,MATCH(ROWS($F$2:F464),$F$2:$F$1001,0),0), INDEX($M$1004,1,MATCH(COLUMNS($M$1006:M1006),$M$1006,0)))),"Fix")))</f>
        <v>0</v>
      </c>
      <c r="F464">
        <v>0</v>
      </c>
      <c r="G464">
        <v>0</v>
      </c>
      <c r="H464">
        <v>0</v>
      </c>
      <c r="I464">
        <f>IF(J464,TRUE,AND(M464))</f>
        <v>0</v>
      </c>
      <c r="J464">
        <f>COUNTBLANK(Metadata!B464)=COLUMNS(Metadata!B464)</f>
        <v>0</v>
      </c>
      <c r="K464">
        <v>0</v>
      </c>
      <c r="M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</row>
    <row r="465" spans="1:13">
      <c r="A465" s="3">
        <f>IF(B465=" "," ",HYPERLINK(CONCATENATE("#metadata!",ADDRESS(INDEX($H$2:$H$1001,MATCH(ROWS($F$2:F465),$F$2:$F$1001,0),0),2)),INDEX($K$2:$K$1001,MATCH(ROWS($F$2:F465),$F$2:$F$1001,0),0)))</f>
        <v>0</v>
      </c>
      <c r="B465" s="4">
        <f>IF(OR(INDEX($G$2:$G$1001,MATCH(ROWS($F$2:F465),$F$2:$F$1001,0),1)&gt;=100000,INDEX($M$1005,1,MATCH(COLUMNS($M$1006:M1006),$M$1006,0))&gt;=100000), " ",IF(INDEX($M$2:$M$1001,MATCH(ROWS($F$2:F465),$F$2:$F$1001,0),MATCH(COLUMNS($M$1006:M1006),$M$1006,0)), HYPERLINK("#",""), HYPERLINK(CONCATENATE("#Metadata!", ADDRESS(INDEX($H$2:$H$1001,MATCH(ROWS($F$2:F465),$F$2:$F$1001,0),0), INDEX($M$1004,1,MATCH(COLUMNS($M$1006:M1006),$M$1006,0)))),"Fix")))</f>
        <v>0</v>
      </c>
      <c r="F465">
        <v>0</v>
      </c>
      <c r="G465">
        <v>0</v>
      </c>
      <c r="H465">
        <v>0</v>
      </c>
      <c r="I465">
        <f>IF(J465,TRUE,AND(M465))</f>
        <v>0</v>
      </c>
      <c r="J465">
        <f>COUNTBLANK(Metadata!B465)=COLUMNS(Metadata!B465)</f>
        <v>0</v>
      </c>
      <c r="K465">
        <v>0</v>
      </c>
      <c r="M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</row>
    <row r="466" spans="1:13">
      <c r="A466" s="3">
        <f>IF(B466=" "," ",HYPERLINK(CONCATENATE("#metadata!",ADDRESS(INDEX($H$2:$H$1001,MATCH(ROWS($F$2:F466),$F$2:$F$1001,0),0),2)),INDEX($K$2:$K$1001,MATCH(ROWS($F$2:F466),$F$2:$F$1001,0),0)))</f>
        <v>0</v>
      </c>
      <c r="B466" s="4">
        <f>IF(OR(INDEX($G$2:$G$1001,MATCH(ROWS($F$2:F466),$F$2:$F$1001,0),1)&gt;=100000,INDEX($M$1005,1,MATCH(COLUMNS($M$1006:M1006),$M$1006,0))&gt;=100000), " ",IF(INDEX($M$2:$M$1001,MATCH(ROWS($F$2:F466),$F$2:$F$1001,0),MATCH(COLUMNS($M$1006:M1006),$M$1006,0)), HYPERLINK("#",""), HYPERLINK(CONCATENATE("#Metadata!", ADDRESS(INDEX($H$2:$H$1001,MATCH(ROWS($F$2:F466),$F$2:$F$1001,0),0), INDEX($M$1004,1,MATCH(COLUMNS($M$1006:M1006),$M$1006,0)))),"Fix")))</f>
        <v>0</v>
      </c>
      <c r="F466">
        <v>0</v>
      </c>
      <c r="G466">
        <v>0</v>
      </c>
      <c r="H466">
        <v>0</v>
      </c>
      <c r="I466">
        <f>IF(J466,TRUE,AND(M466))</f>
        <v>0</v>
      </c>
      <c r="J466">
        <f>COUNTBLANK(Metadata!B466)=COLUMNS(Metadata!B466)</f>
        <v>0</v>
      </c>
      <c r="K466">
        <v>0</v>
      </c>
      <c r="M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</row>
    <row r="467" spans="1:13">
      <c r="A467" s="3">
        <f>IF(B467=" "," ",HYPERLINK(CONCATENATE("#metadata!",ADDRESS(INDEX($H$2:$H$1001,MATCH(ROWS($F$2:F467),$F$2:$F$1001,0),0),2)),INDEX($K$2:$K$1001,MATCH(ROWS($F$2:F467),$F$2:$F$1001,0),0)))</f>
        <v>0</v>
      </c>
      <c r="B467" s="4">
        <f>IF(OR(INDEX($G$2:$G$1001,MATCH(ROWS($F$2:F467),$F$2:$F$1001,0),1)&gt;=100000,INDEX($M$1005,1,MATCH(COLUMNS($M$1006:M1006),$M$1006,0))&gt;=100000), " ",IF(INDEX($M$2:$M$1001,MATCH(ROWS($F$2:F467),$F$2:$F$1001,0),MATCH(COLUMNS($M$1006:M1006),$M$1006,0)), HYPERLINK("#",""), HYPERLINK(CONCATENATE("#Metadata!", ADDRESS(INDEX($H$2:$H$1001,MATCH(ROWS($F$2:F467),$F$2:$F$1001,0),0), INDEX($M$1004,1,MATCH(COLUMNS($M$1006:M1006),$M$1006,0)))),"Fix")))</f>
        <v>0</v>
      </c>
      <c r="F467">
        <v>0</v>
      </c>
      <c r="G467">
        <v>0</v>
      </c>
      <c r="H467">
        <v>0</v>
      </c>
      <c r="I467">
        <f>IF(J467,TRUE,AND(M467))</f>
        <v>0</v>
      </c>
      <c r="J467">
        <f>COUNTBLANK(Metadata!B467)=COLUMNS(Metadata!B467)</f>
        <v>0</v>
      </c>
      <c r="K467">
        <v>0</v>
      </c>
      <c r="M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</row>
    <row r="468" spans="1:13">
      <c r="A468" s="3">
        <f>IF(B468=" "," ",HYPERLINK(CONCATENATE("#metadata!",ADDRESS(INDEX($H$2:$H$1001,MATCH(ROWS($F$2:F468),$F$2:$F$1001,0),0),2)),INDEX($K$2:$K$1001,MATCH(ROWS($F$2:F468),$F$2:$F$1001,0),0)))</f>
        <v>0</v>
      </c>
      <c r="B468" s="4">
        <f>IF(OR(INDEX($G$2:$G$1001,MATCH(ROWS($F$2:F468),$F$2:$F$1001,0),1)&gt;=100000,INDEX($M$1005,1,MATCH(COLUMNS($M$1006:M1006),$M$1006,0))&gt;=100000), " ",IF(INDEX($M$2:$M$1001,MATCH(ROWS($F$2:F468),$F$2:$F$1001,0),MATCH(COLUMNS($M$1006:M1006),$M$1006,0)), HYPERLINK("#",""), HYPERLINK(CONCATENATE("#Metadata!", ADDRESS(INDEX($H$2:$H$1001,MATCH(ROWS($F$2:F468),$F$2:$F$1001,0),0), INDEX($M$1004,1,MATCH(COLUMNS($M$1006:M1006),$M$1006,0)))),"Fix")))</f>
        <v>0</v>
      </c>
      <c r="F468">
        <v>0</v>
      </c>
      <c r="G468">
        <v>0</v>
      </c>
      <c r="H468">
        <v>0</v>
      </c>
      <c r="I468">
        <f>IF(J468,TRUE,AND(M468))</f>
        <v>0</v>
      </c>
      <c r="J468">
        <f>COUNTBLANK(Metadata!B468)=COLUMNS(Metadata!B468)</f>
        <v>0</v>
      </c>
      <c r="K468">
        <v>0</v>
      </c>
      <c r="M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</row>
    <row r="469" spans="1:13">
      <c r="A469" s="3">
        <f>IF(B469=" "," ",HYPERLINK(CONCATENATE("#metadata!",ADDRESS(INDEX($H$2:$H$1001,MATCH(ROWS($F$2:F469),$F$2:$F$1001,0),0),2)),INDEX($K$2:$K$1001,MATCH(ROWS($F$2:F469),$F$2:$F$1001,0),0)))</f>
        <v>0</v>
      </c>
      <c r="B469" s="4">
        <f>IF(OR(INDEX($G$2:$G$1001,MATCH(ROWS($F$2:F469),$F$2:$F$1001,0),1)&gt;=100000,INDEX($M$1005,1,MATCH(COLUMNS($M$1006:M1006),$M$1006,0))&gt;=100000), " ",IF(INDEX($M$2:$M$1001,MATCH(ROWS($F$2:F469),$F$2:$F$1001,0),MATCH(COLUMNS($M$1006:M1006),$M$1006,0)), HYPERLINK("#",""), HYPERLINK(CONCATENATE("#Metadata!", ADDRESS(INDEX($H$2:$H$1001,MATCH(ROWS($F$2:F469),$F$2:$F$1001,0),0), INDEX($M$1004,1,MATCH(COLUMNS($M$1006:M1006),$M$1006,0)))),"Fix")))</f>
        <v>0</v>
      </c>
      <c r="F469">
        <v>0</v>
      </c>
      <c r="G469">
        <v>0</v>
      </c>
      <c r="H469">
        <v>0</v>
      </c>
      <c r="I469">
        <f>IF(J469,TRUE,AND(M469))</f>
        <v>0</v>
      </c>
      <c r="J469">
        <f>COUNTBLANK(Metadata!B469)=COLUMNS(Metadata!B469)</f>
        <v>0</v>
      </c>
      <c r="K469">
        <v>0</v>
      </c>
      <c r="M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</row>
    <row r="470" spans="1:13">
      <c r="A470" s="3">
        <f>IF(B470=" "," ",HYPERLINK(CONCATENATE("#metadata!",ADDRESS(INDEX($H$2:$H$1001,MATCH(ROWS($F$2:F470),$F$2:$F$1001,0),0),2)),INDEX($K$2:$K$1001,MATCH(ROWS($F$2:F470),$F$2:$F$1001,0),0)))</f>
        <v>0</v>
      </c>
      <c r="B470" s="4">
        <f>IF(OR(INDEX($G$2:$G$1001,MATCH(ROWS($F$2:F470),$F$2:$F$1001,0),1)&gt;=100000,INDEX($M$1005,1,MATCH(COLUMNS($M$1006:M1006),$M$1006,0))&gt;=100000), " ",IF(INDEX($M$2:$M$1001,MATCH(ROWS($F$2:F470),$F$2:$F$1001,0),MATCH(COLUMNS($M$1006:M1006),$M$1006,0)), HYPERLINK("#",""), HYPERLINK(CONCATENATE("#Metadata!", ADDRESS(INDEX($H$2:$H$1001,MATCH(ROWS($F$2:F470),$F$2:$F$1001,0),0), INDEX($M$1004,1,MATCH(COLUMNS($M$1006:M1006),$M$1006,0)))),"Fix")))</f>
        <v>0</v>
      </c>
      <c r="F470">
        <v>0</v>
      </c>
      <c r="G470">
        <v>0</v>
      </c>
      <c r="H470">
        <v>0</v>
      </c>
      <c r="I470">
        <f>IF(J470,TRUE,AND(M470))</f>
        <v>0</v>
      </c>
      <c r="J470">
        <f>COUNTBLANK(Metadata!B470)=COLUMNS(Metadata!B470)</f>
        <v>0</v>
      </c>
      <c r="K470">
        <v>0</v>
      </c>
      <c r="M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</row>
    <row r="471" spans="1:13">
      <c r="A471" s="3">
        <f>IF(B471=" "," ",HYPERLINK(CONCATENATE("#metadata!",ADDRESS(INDEX($H$2:$H$1001,MATCH(ROWS($F$2:F471),$F$2:$F$1001,0),0),2)),INDEX($K$2:$K$1001,MATCH(ROWS($F$2:F471),$F$2:$F$1001,0),0)))</f>
        <v>0</v>
      </c>
      <c r="B471" s="4">
        <f>IF(OR(INDEX($G$2:$G$1001,MATCH(ROWS($F$2:F471),$F$2:$F$1001,0),1)&gt;=100000,INDEX($M$1005,1,MATCH(COLUMNS($M$1006:M1006),$M$1006,0))&gt;=100000), " ",IF(INDEX($M$2:$M$1001,MATCH(ROWS($F$2:F471),$F$2:$F$1001,0),MATCH(COLUMNS($M$1006:M1006),$M$1006,0)), HYPERLINK("#",""), HYPERLINK(CONCATENATE("#Metadata!", ADDRESS(INDEX($H$2:$H$1001,MATCH(ROWS($F$2:F471),$F$2:$F$1001,0),0), INDEX($M$1004,1,MATCH(COLUMNS($M$1006:M1006),$M$1006,0)))),"Fix")))</f>
        <v>0</v>
      </c>
      <c r="F471">
        <v>0</v>
      </c>
      <c r="G471">
        <v>0</v>
      </c>
      <c r="H471">
        <v>0</v>
      </c>
      <c r="I471">
        <f>IF(J471,TRUE,AND(M471))</f>
        <v>0</v>
      </c>
      <c r="J471">
        <f>COUNTBLANK(Metadata!B471)=COLUMNS(Metadata!B471)</f>
        <v>0</v>
      </c>
      <c r="K471">
        <v>0</v>
      </c>
      <c r="M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</row>
    <row r="472" spans="1:13">
      <c r="A472" s="3">
        <f>IF(B472=" "," ",HYPERLINK(CONCATENATE("#metadata!",ADDRESS(INDEX($H$2:$H$1001,MATCH(ROWS($F$2:F472),$F$2:$F$1001,0),0),2)),INDEX($K$2:$K$1001,MATCH(ROWS($F$2:F472),$F$2:$F$1001,0),0)))</f>
        <v>0</v>
      </c>
      <c r="B472" s="4">
        <f>IF(OR(INDEX($G$2:$G$1001,MATCH(ROWS($F$2:F472),$F$2:$F$1001,0),1)&gt;=100000,INDEX($M$1005,1,MATCH(COLUMNS($M$1006:M1006),$M$1006,0))&gt;=100000), " ",IF(INDEX($M$2:$M$1001,MATCH(ROWS($F$2:F472),$F$2:$F$1001,0),MATCH(COLUMNS($M$1006:M1006),$M$1006,0)), HYPERLINK("#",""), HYPERLINK(CONCATENATE("#Metadata!", ADDRESS(INDEX($H$2:$H$1001,MATCH(ROWS($F$2:F472),$F$2:$F$1001,0),0), INDEX($M$1004,1,MATCH(COLUMNS($M$1006:M1006),$M$1006,0)))),"Fix")))</f>
        <v>0</v>
      </c>
      <c r="F472">
        <v>0</v>
      </c>
      <c r="G472">
        <v>0</v>
      </c>
      <c r="H472">
        <v>0</v>
      </c>
      <c r="I472">
        <f>IF(J472,TRUE,AND(M472))</f>
        <v>0</v>
      </c>
      <c r="J472">
        <f>COUNTBLANK(Metadata!B472)=COLUMNS(Metadata!B472)</f>
        <v>0</v>
      </c>
      <c r="K472">
        <v>0</v>
      </c>
      <c r="M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</row>
    <row r="473" spans="1:13">
      <c r="A473" s="3">
        <f>IF(B473=" "," ",HYPERLINK(CONCATENATE("#metadata!",ADDRESS(INDEX($H$2:$H$1001,MATCH(ROWS($F$2:F473),$F$2:$F$1001,0),0),2)),INDEX($K$2:$K$1001,MATCH(ROWS($F$2:F473),$F$2:$F$1001,0),0)))</f>
        <v>0</v>
      </c>
      <c r="B473" s="4">
        <f>IF(OR(INDEX($G$2:$G$1001,MATCH(ROWS($F$2:F473),$F$2:$F$1001,0),1)&gt;=100000,INDEX($M$1005,1,MATCH(COLUMNS($M$1006:M1006),$M$1006,0))&gt;=100000), " ",IF(INDEX($M$2:$M$1001,MATCH(ROWS($F$2:F473),$F$2:$F$1001,0),MATCH(COLUMNS($M$1006:M1006),$M$1006,0)), HYPERLINK("#",""), HYPERLINK(CONCATENATE("#Metadata!", ADDRESS(INDEX($H$2:$H$1001,MATCH(ROWS($F$2:F473),$F$2:$F$1001,0),0), INDEX($M$1004,1,MATCH(COLUMNS($M$1006:M1006),$M$1006,0)))),"Fix")))</f>
        <v>0</v>
      </c>
      <c r="F473">
        <v>0</v>
      </c>
      <c r="G473">
        <v>0</v>
      </c>
      <c r="H473">
        <v>0</v>
      </c>
      <c r="I473">
        <f>IF(J473,TRUE,AND(M473))</f>
        <v>0</v>
      </c>
      <c r="J473">
        <f>COUNTBLANK(Metadata!B473)=COLUMNS(Metadata!B473)</f>
        <v>0</v>
      </c>
      <c r="K473">
        <v>0</v>
      </c>
      <c r="M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</row>
    <row r="474" spans="1:13">
      <c r="A474" s="3">
        <f>IF(B474=" "," ",HYPERLINK(CONCATENATE("#metadata!",ADDRESS(INDEX($H$2:$H$1001,MATCH(ROWS($F$2:F474),$F$2:$F$1001,0),0),2)),INDEX($K$2:$K$1001,MATCH(ROWS($F$2:F474),$F$2:$F$1001,0),0)))</f>
        <v>0</v>
      </c>
      <c r="B474" s="4">
        <f>IF(OR(INDEX($G$2:$G$1001,MATCH(ROWS($F$2:F474),$F$2:$F$1001,0),1)&gt;=100000,INDEX($M$1005,1,MATCH(COLUMNS($M$1006:M1006),$M$1006,0))&gt;=100000), " ",IF(INDEX($M$2:$M$1001,MATCH(ROWS($F$2:F474),$F$2:$F$1001,0),MATCH(COLUMNS($M$1006:M1006),$M$1006,0)), HYPERLINK("#",""), HYPERLINK(CONCATENATE("#Metadata!", ADDRESS(INDEX($H$2:$H$1001,MATCH(ROWS($F$2:F474),$F$2:$F$1001,0),0), INDEX($M$1004,1,MATCH(COLUMNS($M$1006:M1006),$M$1006,0)))),"Fix")))</f>
        <v>0</v>
      </c>
      <c r="F474">
        <v>0</v>
      </c>
      <c r="G474">
        <v>0</v>
      </c>
      <c r="H474">
        <v>0</v>
      </c>
      <c r="I474">
        <f>IF(J474,TRUE,AND(M474))</f>
        <v>0</v>
      </c>
      <c r="J474">
        <f>COUNTBLANK(Metadata!B474)=COLUMNS(Metadata!B474)</f>
        <v>0</v>
      </c>
      <c r="K474">
        <v>0</v>
      </c>
      <c r="M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</row>
    <row r="475" spans="1:13">
      <c r="A475" s="3">
        <f>IF(B475=" "," ",HYPERLINK(CONCATENATE("#metadata!",ADDRESS(INDEX($H$2:$H$1001,MATCH(ROWS($F$2:F475),$F$2:$F$1001,0),0),2)),INDEX($K$2:$K$1001,MATCH(ROWS($F$2:F475),$F$2:$F$1001,0),0)))</f>
        <v>0</v>
      </c>
      <c r="B475" s="4">
        <f>IF(OR(INDEX($G$2:$G$1001,MATCH(ROWS($F$2:F475),$F$2:$F$1001,0),1)&gt;=100000,INDEX($M$1005,1,MATCH(COLUMNS($M$1006:M1006),$M$1006,0))&gt;=100000), " ",IF(INDEX($M$2:$M$1001,MATCH(ROWS($F$2:F475),$F$2:$F$1001,0),MATCH(COLUMNS($M$1006:M1006),$M$1006,0)), HYPERLINK("#",""), HYPERLINK(CONCATENATE("#Metadata!", ADDRESS(INDEX($H$2:$H$1001,MATCH(ROWS($F$2:F475),$F$2:$F$1001,0),0), INDEX($M$1004,1,MATCH(COLUMNS($M$1006:M1006),$M$1006,0)))),"Fix")))</f>
        <v>0</v>
      </c>
      <c r="F475">
        <v>0</v>
      </c>
      <c r="G475">
        <v>0</v>
      </c>
      <c r="H475">
        <v>0</v>
      </c>
      <c r="I475">
        <f>IF(J475,TRUE,AND(M475))</f>
        <v>0</v>
      </c>
      <c r="J475">
        <f>COUNTBLANK(Metadata!B475)=COLUMNS(Metadata!B475)</f>
        <v>0</v>
      </c>
      <c r="K475">
        <v>0</v>
      </c>
      <c r="M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</row>
    <row r="476" spans="1:13">
      <c r="A476" s="3">
        <f>IF(B476=" "," ",HYPERLINK(CONCATENATE("#metadata!",ADDRESS(INDEX($H$2:$H$1001,MATCH(ROWS($F$2:F476),$F$2:$F$1001,0),0),2)),INDEX($K$2:$K$1001,MATCH(ROWS($F$2:F476),$F$2:$F$1001,0),0)))</f>
        <v>0</v>
      </c>
      <c r="B476" s="4">
        <f>IF(OR(INDEX($G$2:$G$1001,MATCH(ROWS($F$2:F476),$F$2:$F$1001,0),1)&gt;=100000,INDEX($M$1005,1,MATCH(COLUMNS($M$1006:M1006),$M$1006,0))&gt;=100000), " ",IF(INDEX($M$2:$M$1001,MATCH(ROWS($F$2:F476),$F$2:$F$1001,0),MATCH(COLUMNS($M$1006:M1006),$M$1006,0)), HYPERLINK("#",""), HYPERLINK(CONCATENATE("#Metadata!", ADDRESS(INDEX($H$2:$H$1001,MATCH(ROWS($F$2:F476),$F$2:$F$1001,0),0), INDEX($M$1004,1,MATCH(COLUMNS($M$1006:M1006),$M$1006,0)))),"Fix")))</f>
        <v>0</v>
      </c>
      <c r="F476">
        <v>0</v>
      </c>
      <c r="G476">
        <v>0</v>
      </c>
      <c r="H476">
        <v>0</v>
      </c>
      <c r="I476">
        <f>IF(J476,TRUE,AND(M476))</f>
        <v>0</v>
      </c>
      <c r="J476">
        <f>COUNTBLANK(Metadata!B476)=COLUMNS(Metadata!B476)</f>
        <v>0</v>
      </c>
      <c r="K476">
        <v>0</v>
      </c>
      <c r="M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</row>
    <row r="477" spans="1:13">
      <c r="A477" s="3">
        <f>IF(B477=" "," ",HYPERLINK(CONCATENATE("#metadata!",ADDRESS(INDEX($H$2:$H$1001,MATCH(ROWS($F$2:F477),$F$2:$F$1001,0),0),2)),INDEX($K$2:$K$1001,MATCH(ROWS($F$2:F477),$F$2:$F$1001,0),0)))</f>
        <v>0</v>
      </c>
      <c r="B477" s="4">
        <f>IF(OR(INDEX($G$2:$G$1001,MATCH(ROWS($F$2:F477),$F$2:$F$1001,0),1)&gt;=100000,INDEX($M$1005,1,MATCH(COLUMNS($M$1006:M1006),$M$1006,0))&gt;=100000), " ",IF(INDEX($M$2:$M$1001,MATCH(ROWS($F$2:F477),$F$2:$F$1001,0),MATCH(COLUMNS($M$1006:M1006),$M$1006,0)), HYPERLINK("#",""), HYPERLINK(CONCATENATE("#Metadata!", ADDRESS(INDEX($H$2:$H$1001,MATCH(ROWS($F$2:F477),$F$2:$F$1001,0),0), INDEX($M$1004,1,MATCH(COLUMNS($M$1006:M1006),$M$1006,0)))),"Fix")))</f>
        <v>0</v>
      </c>
      <c r="F477">
        <v>0</v>
      </c>
      <c r="G477">
        <v>0</v>
      </c>
      <c r="H477">
        <v>0</v>
      </c>
      <c r="I477">
        <f>IF(J477,TRUE,AND(M477))</f>
        <v>0</v>
      </c>
      <c r="J477">
        <f>COUNTBLANK(Metadata!B477)=COLUMNS(Metadata!B477)</f>
        <v>0</v>
      </c>
      <c r="K477">
        <v>0</v>
      </c>
      <c r="M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</row>
    <row r="478" spans="1:13">
      <c r="A478" s="3">
        <f>IF(B478=" "," ",HYPERLINK(CONCATENATE("#metadata!",ADDRESS(INDEX($H$2:$H$1001,MATCH(ROWS($F$2:F478),$F$2:$F$1001,0),0),2)),INDEX($K$2:$K$1001,MATCH(ROWS($F$2:F478),$F$2:$F$1001,0),0)))</f>
        <v>0</v>
      </c>
      <c r="B478" s="4">
        <f>IF(OR(INDEX($G$2:$G$1001,MATCH(ROWS($F$2:F478),$F$2:$F$1001,0),1)&gt;=100000,INDEX($M$1005,1,MATCH(COLUMNS($M$1006:M1006),$M$1006,0))&gt;=100000), " ",IF(INDEX($M$2:$M$1001,MATCH(ROWS($F$2:F478),$F$2:$F$1001,0),MATCH(COLUMNS($M$1006:M1006),$M$1006,0)), HYPERLINK("#",""), HYPERLINK(CONCATENATE("#Metadata!", ADDRESS(INDEX($H$2:$H$1001,MATCH(ROWS($F$2:F478),$F$2:$F$1001,0),0), INDEX($M$1004,1,MATCH(COLUMNS($M$1006:M1006),$M$1006,0)))),"Fix")))</f>
        <v>0</v>
      </c>
      <c r="F478">
        <v>0</v>
      </c>
      <c r="G478">
        <v>0</v>
      </c>
      <c r="H478">
        <v>0</v>
      </c>
      <c r="I478">
        <f>IF(J478,TRUE,AND(M478))</f>
        <v>0</v>
      </c>
      <c r="J478">
        <f>COUNTBLANK(Metadata!B478)=COLUMNS(Metadata!B478)</f>
        <v>0</v>
      </c>
      <c r="K478">
        <v>0</v>
      </c>
      <c r="M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</row>
    <row r="479" spans="1:13">
      <c r="A479" s="3">
        <f>IF(B479=" "," ",HYPERLINK(CONCATENATE("#metadata!",ADDRESS(INDEX($H$2:$H$1001,MATCH(ROWS($F$2:F479),$F$2:$F$1001,0),0),2)),INDEX($K$2:$K$1001,MATCH(ROWS($F$2:F479),$F$2:$F$1001,0),0)))</f>
        <v>0</v>
      </c>
      <c r="B479" s="4">
        <f>IF(OR(INDEX($G$2:$G$1001,MATCH(ROWS($F$2:F479),$F$2:$F$1001,0),1)&gt;=100000,INDEX($M$1005,1,MATCH(COLUMNS($M$1006:M1006),$M$1006,0))&gt;=100000), " ",IF(INDEX($M$2:$M$1001,MATCH(ROWS($F$2:F479),$F$2:$F$1001,0),MATCH(COLUMNS($M$1006:M1006),$M$1006,0)), HYPERLINK("#",""), HYPERLINK(CONCATENATE("#Metadata!", ADDRESS(INDEX($H$2:$H$1001,MATCH(ROWS($F$2:F479),$F$2:$F$1001,0),0), INDEX($M$1004,1,MATCH(COLUMNS($M$1006:M1006),$M$1006,0)))),"Fix")))</f>
        <v>0</v>
      </c>
      <c r="F479">
        <v>0</v>
      </c>
      <c r="G479">
        <v>0</v>
      </c>
      <c r="H479">
        <v>0</v>
      </c>
      <c r="I479">
        <f>IF(J479,TRUE,AND(M479))</f>
        <v>0</v>
      </c>
      <c r="J479">
        <f>COUNTBLANK(Metadata!B479)=COLUMNS(Metadata!B479)</f>
        <v>0</v>
      </c>
      <c r="K479">
        <v>0</v>
      </c>
      <c r="M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</row>
    <row r="480" spans="1:13">
      <c r="A480" s="3">
        <f>IF(B480=" "," ",HYPERLINK(CONCATENATE("#metadata!",ADDRESS(INDEX($H$2:$H$1001,MATCH(ROWS($F$2:F480),$F$2:$F$1001,0),0),2)),INDEX($K$2:$K$1001,MATCH(ROWS($F$2:F480),$F$2:$F$1001,0),0)))</f>
        <v>0</v>
      </c>
      <c r="B480" s="4">
        <f>IF(OR(INDEX($G$2:$G$1001,MATCH(ROWS($F$2:F480),$F$2:$F$1001,0),1)&gt;=100000,INDEX($M$1005,1,MATCH(COLUMNS($M$1006:M1006),$M$1006,0))&gt;=100000), " ",IF(INDEX($M$2:$M$1001,MATCH(ROWS($F$2:F480),$F$2:$F$1001,0),MATCH(COLUMNS($M$1006:M1006),$M$1006,0)), HYPERLINK("#",""), HYPERLINK(CONCATENATE("#Metadata!", ADDRESS(INDEX($H$2:$H$1001,MATCH(ROWS($F$2:F480),$F$2:$F$1001,0),0), INDEX($M$1004,1,MATCH(COLUMNS($M$1006:M1006),$M$1006,0)))),"Fix")))</f>
        <v>0</v>
      </c>
      <c r="F480">
        <v>0</v>
      </c>
      <c r="G480">
        <v>0</v>
      </c>
      <c r="H480">
        <v>0</v>
      </c>
      <c r="I480">
        <f>IF(J480,TRUE,AND(M480))</f>
        <v>0</v>
      </c>
      <c r="J480">
        <f>COUNTBLANK(Metadata!B480)=COLUMNS(Metadata!B480)</f>
        <v>0</v>
      </c>
      <c r="K480">
        <v>0</v>
      </c>
      <c r="M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</row>
    <row r="481" spans="1:13">
      <c r="A481" s="3">
        <f>IF(B481=" "," ",HYPERLINK(CONCATENATE("#metadata!",ADDRESS(INDEX($H$2:$H$1001,MATCH(ROWS($F$2:F481),$F$2:$F$1001,0),0),2)),INDEX($K$2:$K$1001,MATCH(ROWS($F$2:F481),$F$2:$F$1001,0),0)))</f>
        <v>0</v>
      </c>
      <c r="B481" s="4">
        <f>IF(OR(INDEX($G$2:$G$1001,MATCH(ROWS($F$2:F481),$F$2:$F$1001,0),1)&gt;=100000,INDEX($M$1005,1,MATCH(COLUMNS($M$1006:M1006),$M$1006,0))&gt;=100000), " ",IF(INDEX($M$2:$M$1001,MATCH(ROWS($F$2:F481),$F$2:$F$1001,0),MATCH(COLUMNS($M$1006:M1006),$M$1006,0)), HYPERLINK("#",""), HYPERLINK(CONCATENATE("#Metadata!", ADDRESS(INDEX($H$2:$H$1001,MATCH(ROWS($F$2:F481),$F$2:$F$1001,0),0), INDEX($M$1004,1,MATCH(COLUMNS($M$1006:M1006),$M$1006,0)))),"Fix")))</f>
        <v>0</v>
      </c>
      <c r="F481">
        <v>0</v>
      </c>
      <c r="G481">
        <v>0</v>
      </c>
      <c r="H481">
        <v>0</v>
      </c>
      <c r="I481">
        <f>IF(J481,TRUE,AND(M481))</f>
        <v>0</v>
      </c>
      <c r="J481">
        <f>COUNTBLANK(Metadata!B481)=COLUMNS(Metadata!B481)</f>
        <v>0</v>
      </c>
      <c r="K481">
        <v>0</v>
      </c>
      <c r="M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</row>
    <row r="482" spans="1:13">
      <c r="A482" s="3">
        <f>IF(B482=" "," ",HYPERLINK(CONCATENATE("#metadata!",ADDRESS(INDEX($H$2:$H$1001,MATCH(ROWS($F$2:F482),$F$2:$F$1001,0),0),2)),INDEX($K$2:$K$1001,MATCH(ROWS($F$2:F482),$F$2:$F$1001,0),0)))</f>
        <v>0</v>
      </c>
      <c r="B482" s="4">
        <f>IF(OR(INDEX($G$2:$G$1001,MATCH(ROWS($F$2:F482),$F$2:$F$1001,0),1)&gt;=100000,INDEX($M$1005,1,MATCH(COLUMNS($M$1006:M1006),$M$1006,0))&gt;=100000), " ",IF(INDEX($M$2:$M$1001,MATCH(ROWS($F$2:F482),$F$2:$F$1001,0),MATCH(COLUMNS($M$1006:M1006),$M$1006,0)), HYPERLINK("#",""), HYPERLINK(CONCATENATE("#Metadata!", ADDRESS(INDEX($H$2:$H$1001,MATCH(ROWS($F$2:F482),$F$2:$F$1001,0),0), INDEX($M$1004,1,MATCH(COLUMNS($M$1006:M1006),$M$1006,0)))),"Fix")))</f>
        <v>0</v>
      </c>
      <c r="F482">
        <v>0</v>
      </c>
      <c r="G482">
        <v>0</v>
      </c>
      <c r="H482">
        <v>0</v>
      </c>
      <c r="I482">
        <f>IF(J482,TRUE,AND(M482))</f>
        <v>0</v>
      </c>
      <c r="J482">
        <f>COUNTBLANK(Metadata!B482)=COLUMNS(Metadata!B482)</f>
        <v>0</v>
      </c>
      <c r="K482">
        <v>0</v>
      </c>
      <c r="M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</row>
    <row r="483" spans="1:13">
      <c r="A483" s="3">
        <f>IF(B483=" "," ",HYPERLINK(CONCATENATE("#metadata!",ADDRESS(INDEX($H$2:$H$1001,MATCH(ROWS($F$2:F483),$F$2:$F$1001,0),0),2)),INDEX($K$2:$K$1001,MATCH(ROWS($F$2:F483),$F$2:$F$1001,0),0)))</f>
        <v>0</v>
      </c>
      <c r="B483" s="4">
        <f>IF(OR(INDEX($G$2:$G$1001,MATCH(ROWS($F$2:F483),$F$2:$F$1001,0),1)&gt;=100000,INDEX($M$1005,1,MATCH(COLUMNS($M$1006:M1006),$M$1006,0))&gt;=100000), " ",IF(INDEX($M$2:$M$1001,MATCH(ROWS($F$2:F483),$F$2:$F$1001,0),MATCH(COLUMNS($M$1006:M1006),$M$1006,0)), HYPERLINK("#",""), HYPERLINK(CONCATENATE("#Metadata!", ADDRESS(INDEX($H$2:$H$1001,MATCH(ROWS($F$2:F483),$F$2:$F$1001,0),0), INDEX($M$1004,1,MATCH(COLUMNS($M$1006:M1006),$M$1006,0)))),"Fix")))</f>
        <v>0</v>
      </c>
      <c r="F483">
        <v>0</v>
      </c>
      <c r="G483">
        <v>0</v>
      </c>
      <c r="H483">
        <v>0</v>
      </c>
      <c r="I483">
        <f>IF(J483,TRUE,AND(M483))</f>
        <v>0</v>
      </c>
      <c r="J483">
        <f>COUNTBLANK(Metadata!B483)=COLUMNS(Metadata!B483)</f>
        <v>0</v>
      </c>
      <c r="K483">
        <v>0</v>
      </c>
      <c r="M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</row>
    <row r="484" spans="1:13">
      <c r="A484" s="3">
        <f>IF(B484=" "," ",HYPERLINK(CONCATENATE("#metadata!",ADDRESS(INDEX($H$2:$H$1001,MATCH(ROWS($F$2:F484),$F$2:$F$1001,0),0),2)),INDEX($K$2:$K$1001,MATCH(ROWS($F$2:F484),$F$2:$F$1001,0),0)))</f>
        <v>0</v>
      </c>
      <c r="B484" s="4">
        <f>IF(OR(INDEX($G$2:$G$1001,MATCH(ROWS($F$2:F484),$F$2:$F$1001,0),1)&gt;=100000,INDEX($M$1005,1,MATCH(COLUMNS($M$1006:M1006),$M$1006,0))&gt;=100000), " ",IF(INDEX($M$2:$M$1001,MATCH(ROWS($F$2:F484),$F$2:$F$1001,0),MATCH(COLUMNS($M$1006:M1006),$M$1006,0)), HYPERLINK("#",""), HYPERLINK(CONCATENATE("#Metadata!", ADDRESS(INDEX($H$2:$H$1001,MATCH(ROWS($F$2:F484),$F$2:$F$1001,0),0), INDEX($M$1004,1,MATCH(COLUMNS($M$1006:M1006),$M$1006,0)))),"Fix")))</f>
        <v>0</v>
      </c>
      <c r="F484">
        <v>0</v>
      </c>
      <c r="G484">
        <v>0</v>
      </c>
      <c r="H484">
        <v>0</v>
      </c>
      <c r="I484">
        <f>IF(J484,TRUE,AND(M484))</f>
        <v>0</v>
      </c>
      <c r="J484">
        <f>COUNTBLANK(Metadata!B484)=COLUMNS(Metadata!B484)</f>
        <v>0</v>
      </c>
      <c r="K484">
        <v>0</v>
      </c>
      <c r="M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</row>
    <row r="485" spans="1:13">
      <c r="A485" s="3">
        <f>IF(B485=" "," ",HYPERLINK(CONCATENATE("#metadata!",ADDRESS(INDEX($H$2:$H$1001,MATCH(ROWS($F$2:F485),$F$2:$F$1001,0),0),2)),INDEX($K$2:$K$1001,MATCH(ROWS($F$2:F485),$F$2:$F$1001,0),0)))</f>
        <v>0</v>
      </c>
      <c r="B485" s="4">
        <f>IF(OR(INDEX($G$2:$G$1001,MATCH(ROWS($F$2:F485),$F$2:$F$1001,0),1)&gt;=100000,INDEX($M$1005,1,MATCH(COLUMNS($M$1006:M1006),$M$1006,0))&gt;=100000), " ",IF(INDEX($M$2:$M$1001,MATCH(ROWS($F$2:F485),$F$2:$F$1001,0),MATCH(COLUMNS($M$1006:M1006),$M$1006,0)), HYPERLINK("#",""), HYPERLINK(CONCATENATE("#Metadata!", ADDRESS(INDEX($H$2:$H$1001,MATCH(ROWS($F$2:F485),$F$2:$F$1001,0),0), INDEX($M$1004,1,MATCH(COLUMNS($M$1006:M1006),$M$1006,0)))),"Fix")))</f>
        <v>0</v>
      </c>
      <c r="F485">
        <v>0</v>
      </c>
      <c r="G485">
        <v>0</v>
      </c>
      <c r="H485">
        <v>0</v>
      </c>
      <c r="I485">
        <f>IF(J485,TRUE,AND(M485))</f>
        <v>0</v>
      </c>
      <c r="J485">
        <f>COUNTBLANK(Metadata!B485)=COLUMNS(Metadata!B485)</f>
        <v>0</v>
      </c>
      <c r="K485">
        <v>0</v>
      </c>
      <c r="M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</row>
    <row r="486" spans="1:13">
      <c r="A486" s="3">
        <f>IF(B486=" "," ",HYPERLINK(CONCATENATE("#metadata!",ADDRESS(INDEX($H$2:$H$1001,MATCH(ROWS($F$2:F486),$F$2:$F$1001,0),0),2)),INDEX($K$2:$K$1001,MATCH(ROWS($F$2:F486),$F$2:$F$1001,0),0)))</f>
        <v>0</v>
      </c>
      <c r="B486" s="4">
        <f>IF(OR(INDEX($G$2:$G$1001,MATCH(ROWS($F$2:F486),$F$2:$F$1001,0),1)&gt;=100000,INDEX($M$1005,1,MATCH(COLUMNS($M$1006:M1006),$M$1006,0))&gt;=100000), " ",IF(INDEX($M$2:$M$1001,MATCH(ROWS($F$2:F486),$F$2:$F$1001,0),MATCH(COLUMNS($M$1006:M1006),$M$1006,0)), HYPERLINK("#",""), HYPERLINK(CONCATENATE("#Metadata!", ADDRESS(INDEX($H$2:$H$1001,MATCH(ROWS($F$2:F486),$F$2:$F$1001,0),0), INDEX($M$1004,1,MATCH(COLUMNS($M$1006:M1006),$M$1006,0)))),"Fix")))</f>
        <v>0</v>
      </c>
      <c r="F486">
        <v>0</v>
      </c>
      <c r="G486">
        <v>0</v>
      </c>
      <c r="H486">
        <v>0</v>
      </c>
      <c r="I486">
        <f>IF(J486,TRUE,AND(M486))</f>
        <v>0</v>
      </c>
      <c r="J486">
        <f>COUNTBLANK(Metadata!B486)=COLUMNS(Metadata!B486)</f>
        <v>0</v>
      </c>
      <c r="K486">
        <v>0</v>
      </c>
      <c r="M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</row>
    <row r="487" spans="1:13">
      <c r="A487" s="3">
        <f>IF(B487=" "," ",HYPERLINK(CONCATENATE("#metadata!",ADDRESS(INDEX($H$2:$H$1001,MATCH(ROWS($F$2:F487),$F$2:$F$1001,0),0),2)),INDEX($K$2:$K$1001,MATCH(ROWS($F$2:F487),$F$2:$F$1001,0),0)))</f>
        <v>0</v>
      </c>
      <c r="B487" s="4">
        <f>IF(OR(INDEX($G$2:$G$1001,MATCH(ROWS($F$2:F487),$F$2:$F$1001,0),1)&gt;=100000,INDEX($M$1005,1,MATCH(COLUMNS($M$1006:M1006),$M$1006,0))&gt;=100000), " ",IF(INDEX($M$2:$M$1001,MATCH(ROWS($F$2:F487),$F$2:$F$1001,0),MATCH(COLUMNS($M$1006:M1006),$M$1006,0)), HYPERLINK("#",""), HYPERLINK(CONCATENATE("#Metadata!", ADDRESS(INDEX($H$2:$H$1001,MATCH(ROWS($F$2:F487),$F$2:$F$1001,0),0), INDEX($M$1004,1,MATCH(COLUMNS($M$1006:M1006),$M$1006,0)))),"Fix")))</f>
        <v>0</v>
      </c>
      <c r="F487">
        <v>0</v>
      </c>
      <c r="G487">
        <v>0</v>
      </c>
      <c r="H487">
        <v>0</v>
      </c>
      <c r="I487">
        <f>IF(J487,TRUE,AND(M487))</f>
        <v>0</v>
      </c>
      <c r="J487">
        <f>COUNTBLANK(Metadata!B487)=COLUMNS(Metadata!B487)</f>
        <v>0</v>
      </c>
      <c r="K487">
        <v>0</v>
      </c>
      <c r="M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</row>
    <row r="488" spans="1:13">
      <c r="A488" s="3">
        <f>IF(B488=" "," ",HYPERLINK(CONCATENATE("#metadata!",ADDRESS(INDEX($H$2:$H$1001,MATCH(ROWS($F$2:F488),$F$2:$F$1001,0),0),2)),INDEX($K$2:$K$1001,MATCH(ROWS($F$2:F488),$F$2:$F$1001,0),0)))</f>
        <v>0</v>
      </c>
      <c r="B488" s="4">
        <f>IF(OR(INDEX($G$2:$G$1001,MATCH(ROWS($F$2:F488),$F$2:$F$1001,0),1)&gt;=100000,INDEX($M$1005,1,MATCH(COLUMNS($M$1006:M1006),$M$1006,0))&gt;=100000), " ",IF(INDEX($M$2:$M$1001,MATCH(ROWS($F$2:F488),$F$2:$F$1001,0),MATCH(COLUMNS($M$1006:M1006),$M$1006,0)), HYPERLINK("#",""), HYPERLINK(CONCATENATE("#Metadata!", ADDRESS(INDEX($H$2:$H$1001,MATCH(ROWS($F$2:F488),$F$2:$F$1001,0),0), INDEX($M$1004,1,MATCH(COLUMNS($M$1006:M1006),$M$1006,0)))),"Fix")))</f>
        <v>0</v>
      </c>
      <c r="F488">
        <v>0</v>
      </c>
      <c r="G488">
        <v>0</v>
      </c>
      <c r="H488">
        <v>0</v>
      </c>
      <c r="I488">
        <f>IF(J488,TRUE,AND(M488))</f>
        <v>0</v>
      </c>
      <c r="J488">
        <f>COUNTBLANK(Metadata!B488)=COLUMNS(Metadata!B488)</f>
        <v>0</v>
      </c>
      <c r="K488">
        <v>0</v>
      </c>
      <c r="M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</row>
    <row r="489" spans="1:13">
      <c r="A489" s="3">
        <f>IF(B489=" "," ",HYPERLINK(CONCATENATE("#metadata!",ADDRESS(INDEX($H$2:$H$1001,MATCH(ROWS($F$2:F489),$F$2:$F$1001,0),0),2)),INDEX($K$2:$K$1001,MATCH(ROWS($F$2:F489),$F$2:$F$1001,0),0)))</f>
        <v>0</v>
      </c>
      <c r="B489" s="4">
        <f>IF(OR(INDEX($G$2:$G$1001,MATCH(ROWS($F$2:F489),$F$2:$F$1001,0),1)&gt;=100000,INDEX($M$1005,1,MATCH(COLUMNS($M$1006:M1006),$M$1006,0))&gt;=100000), " ",IF(INDEX($M$2:$M$1001,MATCH(ROWS($F$2:F489),$F$2:$F$1001,0),MATCH(COLUMNS($M$1006:M1006),$M$1006,0)), HYPERLINK("#",""), HYPERLINK(CONCATENATE("#Metadata!", ADDRESS(INDEX($H$2:$H$1001,MATCH(ROWS($F$2:F489),$F$2:$F$1001,0),0), INDEX($M$1004,1,MATCH(COLUMNS($M$1006:M1006),$M$1006,0)))),"Fix")))</f>
        <v>0</v>
      </c>
      <c r="F489">
        <v>0</v>
      </c>
      <c r="G489">
        <v>0</v>
      </c>
      <c r="H489">
        <v>0</v>
      </c>
      <c r="I489">
        <f>IF(J489,TRUE,AND(M489))</f>
        <v>0</v>
      </c>
      <c r="J489">
        <f>COUNTBLANK(Metadata!B489)=COLUMNS(Metadata!B489)</f>
        <v>0</v>
      </c>
      <c r="K489">
        <v>0</v>
      </c>
      <c r="M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</row>
    <row r="490" spans="1:13">
      <c r="A490" s="3">
        <f>IF(B490=" "," ",HYPERLINK(CONCATENATE("#metadata!",ADDRESS(INDEX($H$2:$H$1001,MATCH(ROWS($F$2:F490),$F$2:$F$1001,0),0),2)),INDEX($K$2:$K$1001,MATCH(ROWS($F$2:F490),$F$2:$F$1001,0),0)))</f>
        <v>0</v>
      </c>
      <c r="B490" s="4">
        <f>IF(OR(INDEX($G$2:$G$1001,MATCH(ROWS($F$2:F490),$F$2:$F$1001,0),1)&gt;=100000,INDEX($M$1005,1,MATCH(COLUMNS($M$1006:M1006),$M$1006,0))&gt;=100000), " ",IF(INDEX($M$2:$M$1001,MATCH(ROWS($F$2:F490),$F$2:$F$1001,0),MATCH(COLUMNS($M$1006:M1006),$M$1006,0)), HYPERLINK("#",""), HYPERLINK(CONCATENATE("#Metadata!", ADDRESS(INDEX($H$2:$H$1001,MATCH(ROWS($F$2:F490),$F$2:$F$1001,0),0), INDEX($M$1004,1,MATCH(COLUMNS($M$1006:M1006),$M$1006,0)))),"Fix")))</f>
        <v>0</v>
      </c>
      <c r="F490">
        <v>0</v>
      </c>
      <c r="G490">
        <v>0</v>
      </c>
      <c r="H490">
        <v>0</v>
      </c>
      <c r="I490">
        <f>IF(J490,TRUE,AND(M490))</f>
        <v>0</v>
      </c>
      <c r="J490">
        <f>COUNTBLANK(Metadata!B490)=COLUMNS(Metadata!B490)</f>
        <v>0</v>
      </c>
      <c r="K490">
        <v>0</v>
      </c>
      <c r="M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</row>
    <row r="491" spans="1:13">
      <c r="A491" s="3">
        <f>IF(B491=" "," ",HYPERLINK(CONCATENATE("#metadata!",ADDRESS(INDEX($H$2:$H$1001,MATCH(ROWS($F$2:F491),$F$2:$F$1001,0),0),2)),INDEX($K$2:$K$1001,MATCH(ROWS($F$2:F491),$F$2:$F$1001,0),0)))</f>
        <v>0</v>
      </c>
      <c r="B491" s="4">
        <f>IF(OR(INDEX($G$2:$G$1001,MATCH(ROWS($F$2:F491),$F$2:$F$1001,0),1)&gt;=100000,INDEX($M$1005,1,MATCH(COLUMNS($M$1006:M1006),$M$1006,0))&gt;=100000), " ",IF(INDEX($M$2:$M$1001,MATCH(ROWS($F$2:F491),$F$2:$F$1001,0),MATCH(COLUMNS($M$1006:M1006),$M$1006,0)), HYPERLINK("#",""), HYPERLINK(CONCATENATE("#Metadata!", ADDRESS(INDEX($H$2:$H$1001,MATCH(ROWS($F$2:F491),$F$2:$F$1001,0),0), INDEX($M$1004,1,MATCH(COLUMNS($M$1006:M1006),$M$1006,0)))),"Fix")))</f>
        <v>0</v>
      </c>
      <c r="F491">
        <v>0</v>
      </c>
      <c r="G491">
        <v>0</v>
      </c>
      <c r="H491">
        <v>0</v>
      </c>
      <c r="I491">
        <f>IF(J491,TRUE,AND(M491))</f>
        <v>0</v>
      </c>
      <c r="J491">
        <f>COUNTBLANK(Metadata!B491)=COLUMNS(Metadata!B491)</f>
        <v>0</v>
      </c>
      <c r="K491">
        <v>0</v>
      </c>
      <c r="M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</row>
    <row r="492" spans="1:13">
      <c r="A492" s="3">
        <f>IF(B492=" "," ",HYPERLINK(CONCATENATE("#metadata!",ADDRESS(INDEX($H$2:$H$1001,MATCH(ROWS($F$2:F492),$F$2:$F$1001,0),0),2)),INDEX($K$2:$K$1001,MATCH(ROWS($F$2:F492),$F$2:$F$1001,0),0)))</f>
        <v>0</v>
      </c>
      <c r="B492" s="4">
        <f>IF(OR(INDEX($G$2:$G$1001,MATCH(ROWS($F$2:F492),$F$2:$F$1001,0),1)&gt;=100000,INDEX($M$1005,1,MATCH(COLUMNS($M$1006:M1006),$M$1006,0))&gt;=100000), " ",IF(INDEX($M$2:$M$1001,MATCH(ROWS($F$2:F492),$F$2:$F$1001,0),MATCH(COLUMNS($M$1006:M1006),$M$1006,0)), HYPERLINK("#",""), HYPERLINK(CONCATENATE("#Metadata!", ADDRESS(INDEX($H$2:$H$1001,MATCH(ROWS($F$2:F492),$F$2:$F$1001,0),0), INDEX($M$1004,1,MATCH(COLUMNS($M$1006:M1006),$M$1006,0)))),"Fix")))</f>
        <v>0</v>
      </c>
      <c r="F492">
        <v>0</v>
      </c>
      <c r="G492">
        <v>0</v>
      </c>
      <c r="H492">
        <v>0</v>
      </c>
      <c r="I492">
        <f>IF(J492,TRUE,AND(M492))</f>
        <v>0</v>
      </c>
      <c r="J492">
        <f>COUNTBLANK(Metadata!B492)=COLUMNS(Metadata!B492)</f>
        <v>0</v>
      </c>
      <c r="K492">
        <v>0</v>
      </c>
      <c r="M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</row>
    <row r="493" spans="1:13">
      <c r="A493" s="3">
        <f>IF(B493=" "," ",HYPERLINK(CONCATENATE("#metadata!",ADDRESS(INDEX($H$2:$H$1001,MATCH(ROWS($F$2:F493),$F$2:$F$1001,0),0),2)),INDEX($K$2:$K$1001,MATCH(ROWS($F$2:F493),$F$2:$F$1001,0),0)))</f>
        <v>0</v>
      </c>
      <c r="B493" s="4">
        <f>IF(OR(INDEX($G$2:$G$1001,MATCH(ROWS($F$2:F493),$F$2:$F$1001,0),1)&gt;=100000,INDEX($M$1005,1,MATCH(COLUMNS($M$1006:M1006),$M$1006,0))&gt;=100000), " ",IF(INDEX($M$2:$M$1001,MATCH(ROWS($F$2:F493),$F$2:$F$1001,0),MATCH(COLUMNS($M$1006:M1006),$M$1006,0)), HYPERLINK("#",""), HYPERLINK(CONCATENATE("#Metadata!", ADDRESS(INDEX($H$2:$H$1001,MATCH(ROWS($F$2:F493),$F$2:$F$1001,0),0), INDEX($M$1004,1,MATCH(COLUMNS($M$1006:M1006),$M$1006,0)))),"Fix")))</f>
        <v>0</v>
      </c>
      <c r="F493">
        <v>0</v>
      </c>
      <c r="G493">
        <v>0</v>
      </c>
      <c r="H493">
        <v>0</v>
      </c>
      <c r="I493">
        <f>IF(J493,TRUE,AND(M493))</f>
        <v>0</v>
      </c>
      <c r="J493">
        <f>COUNTBLANK(Metadata!B493)=COLUMNS(Metadata!B493)</f>
        <v>0</v>
      </c>
      <c r="K493">
        <v>0</v>
      </c>
      <c r="M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</row>
    <row r="494" spans="1:13">
      <c r="A494" s="3">
        <f>IF(B494=" "," ",HYPERLINK(CONCATENATE("#metadata!",ADDRESS(INDEX($H$2:$H$1001,MATCH(ROWS($F$2:F494),$F$2:$F$1001,0),0),2)),INDEX($K$2:$K$1001,MATCH(ROWS($F$2:F494),$F$2:$F$1001,0),0)))</f>
        <v>0</v>
      </c>
      <c r="B494" s="4">
        <f>IF(OR(INDEX($G$2:$G$1001,MATCH(ROWS($F$2:F494),$F$2:$F$1001,0),1)&gt;=100000,INDEX($M$1005,1,MATCH(COLUMNS($M$1006:M1006),$M$1006,0))&gt;=100000), " ",IF(INDEX($M$2:$M$1001,MATCH(ROWS($F$2:F494),$F$2:$F$1001,0),MATCH(COLUMNS($M$1006:M1006),$M$1006,0)), HYPERLINK("#",""), HYPERLINK(CONCATENATE("#Metadata!", ADDRESS(INDEX($H$2:$H$1001,MATCH(ROWS($F$2:F494),$F$2:$F$1001,0),0), INDEX($M$1004,1,MATCH(COLUMNS($M$1006:M1006),$M$1006,0)))),"Fix")))</f>
        <v>0</v>
      </c>
      <c r="F494">
        <v>0</v>
      </c>
      <c r="G494">
        <v>0</v>
      </c>
      <c r="H494">
        <v>0</v>
      </c>
      <c r="I494">
        <f>IF(J494,TRUE,AND(M494))</f>
        <v>0</v>
      </c>
      <c r="J494">
        <f>COUNTBLANK(Metadata!B494)=COLUMNS(Metadata!B494)</f>
        <v>0</v>
      </c>
      <c r="K494">
        <v>0</v>
      </c>
      <c r="M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</row>
    <row r="495" spans="1:13">
      <c r="A495" s="3">
        <f>IF(B495=" "," ",HYPERLINK(CONCATENATE("#metadata!",ADDRESS(INDEX($H$2:$H$1001,MATCH(ROWS($F$2:F495),$F$2:$F$1001,0),0),2)),INDEX($K$2:$K$1001,MATCH(ROWS($F$2:F495),$F$2:$F$1001,0),0)))</f>
        <v>0</v>
      </c>
      <c r="B495" s="4">
        <f>IF(OR(INDEX($G$2:$G$1001,MATCH(ROWS($F$2:F495),$F$2:$F$1001,0),1)&gt;=100000,INDEX($M$1005,1,MATCH(COLUMNS($M$1006:M1006),$M$1006,0))&gt;=100000), " ",IF(INDEX($M$2:$M$1001,MATCH(ROWS($F$2:F495),$F$2:$F$1001,0),MATCH(COLUMNS($M$1006:M1006),$M$1006,0)), HYPERLINK("#",""), HYPERLINK(CONCATENATE("#Metadata!", ADDRESS(INDEX($H$2:$H$1001,MATCH(ROWS($F$2:F495),$F$2:$F$1001,0),0), INDEX($M$1004,1,MATCH(COLUMNS($M$1006:M1006),$M$1006,0)))),"Fix")))</f>
        <v>0</v>
      </c>
      <c r="F495">
        <v>0</v>
      </c>
      <c r="G495">
        <v>0</v>
      </c>
      <c r="H495">
        <v>0</v>
      </c>
      <c r="I495">
        <f>IF(J495,TRUE,AND(M495))</f>
        <v>0</v>
      </c>
      <c r="J495">
        <f>COUNTBLANK(Metadata!B495)=COLUMNS(Metadata!B495)</f>
        <v>0</v>
      </c>
      <c r="K495">
        <v>0</v>
      </c>
      <c r="M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</row>
    <row r="496" spans="1:13">
      <c r="A496" s="3">
        <f>IF(B496=" "," ",HYPERLINK(CONCATENATE("#metadata!",ADDRESS(INDEX($H$2:$H$1001,MATCH(ROWS($F$2:F496),$F$2:$F$1001,0),0),2)),INDEX($K$2:$K$1001,MATCH(ROWS($F$2:F496),$F$2:$F$1001,0),0)))</f>
        <v>0</v>
      </c>
      <c r="B496" s="4">
        <f>IF(OR(INDEX($G$2:$G$1001,MATCH(ROWS($F$2:F496),$F$2:$F$1001,0),1)&gt;=100000,INDEX($M$1005,1,MATCH(COLUMNS($M$1006:M1006),$M$1006,0))&gt;=100000), " ",IF(INDEX($M$2:$M$1001,MATCH(ROWS($F$2:F496),$F$2:$F$1001,0),MATCH(COLUMNS($M$1006:M1006),$M$1006,0)), HYPERLINK("#",""), HYPERLINK(CONCATENATE("#Metadata!", ADDRESS(INDEX($H$2:$H$1001,MATCH(ROWS($F$2:F496),$F$2:$F$1001,0),0), INDEX($M$1004,1,MATCH(COLUMNS($M$1006:M1006),$M$1006,0)))),"Fix")))</f>
        <v>0</v>
      </c>
      <c r="F496">
        <v>0</v>
      </c>
      <c r="G496">
        <v>0</v>
      </c>
      <c r="H496">
        <v>0</v>
      </c>
      <c r="I496">
        <f>IF(J496,TRUE,AND(M496))</f>
        <v>0</v>
      </c>
      <c r="J496">
        <f>COUNTBLANK(Metadata!B496)=COLUMNS(Metadata!B496)</f>
        <v>0</v>
      </c>
      <c r="K496">
        <v>0</v>
      </c>
      <c r="M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</row>
    <row r="497" spans="1:13">
      <c r="A497" s="3">
        <f>IF(B497=" "," ",HYPERLINK(CONCATENATE("#metadata!",ADDRESS(INDEX($H$2:$H$1001,MATCH(ROWS($F$2:F497),$F$2:$F$1001,0),0),2)),INDEX($K$2:$K$1001,MATCH(ROWS($F$2:F497),$F$2:$F$1001,0),0)))</f>
        <v>0</v>
      </c>
      <c r="B497" s="4">
        <f>IF(OR(INDEX($G$2:$G$1001,MATCH(ROWS($F$2:F497),$F$2:$F$1001,0),1)&gt;=100000,INDEX($M$1005,1,MATCH(COLUMNS($M$1006:M1006),$M$1006,0))&gt;=100000), " ",IF(INDEX($M$2:$M$1001,MATCH(ROWS($F$2:F497),$F$2:$F$1001,0),MATCH(COLUMNS($M$1006:M1006),$M$1006,0)), HYPERLINK("#",""), HYPERLINK(CONCATENATE("#Metadata!", ADDRESS(INDEX($H$2:$H$1001,MATCH(ROWS($F$2:F497),$F$2:$F$1001,0),0), INDEX($M$1004,1,MATCH(COLUMNS($M$1006:M1006),$M$1006,0)))),"Fix")))</f>
        <v>0</v>
      </c>
      <c r="F497">
        <v>0</v>
      </c>
      <c r="G497">
        <v>0</v>
      </c>
      <c r="H497">
        <v>0</v>
      </c>
      <c r="I497">
        <f>IF(J497,TRUE,AND(M497))</f>
        <v>0</v>
      </c>
      <c r="J497">
        <f>COUNTBLANK(Metadata!B497)=COLUMNS(Metadata!B497)</f>
        <v>0</v>
      </c>
      <c r="K497">
        <v>0</v>
      </c>
      <c r="M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</row>
    <row r="498" spans="1:13">
      <c r="A498" s="3">
        <f>IF(B498=" "," ",HYPERLINK(CONCATENATE("#metadata!",ADDRESS(INDEX($H$2:$H$1001,MATCH(ROWS($F$2:F498),$F$2:$F$1001,0),0),2)),INDEX($K$2:$K$1001,MATCH(ROWS($F$2:F498),$F$2:$F$1001,0),0)))</f>
        <v>0</v>
      </c>
      <c r="B498" s="4">
        <f>IF(OR(INDEX($G$2:$G$1001,MATCH(ROWS($F$2:F498),$F$2:$F$1001,0),1)&gt;=100000,INDEX($M$1005,1,MATCH(COLUMNS($M$1006:M1006),$M$1006,0))&gt;=100000), " ",IF(INDEX($M$2:$M$1001,MATCH(ROWS($F$2:F498),$F$2:$F$1001,0),MATCH(COLUMNS($M$1006:M1006),$M$1006,0)), HYPERLINK("#",""), HYPERLINK(CONCATENATE("#Metadata!", ADDRESS(INDEX($H$2:$H$1001,MATCH(ROWS($F$2:F498),$F$2:$F$1001,0),0), INDEX($M$1004,1,MATCH(COLUMNS($M$1006:M1006),$M$1006,0)))),"Fix")))</f>
        <v>0</v>
      </c>
      <c r="F498">
        <v>0</v>
      </c>
      <c r="G498">
        <v>0</v>
      </c>
      <c r="H498">
        <v>0</v>
      </c>
      <c r="I498">
        <f>IF(J498,TRUE,AND(M498))</f>
        <v>0</v>
      </c>
      <c r="J498">
        <f>COUNTBLANK(Metadata!B498)=COLUMNS(Metadata!B498)</f>
        <v>0</v>
      </c>
      <c r="K498">
        <v>0</v>
      </c>
      <c r="M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</row>
    <row r="499" spans="1:13">
      <c r="A499" s="3">
        <f>IF(B499=" "," ",HYPERLINK(CONCATENATE("#metadata!",ADDRESS(INDEX($H$2:$H$1001,MATCH(ROWS($F$2:F499),$F$2:$F$1001,0),0),2)),INDEX($K$2:$K$1001,MATCH(ROWS($F$2:F499),$F$2:$F$1001,0),0)))</f>
        <v>0</v>
      </c>
      <c r="B499" s="4">
        <f>IF(OR(INDEX($G$2:$G$1001,MATCH(ROWS($F$2:F499),$F$2:$F$1001,0),1)&gt;=100000,INDEX($M$1005,1,MATCH(COLUMNS($M$1006:M1006),$M$1006,0))&gt;=100000), " ",IF(INDEX($M$2:$M$1001,MATCH(ROWS($F$2:F499),$F$2:$F$1001,0),MATCH(COLUMNS($M$1006:M1006),$M$1006,0)), HYPERLINK("#",""), HYPERLINK(CONCATENATE("#Metadata!", ADDRESS(INDEX($H$2:$H$1001,MATCH(ROWS($F$2:F499),$F$2:$F$1001,0),0), INDEX($M$1004,1,MATCH(COLUMNS($M$1006:M1006),$M$1006,0)))),"Fix")))</f>
        <v>0</v>
      </c>
      <c r="F499">
        <v>0</v>
      </c>
      <c r="G499">
        <v>0</v>
      </c>
      <c r="H499">
        <v>0</v>
      </c>
      <c r="I499">
        <f>IF(J499,TRUE,AND(M499))</f>
        <v>0</v>
      </c>
      <c r="J499">
        <f>COUNTBLANK(Metadata!B499)=COLUMNS(Metadata!B499)</f>
        <v>0</v>
      </c>
      <c r="K499">
        <v>0</v>
      </c>
      <c r="M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</row>
    <row r="500" spans="1:13">
      <c r="A500" s="3">
        <f>IF(B500=" "," ",HYPERLINK(CONCATENATE("#metadata!",ADDRESS(INDEX($H$2:$H$1001,MATCH(ROWS($F$2:F500),$F$2:$F$1001,0),0),2)),INDEX($K$2:$K$1001,MATCH(ROWS($F$2:F500),$F$2:$F$1001,0),0)))</f>
        <v>0</v>
      </c>
      <c r="B500" s="4">
        <f>IF(OR(INDEX($G$2:$G$1001,MATCH(ROWS($F$2:F500),$F$2:$F$1001,0),1)&gt;=100000,INDEX($M$1005,1,MATCH(COLUMNS($M$1006:M1006),$M$1006,0))&gt;=100000), " ",IF(INDEX($M$2:$M$1001,MATCH(ROWS($F$2:F500),$F$2:$F$1001,0),MATCH(COLUMNS($M$1006:M1006),$M$1006,0)), HYPERLINK("#",""), HYPERLINK(CONCATENATE("#Metadata!", ADDRESS(INDEX($H$2:$H$1001,MATCH(ROWS($F$2:F500),$F$2:$F$1001,0),0), INDEX($M$1004,1,MATCH(COLUMNS($M$1006:M1006),$M$1006,0)))),"Fix")))</f>
        <v>0</v>
      </c>
      <c r="F500">
        <v>0</v>
      </c>
      <c r="G500">
        <v>0</v>
      </c>
      <c r="H500">
        <v>0</v>
      </c>
      <c r="I500">
        <f>IF(J500,TRUE,AND(M500))</f>
        <v>0</v>
      </c>
      <c r="J500">
        <f>COUNTBLANK(Metadata!B500)=COLUMNS(Metadata!B500)</f>
        <v>0</v>
      </c>
      <c r="K500">
        <v>0</v>
      </c>
      <c r="M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</row>
    <row r="501" spans="1:13">
      <c r="A501" s="3">
        <f>IF(B501=" "," ",HYPERLINK(CONCATENATE("#metadata!",ADDRESS(INDEX($H$2:$H$1001,MATCH(ROWS($F$2:F501),$F$2:$F$1001,0),0),2)),INDEX($K$2:$K$1001,MATCH(ROWS($F$2:F501),$F$2:$F$1001,0),0)))</f>
        <v>0</v>
      </c>
      <c r="B501" s="4">
        <f>IF(OR(INDEX($G$2:$G$1001,MATCH(ROWS($F$2:F501),$F$2:$F$1001,0),1)&gt;=100000,INDEX($M$1005,1,MATCH(COLUMNS($M$1006:M1006),$M$1006,0))&gt;=100000), " ",IF(INDEX($M$2:$M$1001,MATCH(ROWS($F$2:F501),$F$2:$F$1001,0),MATCH(COLUMNS($M$1006:M1006),$M$1006,0)), HYPERLINK("#",""), HYPERLINK(CONCATENATE("#Metadata!", ADDRESS(INDEX($H$2:$H$1001,MATCH(ROWS($F$2:F501),$F$2:$F$1001,0),0), INDEX($M$1004,1,MATCH(COLUMNS($M$1006:M1006),$M$1006,0)))),"Fix")))</f>
        <v>0</v>
      </c>
      <c r="F501">
        <v>0</v>
      </c>
      <c r="G501">
        <v>0</v>
      </c>
      <c r="H501">
        <v>0</v>
      </c>
      <c r="I501">
        <f>IF(J501,TRUE,AND(M501))</f>
        <v>0</v>
      </c>
      <c r="J501">
        <f>COUNTBLANK(Metadata!B501)=COLUMNS(Metadata!B501)</f>
        <v>0</v>
      </c>
      <c r="K501">
        <v>0</v>
      </c>
      <c r="M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</row>
    <row r="502" spans="1:13">
      <c r="A502" s="3">
        <f>IF(B502=" "," ",HYPERLINK(CONCATENATE("#metadata!",ADDRESS(INDEX($H$2:$H$1001,MATCH(ROWS($F$2:F502),$F$2:$F$1001,0),0),2)),INDEX($K$2:$K$1001,MATCH(ROWS($F$2:F502),$F$2:$F$1001,0),0)))</f>
        <v>0</v>
      </c>
      <c r="B502" s="4">
        <f>IF(OR(INDEX($G$2:$G$1001,MATCH(ROWS($F$2:F502),$F$2:$F$1001,0),1)&gt;=100000,INDEX($M$1005,1,MATCH(COLUMNS($M$1006:M1006),$M$1006,0))&gt;=100000), " ",IF(INDEX($M$2:$M$1001,MATCH(ROWS($F$2:F502),$F$2:$F$1001,0),MATCH(COLUMNS($M$1006:M1006),$M$1006,0)), HYPERLINK("#",""), HYPERLINK(CONCATENATE("#Metadata!", ADDRESS(INDEX($H$2:$H$1001,MATCH(ROWS($F$2:F502),$F$2:$F$1001,0),0), INDEX($M$1004,1,MATCH(COLUMNS($M$1006:M1006),$M$1006,0)))),"Fix")))</f>
        <v>0</v>
      </c>
      <c r="F502">
        <v>0</v>
      </c>
      <c r="G502">
        <v>0</v>
      </c>
      <c r="H502">
        <v>0</v>
      </c>
      <c r="I502">
        <f>IF(J502,TRUE,AND(M502))</f>
        <v>0</v>
      </c>
      <c r="J502">
        <f>COUNTBLANK(Metadata!B502)=COLUMNS(Metadata!B502)</f>
        <v>0</v>
      </c>
      <c r="K502">
        <v>0</v>
      </c>
      <c r="M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</row>
    <row r="503" spans="1:13">
      <c r="A503" s="3">
        <f>IF(B503=" "," ",HYPERLINK(CONCATENATE("#metadata!",ADDRESS(INDEX($H$2:$H$1001,MATCH(ROWS($F$2:F503),$F$2:$F$1001,0),0),2)),INDEX($K$2:$K$1001,MATCH(ROWS($F$2:F503),$F$2:$F$1001,0),0)))</f>
        <v>0</v>
      </c>
      <c r="B503" s="4">
        <f>IF(OR(INDEX($G$2:$G$1001,MATCH(ROWS($F$2:F503),$F$2:$F$1001,0),1)&gt;=100000,INDEX($M$1005,1,MATCH(COLUMNS($M$1006:M1006),$M$1006,0))&gt;=100000), " ",IF(INDEX($M$2:$M$1001,MATCH(ROWS($F$2:F503),$F$2:$F$1001,0),MATCH(COLUMNS($M$1006:M1006),$M$1006,0)), HYPERLINK("#",""), HYPERLINK(CONCATENATE("#Metadata!", ADDRESS(INDEX($H$2:$H$1001,MATCH(ROWS($F$2:F503),$F$2:$F$1001,0),0), INDEX($M$1004,1,MATCH(COLUMNS($M$1006:M1006),$M$1006,0)))),"Fix")))</f>
        <v>0</v>
      </c>
      <c r="F503">
        <v>0</v>
      </c>
      <c r="G503">
        <v>0</v>
      </c>
      <c r="H503">
        <v>0</v>
      </c>
      <c r="I503">
        <f>IF(J503,TRUE,AND(M503))</f>
        <v>0</v>
      </c>
      <c r="J503">
        <f>COUNTBLANK(Metadata!B503)=COLUMNS(Metadata!B503)</f>
        <v>0</v>
      </c>
      <c r="K503">
        <v>0</v>
      </c>
      <c r="M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</row>
    <row r="504" spans="1:13">
      <c r="A504" s="3">
        <f>IF(B504=" "," ",HYPERLINK(CONCATENATE("#metadata!",ADDRESS(INDEX($H$2:$H$1001,MATCH(ROWS($F$2:F504),$F$2:$F$1001,0),0),2)),INDEX($K$2:$K$1001,MATCH(ROWS($F$2:F504),$F$2:$F$1001,0),0)))</f>
        <v>0</v>
      </c>
      <c r="B504" s="4">
        <f>IF(OR(INDEX($G$2:$G$1001,MATCH(ROWS($F$2:F504),$F$2:$F$1001,0),1)&gt;=100000,INDEX($M$1005,1,MATCH(COLUMNS($M$1006:M1006),$M$1006,0))&gt;=100000), " ",IF(INDEX($M$2:$M$1001,MATCH(ROWS($F$2:F504),$F$2:$F$1001,0),MATCH(COLUMNS($M$1006:M1006),$M$1006,0)), HYPERLINK("#",""), HYPERLINK(CONCATENATE("#Metadata!", ADDRESS(INDEX($H$2:$H$1001,MATCH(ROWS($F$2:F504),$F$2:$F$1001,0),0), INDEX($M$1004,1,MATCH(COLUMNS($M$1006:M1006),$M$1006,0)))),"Fix")))</f>
        <v>0</v>
      </c>
      <c r="F504">
        <v>0</v>
      </c>
      <c r="G504">
        <v>0</v>
      </c>
      <c r="H504">
        <v>0</v>
      </c>
      <c r="I504">
        <f>IF(J504,TRUE,AND(M504))</f>
        <v>0</v>
      </c>
      <c r="J504">
        <f>COUNTBLANK(Metadata!B504)=COLUMNS(Metadata!B504)</f>
        <v>0</v>
      </c>
      <c r="K504">
        <v>0</v>
      </c>
      <c r="M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</row>
    <row r="505" spans="1:13">
      <c r="A505" s="3">
        <f>IF(B505=" "," ",HYPERLINK(CONCATENATE("#metadata!",ADDRESS(INDEX($H$2:$H$1001,MATCH(ROWS($F$2:F505),$F$2:$F$1001,0),0),2)),INDEX($K$2:$K$1001,MATCH(ROWS($F$2:F505),$F$2:$F$1001,0),0)))</f>
        <v>0</v>
      </c>
      <c r="B505" s="4">
        <f>IF(OR(INDEX($G$2:$G$1001,MATCH(ROWS($F$2:F505),$F$2:$F$1001,0),1)&gt;=100000,INDEX($M$1005,1,MATCH(COLUMNS($M$1006:M1006),$M$1006,0))&gt;=100000), " ",IF(INDEX($M$2:$M$1001,MATCH(ROWS($F$2:F505),$F$2:$F$1001,0),MATCH(COLUMNS($M$1006:M1006),$M$1006,0)), HYPERLINK("#",""), HYPERLINK(CONCATENATE("#Metadata!", ADDRESS(INDEX($H$2:$H$1001,MATCH(ROWS($F$2:F505),$F$2:$F$1001,0),0), INDEX($M$1004,1,MATCH(COLUMNS($M$1006:M1006),$M$1006,0)))),"Fix")))</f>
        <v>0</v>
      </c>
      <c r="F505">
        <v>0</v>
      </c>
      <c r="G505">
        <v>0</v>
      </c>
      <c r="H505">
        <v>0</v>
      </c>
      <c r="I505">
        <f>IF(J505,TRUE,AND(M505))</f>
        <v>0</v>
      </c>
      <c r="J505">
        <f>COUNTBLANK(Metadata!B505)=COLUMNS(Metadata!B505)</f>
        <v>0</v>
      </c>
      <c r="K505">
        <v>0</v>
      </c>
      <c r="M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</row>
    <row r="506" spans="1:13">
      <c r="A506" s="3">
        <f>IF(B506=" "," ",HYPERLINK(CONCATENATE("#metadata!",ADDRESS(INDEX($H$2:$H$1001,MATCH(ROWS($F$2:F506),$F$2:$F$1001,0),0),2)),INDEX($K$2:$K$1001,MATCH(ROWS($F$2:F506),$F$2:$F$1001,0),0)))</f>
        <v>0</v>
      </c>
      <c r="B506" s="4">
        <f>IF(OR(INDEX($G$2:$G$1001,MATCH(ROWS($F$2:F506),$F$2:$F$1001,0),1)&gt;=100000,INDEX($M$1005,1,MATCH(COLUMNS($M$1006:M1006),$M$1006,0))&gt;=100000), " ",IF(INDEX($M$2:$M$1001,MATCH(ROWS($F$2:F506),$F$2:$F$1001,0),MATCH(COLUMNS($M$1006:M1006),$M$1006,0)), HYPERLINK("#",""), HYPERLINK(CONCATENATE("#Metadata!", ADDRESS(INDEX($H$2:$H$1001,MATCH(ROWS($F$2:F506),$F$2:$F$1001,0),0), INDEX($M$1004,1,MATCH(COLUMNS($M$1006:M1006),$M$1006,0)))),"Fix")))</f>
        <v>0</v>
      </c>
      <c r="F506">
        <v>0</v>
      </c>
      <c r="G506">
        <v>0</v>
      </c>
      <c r="H506">
        <v>0</v>
      </c>
      <c r="I506">
        <f>IF(J506,TRUE,AND(M506))</f>
        <v>0</v>
      </c>
      <c r="J506">
        <f>COUNTBLANK(Metadata!B506)=COLUMNS(Metadata!B506)</f>
        <v>0</v>
      </c>
      <c r="K506">
        <v>0</v>
      </c>
      <c r="M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</row>
    <row r="507" spans="1:13">
      <c r="A507" s="3">
        <f>IF(B507=" "," ",HYPERLINK(CONCATENATE("#metadata!",ADDRESS(INDEX($H$2:$H$1001,MATCH(ROWS($F$2:F507),$F$2:$F$1001,0),0),2)),INDEX($K$2:$K$1001,MATCH(ROWS($F$2:F507),$F$2:$F$1001,0),0)))</f>
        <v>0</v>
      </c>
      <c r="B507" s="4">
        <f>IF(OR(INDEX($G$2:$G$1001,MATCH(ROWS($F$2:F507),$F$2:$F$1001,0),1)&gt;=100000,INDEX($M$1005,1,MATCH(COLUMNS($M$1006:M1006),$M$1006,0))&gt;=100000), " ",IF(INDEX($M$2:$M$1001,MATCH(ROWS($F$2:F507),$F$2:$F$1001,0),MATCH(COLUMNS($M$1006:M1006),$M$1006,0)), HYPERLINK("#",""), HYPERLINK(CONCATENATE("#Metadata!", ADDRESS(INDEX($H$2:$H$1001,MATCH(ROWS($F$2:F507),$F$2:$F$1001,0),0), INDEX($M$1004,1,MATCH(COLUMNS($M$1006:M1006),$M$1006,0)))),"Fix")))</f>
        <v>0</v>
      </c>
      <c r="F507">
        <v>0</v>
      </c>
      <c r="G507">
        <v>0</v>
      </c>
      <c r="H507">
        <v>0</v>
      </c>
      <c r="I507">
        <f>IF(J507,TRUE,AND(M507))</f>
        <v>0</v>
      </c>
      <c r="J507">
        <f>COUNTBLANK(Metadata!B507)=COLUMNS(Metadata!B507)</f>
        <v>0</v>
      </c>
      <c r="K507">
        <v>0</v>
      </c>
      <c r="M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</row>
    <row r="508" spans="1:13">
      <c r="A508" s="3">
        <f>IF(B508=" "," ",HYPERLINK(CONCATENATE("#metadata!",ADDRESS(INDEX($H$2:$H$1001,MATCH(ROWS($F$2:F508),$F$2:$F$1001,0),0),2)),INDEX($K$2:$K$1001,MATCH(ROWS($F$2:F508),$F$2:$F$1001,0),0)))</f>
        <v>0</v>
      </c>
      <c r="B508" s="4">
        <f>IF(OR(INDEX($G$2:$G$1001,MATCH(ROWS($F$2:F508),$F$2:$F$1001,0),1)&gt;=100000,INDEX($M$1005,1,MATCH(COLUMNS($M$1006:M1006),$M$1006,0))&gt;=100000), " ",IF(INDEX($M$2:$M$1001,MATCH(ROWS($F$2:F508),$F$2:$F$1001,0),MATCH(COLUMNS($M$1006:M1006),$M$1006,0)), HYPERLINK("#",""), HYPERLINK(CONCATENATE("#Metadata!", ADDRESS(INDEX($H$2:$H$1001,MATCH(ROWS($F$2:F508),$F$2:$F$1001,0),0), INDEX($M$1004,1,MATCH(COLUMNS($M$1006:M1006),$M$1006,0)))),"Fix")))</f>
        <v>0</v>
      </c>
      <c r="F508">
        <v>0</v>
      </c>
      <c r="G508">
        <v>0</v>
      </c>
      <c r="H508">
        <v>0</v>
      </c>
      <c r="I508">
        <f>IF(J508,TRUE,AND(M508))</f>
        <v>0</v>
      </c>
      <c r="J508">
        <f>COUNTBLANK(Metadata!B508)=COLUMNS(Metadata!B508)</f>
        <v>0</v>
      </c>
      <c r="K508">
        <v>0</v>
      </c>
      <c r="M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</row>
    <row r="509" spans="1:13">
      <c r="A509" s="3">
        <f>IF(B509=" "," ",HYPERLINK(CONCATENATE("#metadata!",ADDRESS(INDEX($H$2:$H$1001,MATCH(ROWS($F$2:F509),$F$2:$F$1001,0),0),2)),INDEX($K$2:$K$1001,MATCH(ROWS($F$2:F509),$F$2:$F$1001,0),0)))</f>
        <v>0</v>
      </c>
      <c r="B509" s="4">
        <f>IF(OR(INDEX($G$2:$G$1001,MATCH(ROWS($F$2:F509),$F$2:$F$1001,0),1)&gt;=100000,INDEX($M$1005,1,MATCH(COLUMNS($M$1006:M1006),$M$1006,0))&gt;=100000), " ",IF(INDEX($M$2:$M$1001,MATCH(ROWS($F$2:F509),$F$2:$F$1001,0),MATCH(COLUMNS($M$1006:M1006),$M$1006,0)), HYPERLINK("#",""), HYPERLINK(CONCATENATE("#Metadata!", ADDRESS(INDEX($H$2:$H$1001,MATCH(ROWS($F$2:F509),$F$2:$F$1001,0),0), INDEX($M$1004,1,MATCH(COLUMNS($M$1006:M1006),$M$1006,0)))),"Fix")))</f>
        <v>0</v>
      </c>
      <c r="F509">
        <v>0</v>
      </c>
      <c r="G509">
        <v>0</v>
      </c>
      <c r="H509">
        <v>0</v>
      </c>
      <c r="I509">
        <f>IF(J509,TRUE,AND(M509))</f>
        <v>0</v>
      </c>
      <c r="J509">
        <f>COUNTBLANK(Metadata!B509)=COLUMNS(Metadata!B509)</f>
        <v>0</v>
      </c>
      <c r="K509">
        <v>0</v>
      </c>
      <c r="M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</row>
    <row r="510" spans="1:13">
      <c r="A510" s="3">
        <f>IF(B510=" "," ",HYPERLINK(CONCATENATE("#metadata!",ADDRESS(INDEX($H$2:$H$1001,MATCH(ROWS($F$2:F510),$F$2:$F$1001,0),0),2)),INDEX($K$2:$K$1001,MATCH(ROWS($F$2:F510),$F$2:$F$1001,0),0)))</f>
        <v>0</v>
      </c>
      <c r="B510" s="4">
        <f>IF(OR(INDEX($G$2:$G$1001,MATCH(ROWS($F$2:F510),$F$2:$F$1001,0),1)&gt;=100000,INDEX($M$1005,1,MATCH(COLUMNS($M$1006:M1006),$M$1006,0))&gt;=100000), " ",IF(INDEX($M$2:$M$1001,MATCH(ROWS($F$2:F510),$F$2:$F$1001,0),MATCH(COLUMNS($M$1006:M1006),$M$1006,0)), HYPERLINK("#",""), HYPERLINK(CONCATENATE("#Metadata!", ADDRESS(INDEX($H$2:$H$1001,MATCH(ROWS($F$2:F510),$F$2:$F$1001,0),0), INDEX($M$1004,1,MATCH(COLUMNS($M$1006:M1006),$M$1006,0)))),"Fix")))</f>
        <v>0</v>
      </c>
      <c r="F510">
        <v>0</v>
      </c>
      <c r="G510">
        <v>0</v>
      </c>
      <c r="H510">
        <v>0</v>
      </c>
      <c r="I510">
        <f>IF(J510,TRUE,AND(M510))</f>
        <v>0</v>
      </c>
      <c r="J510">
        <f>COUNTBLANK(Metadata!B510)=COLUMNS(Metadata!B510)</f>
        <v>0</v>
      </c>
      <c r="K510">
        <v>0</v>
      </c>
      <c r="M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</row>
    <row r="511" spans="1:13">
      <c r="A511" s="3">
        <f>IF(B511=" "," ",HYPERLINK(CONCATENATE("#metadata!",ADDRESS(INDEX($H$2:$H$1001,MATCH(ROWS($F$2:F511),$F$2:$F$1001,0),0),2)),INDEX($K$2:$K$1001,MATCH(ROWS($F$2:F511),$F$2:$F$1001,0),0)))</f>
        <v>0</v>
      </c>
      <c r="B511" s="4">
        <f>IF(OR(INDEX($G$2:$G$1001,MATCH(ROWS($F$2:F511),$F$2:$F$1001,0),1)&gt;=100000,INDEX($M$1005,1,MATCH(COLUMNS($M$1006:M1006),$M$1006,0))&gt;=100000), " ",IF(INDEX($M$2:$M$1001,MATCH(ROWS($F$2:F511),$F$2:$F$1001,0),MATCH(COLUMNS($M$1006:M1006),$M$1006,0)), HYPERLINK("#",""), HYPERLINK(CONCATENATE("#Metadata!", ADDRESS(INDEX($H$2:$H$1001,MATCH(ROWS($F$2:F511),$F$2:$F$1001,0),0), INDEX($M$1004,1,MATCH(COLUMNS($M$1006:M1006),$M$1006,0)))),"Fix")))</f>
        <v>0</v>
      </c>
      <c r="F511">
        <v>0</v>
      </c>
      <c r="G511">
        <v>0</v>
      </c>
      <c r="H511">
        <v>0</v>
      </c>
      <c r="I511">
        <f>IF(J511,TRUE,AND(M511))</f>
        <v>0</v>
      </c>
      <c r="J511">
        <f>COUNTBLANK(Metadata!B511)=COLUMNS(Metadata!B511)</f>
        <v>0</v>
      </c>
      <c r="K511">
        <v>0</v>
      </c>
      <c r="M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</row>
    <row r="512" spans="1:13">
      <c r="A512" s="3">
        <f>IF(B512=" "," ",HYPERLINK(CONCATENATE("#metadata!",ADDRESS(INDEX($H$2:$H$1001,MATCH(ROWS($F$2:F512),$F$2:$F$1001,0),0),2)),INDEX($K$2:$K$1001,MATCH(ROWS($F$2:F512),$F$2:$F$1001,0),0)))</f>
        <v>0</v>
      </c>
      <c r="B512" s="4">
        <f>IF(OR(INDEX($G$2:$G$1001,MATCH(ROWS($F$2:F512),$F$2:$F$1001,0),1)&gt;=100000,INDEX($M$1005,1,MATCH(COLUMNS($M$1006:M1006),$M$1006,0))&gt;=100000), " ",IF(INDEX($M$2:$M$1001,MATCH(ROWS($F$2:F512),$F$2:$F$1001,0),MATCH(COLUMNS($M$1006:M1006),$M$1006,0)), HYPERLINK("#",""), HYPERLINK(CONCATENATE("#Metadata!", ADDRESS(INDEX($H$2:$H$1001,MATCH(ROWS($F$2:F512),$F$2:$F$1001,0),0), INDEX($M$1004,1,MATCH(COLUMNS($M$1006:M1006),$M$1006,0)))),"Fix")))</f>
        <v>0</v>
      </c>
      <c r="F512">
        <v>0</v>
      </c>
      <c r="G512">
        <v>0</v>
      </c>
      <c r="H512">
        <v>0</v>
      </c>
      <c r="I512">
        <f>IF(J512,TRUE,AND(M512))</f>
        <v>0</v>
      </c>
      <c r="J512">
        <f>COUNTBLANK(Metadata!B512)=COLUMNS(Metadata!B512)</f>
        <v>0</v>
      </c>
      <c r="K512">
        <v>0</v>
      </c>
      <c r="M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</row>
    <row r="513" spans="1:13">
      <c r="A513" s="3">
        <f>IF(B513=" "," ",HYPERLINK(CONCATENATE("#metadata!",ADDRESS(INDEX($H$2:$H$1001,MATCH(ROWS($F$2:F513),$F$2:$F$1001,0),0),2)),INDEX($K$2:$K$1001,MATCH(ROWS($F$2:F513),$F$2:$F$1001,0),0)))</f>
        <v>0</v>
      </c>
      <c r="B513" s="4">
        <f>IF(OR(INDEX($G$2:$G$1001,MATCH(ROWS($F$2:F513),$F$2:$F$1001,0),1)&gt;=100000,INDEX($M$1005,1,MATCH(COLUMNS($M$1006:M1006),$M$1006,0))&gt;=100000), " ",IF(INDEX($M$2:$M$1001,MATCH(ROWS($F$2:F513),$F$2:$F$1001,0),MATCH(COLUMNS($M$1006:M1006),$M$1006,0)), HYPERLINK("#",""), HYPERLINK(CONCATENATE("#Metadata!", ADDRESS(INDEX($H$2:$H$1001,MATCH(ROWS($F$2:F513),$F$2:$F$1001,0),0), INDEX($M$1004,1,MATCH(COLUMNS($M$1006:M1006),$M$1006,0)))),"Fix")))</f>
        <v>0</v>
      </c>
      <c r="F513">
        <v>0</v>
      </c>
      <c r="G513">
        <v>0</v>
      </c>
      <c r="H513">
        <v>0</v>
      </c>
      <c r="I513">
        <f>IF(J513,TRUE,AND(M513))</f>
        <v>0</v>
      </c>
      <c r="J513">
        <f>COUNTBLANK(Metadata!B513)=COLUMNS(Metadata!B513)</f>
        <v>0</v>
      </c>
      <c r="K513">
        <v>0</v>
      </c>
      <c r="M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</row>
    <row r="514" spans="1:13">
      <c r="A514" s="3">
        <f>IF(B514=" "," ",HYPERLINK(CONCATENATE("#metadata!",ADDRESS(INDEX($H$2:$H$1001,MATCH(ROWS($F$2:F514),$F$2:$F$1001,0),0),2)),INDEX($K$2:$K$1001,MATCH(ROWS($F$2:F514),$F$2:$F$1001,0),0)))</f>
        <v>0</v>
      </c>
      <c r="B514" s="4">
        <f>IF(OR(INDEX($G$2:$G$1001,MATCH(ROWS($F$2:F514),$F$2:$F$1001,0),1)&gt;=100000,INDEX($M$1005,1,MATCH(COLUMNS($M$1006:M1006),$M$1006,0))&gt;=100000), " ",IF(INDEX($M$2:$M$1001,MATCH(ROWS($F$2:F514),$F$2:$F$1001,0),MATCH(COLUMNS($M$1006:M1006),$M$1006,0)), HYPERLINK("#",""), HYPERLINK(CONCATENATE("#Metadata!", ADDRESS(INDEX($H$2:$H$1001,MATCH(ROWS($F$2:F514),$F$2:$F$1001,0),0), INDEX($M$1004,1,MATCH(COLUMNS($M$1006:M1006),$M$1006,0)))),"Fix")))</f>
        <v>0</v>
      </c>
      <c r="F514">
        <v>0</v>
      </c>
      <c r="G514">
        <v>0</v>
      </c>
      <c r="H514">
        <v>0</v>
      </c>
      <c r="I514">
        <f>IF(J514,TRUE,AND(M514))</f>
        <v>0</v>
      </c>
      <c r="J514">
        <f>COUNTBLANK(Metadata!B514)=COLUMNS(Metadata!B514)</f>
        <v>0</v>
      </c>
      <c r="K514">
        <v>0</v>
      </c>
      <c r="M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</row>
    <row r="515" spans="1:13">
      <c r="A515" s="3">
        <f>IF(B515=" "," ",HYPERLINK(CONCATENATE("#metadata!",ADDRESS(INDEX($H$2:$H$1001,MATCH(ROWS($F$2:F515),$F$2:$F$1001,0),0),2)),INDEX($K$2:$K$1001,MATCH(ROWS($F$2:F515),$F$2:$F$1001,0),0)))</f>
        <v>0</v>
      </c>
      <c r="B515" s="4">
        <f>IF(OR(INDEX($G$2:$G$1001,MATCH(ROWS($F$2:F515),$F$2:$F$1001,0),1)&gt;=100000,INDEX($M$1005,1,MATCH(COLUMNS($M$1006:M1006),$M$1006,0))&gt;=100000), " ",IF(INDEX($M$2:$M$1001,MATCH(ROWS($F$2:F515),$F$2:$F$1001,0),MATCH(COLUMNS($M$1006:M1006),$M$1006,0)), HYPERLINK("#",""), HYPERLINK(CONCATENATE("#Metadata!", ADDRESS(INDEX($H$2:$H$1001,MATCH(ROWS($F$2:F515),$F$2:$F$1001,0),0), INDEX($M$1004,1,MATCH(COLUMNS($M$1006:M1006),$M$1006,0)))),"Fix")))</f>
        <v>0</v>
      </c>
      <c r="F515">
        <v>0</v>
      </c>
      <c r="G515">
        <v>0</v>
      </c>
      <c r="H515">
        <v>0</v>
      </c>
      <c r="I515">
        <f>IF(J515,TRUE,AND(M515))</f>
        <v>0</v>
      </c>
      <c r="J515">
        <f>COUNTBLANK(Metadata!B515)=COLUMNS(Metadata!B515)</f>
        <v>0</v>
      </c>
      <c r="K515">
        <v>0</v>
      </c>
      <c r="M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</row>
    <row r="516" spans="1:13">
      <c r="A516" s="3">
        <f>IF(B516=" "," ",HYPERLINK(CONCATENATE("#metadata!",ADDRESS(INDEX($H$2:$H$1001,MATCH(ROWS($F$2:F516),$F$2:$F$1001,0),0),2)),INDEX($K$2:$K$1001,MATCH(ROWS($F$2:F516),$F$2:$F$1001,0),0)))</f>
        <v>0</v>
      </c>
      <c r="B516" s="4">
        <f>IF(OR(INDEX($G$2:$G$1001,MATCH(ROWS($F$2:F516),$F$2:$F$1001,0),1)&gt;=100000,INDEX($M$1005,1,MATCH(COLUMNS($M$1006:M1006),$M$1006,0))&gt;=100000), " ",IF(INDEX($M$2:$M$1001,MATCH(ROWS($F$2:F516),$F$2:$F$1001,0),MATCH(COLUMNS($M$1006:M1006),$M$1006,0)), HYPERLINK("#",""), HYPERLINK(CONCATENATE("#Metadata!", ADDRESS(INDEX($H$2:$H$1001,MATCH(ROWS($F$2:F516),$F$2:$F$1001,0),0), INDEX($M$1004,1,MATCH(COLUMNS($M$1006:M1006),$M$1006,0)))),"Fix")))</f>
        <v>0</v>
      </c>
      <c r="F516">
        <v>0</v>
      </c>
      <c r="G516">
        <v>0</v>
      </c>
      <c r="H516">
        <v>0</v>
      </c>
      <c r="I516">
        <f>IF(J516,TRUE,AND(M516))</f>
        <v>0</v>
      </c>
      <c r="J516">
        <f>COUNTBLANK(Metadata!B516)=COLUMNS(Metadata!B516)</f>
        <v>0</v>
      </c>
      <c r="K516">
        <v>0</v>
      </c>
      <c r="M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</row>
    <row r="517" spans="1:13">
      <c r="A517" s="3">
        <f>IF(B517=" "," ",HYPERLINK(CONCATENATE("#metadata!",ADDRESS(INDEX($H$2:$H$1001,MATCH(ROWS($F$2:F517),$F$2:$F$1001,0),0),2)),INDEX($K$2:$K$1001,MATCH(ROWS($F$2:F517),$F$2:$F$1001,0),0)))</f>
        <v>0</v>
      </c>
      <c r="B517" s="4">
        <f>IF(OR(INDEX($G$2:$G$1001,MATCH(ROWS($F$2:F517),$F$2:$F$1001,0),1)&gt;=100000,INDEX($M$1005,1,MATCH(COLUMNS($M$1006:M1006),$M$1006,0))&gt;=100000), " ",IF(INDEX($M$2:$M$1001,MATCH(ROWS($F$2:F517),$F$2:$F$1001,0),MATCH(COLUMNS($M$1006:M1006),$M$1006,0)), HYPERLINK("#",""), HYPERLINK(CONCATENATE("#Metadata!", ADDRESS(INDEX($H$2:$H$1001,MATCH(ROWS($F$2:F517),$F$2:$F$1001,0),0), INDEX($M$1004,1,MATCH(COLUMNS($M$1006:M1006),$M$1006,0)))),"Fix")))</f>
        <v>0</v>
      </c>
      <c r="F517">
        <v>0</v>
      </c>
      <c r="G517">
        <v>0</v>
      </c>
      <c r="H517">
        <v>0</v>
      </c>
      <c r="I517">
        <f>IF(J517,TRUE,AND(M517))</f>
        <v>0</v>
      </c>
      <c r="J517">
        <f>COUNTBLANK(Metadata!B517)=COLUMNS(Metadata!B517)</f>
        <v>0</v>
      </c>
      <c r="K517">
        <v>0</v>
      </c>
      <c r="M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</row>
    <row r="518" spans="1:13">
      <c r="A518" s="3">
        <f>IF(B518=" "," ",HYPERLINK(CONCATENATE("#metadata!",ADDRESS(INDEX($H$2:$H$1001,MATCH(ROWS($F$2:F518),$F$2:$F$1001,0),0),2)),INDEX($K$2:$K$1001,MATCH(ROWS($F$2:F518),$F$2:$F$1001,0),0)))</f>
        <v>0</v>
      </c>
      <c r="B518" s="4">
        <f>IF(OR(INDEX($G$2:$G$1001,MATCH(ROWS($F$2:F518),$F$2:$F$1001,0),1)&gt;=100000,INDEX($M$1005,1,MATCH(COLUMNS($M$1006:M1006),$M$1006,0))&gt;=100000), " ",IF(INDEX($M$2:$M$1001,MATCH(ROWS($F$2:F518),$F$2:$F$1001,0),MATCH(COLUMNS($M$1006:M1006),$M$1006,0)), HYPERLINK("#",""), HYPERLINK(CONCATENATE("#Metadata!", ADDRESS(INDEX($H$2:$H$1001,MATCH(ROWS($F$2:F518),$F$2:$F$1001,0),0), INDEX($M$1004,1,MATCH(COLUMNS($M$1006:M1006),$M$1006,0)))),"Fix")))</f>
        <v>0</v>
      </c>
      <c r="F518">
        <v>0</v>
      </c>
      <c r="G518">
        <v>0</v>
      </c>
      <c r="H518">
        <v>0</v>
      </c>
      <c r="I518">
        <f>IF(J518,TRUE,AND(M518))</f>
        <v>0</v>
      </c>
      <c r="J518">
        <f>COUNTBLANK(Metadata!B518)=COLUMNS(Metadata!B518)</f>
        <v>0</v>
      </c>
      <c r="K518">
        <v>0</v>
      </c>
      <c r="M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</row>
    <row r="519" spans="1:13">
      <c r="A519" s="3">
        <f>IF(B519=" "," ",HYPERLINK(CONCATENATE("#metadata!",ADDRESS(INDEX($H$2:$H$1001,MATCH(ROWS($F$2:F519),$F$2:$F$1001,0),0),2)),INDEX($K$2:$K$1001,MATCH(ROWS($F$2:F519),$F$2:$F$1001,0),0)))</f>
        <v>0</v>
      </c>
      <c r="B519" s="4">
        <f>IF(OR(INDEX($G$2:$G$1001,MATCH(ROWS($F$2:F519),$F$2:$F$1001,0),1)&gt;=100000,INDEX($M$1005,1,MATCH(COLUMNS($M$1006:M1006),$M$1006,0))&gt;=100000), " ",IF(INDEX($M$2:$M$1001,MATCH(ROWS($F$2:F519),$F$2:$F$1001,0),MATCH(COLUMNS($M$1006:M1006),$M$1006,0)), HYPERLINK("#",""), HYPERLINK(CONCATENATE("#Metadata!", ADDRESS(INDEX($H$2:$H$1001,MATCH(ROWS($F$2:F519),$F$2:$F$1001,0),0), INDEX($M$1004,1,MATCH(COLUMNS($M$1006:M1006),$M$1006,0)))),"Fix")))</f>
        <v>0</v>
      </c>
      <c r="F519">
        <v>0</v>
      </c>
      <c r="G519">
        <v>0</v>
      </c>
      <c r="H519">
        <v>0</v>
      </c>
      <c r="I519">
        <f>IF(J519,TRUE,AND(M519))</f>
        <v>0</v>
      </c>
      <c r="J519">
        <f>COUNTBLANK(Metadata!B519)=COLUMNS(Metadata!B519)</f>
        <v>0</v>
      </c>
      <c r="K519">
        <v>0</v>
      </c>
      <c r="M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</row>
    <row r="520" spans="1:13">
      <c r="A520" s="3">
        <f>IF(B520=" "," ",HYPERLINK(CONCATENATE("#metadata!",ADDRESS(INDEX($H$2:$H$1001,MATCH(ROWS($F$2:F520),$F$2:$F$1001,0),0),2)),INDEX($K$2:$K$1001,MATCH(ROWS($F$2:F520),$F$2:$F$1001,0),0)))</f>
        <v>0</v>
      </c>
      <c r="B520" s="4">
        <f>IF(OR(INDEX($G$2:$G$1001,MATCH(ROWS($F$2:F520),$F$2:$F$1001,0),1)&gt;=100000,INDEX($M$1005,1,MATCH(COLUMNS($M$1006:M1006),$M$1006,0))&gt;=100000), " ",IF(INDEX($M$2:$M$1001,MATCH(ROWS($F$2:F520),$F$2:$F$1001,0),MATCH(COLUMNS($M$1006:M1006),$M$1006,0)), HYPERLINK("#",""), HYPERLINK(CONCATENATE("#Metadata!", ADDRESS(INDEX($H$2:$H$1001,MATCH(ROWS($F$2:F520),$F$2:$F$1001,0),0), INDEX($M$1004,1,MATCH(COLUMNS($M$1006:M1006),$M$1006,0)))),"Fix")))</f>
        <v>0</v>
      </c>
      <c r="F520">
        <v>0</v>
      </c>
      <c r="G520">
        <v>0</v>
      </c>
      <c r="H520">
        <v>0</v>
      </c>
      <c r="I520">
        <f>IF(J520,TRUE,AND(M520))</f>
        <v>0</v>
      </c>
      <c r="J520">
        <f>COUNTBLANK(Metadata!B520)=COLUMNS(Metadata!B520)</f>
        <v>0</v>
      </c>
      <c r="K520">
        <v>0</v>
      </c>
      <c r="M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</row>
    <row r="521" spans="1:13">
      <c r="A521" s="3">
        <f>IF(B521=" "," ",HYPERLINK(CONCATENATE("#metadata!",ADDRESS(INDEX($H$2:$H$1001,MATCH(ROWS($F$2:F521),$F$2:$F$1001,0),0),2)),INDEX($K$2:$K$1001,MATCH(ROWS($F$2:F521),$F$2:$F$1001,0),0)))</f>
        <v>0</v>
      </c>
      <c r="B521" s="4">
        <f>IF(OR(INDEX($G$2:$G$1001,MATCH(ROWS($F$2:F521),$F$2:$F$1001,0),1)&gt;=100000,INDEX($M$1005,1,MATCH(COLUMNS($M$1006:M1006),$M$1006,0))&gt;=100000), " ",IF(INDEX($M$2:$M$1001,MATCH(ROWS($F$2:F521),$F$2:$F$1001,0),MATCH(COLUMNS($M$1006:M1006),$M$1006,0)), HYPERLINK("#",""), HYPERLINK(CONCATENATE("#Metadata!", ADDRESS(INDEX($H$2:$H$1001,MATCH(ROWS($F$2:F521),$F$2:$F$1001,0),0), INDEX($M$1004,1,MATCH(COLUMNS($M$1006:M1006),$M$1006,0)))),"Fix")))</f>
        <v>0</v>
      </c>
      <c r="F521">
        <v>0</v>
      </c>
      <c r="G521">
        <v>0</v>
      </c>
      <c r="H521">
        <v>0</v>
      </c>
      <c r="I521">
        <f>IF(J521,TRUE,AND(M521))</f>
        <v>0</v>
      </c>
      <c r="J521">
        <f>COUNTBLANK(Metadata!B521)=COLUMNS(Metadata!B521)</f>
        <v>0</v>
      </c>
      <c r="K521">
        <v>0</v>
      </c>
      <c r="M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</row>
    <row r="522" spans="1:13">
      <c r="A522" s="3">
        <f>IF(B522=" "," ",HYPERLINK(CONCATENATE("#metadata!",ADDRESS(INDEX($H$2:$H$1001,MATCH(ROWS($F$2:F522),$F$2:$F$1001,0),0),2)),INDEX($K$2:$K$1001,MATCH(ROWS($F$2:F522),$F$2:$F$1001,0),0)))</f>
        <v>0</v>
      </c>
      <c r="B522" s="4">
        <f>IF(OR(INDEX($G$2:$G$1001,MATCH(ROWS($F$2:F522),$F$2:$F$1001,0),1)&gt;=100000,INDEX($M$1005,1,MATCH(COLUMNS($M$1006:M1006),$M$1006,0))&gt;=100000), " ",IF(INDEX($M$2:$M$1001,MATCH(ROWS($F$2:F522),$F$2:$F$1001,0),MATCH(COLUMNS($M$1006:M1006),$M$1006,0)), HYPERLINK("#",""), HYPERLINK(CONCATENATE("#Metadata!", ADDRESS(INDEX($H$2:$H$1001,MATCH(ROWS($F$2:F522),$F$2:$F$1001,0),0), INDEX($M$1004,1,MATCH(COLUMNS($M$1006:M1006),$M$1006,0)))),"Fix")))</f>
        <v>0</v>
      </c>
      <c r="F522">
        <v>0</v>
      </c>
      <c r="G522">
        <v>0</v>
      </c>
      <c r="H522">
        <v>0</v>
      </c>
      <c r="I522">
        <f>IF(J522,TRUE,AND(M522))</f>
        <v>0</v>
      </c>
      <c r="J522">
        <f>COUNTBLANK(Metadata!B522)=COLUMNS(Metadata!B522)</f>
        <v>0</v>
      </c>
      <c r="K522">
        <v>0</v>
      </c>
      <c r="M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</row>
    <row r="523" spans="1:13">
      <c r="A523" s="3">
        <f>IF(B523=" "," ",HYPERLINK(CONCATENATE("#metadata!",ADDRESS(INDEX($H$2:$H$1001,MATCH(ROWS($F$2:F523),$F$2:$F$1001,0),0),2)),INDEX($K$2:$K$1001,MATCH(ROWS($F$2:F523),$F$2:$F$1001,0),0)))</f>
        <v>0</v>
      </c>
      <c r="B523" s="4">
        <f>IF(OR(INDEX($G$2:$G$1001,MATCH(ROWS($F$2:F523),$F$2:$F$1001,0),1)&gt;=100000,INDEX($M$1005,1,MATCH(COLUMNS($M$1006:M1006),$M$1006,0))&gt;=100000), " ",IF(INDEX($M$2:$M$1001,MATCH(ROWS($F$2:F523),$F$2:$F$1001,0),MATCH(COLUMNS($M$1006:M1006),$M$1006,0)), HYPERLINK("#",""), HYPERLINK(CONCATENATE("#Metadata!", ADDRESS(INDEX($H$2:$H$1001,MATCH(ROWS($F$2:F523),$F$2:$F$1001,0),0), INDEX($M$1004,1,MATCH(COLUMNS($M$1006:M1006),$M$1006,0)))),"Fix")))</f>
        <v>0</v>
      </c>
      <c r="F523">
        <v>0</v>
      </c>
      <c r="G523">
        <v>0</v>
      </c>
      <c r="H523">
        <v>0</v>
      </c>
      <c r="I523">
        <f>IF(J523,TRUE,AND(M523))</f>
        <v>0</v>
      </c>
      <c r="J523">
        <f>COUNTBLANK(Metadata!B523)=COLUMNS(Metadata!B523)</f>
        <v>0</v>
      </c>
      <c r="K523">
        <v>0</v>
      </c>
      <c r="M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</row>
    <row r="524" spans="1:13">
      <c r="A524" s="3">
        <f>IF(B524=" "," ",HYPERLINK(CONCATENATE("#metadata!",ADDRESS(INDEX($H$2:$H$1001,MATCH(ROWS($F$2:F524),$F$2:$F$1001,0),0),2)),INDEX($K$2:$K$1001,MATCH(ROWS($F$2:F524),$F$2:$F$1001,0),0)))</f>
        <v>0</v>
      </c>
      <c r="B524" s="4">
        <f>IF(OR(INDEX($G$2:$G$1001,MATCH(ROWS($F$2:F524),$F$2:$F$1001,0),1)&gt;=100000,INDEX($M$1005,1,MATCH(COLUMNS($M$1006:M1006),$M$1006,0))&gt;=100000), " ",IF(INDEX($M$2:$M$1001,MATCH(ROWS($F$2:F524),$F$2:$F$1001,0),MATCH(COLUMNS($M$1006:M1006),$M$1006,0)), HYPERLINK("#",""), HYPERLINK(CONCATENATE("#Metadata!", ADDRESS(INDEX($H$2:$H$1001,MATCH(ROWS($F$2:F524),$F$2:$F$1001,0),0), INDEX($M$1004,1,MATCH(COLUMNS($M$1006:M1006),$M$1006,0)))),"Fix")))</f>
        <v>0</v>
      </c>
      <c r="F524">
        <v>0</v>
      </c>
      <c r="G524">
        <v>0</v>
      </c>
      <c r="H524">
        <v>0</v>
      </c>
      <c r="I524">
        <f>IF(J524,TRUE,AND(M524))</f>
        <v>0</v>
      </c>
      <c r="J524">
        <f>COUNTBLANK(Metadata!B524)=COLUMNS(Metadata!B524)</f>
        <v>0</v>
      </c>
      <c r="K524">
        <v>0</v>
      </c>
      <c r="M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</row>
    <row r="525" spans="1:13">
      <c r="A525" s="3">
        <f>IF(B525=" "," ",HYPERLINK(CONCATENATE("#metadata!",ADDRESS(INDEX($H$2:$H$1001,MATCH(ROWS($F$2:F525),$F$2:$F$1001,0),0),2)),INDEX($K$2:$K$1001,MATCH(ROWS($F$2:F525),$F$2:$F$1001,0),0)))</f>
        <v>0</v>
      </c>
      <c r="B525" s="4">
        <f>IF(OR(INDEX($G$2:$G$1001,MATCH(ROWS($F$2:F525),$F$2:$F$1001,0),1)&gt;=100000,INDEX($M$1005,1,MATCH(COLUMNS($M$1006:M1006),$M$1006,0))&gt;=100000), " ",IF(INDEX($M$2:$M$1001,MATCH(ROWS($F$2:F525),$F$2:$F$1001,0),MATCH(COLUMNS($M$1006:M1006),$M$1006,0)), HYPERLINK("#",""), HYPERLINK(CONCATENATE("#Metadata!", ADDRESS(INDEX($H$2:$H$1001,MATCH(ROWS($F$2:F525),$F$2:$F$1001,0),0), INDEX($M$1004,1,MATCH(COLUMNS($M$1006:M1006),$M$1006,0)))),"Fix")))</f>
        <v>0</v>
      </c>
      <c r="F525">
        <v>0</v>
      </c>
      <c r="G525">
        <v>0</v>
      </c>
      <c r="H525">
        <v>0</v>
      </c>
      <c r="I525">
        <f>IF(J525,TRUE,AND(M525))</f>
        <v>0</v>
      </c>
      <c r="J525">
        <f>COUNTBLANK(Metadata!B525)=COLUMNS(Metadata!B525)</f>
        <v>0</v>
      </c>
      <c r="K525">
        <v>0</v>
      </c>
      <c r="M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</row>
    <row r="526" spans="1:13">
      <c r="A526" s="3">
        <f>IF(B526=" "," ",HYPERLINK(CONCATENATE("#metadata!",ADDRESS(INDEX($H$2:$H$1001,MATCH(ROWS($F$2:F526),$F$2:$F$1001,0),0),2)),INDEX($K$2:$K$1001,MATCH(ROWS($F$2:F526),$F$2:$F$1001,0),0)))</f>
        <v>0</v>
      </c>
      <c r="B526" s="4">
        <f>IF(OR(INDEX($G$2:$G$1001,MATCH(ROWS($F$2:F526),$F$2:$F$1001,0),1)&gt;=100000,INDEX($M$1005,1,MATCH(COLUMNS($M$1006:M1006),$M$1006,0))&gt;=100000), " ",IF(INDEX($M$2:$M$1001,MATCH(ROWS($F$2:F526),$F$2:$F$1001,0),MATCH(COLUMNS($M$1006:M1006),$M$1006,0)), HYPERLINK("#",""), HYPERLINK(CONCATENATE("#Metadata!", ADDRESS(INDEX($H$2:$H$1001,MATCH(ROWS($F$2:F526),$F$2:$F$1001,0),0), INDEX($M$1004,1,MATCH(COLUMNS($M$1006:M1006),$M$1006,0)))),"Fix")))</f>
        <v>0</v>
      </c>
      <c r="F526">
        <v>0</v>
      </c>
      <c r="G526">
        <v>0</v>
      </c>
      <c r="H526">
        <v>0</v>
      </c>
      <c r="I526">
        <f>IF(J526,TRUE,AND(M526))</f>
        <v>0</v>
      </c>
      <c r="J526">
        <f>COUNTBLANK(Metadata!B526)=COLUMNS(Metadata!B526)</f>
        <v>0</v>
      </c>
      <c r="K526">
        <v>0</v>
      </c>
      <c r="M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</row>
    <row r="527" spans="1:13">
      <c r="A527" s="3">
        <f>IF(B527=" "," ",HYPERLINK(CONCATENATE("#metadata!",ADDRESS(INDEX($H$2:$H$1001,MATCH(ROWS($F$2:F527),$F$2:$F$1001,0),0),2)),INDEX($K$2:$K$1001,MATCH(ROWS($F$2:F527),$F$2:$F$1001,0),0)))</f>
        <v>0</v>
      </c>
      <c r="B527" s="4">
        <f>IF(OR(INDEX($G$2:$G$1001,MATCH(ROWS($F$2:F527),$F$2:$F$1001,0),1)&gt;=100000,INDEX($M$1005,1,MATCH(COLUMNS($M$1006:M1006),$M$1006,0))&gt;=100000), " ",IF(INDEX($M$2:$M$1001,MATCH(ROWS($F$2:F527),$F$2:$F$1001,0),MATCH(COLUMNS($M$1006:M1006),$M$1006,0)), HYPERLINK("#",""), HYPERLINK(CONCATENATE("#Metadata!", ADDRESS(INDEX($H$2:$H$1001,MATCH(ROWS($F$2:F527),$F$2:$F$1001,0),0), INDEX($M$1004,1,MATCH(COLUMNS($M$1006:M1006),$M$1006,0)))),"Fix")))</f>
        <v>0</v>
      </c>
      <c r="F527">
        <v>0</v>
      </c>
      <c r="G527">
        <v>0</v>
      </c>
      <c r="H527">
        <v>0</v>
      </c>
      <c r="I527">
        <f>IF(J527,TRUE,AND(M527))</f>
        <v>0</v>
      </c>
      <c r="J527">
        <f>COUNTBLANK(Metadata!B527)=COLUMNS(Metadata!B527)</f>
        <v>0</v>
      </c>
      <c r="K527">
        <v>0</v>
      </c>
      <c r="M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</row>
    <row r="528" spans="1:13">
      <c r="A528" s="3">
        <f>IF(B528=" "," ",HYPERLINK(CONCATENATE("#metadata!",ADDRESS(INDEX($H$2:$H$1001,MATCH(ROWS($F$2:F528),$F$2:$F$1001,0),0),2)),INDEX($K$2:$K$1001,MATCH(ROWS($F$2:F528),$F$2:$F$1001,0),0)))</f>
        <v>0</v>
      </c>
      <c r="B528" s="4">
        <f>IF(OR(INDEX($G$2:$G$1001,MATCH(ROWS($F$2:F528),$F$2:$F$1001,0),1)&gt;=100000,INDEX($M$1005,1,MATCH(COLUMNS($M$1006:M1006),$M$1006,0))&gt;=100000), " ",IF(INDEX($M$2:$M$1001,MATCH(ROWS($F$2:F528),$F$2:$F$1001,0),MATCH(COLUMNS($M$1006:M1006),$M$1006,0)), HYPERLINK("#",""), HYPERLINK(CONCATENATE("#Metadata!", ADDRESS(INDEX($H$2:$H$1001,MATCH(ROWS($F$2:F528),$F$2:$F$1001,0),0), INDEX($M$1004,1,MATCH(COLUMNS($M$1006:M1006),$M$1006,0)))),"Fix")))</f>
        <v>0</v>
      </c>
      <c r="F528">
        <v>0</v>
      </c>
      <c r="G528">
        <v>0</v>
      </c>
      <c r="H528">
        <v>0</v>
      </c>
      <c r="I528">
        <f>IF(J528,TRUE,AND(M528))</f>
        <v>0</v>
      </c>
      <c r="J528">
        <f>COUNTBLANK(Metadata!B528)=COLUMNS(Metadata!B528)</f>
        <v>0</v>
      </c>
      <c r="K528">
        <v>0</v>
      </c>
      <c r="M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</row>
    <row r="529" spans="1:13">
      <c r="A529" s="3">
        <f>IF(B529=" "," ",HYPERLINK(CONCATENATE("#metadata!",ADDRESS(INDEX($H$2:$H$1001,MATCH(ROWS($F$2:F529),$F$2:$F$1001,0),0),2)),INDEX($K$2:$K$1001,MATCH(ROWS($F$2:F529),$F$2:$F$1001,0),0)))</f>
        <v>0</v>
      </c>
      <c r="B529" s="4">
        <f>IF(OR(INDEX($G$2:$G$1001,MATCH(ROWS($F$2:F529),$F$2:$F$1001,0),1)&gt;=100000,INDEX($M$1005,1,MATCH(COLUMNS($M$1006:M1006),$M$1006,0))&gt;=100000), " ",IF(INDEX($M$2:$M$1001,MATCH(ROWS($F$2:F529),$F$2:$F$1001,0),MATCH(COLUMNS($M$1006:M1006),$M$1006,0)), HYPERLINK("#",""), HYPERLINK(CONCATENATE("#Metadata!", ADDRESS(INDEX($H$2:$H$1001,MATCH(ROWS($F$2:F529),$F$2:$F$1001,0),0), INDEX($M$1004,1,MATCH(COLUMNS($M$1006:M1006),$M$1006,0)))),"Fix")))</f>
        <v>0</v>
      </c>
      <c r="F529">
        <v>0</v>
      </c>
      <c r="G529">
        <v>0</v>
      </c>
      <c r="H529">
        <v>0</v>
      </c>
      <c r="I529">
        <f>IF(J529,TRUE,AND(M529))</f>
        <v>0</v>
      </c>
      <c r="J529">
        <f>COUNTBLANK(Metadata!B529)=COLUMNS(Metadata!B529)</f>
        <v>0</v>
      </c>
      <c r="K529">
        <v>0</v>
      </c>
      <c r="M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</row>
    <row r="530" spans="1:13">
      <c r="A530" s="3">
        <f>IF(B530=" "," ",HYPERLINK(CONCATENATE("#metadata!",ADDRESS(INDEX($H$2:$H$1001,MATCH(ROWS($F$2:F530),$F$2:$F$1001,0),0),2)),INDEX($K$2:$K$1001,MATCH(ROWS($F$2:F530),$F$2:$F$1001,0),0)))</f>
        <v>0</v>
      </c>
      <c r="B530" s="4">
        <f>IF(OR(INDEX($G$2:$G$1001,MATCH(ROWS($F$2:F530),$F$2:$F$1001,0),1)&gt;=100000,INDEX($M$1005,1,MATCH(COLUMNS($M$1006:M1006),$M$1006,0))&gt;=100000), " ",IF(INDEX($M$2:$M$1001,MATCH(ROWS($F$2:F530),$F$2:$F$1001,0),MATCH(COLUMNS($M$1006:M1006),$M$1006,0)), HYPERLINK("#",""), HYPERLINK(CONCATENATE("#Metadata!", ADDRESS(INDEX($H$2:$H$1001,MATCH(ROWS($F$2:F530),$F$2:$F$1001,0),0), INDEX($M$1004,1,MATCH(COLUMNS($M$1006:M1006),$M$1006,0)))),"Fix")))</f>
        <v>0</v>
      </c>
      <c r="F530">
        <v>0</v>
      </c>
      <c r="G530">
        <v>0</v>
      </c>
      <c r="H530">
        <v>0</v>
      </c>
      <c r="I530">
        <f>IF(J530,TRUE,AND(M530))</f>
        <v>0</v>
      </c>
      <c r="J530">
        <f>COUNTBLANK(Metadata!B530)=COLUMNS(Metadata!B530)</f>
        <v>0</v>
      </c>
      <c r="K530">
        <v>0</v>
      </c>
      <c r="M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</row>
    <row r="531" spans="1:13">
      <c r="A531" s="3">
        <f>IF(B531=" "," ",HYPERLINK(CONCATENATE("#metadata!",ADDRESS(INDEX($H$2:$H$1001,MATCH(ROWS($F$2:F531),$F$2:$F$1001,0),0),2)),INDEX($K$2:$K$1001,MATCH(ROWS($F$2:F531),$F$2:$F$1001,0),0)))</f>
        <v>0</v>
      </c>
      <c r="B531" s="4">
        <f>IF(OR(INDEX($G$2:$G$1001,MATCH(ROWS($F$2:F531),$F$2:$F$1001,0),1)&gt;=100000,INDEX($M$1005,1,MATCH(COLUMNS($M$1006:M1006),$M$1006,0))&gt;=100000), " ",IF(INDEX($M$2:$M$1001,MATCH(ROWS($F$2:F531),$F$2:$F$1001,0),MATCH(COLUMNS($M$1006:M1006),$M$1006,0)), HYPERLINK("#",""), HYPERLINK(CONCATENATE("#Metadata!", ADDRESS(INDEX($H$2:$H$1001,MATCH(ROWS($F$2:F531),$F$2:$F$1001,0),0), INDEX($M$1004,1,MATCH(COLUMNS($M$1006:M1006),$M$1006,0)))),"Fix")))</f>
        <v>0</v>
      </c>
      <c r="F531">
        <v>0</v>
      </c>
      <c r="G531">
        <v>0</v>
      </c>
      <c r="H531">
        <v>0</v>
      </c>
      <c r="I531">
        <f>IF(J531,TRUE,AND(M531))</f>
        <v>0</v>
      </c>
      <c r="J531">
        <f>COUNTBLANK(Metadata!B531)=COLUMNS(Metadata!B531)</f>
        <v>0</v>
      </c>
      <c r="K531">
        <v>0</v>
      </c>
      <c r="M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</row>
    <row r="532" spans="1:13">
      <c r="A532" s="3">
        <f>IF(B532=" "," ",HYPERLINK(CONCATENATE("#metadata!",ADDRESS(INDEX($H$2:$H$1001,MATCH(ROWS($F$2:F532),$F$2:$F$1001,0),0),2)),INDEX($K$2:$K$1001,MATCH(ROWS($F$2:F532),$F$2:$F$1001,0),0)))</f>
        <v>0</v>
      </c>
      <c r="B532" s="4">
        <f>IF(OR(INDEX($G$2:$G$1001,MATCH(ROWS($F$2:F532),$F$2:$F$1001,0),1)&gt;=100000,INDEX($M$1005,1,MATCH(COLUMNS($M$1006:M1006),$M$1006,0))&gt;=100000), " ",IF(INDEX($M$2:$M$1001,MATCH(ROWS($F$2:F532),$F$2:$F$1001,0),MATCH(COLUMNS($M$1006:M1006),$M$1006,0)), HYPERLINK("#",""), HYPERLINK(CONCATENATE("#Metadata!", ADDRESS(INDEX($H$2:$H$1001,MATCH(ROWS($F$2:F532),$F$2:$F$1001,0),0), INDEX($M$1004,1,MATCH(COLUMNS($M$1006:M1006),$M$1006,0)))),"Fix")))</f>
        <v>0</v>
      </c>
      <c r="F532">
        <v>0</v>
      </c>
      <c r="G532">
        <v>0</v>
      </c>
      <c r="H532">
        <v>0</v>
      </c>
      <c r="I532">
        <f>IF(J532,TRUE,AND(M532))</f>
        <v>0</v>
      </c>
      <c r="J532">
        <f>COUNTBLANK(Metadata!B532)=COLUMNS(Metadata!B532)</f>
        <v>0</v>
      </c>
      <c r="K532">
        <v>0</v>
      </c>
      <c r="M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</row>
    <row r="533" spans="1:13">
      <c r="A533" s="3">
        <f>IF(B533=" "," ",HYPERLINK(CONCATENATE("#metadata!",ADDRESS(INDEX($H$2:$H$1001,MATCH(ROWS($F$2:F533),$F$2:$F$1001,0),0),2)),INDEX($K$2:$K$1001,MATCH(ROWS($F$2:F533),$F$2:$F$1001,0),0)))</f>
        <v>0</v>
      </c>
      <c r="B533" s="4">
        <f>IF(OR(INDEX($G$2:$G$1001,MATCH(ROWS($F$2:F533),$F$2:$F$1001,0),1)&gt;=100000,INDEX($M$1005,1,MATCH(COLUMNS($M$1006:M1006),$M$1006,0))&gt;=100000), " ",IF(INDEX($M$2:$M$1001,MATCH(ROWS($F$2:F533),$F$2:$F$1001,0),MATCH(COLUMNS($M$1006:M1006),$M$1006,0)), HYPERLINK("#",""), HYPERLINK(CONCATENATE("#Metadata!", ADDRESS(INDEX($H$2:$H$1001,MATCH(ROWS($F$2:F533),$F$2:$F$1001,0),0), INDEX($M$1004,1,MATCH(COLUMNS($M$1006:M1006),$M$1006,0)))),"Fix")))</f>
        <v>0</v>
      </c>
      <c r="F533">
        <v>0</v>
      </c>
      <c r="G533">
        <v>0</v>
      </c>
      <c r="H533">
        <v>0</v>
      </c>
      <c r="I533">
        <f>IF(J533,TRUE,AND(M533))</f>
        <v>0</v>
      </c>
      <c r="J533">
        <f>COUNTBLANK(Metadata!B533)=COLUMNS(Metadata!B533)</f>
        <v>0</v>
      </c>
      <c r="K533">
        <v>0</v>
      </c>
      <c r="M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</row>
    <row r="534" spans="1:13">
      <c r="A534" s="3">
        <f>IF(B534=" "," ",HYPERLINK(CONCATENATE("#metadata!",ADDRESS(INDEX($H$2:$H$1001,MATCH(ROWS($F$2:F534),$F$2:$F$1001,0),0),2)),INDEX($K$2:$K$1001,MATCH(ROWS($F$2:F534),$F$2:$F$1001,0),0)))</f>
        <v>0</v>
      </c>
      <c r="B534" s="4">
        <f>IF(OR(INDEX($G$2:$G$1001,MATCH(ROWS($F$2:F534),$F$2:$F$1001,0),1)&gt;=100000,INDEX($M$1005,1,MATCH(COLUMNS($M$1006:M1006),$M$1006,0))&gt;=100000), " ",IF(INDEX($M$2:$M$1001,MATCH(ROWS($F$2:F534),$F$2:$F$1001,0),MATCH(COLUMNS($M$1006:M1006),$M$1006,0)), HYPERLINK("#",""), HYPERLINK(CONCATENATE("#Metadata!", ADDRESS(INDEX($H$2:$H$1001,MATCH(ROWS($F$2:F534),$F$2:$F$1001,0),0), INDEX($M$1004,1,MATCH(COLUMNS($M$1006:M1006),$M$1006,0)))),"Fix")))</f>
        <v>0</v>
      </c>
      <c r="F534">
        <v>0</v>
      </c>
      <c r="G534">
        <v>0</v>
      </c>
      <c r="H534">
        <v>0</v>
      </c>
      <c r="I534">
        <f>IF(J534,TRUE,AND(M534))</f>
        <v>0</v>
      </c>
      <c r="J534">
        <f>COUNTBLANK(Metadata!B534)=COLUMNS(Metadata!B534)</f>
        <v>0</v>
      </c>
      <c r="K534">
        <v>0</v>
      </c>
      <c r="M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</row>
    <row r="535" spans="1:13">
      <c r="A535" s="3">
        <f>IF(B535=" "," ",HYPERLINK(CONCATENATE("#metadata!",ADDRESS(INDEX($H$2:$H$1001,MATCH(ROWS($F$2:F535),$F$2:$F$1001,0),0),2)),INDEX($K$2:$K$1001,MATCH(ROWS($F$2:F535),$F$2:$F$1001,0),0)))</f>
        <v>0</v>
      </c>
      <c r="B535" s="4">
        <f>IF(OR(INDEX($G$2:$G$1001,MATCH(ROWS($F$2:F535),$F$2:$F$1001,0),1)&gt;=100000,INDEX($M$1005,1,MATCH(COLUMNS($M$1006:M1006),$M$1006,0))&gt;=100000), " ",IF(INDEX($M$2:$M$1001,MATCH(ROWS($F$2:F535),$F$2:$F$1001,0),MATCH(COLUMNS($M$1006:M1006),$M$1006,0)), HYPERLINK("#",""), HYPERLINK(CONCATENATE("#Metadata!", ADDRESS(INDEX($H$2:$H$1001,MATCH(ROWS($F$2:F535),$F$2:$F$1001,0),0), INDEX($M$1004,1,MATCH(COLUMNS($M$1006:M1006),$M$1006,0)))),"Fix")))</f>
        <v>0</v>
      </c>
      <c r="F535">
        <v>0</v>
      </c>
      <c r="G535">
        <v>0</v>
      </c>
      <c r="H535">
        <v>0</v>
      </c>
      <c r="I535">
        <f>IF(J535,TRUE,AND(M535))</f>
        <v>0</v>
      </c>
      <c r="J535">
        <f>COUNTBLANK(Metadata!B535)=COLUMNS(Metadata!B535)</f>
        <v>0</v>
      </c>
      <c r="K535">
        <v>0</v>
      </c>
      <c r="M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</row>
    <row r="536" spans="1:13">
      <c r="A536" s="3">
        <f>IF(B536=" "," ",HYPERLINK(CONCATENATE("#metadata!",ADDRESS(INDEX($H$2:$H$1001,MATCH(ROWS($F$2:F536),$F$2:$F$1001,0),0),2)),INDEX($K$2:$K$1001,MATCH(ROWS($F$2:F536),$F$2:$F$1001,0),0)))</f>
        <v>0</v>
      </c>
      <c r="B536" s="4">
        <f>IF(OR(INDEX($G$2:$G$1001,MATCH(ROWS($F$2:F536),$F$2:$F$1001,0),1)&gt;=100000,INDEX($M$1005,1,MATCH(COLUMNS($M$1006:M1006),$M$1006,0))&gt;=100000), " ",IF(INDEX($M$2:$M$1001,MATCH(ROWS($F$2:F536),$F$2:$F$1001,0),MATCH(COLUMNS($M$1006:M1006),$M$1006,0)), HYPERLINK("#",""), HYPERLINK(CONCATENATE("#Metadata!", ADDRESS(INDEX($H$2:$H$1001,MATCH(ROWS($F$2:F536),$F$2:$F$1001,0),0), INDEX($M$1004,1,MATCH(COLUMNS($M$1006:M1006),$M$1006,0)))),"Fix")))</f>
        <v>0</v>
      </c>
      <c r="F536">
        <v>0</v>
      </c>
      <c r="G536">
        <v>0</v>
      </c>
      <c r="H536">
        <v>0</v>
      </c>
      <c r="I536">
        <f>IF(J536,TRUE,AND(M536))</f>
        <v>0</v>
      </c>
      <c r="J536">
        <f>COUNTBLANK(Metadata!B536)=COLUMNS(Metadata!B536)</f>
        <v>0</v>
      </c>
      <c r="K536">
        <v>0</v>
      </c>
      <c r="M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</row>
    <row r="537" spans="1:13">
      <c r="A537" s="3">
        <f>IF(B537=" "," ",HYPERLINK(CONCATENATE("#metadata!",ADDRESS(INDEX($H$2:$H$1001,MATCH(ROWS($F$2:F537),$F$2:$F$1001,0),0),2)),INDEX($K$2:$K$1001,MATCH(ROWS($F$2:F537),$F$2:$F$1001,0),0)))</f>
        <v>0</v>
      </c>
      <c r="B537" s="4">
        <f>IF(OR(INDEX($G$2:$G$1001,MATCH(ROWS($F$2:F537),$F$2:$F$1001,0),1)&gt;=100000,INDEX($M$1005,1,MATCH(COLUMNS($M$1006:M1006),$M$1006,0))&gt;=100000), " ",IF(INDEX($M$2:$M$1001,MATCH(ROWS($F$2:F537),$F$2:$F$1001,0),MATCH(COLUMNS($M$1006:M1006),$M$1006,0)), HYPERLINK("#",""), HYPERLINK(CONCATENATE("#Metadata!", ADDRESS(INDEX($H$2:$H$1001,MATCH(ROWS($F$2:F537),$F$2:$F$1001,0),0), INDEX($M$1004,1,MATCH(COLUMNS($M$1006:M1006),$M$1006,0)))),"Fix")))</f>
        <v>0</v>
      </c>
      <c r="F537">
        <v>0</v>
      </c>
      <c r="G537">
        <v>0</v>
      </c>
      <c r="H537">
        <v>0</v>
      </c>
      <c r="I537">
        <f>IF(J537,TRUE,AND(M537))</f>
        <v>0</v>
      </c>
      <c r="J537">
        <f>COUNTBLANK(Metadata!B537)=COLUMNS(Metadata!B537)</f>
        <v>0</v>
      </c>
      <c r="K537">
        <v>0</v>
      </c>
      <c r="M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</row>
    <row r="538" spans="1:13">
      <c r="A538" s="3">
        <f>IF(B538=" "," ",HYPERLINK(CONCATENATE("#metadata!",ADDRESS(INDEX($H$2:$H$1001,MATCH(ROWS($F$2:F538),$F$2:$F$1001,0),0),2)),INDEX($K$2:$K$1001,MATCH(ROWS($F$2:F538),$F$2:$F$1001,0),0)))</f>
        <v>0</v>
      </c>
      <c r="B538" s="4">
        <f>IF(OR(INDEX($G$2:$G$1001,MATCH(ROWS($F$2:F538),$F$2:$F$1001,0),1)&gt;=100000,INDEX($M$1005,1,MATCH(COLUMNS($M$1006:M1006),$M$1006,0))&gt;=100000), " ",IF(INDEX($M$2:$M$1001,MATCH(ROWS($F$2:F538),$F$2:$F$1001,0),MATCH(COLUMNS($M$1006:M1006),$M$1006,0)), HYPERLINK("#",""), HYPERLINK(CONCATENATE("#Metadata!", ADDRESS(INDEX($H$2:$H$1001,MATCH(ROWS($F$2:F538),$F$2:$F$1001,0),0), INDEX($M$1004,1,MATCH(COLUMNS($M$1006:M1006),$M$1006,0)))),"Fix")))</f>
        <v>0</v>
      </c>
      <c r="F538">
        <v>0</v>
      </c>
      <c r="G538">
        <v>0</v>
      </c>
      <c r="H538">
        <v>0</v>
      </c>
      <c r="I538">
        <f>IF(J538,TRUE,AND(M538))</f>
        <v>0</v>
      </c>
      <c r="J538">
        <f>COUNTBLANK(Metadata!B538)=COLUMNS(Metadata!B538)</f>
        <v>0</v>
      </c>
      <c r="K538">
        <v>0</v>
      </c>
      <c r="M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</row>
    <row r="539" spans="1:13">
      <c r="A539" s="3">
        <f>IF(B539=" "," ",HYPERLINK(CONCATENATE("#metadata!",ADDRESS(INDEX($H$2:$H$1001,MATCH(ROWS($F$2:F539),$F$2:$F$1001,0),0),2)),INDEX($K$2:$K$1001,MATCH(ROWS($F$2:F539),$F$2:$F$1001,0),0)))</f>
        <v>0</v>
      </c>
      <c r="B539" s="4">
        <f>IF(OR(INDEX($G$2:$G$1001,MATCH(ROWS($F$2:F539),$F$2:$F$1001,0),1)&gt;=100000,INDEX($M$1005,1,MATCH(COLUMNS($M$1006:M1006),$M$1006,0))&gt;=100000), " ",IF(INDEX($M$2:$M$1001,MATCH(ROWS($F$2:F539),$F$2:$F$1001,0),MATCH(COLUMNS($M$1006:M1006),$M$1006,0)), HYPERLINK("#",""), HYPERLINK(CONCATENATE("#Metadata!", ADDRESS(INDEX($H$2:$H$1001,MATCH(ROWS($F$2:F539),$F$2:$F$1001,0),0), INDEX($M$1004,1,MATCH(COLUMNS($M$1006:M1006),$M$1006,0)))),"Fix")))</f>
        <v>0</v>
      </c>
      <c r="F539">
        <v>0</v>
      </c>
      <c r="G539">
        <v>0</v>
      </c>
      <c r="H539">
        <v>0</v>
      </c>
      <c r="I539">
        <f>IF(J539,TRUE,AND(M539))</f>
        <v>0</v>
      </c>
      <c r="J539">
        <f>COUNTBLANK(Metadata!B539)=COLUMNS(Metadata!B539)</f>
        <v>0</v>
      </c>
      <c r="K539">
        <v>0</v>
      </c>
      <c r="M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</row>
    <row r="540" spans="1:13">
      <c r="A540" s="3">
        <f>IF(B540=" "," ",HYPERLINK(CONCATENATE("#metadata!",ADDRESS(INDEX($H$2:$H$1001,MATCH(ROWS($F$2:F540),$F$2:$F$1001,0),0),2)),INDEX($K$2:$K$1001,MATCH(ROWS($F$2:F540),$F$2:$F$1001,0),0)))</f>
        <v>0</v>
      </c>
      <c r="B540" s="4">
        <f>IF(OR(INDEX($G$2:$G$1001,MATCH(ROWS($F$2:F540),$F$2:$F$1001,0),1)&gt;=100000,INDEX($M$1005,1,MATCH(COLUMNS($M$1006:M1006),$M$1006,0))&gt;=100000), " ",IF(INDEX($M$2:$M$1001,MATCH(ROWS($F$2:F540),$F$2:$F$1001,0),MATCH(COLUMNS($M$1006:M1006),$M$1006,0)), HYPERLINK("#",""), HYPERLINK(CONCATENATE("#Metadata!", ADDRESS(INDEX($H$2:$H$1001,MATCH(ROWS($F$2:F540),$F$2:$F$1001,0),0), INDEX($M$1004,1,MATCH(COLUMNS($M$1006:M1006),$M$1006,0)))),"Fix")))</f>
        <v>0</v>
      </c>
      <c r="F540">
        <v>0</v>
      </c>
      <c r="G540">
        <v>0</v>
      </c>
      <c r="H540">
        <v>0</v>
      </c>
      <c r="I540">
        <f>IF(J540,TRUE,AND(M540))</f>
        <v>0</v>
      </c>
      <c r="J540">
        <f>COUNTBLANK(Metadata!B540)=COLUMNS(Metadata!B540)</f>
        <v>0</v>
      </c>
      <c r="K540">
        <v>0</v>
      </c>
      <c r="M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</row>
    <row r="541" spans="1:13">
      <c r="A541" s="3">
        <f>IF(B541=" "," ",HYPERLINK(CONCATENATE("#metadata!",ADDRESS(INDEX($H$2:$H$1001,MATCH(ROWS($F$2:F541),$F$2:$F$1001,0),0),2)),INDEX($K$2:$K$1001,MATCH(ROWS($F$2:F541),$F$2:$F$1001,0),0)))</f>
        <v>0</v>
      </c>
      <c r="B541" s="4">
        <f>IF(OR(INDEX($G$2:$G$1001,MATCH(ROWS($F$2:F541),$F$2:$F$1001,0),1)&gt;=100000,INDEX($M$1005,1,MATCH(COLUMNS($M$1006:M1006),$M$1006,0))&gt;=100000), " ",IF(INDEX($M$2:$M$1001,MATCH(ROWS($F$2:F541),$F$2:$F$1001,0),MATCH(COLUMNS($M$1006:M1006),$M$1006,0)), HYPERLINK("#",""), HYPERLINK(CONCATENATE("#Metadata!", ADDRESS(INDEX($H$2:$H$1001,MATCH(ROWS($F$2:F541),$F$2:$F$1001,0),0), INDEX($M$1004,1,MATCH(COLUMNS($M$1006:M1006),$M$1006,0)))),"Fix")))</f>
        <v>0</v>
      </c>
      <c r="F541">
        <v>0</v>
      </c>
      <c r="G541">
        <v>0</v>
      </c>
      <c r="H541">
        <v>0</v>
      </c>
      <c r="I541">
        <f>IF(J541,TRUE,AND(M541))</f>
        <v>0</v>
      </c>
      <c r="J541">
        <f>COUNTBLANK(Metadata!B541)=COLUMNS(Metadata!B541)</f>
        <v>0</v>
      </c>
      <c r="K541">
        <v>0</v>
      </c>
      <c r="M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</row>
    <row r="542" spans="1:13">
      <c r="A542" s="3">
        <f>IF(B542=" "," ",HYPERLINK(CONCATENATE("#metadata!",ADDRESS(INDEX($H$2:$H$1001,MATCH(ROWS($F$2:F542),$F$2:$F$1001,0),0),2)),INDEX($K$2:$K$1001,MATCH(ROWS($F$2:F542),$F$2:$F$1001,0),0)))</f>
        <v>0</v>
      </c>
      <c r="B542" s="4">
        <f>IF(OR(INDEX($G$2:$G$1001,MATCH(ROWS($F$2:F542),$F$2:$F$1001,0),1)&gt;=100000,INDEX($M$1005,1,MATCH(COLUMNS($M$1006:M1006),$M$1006,0))&gt;=100000), " ",IF(INDEX($M$2:$M$1001,MATCH(ROWS($F$2:F542),$F$2:$F$1001,0),MATCH(COLUMNS($M$1006:M1006),$M$1006,0)), HYPERLINK("#",""), HYPERLINK(CONCATENATE("#Metadata!", ADDRESS(INDEX($H$2:$H$1001,MATCH(ROWS($F$2:F542),$F$2:$F$1001,0),0), INDEX($M$1004,1,MATCH(COLUMNS($M$1006:M1006),$M$1006,0)))),"Fix")))</f>
        <v>0</v>
      </c>
      <c r="F542">
        <v>0</v>
      </c>
      <c r="G542">
        <v>0</v>
      </c>
      <c r="H542">
        <v>0</v>
      </c>
      <c r="I542">
        <f>IF(J542,TRUE,AND(M542))</f>
        <v>0</v>
      </c>
      <c r="J542">
        <f>COUNTBLANK(Metadata!B542)=COLUMNS(Metadata!B542)</f>
        <v>0</v>
      </c>
      <c r="K542">
        <v>0</v>
      </c>
      <c r="M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</row>
    <row r="543" spans="1:13">
      <c r="A543" s="3">
        <f>IF(B543=" "," ",HYPERLINK(CONCATENATE("#metadata!",ADDRESS(INDEX($H$2:$H$1001,MATCH(ROWS($F$2:F543),$F$2:$F$1001,0),0),2)),INDEX($K$2:$K$1001,MATCH(ROWS($F$2:F543),$F$2:$F$1001,0),0)))</f>
        <v>0</v>
      </c>
      <c r="B543" s="4">
        <f>IF(OR(INDEX($G$2:$G$1001,MATCH(ROWS($F$2:F543),$F$2:$F$1001,0),1)&gt;=100000,INDEX($M$1005,1,MATCH(COLUMNS($M$1006:M1006),$M$1006,0))&gt;=100000), " ",IF(INDEX($M$2:$M$1001,MATCH(ROWS($F$2:F543),$F$2:$F$1001,0),MATCH(COLUMNS($M$1006:M1006),$M$1006,0)), HYPERLINK("#",""), HYPERLINK(CONCATENATE("#Metadata!", ADDRESS(INDEX($H$2:$H$1001,MATCH(ROWS($F$2:F543),$F$2:$F$1001,0),0), INDEX($M$1004,1,MATCH(COLUMNS($M$1006:M1006),$M$1006,0)))),"Fix")))</f>
        <v>0</v>
      </c>
      <c r="F543">
        <v>0</v>
      </c>
      <c r="G543">
        <v>0</v>
      </c>
      <c r="H543">
        <v>0</v>
      </c>
      <c r="I543">
        <f>IF(J543,TRUE,AND(M543))</f>
        <v>0</v>
      </c>
      <c r="J543">
        <f>COUNTBLANK(Metadata!B543)=COLUMNS(Metadata!B543)</f>
        <v>0</v>
      </c>
      <c r="K543">
        <v>0</v>
      </c>
      <c r="M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</row>
    <row r="544" spans="1:13">
      <c r="A544" s="3">
        <f>IF(B544=" "," ",HYPERLINK(CONCATENATE("#metadata!",ADDRESS(INDEX($H$2:$H$1001,MATCH(ROWS($F$2:F544),$F$2:$F$1001,0),0),2)),INDEX($K$2:$K$1001,MATCH(ROWS($F$2:F544),$F$2:$F$1001,0),0)))</f>
        <v>0</v>
      </c>
      <c r="B544" s="4">
        <f>IF(OR(INDEX($G$2:$G$1001,MATCH(ROWS($F$2:F544),$F$2:$F$1001,0),1)&gt;=100000,INDEX($M$1005,1,MATCH(COLUMNS($M$1006:M1006),$M$1006,0))&gt;=100000), " ",IF(INDEX($M$2:$M$1001,MATCH(ROWS($F$2:F544),$F$2:$F$1001,0),MATCH(COLUMNS($M$1006:M1006),$M$1006,0)), HYPERLINK("#",""), HYPERLINK(CONCATENATE("#Metadata!", ADDRESS(INDEX($H$2:$H$1001,MATCH(ROWS($F$2:F544),$F$2:$F$1001,0),0), INDEX($M$1004,1,MATCH(COLUMNS($M$1006:M1006),$M$1006,0)))),"Fix")))</f>
        <v>0</v>
      </c>
      <c r="F544">
        <v>0</v>
      </c>
      <c r="G544">
        <v>0</v>
      </c>
      <c r="H544">
        <v>0</v>
      </c>
      <c r="I544">
        <f>IF(J544,TRUE,AND(M544))</f>
        <v>0</v>
      </c>
      <c r="J544">
        <f>COUNTBLANK(Metadata!B544)=COLUMNS(Metadata!B544)</f>
        <v>0</v>
      </c>
      <c r="K544">
        <v>0</v>
      </c>
      <c r="M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</row>
    <row r="545" spans="1:13">
      <c r="A545" s="3">
        <f>IF(B545=" "," ",HYPERLINK(CONCATENATE("#metadata!",ADDRESS(INDEX($H$2:$H$1001,MATCH(ROWS($F$2:F545),$F$2:$F$1001,0),0),2)),INDEX($K$2:$K$1001,MATCH(ROWS($F$2:F545),$F$2:$F$1001,0),0)))</f>
        <v>0</v>
      </c>
      <c r="B545" s="4">
        <f>IF(OR(INDEX($G$2:$G$1001,MATCH(ROWS($F$2:F545),$F$2:$F$1001,0),1)&gt;=100000,INDEX($M$1005,1,MATCH(COLUMNS($M$1006:M1006),$M$1006,0))&gt;=100000), " ",IF(INDEX($M$2:$M$1001,MATCH(ROWS($F$2:F545),$F$2:$F$1001,0),MATCH(COLUMNS($M$1006:M1006),$M$1006,0)), HYPERLINK("#",""), HYPERLINK(CONCATENATE("#Metadata!", ADDRESS(INDEX($H$2:$H$1001,MATCH(ROWS($F$2:F545),$F$2:$F$1001,0),0), INDEX($M$1004,1,MATCH(COLUMNS($M$1006:M1006),$M$1006,0)))),"Fix")))</f>
        <v>0</v>
      </c>
      <c r="F545">
        <v>0</v>
      </c>
      <c r="G545">
        <v>0</v>
      </c>
      <c r="H545">
        <v>0</v>
      </c>
      <c r="I545">
        <f>IF(J545,TRUE,AND(M545))</f>
        <v>0</v>
      </c>
      <c r="J545">
        <f>COUNTBLANK(Metadata!B545)=COLUMNS(Metadata!B545)</f>
        <v>0</v>
      </c>
      <c r="K545">
        <v>0</v>
      </c>
      <c r="M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</row>
    <row r="546" spans="1:13">
      <c r="A546" s="3">
        <f>IF(B546=" "," ",HYPERLINK(CONCATENATE("#metadata!",ADDRESS(INDEX($H$2:$H$1001,MATCH(ROWS($F$2:F546),$F$2:$F$1001,0),0),2)),INDEX($K$2:$K$1001,MATCH(ROWS($F$2:F546),$F$2:$F$1001,0),0)))</f>
        <v>0</v>
      </c>
      <c r="B546" s="4">
        <f>IF(OR(INDEX($G$2:$G$1001,MATCH(ROWS($F$2:F546),$F$2:$F$1001,0),1)&gt;=100000,INDEX($M$1005,1,MATCH(COLUMNS($M$1006:M1006),$M$1006,0))&gt;=100000), " ",IF(INDEX($M$2:$M$1001,MATCH(ROWS($F$2:F546),$F$2:$F$1001,0),MATCH(COLUMNS($M$1006:M1006),$M$1006,0)), HYPERLINK("#",""), HYPERLINK(CONCATENATE("#Metadata!", ADDRESS(INDEX($H$2:$H$1001,MATCH(ROWS($F$2:F546),$F$2:$F$1001,0),0), INDEX($M$1004,1,MATCH(COLUMNS($M$1006:M1006),$M$1006,0)))),"Fix")))</f>
        <v>0</v>
      </c>
      <c r="F546">
        <v>0</v>
      </c>
      <c r="G546">
        <v>0</v>
      </c>
      <c r="H546">
        <v>0</v>
      </c>
      <c r="I546">
        <f>IF(J546,TRUE,AND(M546))</f>
        <v>0</v>
      </c>
      <c r="J546">
        <f>COUNTBLANK(Metadata!B546)=COLUMNS(Metadata!B546)</f>
        <v>0</v>
      </c>
      <c r="K546">
        <v>0</v>
      </c>
      <c r="M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</row>
    <row r="547" spans="1:13">
      <c r="A547" s="3">
        <f>IF(B547=" "," ",HYPERLINK(CONCATENATE("#metadata!",ADDRESS(INDEX($H$2:$H$1001,MATCH(ROWS($F$2:F547),$F$2:$F$1001,0),0),2)),INDEX($K$2:$K$1001,MATCH(ROWS($F$2:F547),$F$2:$F$1001,0),0)))</f>
        <v>0</v>
      </c>
      <c r="B547" s="4">
        <f>IF(OR(INDEX($G$2:$G$1001,MATCH(ROWS($F$2:F547),$F$2:$F$1001,0),1)&gt;=100000,INDEX($M$1005,1,MATCH(COLUMNS($M$1006:M1006),$M$1006,0))&gt;=100000), " ",IF(INDEX($M$2:$M$1001,MATCH(ROWS($F$2:F547),$F$2:$F$1001,0),MATCH(COLUMNS($M$1006:M1006),$M$1006,0)), HYPERLINK("#",""), HYPERLINK(CONCATENATE("#Metadata!", ADDRESS(INDEX($H$2:$H$1001,MATCH(ROWS($F$2:F547),$F$2:$F$1001,0),0), INDEX($M$1004,1,MATCH(COLUMNS($M$1006:M1006),$M$1006,0)))),"Fix")))</f>
        <v>0</v>
      </c>
      <c r="F547">
        <v>0</v>
      </c>
      <c r="G547">
        <v>0</v>
      </c>
      <c r="H547">
        <v>0</v>
      </c>
      <c r="I547">
        <f>IF(J547,TRUE,AND(M547))</f>
        <v>0</v>
      </c>
      <c r="J547">
        <f>COUNTBLANK(Metadata!B547)=COLUMNS(Metadata!B547)</f>
        <v>0</v>
      </c>
      <c r="K547">
        <v>0</v>
      </c>
      <c r="M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</row>
    <row r="548" spans="1:13">
      <c r="A548" s="3">
        <f>IF(B548=" "," ",HYPERLINK(CONCATENATE("#metadata!",ADDRESS(INDEX($H$2:$H$1001,MATCH(ROWS($F$2:F548),$F$2:$F$1001,0),0),2)),INDEX($K$2:$K$1001,MATCH(ROWS($F$2:F548),$F$2:$F$1001,0),0)))</f>
        <v>0</v>
      </c>
      <c r="B548" s="4">
        <f>IF(OR(INDEX($G$2:$G$1001,MATCH(ROWS($F$2:F548),$F$2:$F$1001,0),1)&gt;=100000,INDEX($M$1005,1,MATCH(COLUMNS($M$1006:M1006),$M$1006,0))&gt;=100000), " ",IF(INDEX($M$2:$M$1001,MATCH(ROWS($F$2:F548),$F$2:$F$1001,0),MATCH(COLUMNS($M$1006:M1006),$M$1006,0)), HYPERLINK("#",""), HYPERLINK(CONCATENATE("#Metadata!", ADDRESS(INDEX($H$2:$H$1001,MATCH(ROWS($F$2:F548),$F$2:$F$1001,0),0), INDEX($M$1004,1,MATCH(COLUMNS($M$1006:M1006),$M$1006,0)))),"Fix")))</f>
        <v>0</v>
      </c>
      <c r="F548">
        <v>0</v>
      </c>
      <c r="G548">
        <v>0</v>
      </c>
      <c r="H548">
        <v>0</v>
      </c>
      <c r="I548">
        <f>IF(J548,TRUE,AND(M548))</f>
        <v>0</v>
      </c>
      <c r="J548">
        <f>COUNTBLANK(Metadata!B548)=COLUMNS(Metadata!B548)</f>
        <v>0</v>
      </c>
      <c r="K548">
        <v>0</v>
      </c>
      <c r="M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</row>
    <row r="549" spans="1:13">
      <c r="A549" s="3">
        <f>IF(B549=" "," ",HYPERLINK(CONCATENATE("#metadata!",ADDRESS(INDEX($H$2:$H$1001,MATCH(ROWS($F$2:F549),$F$2:$F$1001,0),0),2)),INDEX($K$2:$K$1001,MATCH(ROWS($F$2:F549),$F$2:$F$1001,0),0)))</f>
        <v>0</v>
      </c>
      <c r="B549" s="4">
        <f>IF(OR(INDEX($G$2:$G$1001,MATCH(ROWS($F$2:F549),$F$2:$F$1001,0),1)&gt;=100000,INDEX($M$1005,1,MATCH(COLUMNS($M$1006:M1006),$M$1006,0))&gt;=100000), " ",IF(INDEX($M$2:$M$1001,MATCH(ROWS($F$2:F549),$F$2:$F$1001,0),MATCH(COLUMNS($M$1006:M1006),$M$1006,0)), HYPERLINK("#",""), HYPERLINK(CONCATENATE("#Metadata!", ADDRESS(INDEX($H$2:$H$1001,MATCH(ROWS($F$2:F549),$F$2:$F$1001,0),0), INDEX($M$1004,1,MATCH(COLUMNS($M$1006:M1006),$M$1006,0)))),"Fix")))</f>
        <v>0</v>
      </c>
      <c r="F549">
        <v>0</v>
      </c>
      <c r="G549">
        <v>0</v>
      </c>
      <c r="H549">
        <v>0</v>
      </c>
      <c r="I549">
        <f>IF(J549,TRUE,AND(M549))</f>
        <v>0</v>
      </c>
      <c r="J549">
        <f>COUNTBLANK(Metadata!B549)=COLUMNS(Metadata!B549)</f>
        <v>0</v>
      </c>
      <c r="K549">
        <v>0</v>
      </c>
      <c r="M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</row>
    <row r="550" spans="1:13">
      <c r="A550" s="3">
        <f>IF(B550=" "," ",HYPERLINK(CONCATENATE("#metadata!",ADDRESS(INDEX($H$2:$H$1001,MATCH(ROWS($F$2:F550),$F$2:$F$1001,0),0),2)),INDEX($K$2:$K$1001,MATCH(ROWS($F$2:F550),$F$2:$F$1001,0),0)))</f>
        <v>0</v>
      </c>
      <c r="B550" s="4">
        <f>IF(OR(INDEX($G$2:$G$1001,MATCH(ROWS($F$2:F550),$F$2:$F$1001,0),1)&gt;=100000,INDEX($M$1005,1,MATCH(COLUMNS($M$1006:M1006),$M$1006,0))&gt;=100000), " ",IF(INDEX($M$2:$M$1001,MATCH(ROWS($F$2:F550),$F$2:$F$1001,0),MATCH(COLUMNS($M$1006:M1006),$M$1006,0)), HYPERLINK("#",""), HYPERLINK(CONCATENATE("#Metadata!", ADDRESS(INDEX($H$2:$H$1001,MATCH(ROWS($F$2:F550),$F$2:$F$1001,0),0), INDEX($M$1004,1,MATCH(COLUMNS($M$1006:M1006),$M$1006,0)))),"Fix")))</f>
        <v>0</v>
      </c>
      <c r="F550">
        <v>0</v>
      </c>
      <c r="G550">
        <v>0</v>
      </c>
      <c r="H550">
        <v>0</v>
      </c>
      <c r="I550">
        <f>IF(J550,TRUE,AND(M550))</f>
        <v>0</v>
      </c>
      <c r="J550">
        <f>COUNTBLANK(Metadata!B550)=COLUMNS(Metadata!B550)</f>
        <v>0</v>
      </c>
      <c r="K550">
        <v>0</v>
      </c>
      <c r="M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</row>
    <row r="551" spans="1:13">
      <c r="A551" s="3">
        <f>IF(B551=" "," ",HYPERLINK(CONCATENATE("#metadata!",ADDRESS(INDEX($H$2:$H$1001,MATCH(ROWS($F$2:F551),$F$2:$F$1001,0),0),2)),INDEX($K$2:$K$1001,MATCH(ROWS($F$2:F551),$F$2:$F$1001,0),0)))</f>
        <v>0</v>
      </c>
      <c r="B551" s="4">
        <f>IF(OR(INDEX($G$2:$G$1001,MATCH(ROWS($F$2:F551),$F$2:$F$1001,0),1)&gt;=100000,INDEX($M$1005,1,MATCH(COLUMNS($M$1006:M1006),$M$1006,0))&gt;=100000), " ",IF(INDEX($M$2:$M$1001,MATCH(ROWS($F$2:F551),$F$2:$F$1001,0),MATCH(COLUMNS($M$1006:M1006),$M$1006,0)), HYPERLINK("#",""), HYPERLINK(CONCATENATE("#Metadata!", ADDRESS(INDEX($H$2:$H$1001,MATCH(ROWS($F$2:F551),$F$2:$F$1001,0),0), INDEX($M$1004,1,MATCH(COLUMNS($M$1006:M1006),$M$1006,0)))),"Fix")))</f>
        <v>0</v>
      </c>
      <c r="F551">
        <v>0</v>
      </c>
      <c r="G551">
        <v>0</v>
      </c>
      <c r="H551">
        <v>0</v>
      </c>
      <c r="I551">
        <f>IF(J551,TRUE,AND(M551))</f>
        <v>0</v>
      </c>
      <c r="J551">
        <f>COUNTBLANK(Metadata!B551)=COLUMNS(Metadata!B551)</f>
        <v>0</v>
      </c>
      <c r="K551">
        <v>0</v>
      </c>
      <c r="M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</row>
    <row r="552" spans="1:13">
      <c r="A552" s="3">
        <f>IF(B552=" "," ",HYPERLINK(CONCATENATE("#metadata!",ADDRESS(INDEX($H$2:$H$1001,MATCH(ROWS($F$2:F552),$F$2:$F$1001,0),0),2)),INDEX($K$2:$K$1001,MATCH(ROWS($F$2:F552),$F$2:$F$1001,0),0)))</f>
        <v>0</v>
      </c>
      <c r="B552" s="4">
        <f>IF(OR(INDEX($G$2:$G$1001,MATCH(ROWS($F$2:F552),$F$2:$F$1001,0),1)&gt;=100000,INDEX($M$1005,1,MATCH(COLUMNS($M$1006:M1006),$M$1006,0))&gt;=100000), " ",IF(INDEX($M$2:$M$1001,MATCH(ROWS($F$2:F552),$F$2:$F$1001,0),MATCH(COLUMNS($M$1006:M1006),$M$1006,0)), HYPERLINK("#",""), HYPERLINK(CONCATENATE("#Metadata!", ADDRESS(INDEX($H$2:$H$1001,MATCH(ROWS($F$2:F552),$F$2:$F$1001,0),0), INDEX($M$1004,1,MATCH(COLUMNS($M$1006:M1006),$M$1006,0)))),"Fix")))</f>
        <v>0</v>
      </c>
      <c r="F552">
        <v>0</v>
      </c>
      <c r="G552">
        <v>0</v>
      </c>
      <c r="H552">
        <v>0</v>
      </c>
      <c r="I552">
        <f>IF(J552,TRUE,AND(M552))</f>
        <v>0</v>
      </c>
      <c r="J552">
        <f>COUNTBLANK(Metadata!B552)=COLUMNS(Metadata!B552)</f>
        <v>0</v>
      </c>
      <c r="K552">
        <v>0</v>
      </c>
      <c r="M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</row>
    <row r="553" spans="1:13">
      <c r="A553" s="3">
        <f>IF(B553=" "," ",HYPERLINK(CONCATENATE("#metadata!",ADDRESS(INDEX($H$2:$H$1001,MATCH(ROWS($F$2:F553),$F$2:$F$1001,0),0),2)),INDEX($K$2:$K$1001,MATCH(ROWS($F$2:F553),$F$2:$F$1001,0),0)))</f>
        <v>0</v>
      </c>
      <c r="B553" s="4">
        <f>IF(OR(INDEX($G$2:$G$1001,MATCH(ROWS($F$2:F553),$F$2:$F$1001,0),1)&gt;=100000,INDEX($M$1005,1,MATCH(COLUMNS($M$1006:M1006),$M$1006,0))&gt;=100000), " ",IF(INDEX($M$2:$M$1001,MATCH(ROWS($F$2:F553),$F$2:$F$1001,0),MATCH(COLUMNS($M$1006:M1006),$M$1006,0)), HYPERLINK("#",""), HYPERLINK(CONCATENATE("#Metadata!", ADDRESS(INDEX($H$2:$H$1001,MATCH(ROWS($F$2:F553),$F$2:$F$1001,0),0), INDEX($M$1004,1,MATCH(COLUMNS($M$1006:M1006),$M$1006,0)))),"Fix")))</f>
        <v>0</v>
      </c>
      <c r="F553">
        <v>0</v>
      </c>
      <c r="G553">
        <v>0</v>
      </c>
      <c r="H553">
        <v>0</v>
      </c>
      <c r="I553">
        <f>IF(J553,TRUE,AND(M553))</f>
        <v>0</v>
      </c>
      <c r="J553">
        <f>COUNTBLANK(Metadata!B553)=COLUMNS(Metadata!B553)</f>
        <v>0</v>
      </c>
      <c r="K553">
        <v>0</v>
      </c>
      <c r="M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</row>
    <row r="554" spans="1:13">
      <c r="A554" s="3">
        <f>IF(B554=" "," ",HYPERLINK(CONCATENATE("#metadata!",ADDRESS(INDEX($H$2:$H$1001,MATCH(ROWS($F$2:F554),$F$2:$F$1001,0),0),2)),INDEX($K$2:$K$1001,MATCH(ROWS($F$2:F554),$F$2:$F$1001,0),0)))</f>
        <v>0</v>
      </c>
      <c r="B554" s="4">
        <f>IF(OR(INDEX($G$2:$G$1001,MATCH(ROWS($F$2:F554),$F$2:$F$1001,0),1)&gt;=100000,INDEX($M$1005,1,MATCH(COLUMNS($M$1006:M1006),$M$1006,0))&gt;=100000), " ",IF(INDEX($M$2:$M$1001,MATCH(ROWS($F$2:F554),$F$2:$F$1001,0),MATCH(COLUMNS($M$1006:M1006),$M$1006,0)), HYPERLINK("#",""), HYPERLINK(CONCATENATE("#Metadata!", ADDRESS(INDEX($H$2:$H$1001,MATCH(ROWS($F$2:F554),$F$2:$F$1001,0),0), INDEX($M$1004,1,MATCH(COLUMNS($M$1006:M1006),$M$1006,0)))),"Fix")))</f>
        <v>0</v>
      </c>
      <c r="F554">
        <v>0</v>
      </c>
      <c r="G554">
        <v>0</v>
      </c>
      <c r="H554">
        <v>0</v>
      </c>
      <c r="I554">
        <f>IF(J554,TRUE,AND(M554))</f>
        <v>0</v>
      </c>
      <c r="J554">
        <f>COUNTBLANK(Metadata!B554)=COLUMNS(Metadata!B554)</f>
        <v>0</v>
      </c>
      <c r="K554">
        <v>0</v>
      </c>
      <c r="M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</row>
    <row r="555" spans="1:13">
      <c r="A555" s="3">
        <f>IF(B555=" "," ",HYPERLINK(CONCATENATE("#metadata!",ADDRESS(INDEX($H$2:$H$1001,MATCH(ROWS($F$2:F555),$F$2:$F$1001,0),0),2)),INDEX($K$2:$K$1001,MATCH(ROWS($F$2:F555),$F$2:$F$1001,0),0)))</f>
        <v>0</v>
      </c>
      <c r="B555" s="4">
        <f>IF(OR(INDEX($G$2:$G$1001,MATCH(ROWS($F$2:F555),$F$2:$F$1001,0),1)&gt;=100000,INDEX($M$1005,1,MATCH(COLUMNS($M$1006:M1006),$M$1006,0))&gt;=100000), " ",IF(INDEX($M$2:$M$1001,MATCH(ROWS($F$2:F555),$F$2:$F$1001,0),MATCH(COLUMNS($M$1006:M1006),$M$1006,0)), HYPERLINK("#",""), HYPERLINK(CONCATENATE("#Metadata!", ADDRESS(INDEX($H$2:$H$1001,MATCH(ROWS($F$2:F555),$F$2:$F$1001,0),0), INDEX($M$1004,1,MATCH(COLUMNS($M$1006:M1006),$M$1006,0)))),"Fix")))</f>
        <v>0</v>
      </c>
      <c r="F555">
        <v>0</v>
      </c>
      <c r="G555">
        <v>0</v>
      </c>
      <c r="H555">
        <v>0</v>
      </c>
      <c r="I555">
        <f>IF(J555,TRUE,AND(M555))</f>
        <v>0</v>
      </c>
      <c r="J555">
        <f>COUNTBLANK(Metadata!B555)=COLUMNS(Metadata!B555)</f>
        <v>0</v>
      </c>
      <c r="K555">
        <v>0</v>
      </c>
      <c r="M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</row>
    <row r="556" spans="1:13">
      <c r="A556" s="3">
        <f>IF(B556=" "," ",HYPERLINK(CONCATENATE("#metadata!",ADDRESS(INDEX($H$2:$H$1001,MATCH(ROWS($F$2:F556),$F$2:$F$1001,0),0),2)),INDEX($K$2:$K$1001,MATCH(ROWS($F$2:F556),$F$2:$F$1001,0),0)))</f>
        <v>0</v>
      </c>
      <c r="B556" s="4">
        <f>IF(OR(INDEX($G$2:$G$1001,MATCH(ROWS($F$2:F556),$F$2:$F$1001,0),1)&gt;=100000,INDEX($M$1005,1,MATCH(COLUMNS($M$1006:M1006),$M$1006,0))&gt;=100000), " ",IF(INDEX($M$2:$M$1001,MATCH(ROWS($F$2:F556),$F$2:$F$1001,0),MATCH(COLUMNS($M$1006:M1006),$M$1006,0)), HYPERLINK("#",""), HYPERLINK(CONCATENATE("#Metadata!", ADDRESS(INDEX($H$2:$H$1001,MATCH(ROWS($F$2:F556),$F$2:$F$1001,0),0), INDEX($M$1004,1,MATCH(COLUMNS($M$1006:M1006),$M$1006,0)))),"Fix")))</f>
        <v>0</v>
      </c>
      <c r="F556">
        <v>0</v>
      </c>
      <c r="G556">
        <v>0</v>
      </c>
      <c r="H556">
        <v>0</v>
      </c>
      <c r="I556">
        <f>IF(J556,TRUE,AND(M556))</f>
        <v>0</v>
      </c>
      <c r="J556">
        <f>COUNTBLANK(Metadata!B556)=COLUMNS(Metadata!B556)</f>
        <v>0</v>
      </c>
      <c r="K556">
        <v>0</v>
      </c>
      <c r="M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</row>
    <row r="557" spans="1:13">
      <c r="A557" s="3">
        <f>IF(B557=" "," ",HYPERLINK(CONCATENATE("#metadata!",ADDRESS(INDEX($H$2:$H$1001,MATCH(ROWS($F$2:F557),$F$2:$F$1001,0),0),2)),INDEX($K$2:$K$1001,MATCH(ROWS($F$2:F557),$F$2:$F$1001,0),0)))</f>
        <v>0</v>
      </c>
      <c r="B557" s="4">
        <f>IF(OR(INDEX($G$2:$G$1001,MATCH(ROWS($F$2:F557),$F$2:$F$1001,0),1)&gt;=100000,INDEX($M$1005,1,MATCH(COLUMNS($M$1006:M1006),$M$1006,0))&gt;=100000), " ",IF(INDEX($M$2:$M$1001,MATCH(ROWS($F$2:F557),$F$2:$F$1001,0),MATCH(COLUMNS($M$1006:M1006),$M$1006,0)), HYPERLINK("#",""), HYPERLINK(CONCATENATE("#Metadata!", ADDRESS(INDEX($H$2:$H$1001,MATCH(ROWS($F$2:F557),$F$2:$F$1001,0),0), INDEX($M$1004,1,MATCH(COLUMNS($M$1006:M1006),$M$1006,0)))),"Fix")))</f>
        <v>0</v>
      </c>
      <c r="F557">
        <v>0</v>
      </c>
      <c r="G557">
        <v>0</v>
      </c>
      <c r="H557">
        <v>0</v>
      </c>
      <c r="I557">
        <f>IF(J557,TRUE,AND(M557))</f>
        <v>0</v>
      </c>
      <c r="J557">
        <f>COUNTBLANK(Metadata!B557)=COLUMNS(Metadata!B557)</f>
        <v>0</v>
      </c>
      <c r="K557">
        <v>0</v>
      </c>
      <c r="M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</row>
    <row r="558" spans="1:13">
      <c r="A558" s="3">
        <f>IF(B558=" "," ",HYPERLINK(CONCATENATE("#metadata!",ADDRESS(INDEX($H$2:$H$1001,MATCH(ROWS($F$2:F558),$F$2:$F$1001,0),0),2)),INDEX($K$2:$K$1001,MATCH(ROWS($F$2:F558),$F$2:$F$1001,0),0)))</f>
        <v>0</v>
      </c>
      <c r="B558" s="4">
        <f>IF(OR(INDEX($G$2:$G$1001,MATCH(ROWS($F$2:F558),$F$2:$F$1001,0),1)&gt;=100000,INDEX($M$1005,1,MATCH(COLUMNS($M$1006:M1006),$M$1006,0))&gt;=100000), " ",IF(INDEX($M$2:$M$1001,MATCH(ROWS($F$2:F558),$F$2:$F$1001,0),MATCH(COLUMNS($M$1006:M1006),$M$1006,0)), HYPERLINK("#",""), HYPERLINK(CONCATENATE("#Metadata!", ADDRESS(INDEX($H$2:$H$1001,MATCH(ROWS($F$2:F558),$F$2:$F$1001,0),0), INDEX($M$1004,1,MATCH(COLUMNS($M$1006:M1006),$M$1006,0)))),"Fix")))</f>
        <v>0</v>
      </c>
      <c r="F558">
        <v>0</v>
      </c>
      <c r="G558">
        <v>0</v>
      </c>
      <c r="H558">
        <v>0</v>
      </c>
      <c r="I558">
        <f>IF(J558,TRUE,AND(M558))</f>
        <v>0</v>
      </c>
      <c r="J558">
        <f>COUNTBLANK(Metadata!B558)=COLUMNS(Metadata!B558)</f>
        <v>0</v>
      </c>
      <c r="K558">
        <v>0</v>
      </c>
      <c r="M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</row>
    <row r="559" spans="1:13">
      <c r="A559" s="3">
        <f>IF(B559=" "," ",HYPERLINK(CONCATENATE("#metadata!",ADDRESS(INDEX($H$2:$H$1001,MATCH(ROWS($F$2:F559),$F$2:$F$1001,0),0),2)),INDEX($K$2:$K$1001,MATCH(ROWS($F$2:F559),$F$2:$F$1001,0),0)))</f>
        <v>0</v>
      </c>
      <c r="B559" s="4">
        <f>IF(OR(INDEX($G$2:$G$1001,MATCH(ROWS($F$2:F559),$F$2:$F$1001,0),1)&gt;=100000,INDEX($M$1005,1,MATCH(COLUMNS($M$1006:M1006),$M$1006,0))&gt;=100000), " ",IF(INDEX($M$2:$M$1001,MATCH(ROWS($F$2:F559),$F$2:$F$1001,0),MATCH(COLUMNS($M$1006:M1006),$M$1006,0)), HYPERLINK("#",""), HYPERLINK(CONCATENATE("#Metadata!", ADDRESS(INDEX($H$2:$H$1001,MATCH(ROWS($F$2:F559),$F$2:$F$1001,0),0), INDEX($M$1004,1,MATCH(COLUMNS($M$1006:M1006),$M$1006,0)))),"Fix")))</f>
        <v>0</v>
      </c>
      <c r="F559">
        <v>0</v>
      </c>
      <c r="G559">
        <v>0</v>
      </c>
      <c r="H559">
        <v>0</v>
      </c>
      <c r="I559">
        <f>IF(J559,TRUE,AND(M559))</f>
        <v>0</v>
      </c>
      <c r="J559">
        <f>COUNTBLANK(Metadata!B559)=COLUMNS(Metadata!B559)</f>
        <v>0</v>
      </c>
      <c r="K559">
        <v>0</v>
      </c>
      <c r="M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</row>
    <row r="560" spans="1:13">
      <c r="A560" s="3">
        <f>IF(B560=" "," ",HYPERLINK(CONCATENATE("#metadata!",ADDRESS(INDEX($H$2:$H$1001,MATCH(ROWS($F$2:F560),$F$2:$F$1001,0),0),2)),INDEX($K$2:$K$1001,MATCH(ROWS($F$2:F560),$F$2:$F$1001,0),0)))</f>
        <v>0</v>
      </c>
      <c r="B560" s="4">
        <f>IF(OR(INDEX($G$2:$G$1001,MATCH(ROWS($F$2:F560),$F$2:$F$1001,0),1)&gt;=100000,INDEX($M$1005,1,MATCH(COLUMNS($M$1006:M1006),$M$1006,0))&gt;=100000), " ",IF(INDEX($M$2:$M$1001,MATCH(ROWS($F$2:F560),$F$2:$F$1001,0),MATCH(COLUMNS($M$1006:M1006),$M$1006,0)), HYPERLINK("#",""), HYPERLINK(CONCATENATE("#Metadata!", ADDRESS(INDEX($H$2:$H$1001,MATCH(ROWS($F$2:F560),$F$2:$F$1001,0),0), INDEX($M$1004,1,MATCH(COLUMNS($M$1006:M1006),$M$1006,0)))),"Fix")))</f>
        <v>0</v>
      </c>
      <c r="F560">
        <v>0</v>
      </c>
      <c r="G560">
        <v>0</v>
      </c>
      <c r="H560">
        <v>0</v>
      </c>
      <c r="I560">
        <f>IF(J560,TRUE,AND(M560))</f>
        <v>0</v>
      </c>
      <c r="J560">
        <f>COUNTBLANK(Metadata!B560)=COLUMNS(Metadata!B560)</f>
        <v>0</v>
      </c>
      <c r="K560">
        <v>0</v>
      </c>
      <c r="M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</row>
    <row r="561" spans="1:13">
      <c r="A561" s="3">
        <f>IF(B561=" "," ",HYPERLINK(CONCATENATE("#metadata!",ADDRESS(INDEX($H$2:$H$1001,MATCH(ROWS($F$2:F561),$F$2:$F$1001,0),0),2)),INDEX($K$2:$K$1001,MATCH(ROWS($F$2:F561),$F$2:$F$1001,0),0)))</f>
        <v>0</v>
      </c>
      <c r="B561" s="4">
        <f>IF(OR(INDEX($G$2:$G$1001,MATCH(ROWS($F$2:F561),$F$2:$F$1001,0),1)&gt;=100000,INDEX($M$1005,1,MATCH(COLUMNS($M$1006:M1006),$M$1006,0))&gt;=100000), " ",IF(INDEX($M$2:$M$1001,MATCH(ROWS($F$2:F561),$F$2:$F$1001,0),MATCH(COLUMNS($M$1006:M1006),$M$1006,0)), HYPERLINK("#",""), HYPERLINK(CONCATENATE("#Metadata!", ADDRESS(INDEX($H$2:$H$1001,MATCH(ROWS($F$2:F561),$F$2:$F$1001,0),0), INDEX($M$1004,1,MATCH(COLUMNS($M$1006:M1006),$M$1006,0)))),"Fix")))</f>
        <v>0</v>
      </c>
      <c r="F561">
        <v>0</v>
      </c>
      <c r="G561">
        <v>0</v>
      </c>
      <c r="H561">
        <v>0</v>
      </c>
      <c r="I561">
        <f>IF(J561,TRUE,AND(M561))</f>
        <v>0</v>
      </c>
      <c r="J561">
        <f>COUNTBLANK(Metadata!B561)=COLUMNS(Metadata!B561)</f>
        <v>0</v>
      </c>
      <c r="K561">
        <v>0</v>
      </c>
      <c r="M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</row>
    <row r="562" spans="1:13">
      <c r="A562" s="3">
        <f>IF(B562=" "," ",HYPERLINK(CONCATENATE("#metadata!",ADDRESS(INDEX($H$2:$H$1001,MATCH(ROWS($F$2:F562),$F$2:$F$1001,0),0),2)),INDEX($K$2:$K$1001,MATCH(ROWS($F$2:F562),$F$2:$F$1001,0),0)))</f>
        <v>0</v>
      </c>
      <c r="B562" s="4">
        <f>IF(OR(INDEX($G$2:$G$1001,MATCH(ROWS($F$2:F562),$F$2:$F$1001,0),1)&gt;=100000,INDEX($M$1005,1,MATCH(COLUMNS($M$1006:M1006),$M$1006,0))&gt;=100000), " ",IF(INDEX($M$2:$M$1001,MATCH(ROWS($F$2:F562),$F$2:$F$1001,0),MATCH(COLUMNS($M$1006:M1006),$M$1006,0)), HYPERLINK("#",""), HYPERLINK(CONCATENATE("#Metadata!", ADDRESS(INDEX($H$2:$H$1001,MATCH(ROWS($F$2:F562),$F$2:$F$1001,0),0), INDEX($M$1004,1,MATCH(COLUMNS($M$1006:M1006),$M$1006,0)))),"Fix")))</f>
        <v>0</v>
      </c>
      <c r="F562">
        <v>0</v>
      </c>
      <c r="G562">
        <v>0</v>
      </c>
      <c r="H562">
        <v>0</v>
      </c>
      <c r="I562">
        <f>IF(J562,TRUE,AND(M562))</f>
        <v>0</v>
      </c>
      <c r="J562">
        <f>COUNTBLANK(Metadata!B562)=COLUMNS(Metadata!B562)</f>
        <v>0</v>
      </c>
      <c r="K562">
        <v>0</v>
      </c>
      <c r="M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</row>
    <row r="563" spans="1:13">
      <c r="A563" s="3">
        <f>IF(B563=" "," ",HYPERLINK(CONCATENATE("#metadata!",ADDRESS(INDEX($H$2:$H$1001,MATCH(ROWS($F$2:F563),$F$2:$F$1001,0),0),2)),INDEX($K$2:$K$1001,MATCH(ROWS($F$2:F563),$F$2:$F$1001,0),0)))</f>
        <v>0</v>
      </c>
      <c r="B563" s="4">
        <f>IF(OR(INDEX($G$2:$G$1001,MATCH(ROWS($F$2:F563),$F$2:$F$1001,0),1)&gt;=100000,INDEX($M$1005,1,MATCH(COLUMNS($M$1006:M1006),$M$1006,0))&gt;=100000), " ",IF(INDEX($M$2:$M$1001,MATCH(ROWS($F$2:F563),$F$2:$F$1001,0),MATCH(COLUMNS($M$1006:M1006),$M$1006,0)), HYPERLINK("#",""), HYPERLINK(CONCATENATE("#Metadata!", ADDRESS(INDEX($H$2:$H$1001,MATCH(ROWS($F$2:F563),$F$2:$F$1001,0),0), INDEX($M$1004,1,MATCH(COLUMNS($M$1006:M1006),$M$1006,0)))),"Fix")))</f>
        <v>0</v>
      </c>
      <c r="F563">
        <v>0</v>
      </c>
      <c r="G563">
        <v>0</v>
      </c>
      <c r="H563">
        <v>0</v>
      </c>
      <c r="I563">
        <f>IF(J563,TRUE,AND(M563))</f>
        <v>0</v>
      </c>
      <c r="J563">
        <f>COUNTBLANK(Metadata!B563)=COLUMNS(Metadata!B563)</f>
        <v>0</v>
      </c>
      <c r="K563">
        <v>0</v>
      </c>
      <c r="M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</row>
    <row r="564" spans="1:13">
      <c r="A564" s="3">
        <f>IF(B564=" "," ",HYPERLINK(CONCATENATE("#metadata!",ADDRESS(INDEX($H$2:$H$1001,MATCH(ROWS($F$2:F564),$F$2:$F$1001,0),0),2)),INDEX($K$2:$K$1001,MATCH(ROWS($F$2:F564),$F$2:$F$1001,0),0)))</f>
        <v>0</v>
      </c>
      <c r="B564" s="4">
        <f>IF(OR(INDEX($G$2:$G$1001,MATCH(ROWS($F$2:F564),$F$2:$F$1001,0),1)&gt;=100000,INDEX($M$1005,1,MATCH(COLUMNS($M$1006:M1006),$M$1006,0))&gt;=100000), " ",IF(INDEX($M$2:$M$1001,MATCH(ROWS($F$2:F564),$F$2:$F$1001,0),MATCH(COLUMNS($M$1006:M1006),$M$1006,0)), HYPERLINK("#",""), HYPERLINK(CONCATENATE("#Metadata!", ADDRESS(INDEX($H$2:$H$1001,MATCH(ROWS($F$2:F564),$F$2:$F$1001,0),0), INDEX($M$1004,1,MATCH(COLUMNS($M$1006:M1006),$M$1006,0)))),"Fix")))</f>
        <v>0</v>
      </c>
      <c r="F564">
        <v>0</v>
      </c>
      <c r="G564">
        <v>0</v>
      </c>
      <c r="H564">
        <v>0</v>
      </c>
      <c r="I564">
        <f>IF(J564,TRUE,AND(M564))</f>
        <v>0</v>
      </c>
      <c r="J564">
        <f>COUNTBLANK(Metadata!B564)=COLUMNS(Metadata!B564)</f>
        <v>0</v>
      </c>
      <c r="K564">
        <v>0</v>
      </c>
      <c r="M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</row>
    <row r="565" spans="1:13">
      <c r="A565" s="3">
        <f>IF(B565=" "," ",HYPERLINK(CONCATENATE("#metadata!",ADDRESS(INDEX($H$2:$H$1001,MATCH(ROWS($F$2:F565),$F$2:$F$1001,0),0),2)),INDEX($K$2:$K$1001,MATCH(ROWS($F$2:F565),$F$2:$F$1001,0),0)))</f>
        <v>0</v>
      </c>
      <c r="B565" s="4">
        <f>IF(OR(INDEX($G$2:$G$1001,MATCH(ROWS($F$2:F565),$F$2:$F$1001,0),1)&gt;=100000,INDEX($M$1005,1,MATCH(COLUMNS($M$1006:M1006),$M$1006,0))&gt;=100000), " ",IF(INDEX($M$2:$M$1001,MATCH(ROWS($F$2:F565),$F$2:$F$1001,0),MATCH(COLUMNS($M$1006:M1006),$M$1006,0)), HYPERLINK("#",""), HYPERLINK(CONCATENATE("#Metadata!", ADDRESS(INDEX($H$2:$H$1001,MATCH(ROWS($F$2:F565),$F$2:$F$1001,0),0), INDEX($M$1004,1,MATCH(COLUMNS($M$1006:M1006),$M$1006,0)))),"Fix")))</f>
        <v>0</v>
      </c>
      <c r="F565">
        <v>0</v>
      </c>
      <c r="G565">
        <v>0</v>
      </c>
      <c r="H565">
        <v>0</v>
      </c>
      <c r="I565">
        <f>IF(J565,TRUE,AND(M565))</f>
        <v>0</v>
      </c>
      <c r="J565">
        <f>COUNTBLANK(Metadata!B565)=COLUMNS(Metadata!B565)</f>
        <v>0</v>
      </c>
      <c r="K565">
        <v>0</v>
      </c>
      <c r="M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</row>
    <row r="566" spans="1:13">
      <c r="A566" s="3">
        <f>IF(B566=" "," ",HYPERLINK(CONCATENATE("#metadata!",ADDRESS(INDEX($H$2:$H$1001,MATCH(ROWS($F$2:F566),$F$2:$F$1001,0),0),2)),INDEX($K$2:$K$1001,MATCH(ROWS($F$2:F566),$F$2:$F$1001,0),0)))</f>
        <v>0</v>
      </c>
      <c r="B566" s="4">
        <f>IF(OR(INDEX($G$2:$G$1001,MATCH(ROWS($F$2:F566),$F$2:$F$1001,0),1)&gt;=100000,INDEX($M$1005,1,MATCH(COLUMNS($M$1006:M1006),$M$1006,0))&gt;=100000), " ",IF(INDEX($M$2:$M$1001,MATCH(ROWS($F$2:F566),$F$2:$F$1001,0),MATCH(COLUMNS($M$1006:M1006),$M$1006,0)), HYPERLINK("#",""), HYPERLINK(CONCATENATE("#Metadata!", ADDRESS(INDEX($H$2:$H$1001,MATCH(ROWS($F$2:F566),$F$2:$F$1001,0),0), INDEX($M$1004,1,MATCH(COLUMNS($M$1006:M1006),$M$1006,0)))),"Fix")))</f>
        <v>0</v>
      </c>
      <c r="F566">
        <v>0</v>
      </c>
      <c r="G566">
        <v>0</v>
      </c>
      <c r="H566">
        <v>0</v>
      </c>
      <c r="I566">
        <f>IF(J566,TRUE,AND(M566))</f>
        <v>0</v>
      </c>
      <c r="J566">
        <f>COUNTBLANK(Metadata!B566)=COLUMNS(Metadata!B566)</f>
        <v>0</v>
      </c>
      <c r="K566">
        <v>0</v>
      </c>
      <c r="M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</row>
    <row r="567" spans="1:13">
      <c r="A567" s="3">
        <f>IF(B567=" "," ",HYPERLINK(CONCATENATE("#metadata!",ADDRESS(INDEX($H$2:$H$1001,MATCH(ROWS($F$2:F567),$F$2:$F$1001,0),0),2)),INDEX($K$2:$K$1001,MATCH(ROWS($F$2:F567),$F$2:$F$1001,0),0)))</f>
        <v>0</v>
      </c>
      <c r="B567" s="4">
        <f>IF(OR(INDEX($G$2:$G$1001,MATCH(ROWS($F$2:F567),$F$2:$F$1001,0),1)&gt;=100000,INDEX($M$1005,1,MATCH(COLUMNS($M$1006:M1006),$M$1006,0))&gt;=100000), " ",IF(INDEX($M$2:$M$1001,MATCH(ROWS($F$2:F567),$F$2:$F$1001,0),MATCH(COLUMNS($M$1006:M1006),$M$1006,0)), HYPERLINK("#",""), HYPERLINK(CONCATENATE("#Metadata!", ADDRESS(INDEX($H$2:$H$1001,MATCH(ROWS($F$2:F567),$F$2:$F$1001,0),0), INDEX($M$1004,1,MATCH(COLUMNS($M$1006:M1006),$M$1006,0)))),"Fix")))</f>
        <v>0</v>
      </c>
      <c r="F567">
        <v>0</v>
      </c>
      <c r="G567">
        <v>0</v>
      </c>
      <c r="H567">
        <v>0</v>
      </c>
      <c r="I567">
        <f>IF(J567,TRUE,AND(M567))</f>
        <v>0</v>
      </c>
      <c r="J567">
        <f>COUNTBLANK(Metadata!B567)=COLUMNS(Metadata!B567)</f>
        <v>0</v>
      </c>
      <c r="K567">
        <v>0</v>
      </c>
      <c r="M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</row>
    <row r="568" spans="1:13">
      <c r="A568" s="3">
        <f>IF(B568=" "," ",HYPERLINK(CONCATENATE("#metadata!",ADDRESS(INDEX($H$2:$H$1001,MATCH(ROWS($F$2:F568),$F$2:$F$1001,0),0),2)),INDEX($K$2:$K$1001,MATCH(ROWS($F$2:F568),$F$2:$F$1001,0),0)))</f>
        <v>0</v>
      </c>
      <c r="B568" s="4">
        <f>IF(OR(INDEX($G$2:$G$1001,MATCH(ROWS($F$2:F568),$F$2:$F$1001,0),1)&gt;=100000,INDEX($M$1005,1,MATCH(COLUMNS($M$1006:M1006),$M$1006,0))&gt;=100000), " ",IF(INDEX($M$2:$M$1001,MATCH(ROWS($F$2:F568),$F$2:$F$1001,0),MATCH(COLUMNS($M$1006:M1006),$M$1006,0)), HYPERLINK("#",""), HYPERLINK(CONCATENATE("#Metadata!", ADDRESS(INDEX($H$2:$H$1001,MATCH(ROWS($F$2:F568),$F$2:$F$1001,0),0), INDEX($M$1004,1,MATCH(COLUMNS($M$1006:M1006),$M$1006,0)))),"Fix")))</f>
        <v>0</v>
      </c>
      <c r="F568">
        <v>0</v>
      </c>
      <c r="G568">
        <v>0</v>
      </c>
      <c r="H568">
        <v>0</v>
      </c>
      <c r="I568">
        <f>IF(J568,TRUE,AND(M568))</f>
        <v>0</v>
      </c>
      <c r="J568">
        <f>COUNTBLANK(Metadata!B568)=COLUMNS(Metadata!B568)</f>
        <v>0</v>
      </c>
      <c r="K568">
        <v>0</v>
      </c>
      <c r="M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</row>
    <row r="569" spans="1:13">
      <c r="A569" s="3">
        <f>IF(B569=" "," ",HYPERLINK(CONCATENATE("#metadata!",ADDRESS(INDEX($H$2:$H$1001,MATCH(ROWS($F$2:F569),$F$2:$F$1001,0),0),2)),INDEX($K$2:$K$1001,MATCH(ROWS($F$2:F569),$F$2:$F$1001,0),0)))</f>
        <v>0</v>
      </c>
      <c r="B569" s="4">
        <f>IF(OR(INDEX($G$2:$G$1001,MATCH(ROWS($F$2:F569),$F$2:$F$1001,0),1)&gt;=100000,INDEX($M$1005,1,MATCH(COLUMNS($M$1006:M1006),$M$1006,0))&gt;=100000), " ",IF(INDEX($M$2:$M$1001,MATCH(ROWS($F$2:F569),$F$2:$F$1001,0),MATCH(COLUMNS($M$1006:M1006),$M$1006,0)), HYPERLINK("#",""), HYPERLINK(CONCATENATE("#Metadata!", ADDRESS(INDEX($H$2:$H$1001,MATCH(ROWS($F$2:F569),$F$2:$F$1001,0),0), INDEX($M$1004,1,MATCH(COLUMNS($M$1006:M1006),$M$1006,0)))),"Fix")))</f>
        <v>0</v>
      </c>
      <c r="F569">
        <v>0</v>
      </c>
      <c r="G569">
        <v>0</v>
      </c>
      <c r="H569">
        <v>0</v>
      </c>
      <c r="I569">
        <f>IF(J569,TRUE,AND(M569))</f>
        <v>0</v>
      </c>
      <c r="J569">
        <f>COUNTBLANK(Metadata!B569)=COLUMNS(Metadata!B569)</f>
        <v>0</v>
      </c>
      <c r="K569">
        <v>0</v>
      </c>
      <c r="M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</row>
    <row r="570" spans="1:13">
      <c r="A570" s="3">
        <f>IF(B570=" "," ",HYPERLINK(CONCATENATE("#metadata!",ADDRESS(INDEX($H$2:$H$1001,MATCH(ROWS($F$2:F570),$F$2:$F$1001,0),0),2)),INDEX($K$2:$K$1001,MATCH(ROWS($F$2:F570),$F$2:$F$1001,0),0)))</f>
        <v>0</v>
      </c>
      <c r="B570" s="4">
        <f>IF(OR(INDEX($G$2:$G$1001,MATCH(ROWS($F$2:F570),$F$2:$F$1001,0),1)&gt;=100000,INDEX($M$1005,1,MATCH(COLUMNS($M$1006:M1006),$M$1006,0))&gt;=100000), " ",IF(INDEX($M$2:$M$1001,MATCH(ROWS($F$2:F570),$F$2:$F$1001,0),MATCH(COLUMNS($M$1006:M1006),$M$1006,0)), HYPERLINK("#",""), HYPERLINK(CONCATENATE("#Metadata!", ADDRESS(INDEX($H$2:$H$1001,MATCH(ROWS($F$2:F570),$F$2:$F$1001,0),0), INDEX($M$1004,1,MATCH(COLUMNS($M$1006:M1006),$M$1006,0)))),"Fix")))</f>
        <v>0</v>
      </c>
      <c r="F570">
        <v>0</v>
      </c>
      <c r="G570">
        <v>0</v>
      </c>
      <c r="H570">
        <v>0</v>
      </c>
      <c r="I570">
        <f>IF(J570,TRUE,AND(M570))</f>
        <v>0</v>
      </c>
      <c r="J570">
        <f>COUNTBLANK(Metadata!B570)=COLUMNS(Metadata!B570)</f>
        <v>0</v>
      </c>
      <c r="K570">
        <v>0</v>
      </c>
      <c r="M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</row>
    <row r="571" spans="1:13">
      <c r="A571" s="3">
        <f>IF(B571=" "," ",HYPERLINK(CONCATENATE("#metadata!",ADDRESS(INDEX($H$2:$H$1001,MATCH(ROWS($F$2:F571),$F$2:$F$1001,0),0),2)),INDEX($K$2:$K$1001,MATCH(ROWS($F$2:F571),$F$2:$F$1001,0),0)))</f>
        <v>0</v>
      </c>
      <c r="B571" s="4">
        <f>IF(OR(INDEX($G$2:$G$1001,MATCH(ROWS($F$2:F571),$F$2:$F$1001,0),1)&gt;=100000,INDEX($M$1005,1,MATCH(COLUMNS($M$1006:M1006),$M$1006,0))&gt;=100000), " ",IF(INDEX($M$2:$M$1001,MATCH(ROWS($F$2:F571),$F$2:$F$1001,0),MATCH(COLUMNS($M$1006:M1006),$M$1006,0)), HYPERLINK("#",""), HYPERLINK(CONCATENATE("#Metadata!", ADDRESS(INDEX($H$2:$H$1001,MATCH(ROWS($F$2:F571),$F$2:$F$1001,0),0), INDEX($M$1004,1,MATCH(COLUMNS($M$1006:M1006),$M$1006,0)))),"Fix")))</f>
        <v>0</v>
      </c>
      <c r="F571">
        <v>0</v>
      </c>
      <c r="G571">
        <v>0</v>
      </c>
      <c r="H571">
        <v>0</v>
      </c>
      <c r="I571">
        <f>IF(J571,TRUE,AND(M571))</f>
        <v>0</v>
      </c>
      <c r="J571">
        <f>COUNTBLANK(Metadata!B571)=COLUMNS(Metadata!B571)</f>
        <v>0</v>
      </c>
      <c r="K571">
        <v>0</v>
      </c>
      <c r="M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</row>
    <row r="572" spans="1:13">
      <c r="A572" s="3">
        <f>IF(B572=" "," ",HYPERLINK(CONCATENATE("#metadata!",ADDRESS(INDEX($H$2:$H$1001,MATCH(ROWS($F$2:F572),$F$2:$F$1001,0),0),2)),INDEX($K$2:$K$1001,MATCH(ROWS($F$2:F572),$F$2:$F$1001,0),0)))</f>
        <v>0</v>
      </c>
      <c r="B572" s="4">
        <f>IF(OR(INDEX($G$2:$G$1001,MATCH(ROWS($F$2:F572),$F$2:$F$1001,0),1)&gt;=100000,INDEX($M$1005,1,MATCH(COLUMNS($M$1006:M1006),$M$1006,0))&gt;=100000), " ",IF(INDEX($M$2:$M$1001,MATCH(ROWS($F$2:F572),$F$2:$F$1001,0),MATCH(COLUMNS($M$1006:M1006),$M$1006,0)), HYPERLINK("#",""), HYPERLINK(CONCATENATE("#Metadata!", ADDRESS(INDEX($H$2:$H$1001,MATCH(ROWS($F$2:F572),$F$2:$F$1001,0),0), INDEX($M$1004,1,MATCH(COLUMNS($M$1006:M1006),$M$1006,0)))),"Fix")))</f>
        <v>0</v>
      </c>
      <c r="F572">
        <v>0</v>
      </c>
      <c r="G572">
        <v>0</v>
      </c>
      <c r="H572">
        <v>0</v>
      </c>
      <c r="I572">
        <f>IF(J572,TRUE,AND(M572))</f>
        <v>0</v>
      </c>
      <c r="J572">
        <f>COUNTBLANK(Metadata!B572)=COLUMNS(Metadata!B572)</f>
        <v>0</v>
      </c>
      <c r="K572">
        <v>0</v>
      </c>
      <c r="M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</row>
    <row r="573" spans="1:13">
      <c r="A573" s="3">
        <f>IF(B573=" "," ",HYPERLINK(CONCATENATE("#metadata!",ADDRESS(INDEX($H$2:$H$1001,MATCH(ROWS($F$2:F573),$F$2:$F$1001,0),0),2)),INDEX($K$2:$K$1001,MATCH(ROWS($F$2:F573),$F$2:$F$1001,0),0)))</f>
        <v>0</v>
      </c>
      <c r="B573" s="4">
        <f>IF(OR(INDEX($G$2:$G$1001,MATCH(ROWS($F$2:F573),$F$2:$F$1001,0),1)&gt;=100000,INDEX($M$1005,1,MATCH(COLUMNS($M$1006:M1006),$M$1006,0))&gt;=100000), " ",IF(INDEX($M$2:$M$1001,MATCH(ROWS($F$2:F573),$F$2:$F$1001,0),MATCH(COLUMNS($M$1006:M1006),$M$1006,0)), HYPERLINK("#",""), HYPERLINK(CONCATENATE("#Metadata!", ADDRESS(INDEX($H$2:$H$1001,MATCH(ROWS($F$2:F573),$F$2:$F$1001,0),0), INDEX($M$1004,1,MATCH(COLUMNS($M$1006:M1006),$M$1006,0)))),"Fix")))</f>
        <v>0</v>
      </c>
      <c r="F573">
        <v>0</v>
      </c>
      <c r="G573">
        <v>0</v>
      </c>
      <c r="H573">
        <v>0</v>
      </c>
      <c r="I573">
        <f>IF(J573,TRUE,AND(M573))</f>
        <v>0</v>
      </c>
      <c r="J573">
        <f>COUNTBLANK(Metadata!B573)=COLUMNS(Metadata!B573)</f>
        <v>0</v>
      </c>
      <c r="K573">
        <v>0</v>
      </c>
      <c r="M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</row>
    <row r="574" spans="1:13">
      <c r="A574" s="3">
        <f>IF(B574=" "," ",HYPERLINK(CONCATENATE("#metadata!",ADDRESS(INDEX($H$2:$H$1001,MATCH(ROWS($F$2:F574),$F$2:$F$1001,0),0),2)),INDEX($K$2:$K$1001,MATCH(ROWS($F$2:F574),$F$2:$F$1001,0),0)))</f>
        <v>0</v>
      </c>
      <c r="B574" s="4">
        <f>IF(OR(INDEX($G$2:$G$1001,MATCH(ROWS($F$2:F574),$F$2:$F$1001,0),1)&gt;=100000,INDEX($M$1005,1,MATCH(COLUMNS($M$1006:M1006),$M$1006,0))&gt;=100000), " ",IF(INDEX($M$2:$M$1001,MATCH(ROWS($F$2:F574),$F$2:$F$1001,0),MATCH(COLUMNS($M$1006:M1006),$M$1006,0)), HYPERLINK("#",""), HYPERLINK(CONCATENATE("#Metadata!", ADDRESS(INDEX($H$2:$H$1001,MATCH(ROWS($F$2:F574),$F$2:$F$1001,0),0), INDEX($M$1004,1,MATCH(COLUMNS($M$1006:M1006),$M$1006,0)))),"Fix")))</f>
        <v>0</v>
      </c>
      <c r="F574">
        <v>0</v>
      </c>
      <c r="G574">
        <v>0</v>
      </c>
      <c r="H574">
        <v>0</v>
      </c>
      <c r="I574">
        <f>IF(J574,TRUE,AND(M574))</f>
        <v>0</v>
      </c>
      <c r="J574">
        <f>COUNTBLANK(Metadata!B574)=COLUMNS(Metadata!B574)</f>
        <v>0</v>
      </c>
      <c r="K574">
        <v>0</v>
      </c>
      <c r="M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</row>
    <row r="575" spans="1:13">
      <c r="A575" s="3">
        <f>IF(B575=" "," ",HYPERLINK(CONCATENATE("#metadata!",ADDRESS(INDEX($H$2:$H$1001,MATCH(ROWS($F$2:F575),$F$2:$F$1001,0),0),2)),INDEX($K$2:$K$1001,MATCH(ROWS($F$2:F575),$F$2:$F$1001,0),0)))</f>
        <v>0</v>
      </c>
      <c r="B575" s="4">
        <f>IF(OR(INDEX($G$2:$G$1001,MATCH(ROWS($F$2:F575),$F$2:$F$1001,0),1)&gt;=100000,INDEX($M$1005,1,MATCH(COLUMNS($M$1006:M1006),$M$1006,0))&gt;=100000), " ",IF(INDEX($M$2:$M$1001,MATCH(ROWS($F$2:F575),$F$2:$F$1001,0),MATCH(COLUMNS($M$1006:M1006),$M$1006,0)), HYPERLINK("#",""), HYPERLINK(CONCATENATE("#Metadata!", ADDRESS(INDEX($H$2:$H$1001,MATCH(ROWS($F$2:F575),$F$2:$F$1001,0),0), INDEX($M$1004,1,MATCH(COLUMNS($M$1006:M1006),$M$1006,0)))),"Fix")))</f>
        <v>0</v>
      </c>
      <c r="F575">
        <v>0</v>
      </c>
      <c r="G575">
        <v>0</v>
      </c>
      <c r="H575">
        <v>0</v>
      </c>
      <c r="I575">
        <f>IF(J575,TRUE,AND(M575))</f>
        <v>0</v>
      </c>
      <c r="J575">
        <f>COUNTBLANK(Metadata!B575)=COLUMNS(Metadata!B575)</f>
        <v>0</v>
      </c>
      <c r="K575">
        <v>0</v>
      </c>
      <c r="M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</row>
    <row r="576" spans="1:13">
      <c r="A576" s="3">
        <f>IF(B576=" "," ",HYPERLINK(CONCATENATE("#metadata!",ADDRESS(INDEX($H$2:$H$1001,MATCH(ROWS($F$2:F576),$F$2:$F$1001,0),0),2)),INDEX($K$2:$K$1001,MATCH(ROWS($F$2:F576),$F$2:$F$1001,0),0)))</f>
        <v>0</v>
      </c>
      <c r="B576" s="4">
        <f>IF(OR(INDEX($G$2:$G$1001,MATCH(ROWS($F$2:F576),$F$2:$F$1001,0),1)&gt;=100000,INDEX($M$1005,1,MATCH(COLUMNS($M$1006:M1006),$M$1006,0))&gt;=100000), " ",IF(INDEX($M$2:$M$1001,MATCH(ROWS($F$2:F576),$F$2:$F$1001,0),MATCH(COLUMNS($M$1006:M1006),$M$1006,0)), HYPERLINK("#",""), HYPERLINK(CONCATENATE("#Metadata!", ADDRESS(INDEX($H$2:$H$1001,MATCH(ROWS($F$2:F576),$F$2:$F$1001,0),0), INDEX($M$1004,1,MATCH(COLUMNS($M$1006:M1006),$M$1006,0)))),"Fix")))</f>
        <v>0</v>
      </c>
      <c r="F576">
        <v>0</v>
      </c>
      <c r="G576">
        <v>0</v>
      </c>
      <c r="H576">
        <v>0</v>
      </c>
      <c r="I576">
        <f>IF(J576,TRUE,AND(M576))</f>
        <v>0</v>
      </c>
      <c r="J576">
        <f>COUNTBLANK(Metadata!B576)=COLUMNS(Metadata!B576)</f>
        <v>0</v>
      </c>
      <c r="K576">
        <v>0</v>
      </c>
      <c r="M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</row>
    <row r="577" spans="1:13">
      <c r="A577" s="3">
        <f>IF(B577=" "," ",HYPERLINK(CONCATENATE("#metadata!",ADDRESS(INDEX($H$2:$H$1001,MATCH(ROWS($F$2:F577),$F$2:$F$1001,0),0),2)),INDEX($K$2:$K$1001,MATCH(ROWS($F$2:F577),$F$2:$F$1001,0),0)))</f>
        <v>0</v>
      </c>
      <c r="B577" s="4">
        <f>IF(OR(INDEX($G$2:$G$1001,MATCH(ROWS($F$2:F577),$F$2:$F$1001,0),1)&gt;=100000,INDEX($M$1005,1,MATCH(COLUMNS($M$1006:M1006),$M$1006,0))&gt;=100000), " ",IF(INDEX($M$2:$M$1001,MATCH(ROWS($F$2:F577),$F$2:$F$1001,0),MATCH(COLUMNS($M$1006:M1006),$M$1006,0)), HYPERLINK("#",""), HYPERLINK(CONCATENATE("#Metadata!", ADDRESS(INDEX($H$2:$H$1001,MATCH(ROWS($F$2:F577),$F$2:$F$1001,0),0), INDEX($M$1004,1,MATCH(COLUMNS($M$1006:M1006),$M$1006,0)))),"Fix")))</f>
        <v>0</v>
      </c>
      <c r="F577">
        <v>0</v>
      </c>
      <c r="G577">
        <v>0</v>
      </c>
      <c r="H577">
        <v>0</v>
      </c>
      <c r="I577">
        <f>IF(J577,TRUE,AND(M577))</f>
        <v>0</v>
      </c>
      <c r="J577">
        <f>COUNTBLANK(Metadata!B577)=COLUMNS(Metadata!B577)</f>
        <v>0</v>
      </c>
      <c r="K577">
        <v>0</v>
      </c>
      <c r="M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</row>
    <row r="578" spans="1:13">
      <c r="A578" s="3">
        <f>IF(B578=" "," ",HYPERLINK(CONCATENATE("#metadata!",ADDRESS(INDEX($H$2:$H$1001,MATCH(ROWS($F$2:F578),$F$2:$F$1001,0),0),2)),INDEX($K$2:$K$1001,MATCH(ROWS($F$2:F578),$F$2:$F$1001,0),0)))</f>
        <v>0</v>
      </c>
      <c r="B578" s="4">
        <f>IF(OR(INDEX($G$2:$G$1001,MATCH(ROWS($F$2:F578),$F$2:$F$1001,0),1)&gt;=100000,INDEX($M$1005,1,MATCH(COLUMNS($M$1006:M1006),$M$1006,0))&gt;=100000), " ",IF(INDEX($M$2:$M$1001,MATCH(ROWS($F$2:F578),$F$2:$F$1001,0),MATCH(COLUMNS($M$1006:M1006),$M$1006,0)), HYPERLINK("#",""), HYPERLINK(CONCATENATE("#Metadata!", ADDRESS(INDEX($H$2:$H$1001,MATCH(ROWS($F$2:F578),$F$2:$F$1001,0),0), INDEX($M$1004,1,MATCH(COLUMNS($M$1006:M1006),$M$1006,0)))),"Fix")))</f>
        <v>0</v>
      </c>
      <c r="F578">
        <v>0</v>
      </c>
      <c r="G578">
        <v>0</v>
      </c>
      <c r="H578">
        <v>0</v>
      </c>
      <c r="I578">
        <f>IF(J578,TRUE,AND(M578))</f>
        <v>0</v>
      </c>
      <c r="J578">
        <f>COUNTBLANK(Metadata!B578)=COLUMNS(Metadata!B578)</f>
        <v>0</v>
      </c>
      <c r="K578">
        <v>0</v>
      </c>
      <c r="M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</row>
    <row r="579" spans="1:13">
      <c r="A579" s="3">
        <f>IF(B579=" "," ",HYPERLINK(CONCATENATE("#metadata!",ADDRESS(INDEX($H$2:$H$1001,MATCH(ROWS($F$2:F579),$F$2:$F$1001,0),0),2)),INDEX($K$2:$K$1001,MATCH(ROWS($F$2:F579),$F$2:$F$1001,0),0)))</f>
        <v>0</v>
      </c>
      <c r="B579" s="4">
        <f>IF(OR(INDEX($G$2:$G$1001,MATCH(ROWS($F$2:F579),$F$2:$F$1001,0),1)&gt;=100000,INDEX($M$1005,1,MATCH(COLUMNS($M$1006:M1006),$M$1006,0))&gt;=100000), " ",IF(INDEX($M$2:$M$1001,MATCH(ROWS($F$2:F579),$F$2:$F$1001,0),MATCH(COLUMNS($M$1006:M1006),$M$1006,0)), HYPERLINK("#",""), HYPERLINK(CONCATENATE("#Metadata!", ADDRESS(INDEX($H$2:$H$1001,MATCH(ROWS($F$2:F579),$F$2:$F$1001,0),0), INDEX($M$1004,1,MATCH(COLUMNS($M$1006:M1006),$M$1006,0)))),"Fix")))</f>
        <v>0</v>
      </c>
      <c r="F579">
        <v>0</v>
      </c>
      <c r="G579">
        <v>0</v>
      </c>
      <c r="H579">
        <v>0</v>
      </c>
      <c r="I579">
        <f>IF(J579,TRUE,AND(M579))</f>
        <v>0</v>
      </c>
      <c r="J579">
        <f>COUNTBLANK(Metadata!B579)=COLUMNS(Metadata!B579)</f>
        <v>0</v>
      </c>
      <c r="K579">
        <v>0</v>
      </c>
      <c r="M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</row>
    <row r="580" spans="1:13">
      <c r="A580" s="3">
        <f>IF(B580=" "," ",HYPERLINK(CONCATENATE("#metadata!",ADDRESS(INDEX($H$2:$H$1001,MATCH(ROWS($F$2:F580),$F$2:$F$1001,0),0),2)),INDEX($K$2:$K$1001,MATCH(ROWS($F$2:F580),$F$2:$F$1001,0),0)))</f>
        <v>0</v>
      </c>
      <c r="B580" s="4">
        <f>IF(OR(INDEX($G$2:$G$1001,MATCH(ROWS($F$2:F580),$F$2:$F$1001,0),1)&gt;=100000,INDEX($M$1005,1,MATCH(COLUMNS($M$1006:M1006),$M$1006,0))&gt;=100000), " ",IF(INDEX($M$2:$M$1001,MATCH(ROWS($F$2:F580),$F$2:$F$1001,0),MATCH(COLUMNS($M$1006:M1006),$M$1006,0)), HYPERLINK("#",""), HYPERLINK(CONCATENATE("#Metadata!", ADDRESS(INDEX($H$2:$H$1001,MATCH(ROWS($F$2:F580),$F$2:$F$1001,0),0), INDEX($M$1004,1,MATCH(COLUMNS($M$1006:M1006),$M$1006,0)))),"Fix")))</f>
        <v>0</v>
      </c>
      <c r="F580">
        <v>0</v>
      </c>
      <c r="G580">
        <v>0</v>
      </c>
      <c r="H580">
        <v>0</v>
      </c>
      <c r="I580">
        <f>IF(J580,TRUE,AND(M580))</f>
        <v>0</v>
      </c>
      <c r="J580">
        <f>COUNTBLANK(Metadata!B580)=COLUMNS(Metadata!B580)</f>
        <v>0</v>
      </c>
      <c r="K580">
        <v>0</v>
      </c>
      <c r="M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</row>
    <row r="581" spans="1:13">
      <c r="A581" s="3">
        <f>IF(B581=" "," ",HYPERLINK(CONCATENATE("#metadata!",ADDRESS(INDEX($H$2:$H$1001,MATCH(ROWS($F$2:F581),$F$2:$F$1001,0),0),2)),INDEX($K$2:$K$1001,MATCH(ROWS($F$2:F581),$F$2:$F$1001,0),0)))</f>
        <v>0</v>
      </c>
      <c r="B581" s="4">
        <f>IF(OR(INDEX($G$2:$G$1001,MATCH(ROWS($F$2:F581),$F$2:$F$1001,0),1)&gt;=100000,INDEX($M$1005,1,MATCH(COLUMNS($M$1006:M1006),$M$1006,0))&gt;=100000), " ",IF(INDEX($M$2:$M$1001,MATCH(ROWS($F$2:F581),$F$2:$F$1001,0),MATCH(COLUMNS($M$1006:M1006),$M$1006,0)), HYPERLINK("#",""), HYPERLINK(CONCATENATE("#Metadata!", ADDRESS(INDEX($H$2:$H$1001,MATCH(ROWS($F$2:F581),$F$2:$F$1001,0),0), INDEX($M$1004,1,MATCH(COLUMNS($M$1006:M1006),$M$1006,0)))),"Fix")))</f>
        <v>0</v>
      </c>
      <c r="F581">
        <v>0</v>
      </c>
      <c r="G581">
        <v>0</v>
      </c>
      <c r="H581">
        <v>0</v>
      </c>
      <c r="I581">
        <f>IF(J581,TRUE,AND(M581))</f>
        <v>0</v>
      </c>
      <c r="J581">
        <f>COUNTBLANK(Metadata!B581)=COLUMNS(Metadata!B581)</f>
        <v>0</v>
      </c>
      <c r="K581">
        <v>0</v>
      </c>
      <c r="M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</row>
    <row r="582" spans="1:13">
      <c r="A582" s="3">
        <f>IF(B582=" "," ",HYPERLINK(CONCATENATE("#metadata!",ADDRESS(INDEX($H$2:$H$1001,MATCH(ROWS($F$2:F582),$F$2:$F$1001,0),0),2)),INDEX($K$2:$K$1001,MATCH(ROWS($F$2:F582),$F$2:$F$1001,0),0)))</f>
        <v>0</v>
      </c>
      <c r="B582" s="4">
        <f>IF(OR(INDEX($G$2:$G$1001,MATCH(ROWS($F$2:F582),$F$2:$F$1001,0),1)&gt;=100000,INDEX($M$1005,1,MATCH(COLUMNS($M$1006:M1006),$M$1006,0))&gt;=100000), " ",IF(INDEX($M$2:$M$1001,MATCH(ROWS($F$2:F582),$F$2:$F$1001,0),MATCH(COLUMNS($M$1006:M1006),$M$1006,0)), HYPERLINK("#",""), HYPERLINK(CONCATENATE("#Metadata!", ADDRESS(INDEX($H$2:$H$1001,MATCH(ROWS($F$2:F582),$F$2:$F$1001,0),0), INDEX($M$1004,1,MATCH(COLUMNS($M$1006:M1006),$M$1006,0)))),"Fix")))</f>
        <v>0</v>
      </c>
      <c r="F582">
        <v>0</v>
      </c>
      <c r="G582">
        <v>0</v>
      </c>
      <c r="H582">
        <v>0</v>
      </c>
      <c r="I582">
        <f>IF(J582,TRUE,AND(M582))</f>
        <v>0</v>
      </c>
      <c r="J582">
        <f>COUNTBLANK(Metadata!B582)=COLUMNS(Metadata!B582)</f>
        <v>0</v>
      </c>
      <c r="K582">
        <v>0</v>
      </c>
      <c r="M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</row>
    <row r="583" spans="1:13">
      <c r="A583" s="3">
        <f>IF(B583=" "," ",HYPERLINK(CONCATENATE("#metadata!",ADDRESS(INDEX($H$2:$H$1001,MATCH(ROWS($F$2:F583),$F$2:$F$1001,0),0),2)),INDEX($K$2:$K$1001,MATCH(ROWS($F$2:F583),$F$2:$F$1001,0),0)))</f>
        <v>0</v>
      </c>
      <c r="B583" s="4">
        <f>IF(OR(INDEX($G$2:$G$1001,MATCH(ROWS($F$2:F583),$F$2:$F$1001,0),1)&gt;=100000,INDEX($M$1005,1,MATCH(COLUMNS($M$1006:M1006),$M$1006,0))&gt;=100000), " ",IF(INDEX($M$2:$M$1001,MATCH(ROWS($F$2:F583),$F$2:$F$1001,0),MATCH(COLUMNS($M$1006:M1006),$M$1006,0)), HYPERLINK("#",""), HYPERLINK(CONCATENATE("#Metadata!", ADDRESS(INDEX($H$2:$H$1001,MATCH(ROWS($F$2:F583),$F$2:$F$1001,0),0), INDEX($M$1004,1,MATCH(COLUMNS($M$1006:M1006),$M$1006,0)))),"Fix")))</f>
        <v>0</v>
      </c>
      <c r="F583">
        <v>0</v>
      </c>
      <c r="G583">
        <v>0</v>
      </c>
      <c r="H583">
        <v>0</v>
      </c>
      <c r="I583">
        <f>IF(J583,TRUE,AND(M583))</f>
        <v>0</v>
      </c>
      <c r="J583">
        <f>COUNTBLANK(Metadata!B583)=COLUMNS(Metadata!B583)</f>
        <v>0</v>
      </c>
      <c r="K583">
        <v>0</v>
      </c>
      <c r="M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</row>
    <row r="584" spans="1:13">
      <c r="A584" s="3">
        <f>IF(B584=" "," ",HYPERLINK(CONCATENATE("#metadata!",ADDRESS(INDEX($H$2:$H$1001,MATCH(ROWS($F$2:F584),$F$2:$F$1001,0),0),2)),INDEX($K$2:$K$1001,MATCH(ROWS($F$2:F584),$F$2:$F$1001,0),0)))</f>
        <v>0</v>
      </c>
      <c r="B584" s="4">
        <f>IF(OR(INDEX($G$2:$G$1001,MATCH(ROWS($F$2:F584),$F$2:$F$1001,0),1)&gt;=100000,INDEX($M$1005,1,MATCH(COLUMNS($M$1006:M1006),$M$1006,0))&gt;=100000), " ",IF(INDEX($M$2:$M$1001,MATCH(ROWS($F$2:F584),$F$2:$F$1001,0),MATCH(COLUMNS($M$1006:M1006),$M$1006,0)), HYPERLINK("#",""), HYPERLINK(CONCATENATE("#Metadata!", ADDRESS(INDEX($H$2:$H$1001,MATCH(ROWS($F$2:F584),$F$2:$F$1001,0),0), INDEX($M$1004,1,MATCH(COLUMNS($M$1006:M1006),$M$1006,0)))),"Fix")))</f>
        <v>0</v>
      </c>
      <c r="F584">
        <v>0</v>
      </c>
      <c r="G584">
        <v>0</v>
      </c>
      <c r="H584">
        <v>0</v>
      </c>
      <c r="I584">
        <f>IF(J584,TRUE,AND(M584))</f>
        <v>0</v>
      </c>
      <c r="J584">
        <f>COUNTBLANK(Metadata!B584)=COLUMNS(Metadata!B584)</f>
        <v>0</v>
      </c>
      <c r="K584">
        <v>0</v>
      </c>
      <c r="M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</row>
    <row r="585" spans="1:13">
      <c r="A585" s="3">
        <f>IF(B585=" "," ",HYPERLINK(CONCATENATE("#metadata!",ADDRESS(INDEX($H$2:$H$1001,MATCH(ROWS($F$2:F585),$F$2:$F$1001,0),0),2)),INDEX($K$2:$K$1001,MATCH(ROWS($F$2:F585),$F$2:$F$1001,0),0)))</f>
        <v>0</v>
      </c>
      <c r="B585" s="4">
        <f>IF(OR(INDEX($G$2:$G$1001,MATCH(ROWS($F$2:F585),$F$2:$F$1001,0),1)&gt;=100000,INDEX($M$1005,1,MATCH(COLUMNS($M$1006:M1006),$M$1006,0))&gt;=100000), " ",IF(INDEX($M$2:$M$1001,MATCH(ROWS($F$2:F585),$F$2:$F$1001,0),MATCH(COLUMNS($M$1006:M1006),$M$1006,0)), HYPERLINK("#",""), HYPERLINK(CONCATENATE("#Metadata!", ADDRESS(INDEX($H$2:$H$1001,MATCH(ROWS($F$2:F585),$F$2:$F$1001,0),0), INDEX($M$1004,1,MATCH(COLUMNS($M$1006:M1006),$M$1006,0)))),"Fix")))</f>
        <v>0</v>
      </c>
      <c r="F585">
        <v>0</v>
      </c>
      <c r="G585">
        <v>0</v>
      </c>
      <c r="H585">
        <v>0</v>
      </c>
      <c r="I585">
        <f>IF(J585,TRUE,AND(M585))</f>
        <v>0</v>
      </c>
      <c r="J585">
        <f>COUNTBLANK(Metadata!B585)=COLUMNS(Metadata!B585)</f>
        <v>0</v>
      </c>
      <c r="K585">
        <v>0</v>
      </c>
      <c r="M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</row>
    <row r="586" spans="1:13">
      <c r="A586" s="3">
        <f>IF(B586=" "," ",HYPERLINK(CONCATENATE("#metadata!",ADDRESS(INDEX($H$2:$H$1001,MATCH(ROWS($F$2:F586),$F$2:$F$1001,0),0),2)),INDEX($K$2:$K$1001,MATCH(ROWS($F$2:F586),$F$2:$F$1001,0),0)))</f>
        <v>0</v>
      </c>
      <c r="B586" s="4">
        <f>IF(OR(INDEX($G$2:$G$1001,MATCH(ROWS($F$2:F586),$F$2:$F$1001,0),1)&gt;=100000,INDEX($M$1005,1,MATCH(COLUMNS($M$1006:M1006),$M$1006,0))&gt;=100000), " ",IF(INDEX($M$2:$M$1001,MATCH(ROWS($F$2:F586),$F$2:$F$1001,0),MATCH(COLUMNS($M$1006:M1006),$M$1006,0)), HYPERLINK("#",""), HYPERLINK(CONCATENATE("#Metadata!", ADDRESS(INDEX($H$2:$H$1001,MATCH(ROWS($F$2:F586),$F$2:$F$1001,0),0), INDEX($M$1004,1,MATCH(COLUMNS($M$1006:M1006),$M$1006,0)))),"Fix")))</f>
        <v>0</v>
      </c>
      <c r="F586">
        <v>0</v>
      </c>
      <c r="G586">
        <v>0</v>
      </c>
      <c r="H586">
        <v>0</v>
      </c>
      <c r="I586">
        <f>IF(J586,TRUE,AND(M586))</f>
        <v>0</v>
      </c>
      <c r="J586">
        <f>COUNTBLANK(Metadata!B586)=COLUMNS(Metadata!B586)</f>
        <v>0</v>
      </c>
      <c r="K586">
        <v>0</v>
      </c>
      <c r="M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</row>
    <row r="587" spans="1:13">
      <c r="A587" s="3">
        <f>IF(B587=" "," ",HYPERLINK(CONCATENATE("#metadata!",ADDRESS(INDEX($H$2:$H$1001,MATCH(ROWS($F$2:F587),$F$2:$F$1001,0),0),2)),INDEX($K$2:$K$1001,MATCH(ROWS($F$2:F587),$F$2:$F$1001,0),0)))</f>
        <v>0</v>
      </c>
      <c r="B587" s="4">
        <f>IF(OR(INDEX($G$2:$G$1001,MATCH(ROWS($F$2:F587),$F$2:$F$1001,0),1)&gt;=100000,INDEX($M$1005,1,MATCH(COLUMNS($M$1006:M1006),$M$1006,0))&gt;=100000), " ",IF(INDEX($M$2:$M$1001,MATCH(ROWS($F$2:F587),$F$2:$F$1001,0),MATCH(COLUMNS($M$1006:M1006),$M$1006,0)), HYPERLINK("#",""), HYPERLINK(CONCATENATE("#Metadata!", ADDRESS(INDEX($H$2:$H$1001,MATCH(ROWS($F$2:F587),$F$2:$F$1001,0),0), INDEX($M$1004,1,MATCH(COLUMNS($M$1006:M1006),$M$1006,0)))),"Fix")))</f>
        <v>0</v>
      </c>
      <c r="F587">
        <v>0</v>
      </c>
      <c r="G587">
        <v>0</v>
      </c>
      <c r="H587">
        <v>0</v>
      </c>
      <c r="I587">
        <f>IF(J587,TRUE,AND(M587))</f>
        <v>0</v>
      </c>
      <c r="J587">
        <f>COUNTBLANK(Metadata!B587)=COLUMNS(Metadata!B587)</f>
        <v>0</v>
      </c>
      <c r="K587">
        <v>0</v>
      </c>
      <c r="M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</row>
    <row r="588" spans="1:13">
      <c r="A588" s="3">
        <f>IF(B588=" "," ",HYPERLINK(CONCATENATE("#metadata!",ADDRESS(INDEX($H$2:$H$1001,MATCH(ROWS($F$2:F588),$F$2:$F$1001,0),0),2)),INDEX($K$2:$K$1001,MATCH(ROWS($F$2:F588),$F$2:$F$1001,0),0)))</f>
        <v>0</v>
      </c>
      <c r="B588" s="4">
        <f>IF(OR(INDEX($G$2:$G$1001,MATCH(ROWS($F$2:F588),$F$2:$F$1001,0),1)&gt;=100000,INDEX($M$1005,1,MATCH(COLUMNS($M$1006:M1006),$M$1006,0))&gt;=100000), " ",IF(INDEX($M$2:$M$1001,MATCH(ROWS($F$2:F588),$F$2:$F$1001,0),MATCH(COLUMNS($M$1006:M1006),$M$1006,0)), HYPERLINK("#",""), HYPERLINK(CONCATENATE("#Metadata!", ADDRESS(INDEX($H$2:$H$1001,MATCH(ROWS($F$2:F588),$F$2:$F$1001,0),0), INDEX($M$1004,1,MATCH(COLUMNS($M$1006:M1006),$M$1006,0)))),"Fix")))</f>
        <v>0</v>
      </c>
      <c r="F588">
        <v>0</v>
      </c>
      <c r="G588">
        <v>0</v>
      </c>
      <c r="H588">
        <v>0</v>
      </c>
      <c r="I588">
        <f>IF(J588,TRUE,AND(M588))</f>
        <v>0</v>
      </c>
      <c r="J588">
        <f>COUNTBLANK(Metadata!B588)=COLUMNS(Metadata!B588)</f>
        <v>0</v>
      </c>
      <c r="K588">
        <v>0</v>
      </c>
      <c r="M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</row>
    <row r="589" spans="1:13">
      <c r="A589" s="3">
        <f>IF(B589=" "," ",HYPERLINK(CONCATENATE("#metadata!",ADDRESS(INDEX($H$2:$H$1001,MATCH(ROWS($F$2:F589),$F$2:$F$1001,0),0),2)),INDEX($K$2:$K$1001,MATCH(ROWS($F$2:F589),$F$2:$F$1001,0),0)))</f>
        <v>0</v>
      </c>
      <c r="B589" s="4">
        <f>IF(OR(INDEX($G$2:$G$1001,MATCH(ROWS($F$2:F589),$F$2:$F$1001,0),1)&gt;=100000,INDEX($M$1005,1,MATCH(COLUMNS($M$1006:M1006),$M$1006,0))&gt;=100000), " ",IF(INDEX($M$2:$M$1001,MATCH(ROWS($F$2:F589),$F$2:$F$1001,0),MATCH(COLUMNS($M$1006:M1006),$M$1006,0)), HYPERLINK("#",""), HYPERLINK(CONCATENATE("#Metadata!", ADDRESS(INDEX($H$2:$H$1001,MATCH(ROWS($F$2:F589),$F$2:$F$1001,0),0), INDEX($M$1004,1,MATCH(COLUMNS($M$1006:M1006),$M$1006,0)))),"Fix")))</f>
        <v>0</v>
      </c>
      <c r="F589">
        <v>0</v>
      </c>
      <c r="G589">
        <v>0</v>
      </c>
      <c r="H589">
        <v>0</v>
      </c>
      <c r="I589">
        <f>IF(J589,TRUE,AND(M589))</f>
        <v>0</v>
      </c>
      <c r="J589">
        <f>COUNTBLANK(Metadata!B589)=COLUMNS(Metadata!B589)</f>
        <v>0</v>
      </c>
      <c r="K589">
        <v>0</v>
      </c>
      <c r="M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</row>
    <row r="590" spans="1:13">
      <c r="A590" s="3">
        <f>IF(B590=" "," ",HYPERLINK(CONCATENATE("#metadata!",ADDRESS(INDEX($H$2:$H$1001,MATCH(ROWS($F$2:F590),$F$2:$F$1001,0),0),2)),INDEX($K$2:$K$1001,MATCH(ROWS($F$2:F590),$F$2:$F$1001,0),0)))</f>
        <v>0</v>
      </c>
      <c r="B590" s="4">
        <f>IF(OR(INDEX($G$2:$G$1001,MATCH(ROWS($F$2:F590),$F$2:$F$1001,0),1)&gt;=100000,INDEX($M$1005,1,MATCH(COLUMNS($M$1006:M1006),$M$1006,0))&gt;=100000), " ",IF(INDEX($M$2:$M$1001,MATCH(ROWS($F$2:F590),$F$2:$F$1001,0),MATCH(COLUMNS($M$1006:M1006),$M$1006,0)), HYPERLINK("#",""), HYPERLINK(CONCATENATE("#Metadata!", ADDRESS(INDEX($H$2:$H$1001,MATCH(ROWS($F$2:F590),$F$2:$F$1001,0),0), INDEX($M$1004,1,MATCH(COLUMNS($M$1006:M1006),$M$1006,0)))),"Fix")))</f>
        <v>0</v>
      </c>
      <c r="F590">
        <v>0</v>
      </c>
      <c r="G590">
        <v>0</v>
      </c>
      <c r="H590">
        <v>0</v>
      </c>
      <c r="I590">
        <f>IF(J590,TRUE,AND(M590))</f>
        <v>0</v>
      </c>
      <c r="J590">
        <f>COUNTBLANK(Metadata!B590)=COLUMNS(Metadata!B590)</f>
        <v>0</v>
      </c>
      <c r="K590">
        <v>0</v>
      </c>
      <c r="M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</row>
    <row r="591" spans="1:13">
      <c r="A591" s="3">
        <f>IF(B591=" "," ",HYPERLINK(CONCATENATE("#metadata!",ADDRESS(INDEX($H$2:$H$1001,MATCH(ROWS($F$2:F591),$F$2:$F$1001,0),0),2)),INDEX($K$2:$K$1001,MATCH(ROWS($F$2:F591),$F$2:$F$1001,0),0)))</f>
        <v>0</v>
      </c>
      <c r="B591" s="4">
        <f>IF(OR(INDEX($G$2:$G$1001,MATCH(ROWS($F$2:F591),$F$2:$F$1001,0),1)&gt;=100000,INDEX($M$1005,1,MATCH(COLUMNS($M$1006:M1006),$M$1006,0))&gt;=100000), " ",IF(INDEX($M$2:$M$1001,MATCH(ROWS($F$2:F591),$F$2:$F$1001,0),MATCH(COLUMNS($M$1006:M1006),$M$1006,0)), HYPERLINK("#",""), HYPERLINK(CONCATENATE("#Metadata!", ADDRESS(INDEX($H$2:$H$1001,MATCH(ROWS($F$2:F591),$F$2:$F$1001,0),0), INDEX($M$1004,1,MATCH(COLUMNS($M$1006:M1006),$M$1006,0)))),"Fix")))</f>
        <v>0</v>
      </c>
      <c r="F591">
        <v>0</v>
      </c>
      <c r="G591">
        <v>0</v>
      </c>
      <c r="H591">
        <v>0</v>
      </c>
      <c r="I591">
        <f>IF(J591,TRUE,AND(M591))</f>
        <v>0</v>
      </c>
      <c r="J591">
        <f>COUNTBLANK(Metadata!B591)=COLUMNS(Metadata!B591)</f>
        <v>0</v>
      </c>
      <c r="K591">
        <v>0</v>
      </c>
      <c r="M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</row>
    <row r="592" spans="1:13">
      <c r="A592" s="3">
        <f>IF(B592=" "," ",HYPERLINK(CONCATENATE("#metadata!",ADDRESS(INDEX($H$2:$H$1001,MATCH(ROWS($F$2:F592),$F$2:$F$1001,0),0),2)),INDEX($K$2:$K$1001,MATCH(ROWS($F$2:F592),$F$2:$F$1001,0),0)))</f>
        <v>0</v>
      </c>
      <c r="B592" s="4">
        <f>IF(OR(INDEX($G$2:$G$1001,MATCH(ROWS($F$2:F592),$F$2:$F$1001,0),1)&gt;=100000,INDEX($M$1005,1,MATCH(COLUMNS($M$1006:M1006),$M$1006,0))&gt;=100000), " ",IF(INDEX($M$2:$M$1001,MATCH(ROWS($F$2:F592),$F$2:$F$1001,0),MATCH(COLUMNS($M$1006:M1006),$M$1006,0)), HYPERLINK("#",""), HYPERLINK(CONCATENATE("#Metadata!", ADDRESS(INDEX($H$2:$H$1001,MATCH(ROWS($F$2:F592),$F$2:$F$1001,0),0), INDEX($M$1004,1,MATCH(COLUMNS($M$1006:M1006),$M$1006,0)))),"Fix")))</f>
        <v>0</v>
      </c>
      <c r="F592">
        <v>0</v>
      </c>
      <c r="G592">
        <v>0</v>
      </c>
      <c r="H592">
        <v>0</v>
      </c>
      <c r="I592">
        <f>IF(J592,TRUE,AND(M592))</f>
        <v>0</v>
      </c>
      <c r="J592">
        <f>COUNTBLANK(Metadata!B592)=COLUMNS(Metadata!B592)</f>
        <v>0</v>
      </c>
      <c r="K592">
        <v>0</v>
      </c>
      <c r="M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</row>
    <row r="593" spans="1:13">
      <c r="A593" s="3">
        <f>IF(B593=" "," ",HYPERLINK(CONCATENATE("#metadata!",ADDRESS(INDEX($H$2:$H$1001,MATCH(ROWS($F$2:F593),$F$2:$F$1001,0),0),2)),INDEX($K$2:$K$1001,MATCH(ROWS($F$2:F593),$F$2:$F$1001,0),0)))</f>
        <v>0</v>
      </c>
      <c r="B593" s="4">
        <f>IF(OR(INDEX($G$2:$G$1001,MATCH(ROWS($F$2:F593),$F$2:$F$1001,0),1)&gt;=100000,INDEX($M$1005,1,MATCH(COLUMNS($M$1006:M1006),$M$1006,0))&gt;=100000), " ",IF(INDEX($M$2:$M$1001,MATCH(ROWS($F$2:F593),$F$2:$F$1001,0),MATCH(COLUMNS($M$1006:M1006),$M$1006,0)), HYPERLINK("#",""), HYPERLINK(CONCATENATE("#Metadata!", ADDRESS(INDEX($H$2:$H$1001,MATCH(ROWS($F$2:F593),$F$2:$F$1001,0),0), INDEX($M$1004,1,MATCH(COLUMNS($M$1006:M1006),$M$1006,0)))),"Fix")))</f>
        <v>0</v>
      </c>
      <c r="F593">
        <v>0</v>
      </c>
      <c r="G593">
        <v>0</v>
      </c>
      <c r="H593">
        <v>0</v>
      </c>
      <c r="I593">
        <f>IF(J593,TRUE,AND(M593))</f>
        <v>0</v>
      </c>
      <c r="J593">
        <f>COUNTBLANK(Metadata!B593)=COLUMNS(Metadata!B593)</f>
        <v>0</v>
      </c>
      <c r="K593">
        <v>0</v>
      </c>
      <c r="M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</row>
    <row r="594" spans="1:13">
      <c r="A594" s="3">
        <f>IF(B594=" "," ",HYPERLINK(CONCATENATE("#metadata!",ADDRESS(INDEX($H$2:$H$1001,MATCH(ROWS($F$2:F594),$F$2:$F$1001,0),0),2)),INDEX($K$2:$K$1001,MATCH(ROWS($F$2:F594),$F$2:$F$1001,0),0)))</f>
        <v>0</v>
      </c>
      <c r="B594" s="4">
        <f>IF(OR(INDEX($G$2:$G$1001,MATCH(ROWS($F$2:F594),$F$2:$F$1001,0),1)&gt;=100000,INDEX($M$1005,1,MATCH(COLUMNS($M$1006:M1006),$M$1006,0))&gt;=100000), " ",IF(INDEX($M$2:$M$1001,MATCH(ROWS($F$2:F594),$F$2:$F$1001,0),MATCH(COLUMNS($M$1006:M1006),$M$1006,0)), HYPERLINK("#",""), HYPERLINK(CONCATENATE("#Metadata!", ADDRESS(INDEX($H$2:$H$1001,MATCH(ROWS($F$2:F594),$F$2:$F$1001,0),0), INDEX($M$1004,1,MATCH(COLUMNS($M$1006:M1006),$M$1006,0)))),"Fix")))</f>
        <v>0</v>
      </c>
      <c r="F594">
        <v>0</v>
      </c>
      <c r="G594">
        <v>0</v>
      </c>
      <c r="H594">
        <v>0</v>
      </c>
      <c r="I594">
        <f>IF(J594,TRUE,AND(M594))</f>
        <v>0</v>
      </c>
      <c r="J594">
        <f>COUNTBLANK(Metadata!B594)=COLUMNS(Metadata!B594)</f>
        <v>0</v>
      </c>
      <c r="K594">
        <v>0</v>
      </c>
      <c r="M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</row>
    <row r="595" spans="1:13">
      <c r="A595" s="3">
        <f>IF(B595=" "," ",HYPERLINK(CONCATENATE("#metadata!",ADDRESS(INDEX($H$2:$H$1001,MATCH(ROWS($F$2:F595),$F$2:$F$1001,0),0),2)),INDEX($K$2:$K$1001,MATCH(ROWS($F$2:F595),$F$2:$F$1001,0),0)))</f>
        <v>0</v>
      </c>
      <c r="B595" s="4">
        <f>IF(OR(INDEX($G$2:$G$1001,MATCH(ROWS($F$2:F595),$F$2:$F$1001,0),1)&gt;=100000,INDEX($M$1005,1,MATCH(COLUMNS($M$1006:M1006),$M$1006,0))&gt;=100000), " ",IF(INDEX($M$2:$M$1001,MATCH(ROWS($F$2:F595),$F$2:$F$1001,0),MATCH(COLUMNS($M$1006:M1006),$M$1006,0)), HYPERLINK("#",""), HYPERLINK(CONCATENATE("#Metadata!", ADDRESS(INDEX($H$2:$H$1001,MATCH(ROWS($F$2:F595),$F$2:$F$1001,0),0), INDEX($M$1004,1,MATCH(COLUMNS($M$1006:M1006),$M$1006,0)))),"Fix")))</f>
        <v>0</v>
      </c>
      <c r="F595">
        <v>0</v>
      </c>
      <c r="G595">
        <v>0</v>
      </c>
      <c r="H595">
        <v>0</v>
      </c>
      <c r="I595">
        <f>IF(J595,TRUE,AND(M595))</f>
        <v>0</v>
      </c>
      <c r="J595">
        <f>COUNTBLANK(Metadata!B595)=COLUMNS(Metadata!B595)</f>
        <v>0</v>
      </c>
      <c r="K595">
        <v>0</v>
      </c>
      <c r="M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</row>
    <row r="596" spans="1:13">
      <c r="A596" s="3">
        <f>IF(B596=" "," ",HYPERLINK(CONCATENATE("#metadata!",ADDRESS(INDEX($H$2:$H$1001,MATCH(ROWS($F$2:F596),$F$2:$F$1001,0),0),2)),INDEX($K$2:$K$1001,MATCH(ROWS($F$2:F596),$F$2:$F$1001,0),0)))</f>
        <v>0</v>
      </c>
      <c r="B596" s="4">
        <f>IF(OR(INDEX($G$2:$G$1001,MATCH(ROWS($F$2:F596),$F$2:$F$1001,0),1)&gt;=100000,INDEX($M$1005,1,MATCH(COLUMNS($M$1006:M1006),$M$1006,0))&gt;=100000), " ",IF(INDEX($M$2:$M$1001,MATCH(ROWS($F$2:F596),$F$2:$F$1001,0),MATCH(COLUMNS($M$1006:M1006),$M$1006,0)), HYPERLINK("#",""), HYPERLINK(CONCATENATE("#Metadata!", ADDRESS(INDEX($H$2:$H$1001,MATCH(ROWS($F$2:F596),$F$2:$F$1001,0),0), INDEX($M$1004,1,MATCH(COLUMNS($M$1006:M1006),$M$1006,0)))),"Fix")))</f>
        <v>0</v>
      </c>
      <c r="F596">
        <v>0</v>
      </c>
      <c r="G596">
        <v>0</v>
      </c>
      <c r="H596">
        <v>0</v>
      </c>
      <c r="I596">
        <f>IF(J596,TRUE,AND(M596))</f>
        <v>0</v>
      </c>
      <c r="J596">
        <f>COUNTBLANK(Metadata!B596)=COLUMNS(Metadata!B596)</f>
        <v>0</v>
      </c>
      <c r="K596">
        <v>0</v>
      </c>
      <c r="M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</row>
    <row r="597" spans="1:13">
      <c r="A597" s="3">
        <f>IF(B597=" "," ",HYPERLINK(CONCATENATE("#metadata!",ADDRESS(INDEX($H$2:$H$1001,MATCH(ROWS($F$2:F597),$F$2:$F$1001,0),0),2)),INDEX($K$2:$K$1001,MATCH(ROWS($F$2:F597),$F$2:$F$1001,0),0)))</f>
        <v>0</v>
      </c>
      <c r="B597" s="4">
        <f>IF(OR(INDEX($G$2:$G$1001,MATCH(ROWS($F$2:F597),$F$2:$F$1001,0),1)&gt;=100000,INDEX($M$1005,1,MATCH(COLUMNS($M$1006:M1006),$M$1006,0))&gt;=100000), " ",IF(INDEX($M$2:$M$1001,MATCH(ROWS($F$2:F597),$F$2:$F$1001,0),MATCH(COLUMNS($M$1006:M1006),$M$1006,0)), HYPERLINK("#",""), HYPERLINK(CONCATENATE("#Metadata!", ADDRESS(INDEX($H$2:$H$1001,MATCH(ROWS($F$2:F597),$F$2:$F$1001,0),0), INDEX($M$1004,1,MATCH(COLUMNS($M$1006:M1006),$M$1006,0)))),"Fix")))</f>
        <v>0</v>
      </c>
      <c r="F597">
        <v>0</v>
      </c>
      <c r="G597">
        <v>0</v>
      </c>
      <c r="H597">
        <v>0</v>
      </c>
      <c r="I597">
        <f>IF(J597,TRUE,AND(M597))</f>
        <v>0</v>
      </c>
      <c r="J597">
        <f>COUNTBLANK(Metadata!B597)=COLUMNS(Metadata!B597)</f>
        <v>0</v>
      </c>
      <c r="K597">
        <v>0</v>
      </c>
      <c r="M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</row>
    <row r="598" spans="1:13">
      <c r="A598" s="3">
        <f>IF(B598=" "," ",HYPERLINK(CONCATENATE("#metadata!",ADDRESS(INDEX($H$2:$H$1001,MATCH(ROWS($F$2:F598),$F$2:$F$1001,0),0),2)),INDEX($K$2:$K$1001,MATCH(ROWS($F$2:F598),$F$2:$F$1001,0),0)))</f>
        <v>0</v>
      </c>
      <c r="B598" s="4">
        <f>IF(OR(INDEX($G$2:$G$1001,MATCH(ROWS($F$2:F598),$F$2:$F$1001,0),1)&gt;=100000,INDEX($M$1005,1,MATCH(COLUMNS($M$1006:M1006),$M$1006,0))&gt;=100000), " ",IF(INDEX($M$2:$M$1001,MATCH(ROWS($F$2:F598),$F$2:$F$1001,0),MATCH(COLUMNS($M$1006:M1006),$M$1006,0)), HYPERLINK("#",""), HYPERLINK(CONCATENATE("#Metadata!", ADDRESS(INDEX($H$2:$H$1001,MATCH(ROWS($F$2:F598),$F$2:$F$1001,0),0), INDEX($M$1004,1,MATCH(COLUMNS($M$1006:M1006),$M$1006,0)))),"Fix")))</f>
        <v>0</v>
      </c>
      <c r="F598">
        <v>0</v>
      </c>
      <c r="G598">
        <v>0</v>
      </c>
      <c r="H598">
        <v>0</v>
      </c>
      <c r="I598">
        <f>IF(J598,TRUE,AND(M598))</f>
        <v>0</v>
      </c>
      <c r="J598">
        <f>COUNTBLANK(Metadata!B598)=COLUMNS(Metadata!B598)</f>
        <v>0</v>
      </c>
      <c r="K598">
        <v>0</v>
      </c>
      <c r="M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</row>
    <row r="599" spans="1:13">
      <c r="A599" s="3">
        <f>IF(B599=" "," ",HYPERLINK(CONCATENATE("#metadata!",ADDRESS(INDEX($H$2:$H$1001,MATCH(ROWS($F$2:F599),$F$2:$F$1001,0),0),2)),INDEX($K$2:$K$1001,MATCH(ROWS($F$2:F599),$F$2:$F$1001,0),0)))</f>
        <v>0</v>
      </c>
      <c r="B599" s="4">
        <f>IF(OR(INDEX($G$2:$G$1001,MATCH(ROWS($F$2:F599),$F$2:$F$1001,0),1)&gt;=100000,INDEX($M$1005,1,MATCH(COLUMNS($M$1006:M1006),$M$1006,0))&gt;=100000), " ",IF(INDEX($M$2:$M$1001,MATCH(ROWS($F$2:F599),$F$2:$F$1001,0),MATCH(COLUMNS($M$1006:M1006),$M$1006,0)), HYPERLINK("#",""), HYPERLINK(CONCATENATE("#Metadata!", ADDRESS(INDEX($H$2:$H$1001,MATCH(ROWS($F$2:F599),$F$2:$F$1001,0),0), INDEX($M$1004,1,MATCH(COLUMNS($M$1006:M1006),$M$1006,0)))),"Fix")))</f>
        <v>0</v>
      </c>
      <c r="F599">
        <v>0</v>
      </c>
      <c r="G599">
        <v>0</v>
      </c>
      <c r="H599">
        <v>0</v>
      </c>
      <c r="I599">
        <f>IF(J599,TRUE,AND(M599))</f>
        <v>0</v>
      </c>
      <c r="J599">
        <f>COUNTBLANK(Metadata!B599)=COLUMNS(Metadata!B599)</f>
        <v>0</v>
      </c>
      <c r="K599">
        <v>0</v>
      </c>
      <c r="M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</row>
    <row r="600" spans="1:13">
      <c r="A600" s="3">
        <f>IF(B600=" "," ",HYPERLINK(CONCATENATE("#metadata!",ADDRESS(INDEX($H$2:$H$1001,MATCH(ROWS($F$2:F600),$F$2:$F$1001,0),0),2)),INDEX($K$2:$K$1001,MATCH(ROWS($F$2:F600),$F$2:$F$1001,0),0)))</f>
        <v>0</v>
      </c>
      <c r="B600" s="4">
        <f>IF(OR(INDEX($G$2:$G$1001,MATCH(ROWS($F$2:F600),$F$2:$F$1001,0),1)&gt;=100000,INDEX($M$1005,1,MATCH(COLUMNS($M$1006:M1006),$M$1006,0))&gt;=100000), " ",IF(INDEX($M$2:$M$1001,MATCH(ROWS($F$2:F600),$F$2:$F$1001,0),MATCH(COLUMNS($M$1006:M1006),$M$1006,0)), HYPERLINK("#",""), HYPERLINK(CONCATENATE("#Metadata!", ADDRESS(INDEX($H$2:$H$1001,MATCH(ROWS($F$2:F600),$F$2:$F$1001,0),0), INDEX($M$1004,1,MATCH(COLUMNS($M$1006:M1006),$M$1006,0)))),"Fix")))</f>
        <v>0</v>
      </c>
      <c r="F600">
        <v>0</v>
      </c>
      <c r="G600">
        <v>0</v>
      </c>
      <c r="H600">
        <v>0</v>
      </c>
      <c r="I600">
        <f>IF(J600,TRUE,AND(M600))</f>
        <v>0</v>
      </c>
      <c r="J600">
        <f>COUNTBLANK(Metadata!B600)=COLUMNS(Metadata!B600)</f>
        <v>0</v>
      </c>
      <c r="K600">
        <v>0</v>
      </c>
      <c r="M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</row>
    <row r="601" spans="1:13">
      <c r="A601" s="3">
        <f>IF(B601=" "," ",HYPERLINK(CONCATENATE("#metadata!",ADDRESS(INDEX($H$2:$H$1001,MATCH(ROWS($F$2:F601),$F$2:$F$1001,0),0),2)),INDEX($K$2:$K$1001,MATCH(ROWS($F$2:F601),$F$2:$F$1001,0),0)))</f>
        <v>0</v>
      </c>
      <c r="B601" s="4">
        <f>IF(OR(INDEX($G$2:$G$1001,MATCH(ROWS($F$2:F601),$F$2:$F$1001,0),1)&gt;=100000,INDEX($M$1005,1,MATCH(COLUMNS($M$1006:M1006),$M$1006,0))&gt;=100000), " ",IF(INDEX($M$2:$M$1001,MATCH(ROWS($F$2:F601),$F$2:$F$1001,0),MATCH(COLUMNS($M$1006:M1006),$M$1006,0)), HYPERLINK("#",""), HYPERLINK(CONCATENATE("#Metadata!", ADDRESS(INDEX($H$2:$H$1001,MATCH(ROWS($F$2:F601),$F$2:$F$1001,0),0), INDEX($M$1004,1,MATCH(COLUMNS($M$1006:M1006),$M$1006,0)))),"Fix")))</f>
        <v>0</v>
      </c>
      <c r="F601">
        <v>0</v>
      </c>
      <c r="G601">
        <v>0</v>
      </c>
      <c r="H601">
        <v>0</v>
      </c>
      <c r="I601">
        <f>IF(J601,TRUE,AND(M601))</f>
        <v>0</v>
      </c>
      <c r="J601">
        <f>COUNTBLANK(Metadata!B601)=COLUMNS(Metadata!B601)</f>
        <v>0</v>
      </c>
      <c r="K601">
        <v>0</v>
      </c>
      <c r="M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</row>
    <row r="602" spans="1:13">
      <c r="A602" s="3">
        <f>IF(B602=" "," ",HYPERLINK(CONCATENATE("#metadata!",ADDRESS(INDEX($H$2:$H$1001,MATCH(ROWS($F$2:F602),$F$2:$F$1001,0),0),2)),INDEX($K$2:$K$1001,MATCH(ROWS($F$2:F602),$F$2:$F$1001,0),0)))</f>
        <v>0</v>
      </c>
      <c r="B602" s="4">
        <f>IF(OR(INDEX($G$2:$G$1001,MATCH(ROWS($F$2:F602),$F$2:$F$1001,0),1)&gt;=100000,INDEX($M$1005,1,MATCH(COLUMNS($M$1006:M1006),$M$1006,0))&gt;=100000), " ",IF(INDEX($M$2:$M$1001,MATCH(ROWS($F$2:F602),$F$2:$F$1001,0),MATCH(COLUMNS($M$1006:M1006),$M$1006,0)), HYPERLINK("#",""), HYPERLINK(CONCATENATE("#Metadata!", ADDRESS(INDEX($H$2:$H$1001,MATCH(ROWS($F$2:F602),$F$2:$F$1001,0),0), INDEX($M$1004,1,MATCH(COLUMNS($M$1006:M1006),$M$1006,0)))),"Fix")))</f>
        <v>0</v>
      </c>
      <c r="F602">
        <v>0</v>
      </c>
      <c r="G602">
        <v>0</v>
      </c>
      <c r="H602">
        <v>0</v>
      </c>
      <c r="I602">
        <f>IF(J602,TRUE,AND(M602))</f>
        <v>0</v>
      </c>
      <c r="J602">
        <f>COUNTBLANK(Metadata!B602)=COLUMNS(Metadata!B602)</f>
        <v>0</v>
      </c>
      <c r="K602">
        <v>0</v>
      </c>
      <c r="M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</row>
    <row r="603" spans="1:13">
      <c r="A603" s="3">
        <f>IF(B603=" "," ",HYPERLINK(CONCATENATE("#metadata!",ADDRESS(INDEX($H$2:$H$1001,MATCH(ROWS($F$2:F603),$F$2:$F$1001,0),0),2)),INDEX($K$2:$K$1001,MATCH(ROWS($F$2:F603),$F$2:$F$1001,0),0)))</f>
        <v>0</v>
      </c>
      <c r="B603" s="4">
        <f>IF(OR(INDEX($G$2:$G$1001,MATCH(ROWS($F$2:F603),$F$2:$F$1001,0),1)&gt;=100000,INDEX($M$1005,1,MATCH(COLUMNS($M$1006:M1006),$M$1006,0))&gt;=100000), " ",IF(INDEX($M$2:$M$1001,MATCH(ROWS($F$2:F603),$F$2:$F$1001,0),MATCH(COLUMNS($M$1006:M1006),$M$1006,0)), HYPERLINK("#",""), HYPERLINK(CONCATENATE("#Metadata!", ADDRESS(INDEX($H$2:$H$1001,MATCH(ROWS($F$2:F603),$F$2:$F$1001,0),0), INDEX($M$1004,1,MATCH(COLUMNS($M$1006:M1006),$M$1006,0)))),"Fix")))</f>
        <v>0</v>
      </c>
      <c r="F603">
        <v>0</v>
      </c>
      <c r="G603">
        <v>0</v>
      </c>
      <c r="H603">
        <v>0</v>
      </c>
      <c r="I603">
        <f>IF(J603,TRUE,AND(M603))</f>
        <v>0</v>
      </c>
      <c r="J603">
        <f>COUNTBLANK(Metadata!B603)=COLUMNS(Metadata!B603)</f>
        <v>0</v>
      </c>
      <c r="K603">
        <v>0</v>
      </c>
      <c r="M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</row>
    <row r="604" spans="1:13">
      <c r="A604" s="3">
        <f>IF(B604=" "," ",HYPERLINK(CONCATENATE("#metadata!",ADDRESS(INDEX($H$2:$H$1001,MATCH(ROWS($F$2:F604),$F$2:$F$1001,0),0),2)),INDEX($K$2:$K$1001,MATCH(ROWS($F$2:F604),$F$2:$F$1001,0),0)))</f>
        <v>0</v>
      </c>
      <c r="B604" s="4">
        <f>IF(OR(INDEX($G$2:$G$1001,MATCH(ROWS($F$2:F604),$F$2:$F$1001,0),1)&gt;=100000,INDEX($M$1005,1,MATCH(COLUMNS($M$1006:M1006),$M$1006,0))&gt;=100000), " ",IF(INDEX($M$2:$M$1001,MATCH(ROWS($F$2:F604),$F$2:$F$1001,0),MATCH(COLUMNS($M$1006:M1006),$M$1006,0)), HYPERLINK("#",""), HYPERLINK(CONCATENATE("#Metadata!", ADDRESS(INDEX($H$2:$H$1001,MATCH(ROWS($F$2:F604),$F$2:$F$1001,0),0), INDEX($M$1004,1,MATCH(COLUMNS($M$1006:M1006),$M$1006,0)))),"Fix")))</f>
        <v>0</v>
      </c>
      <c r="F604">
        <v>0</v>
      </c>
      <c r="G604">
        <v>0</v>
      </c>
      <c r="H604">
        <v>0</v>
      </c>
      <c r="I604">
        <f>IF(J604,TRUE,AND(M604))</f>
        <v>0</v>
      </c>
      <c r="J604">
        <f>COUNTBLANK(Metadata!B604)=COLUMNS(Metadata!B604)</f>
        <v>0</v>
      </c>
      <c r="K604">
        <v>0</v>
      </c>
      <c r="M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</row>
    <row r="605" spans="1:13">
      <c r="A605" s="3">
        <f>IF(B605=" "," ",HYPERLINK(CONCATENATE("#metadata!",ADDRESS(INDEX($H$2:$H$1001,MATCH(ROWS($F$2:F605),$F$2:$F$1001,0),0),2)),INDEX($K$2:$K$1001,MATCH(ROWS($F$2:F605),$F$2:$F$1001,0),0)))</f>
        <v>0</v>
      </c>
      <c r="B605" s="4">
        <f>IF(OR(INDEX($G$2:$G$1001,MATCH(ROWS($F$2:F605),$F$2:$F$1001,0),1)&gt;=100000,INDEX($M$1005,1,MATCH(COLUMNS($M$1006:M1006),$M$1006,0))&gt;=100000), " ",IF(INDEX($M$2:$M$1001,MATCH(ROWS($F$2:F605),$F$2:$F$1001,0),MATCH(COLUMNS($M$1006:M1006),$M$1006,0)), HYPERLINK("#",""), HYPERLINK(CONCATENATE("#Metadata!", ADDRESS(INDEX($H$2:$H$1001,MATCH(ROWS($F$2:F605),$F$2:$F$1001,0),0), INDEX($M$1004,1,MATCH(COLUMNS($M$1006:M1006),$M$1006,0)))),"Fix")))</f>
        <v>0</v>
      </c>
      <c r="F605">
        <v>0</v>
      </c>
      <c r="G605">
        <v>0</v>
      </c>
      <c r="H605">
        <v>0</v>
      </c>
      <c r="I605">
        <f>IF(J605,TRUE,AND(M605))</f>
        <v>0</v>
      </c>
      <c r="J605">
        <f>COUNTBLANK(Metadata!B605)=COLUMNS(Metadata!B605)</f>
        <v>0</v>
      </c>
      <c r="K605">
        <v>0</v>
      </c>
      <c r="M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</row>
    <row r="606" spans="1:13">
      <c r="A606" s="3">
        <f>IF(B606=" "," ",HYPERLINK(CONCATENATE("#metadata!",ADDRESS(INDEX($H$2:$H$1001,MATCH(ROWS($F$2:F606),$F$2:$F$1001,0),0),2)),INDEX($K$2:$K$1001,MATCH(ROWS($F$2:F606),$F$2:$F$1001,0),0)))</f>
        <v>0</v>
      </c>
      <c r="B606" s="4">
        <f>IF(OR(INDEX($G$2:$G$1001,MATCH(ROWS($F$2:F606),$F$2:$F$1001,0),1)&gt;=100000,INDEX($M$1005,1,MATCH(COLUMNS($M$1006:M1006),$M$1006,0))&gt;=100000), " ",IF(INDEX($M$2:$M$1001,MATCH(ROWS($F$2:F606),$F$2:$F$1001,0),MATCH(COLUMNS($M$1006:M1006),$M$1006,0)), HYPERLINK("#",""), HYPERLINK(CONCATENATE("#Metadata!", ADDRESS(INDEX($H$2:$H$1001,MATCH(ROWS($F$2:F606),$F$2:$F$1001,0),0), INDEX($M$1004,1,MATCH(COLUMNS($M$1006:M1006),$M$1006,0)))),"Fix")))</f>
        <v>0</v>
      </c>
      <c r="F606">
        <v>0</v>
      </c>
      <c r="G606">
        <v>0</v>
      </c>
      <c r="H606">
        <v>0</v>
      </c>
      <c r="I606">
        <f>IF(J606,TRUE,AND(M606))</f>
        <v>0</v>
      </c>
      <c r="J606">
        <f>COUNTBLANK(Metadata!B606)=COLUMNS(Metadata!B606)</f>
        <v>0</v>
      </c>
      <c r="K606">
        <v>0</v>
      </c>
      <c r="M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</row>
    <row r="607" spans="1:13">
      <c r="A607" s="3">
        <f>IF(B607=" "," ",HYPERLINK(CONCATENATE("#metadata!",ADDRESS(INDEX($H$2:$H$1001,MATCH(ROWS($F$2:F607),$F$2:$F$1001,0),0),2)),INDEX($K$2:$K$1001,MATCH(ROWS($F$2:F607),$F$2:$F$1001,0),0)))</f>
        <v>0</v>
      </c>
      <c r="B607" s="4">
        <f>IF(OR(INDEX($G$2:$G$1001,MATCH(ROWS($F$2:F607),$F$2:$F$1001,0),1)&gt;=100000,INDEX($M$1005,1,MATCH(COLUMNS($M$1006:M1006),$M$1006,0))&gt;=100000), " ",IF(INDEX($M$2:$M$1001,MATCH(ROWS($F$2:F607),$F$2:$F$1001,0),MATCH(COLUMNS($M$1006:M1006),$M$1006,0)), HYPERLINK("#",""), HYPERLINK(CONCATENATE("#Metadata!", ADDRESS(INDEX($H$2:$H$1001,MATCH(ROWS($F$2:F607),$F$2:$F$1001,0),0), INDEX($M$1004,1,MATCH(COLUMNS($M$1006:M1006),$M$1006,0)))),"Fix")))</f>
        <v>0</v>
      </c>
      <c r="F607">
        <v>0</v>
      </c>
      <c r="G607">
        <v>0</v>
      </c>
      <c r="H607">
        <v>0</v>
      </c>
      <c r="I607">
        <f>IF(J607,TRUE,AND(M607))</f>
        <v>0</v>
      </c>
      <c r="J607">
        <f>COUNTBLANK(Metadata!B607)=COLUMNS(Metadata!B607)</f>
        <v>0</v>
      </c>
      <c r="K607">
        <v>0</v>
      </c>
      <c r="M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</row>
    <row r="608" spans="1:13">
      <c r="A608" s="3">
        <f>IF(B608=" "," ",HYPERLINK(CONCATENATE("#metadata!",ADDRESS(INDEX($H$2:$H$1001,MATCH(ROWS($F$2:F608),$F$2:$F$1001,0),0),2)),INDEX($K$2:$K$1001,MATCH(ROWS($F$2:F608),$F$2:$F$1001,0),0)))</f>
        <v>0</v>
      </c>
      <c r="B608" s="4">
        <f>IF(OR(INDEX($G$2:$G$1001,MATCH(ROWS($F$2:F608),$F$2:$F$1001,0),1)&gt;=100000,INDEX($M$1005,1,MATCH(COLUMNS($M$1006:M1006),$M$1006,0))&gt;=100000), " ",IF(INDEX($M$2:$M$1001,MATCH(ROWS($F$2:F608),$F$2:$F$1001,0),MATCH(COLUMNS($M$1006:M1006),$M$1006,0)), HYPERLINK("#",""), HYPERLINK(CONCATENATE("#Metadata!", ADDRESS(INDEX($H$2:$H$1001,MATCH(ROWS($F$2:F608),$F$2:$F$1001,0),0), INDEX($M$1004,1,MATCH(COLUMNS($M$1006:M1006),$M$1006,0)))),"Fix")))</f>
        <v>0</v>
      </c>
      <c r="F608">
        <v>0</v>
      </c>
      <c r="G608">
        <v>0</v>
      </c>
      <c r="H608">
        <v>0</v>
      </c>
      <c r="I608">
        <f>IF(J608,TRUE,AND(M608))</f>
        <v>0</v>
      </c>
      <c r="J608">
        <f>COUNTBLANK(Metadata!B608)=COLUMNS(Metadata!B608)</f>
        <v>0</v>
      </c>
      <c r="K608">
        <v>0</v>
      </c>
      <c r="M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</row>
    <row r="609" spans="1:13">
      <c r="A609" s="3">
        <f>IF(B609=" "," ",HYPERLINK(CONCATENATE("#metadata!",ADDRESS(INDEX($H$2:$H$1001,MATCH(ROWS($F$2:F609),$F$2:$F$1001,0),0),2)),INDEX($K$2:$K$1001,MATCH(ROWS($F$2:F609),$F$2:$F$1001,0),0)))</f>
        <v>0</v>
      </c>
      <c r="B609" s="4">
        <f>IF(OR(INDEX($G$2:$G$1001,MATCH(ROWS($F$2:F609),$F$2:$F$1001,0),1)&gt;=100000,INDEX($M$1005,1,MATCH(COLUMNS($M$1006:M1006),$M$1006,0))&gt;=100000), " ",IF(INDEX($M$2:$M$1001,MATCH(ROWS($F$2:F609),$F$2:$F$1001,0),MATCH(COLUMNS($M$1006:M1006),$M$1006,0)), HYPERLINK("#",""), HYPERLINK(CONCATENATE("#Metadata!", ADDRESS(INDEX($H$2:$H$1001,MATCH(ROWS($F$2:F609),$F$2:$F$1001,0),0), INDEX($M$1004,1,MATCH(COLUMNS($M$1006:M1006),$M$1006,0)))),"Fix")))</f>
        <v>0</v>
      </c>
      <c r="F609">
        <v>0</v>
      </c>
      <c r="G609">
        <v>0</v>
      </c>
      <c r="H609">
        <v>0</v>
      </c>
      <c r="I609">
        <f>IF(J609,TRUE,AND(M609))</f>
        <v>0</v>
      </c>
      <c r="J609">
        <f>COUNTBLANK(Metadata!B609)=COLUMNS(Metadata!B609)</f>
        <v>0</v>
      </c>
      <c r="K609">
        <v>0</v>
      </c>
      <c r="M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</row>
    <row r="610" spans="1:13">
      <c r="A610" s="3">
        <f>IF(B610=" "," ",HYPERLINK(CONCATENATE("#metadata!",ADDRESS(INDEX($H$2:$H$1001,MATCH(ROWS($F$2:F610),$F$2:$F$1001,0),0),2)),INDEX($K$2:$K$1001,MATCH(ROWS($F$2:F610),$F$2:$F$1001,0),0)))</f>
        <v>0</v>
      </c>
      <c r="B610" s="4">
        <f>IF(OR(INDEX($G$2:$G$1001,MATCH(ROWS($F$2:F610),$F$2:$F$1001,0),1)&gt;=100000,INDEX($M$1005,1,MATCH(COLUMNS($M$1006:M1006),$M$1006,0))&gt;=100000), " ",IF(INDEX($M$2:$M$1001,MATCH(ROWS($F$2:F610),$F$2:$F$1001,0),MATCH(COLUMNS($M$1006:M1006),$M$1006,0)), HYPERLINK("#",""), HYPERLINK(CONCATENATE("#Metadata!", ADDRESS(INDEX($H$2:$H$1001,MATCH(ROWS($F$2:F610),$F$2:$F$1001,0),0), INDEX($M$1004,1,MATCH(COLUMNS($M$1006:M1006),$M$1006,0)))),"Fix")))</f>
        <v>0</v>
      </c>
      <c r="F610">
        <v>0</v>
      </c>
      <c r="G610">
        <v>0</v>
      </c>
      <c r="H610">
        <v>0</v>
      </c>
      <c r="I610">
        <f>IF(J610,TRUE,AND(M610))</f>
        <v>0</v>
      </c>
      <c r="J610">
        <f>COUNTBLANK(Metadata!B610)=COLUMNS(Metadata!B610)</f>
        <v>0</v>
      </c>
      <c r="K610">
        <v>0</v>
      </c>
      <c r="M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</row>
    <row r="611" spans="1:13">
      <c r="A611" s="3">
        <f>IF(B611=" "," ",HYPERLINK(CONCATENATE("#metadata!",ADDRESS(INDEX($H$2:$H$1001,MATCH(ROWS($F$2:F611),$F$2:$F$1001,0),0),2)),INDEX($K$2:$K$1001,MATCH(ROWS($F$2:F611),$F$2:$F$1001,0),0)))</f>
        <v>0</v>
      </c>
      <c r="B611" s="4">
        <f>IF(OR(INDEX($G$2:$G$1001,MATCH(ROWS($F$2:F611),$F$2:$F$1001,0),1)&gt;=100000,INDEX($M$1005,1,MATCH(COLUMNS($M$1006:M1006),$M$1006,0))&gt;=100000), " ",IF(INDEX($M$2:$M$1001,MATCH(ROWS($F$2:F611),$F$2:$F$1001,0),MATCH(COLUMNS($M$1006:M1006),$M$1006,0)), HYPERLINK("#",""), HYPERLINK(CONCATENATE("#Metadata!", ADDRESS(INDEX($H$2:$H$1001,MATCH(ROWS($F$2:F611),$F$2:$F$1001,0),0), INDEX($M$1004,1,MATCH(COLUMNS($M$1006:M1006),$M$1006,0)))),"Fix")))</f>
        <v>0</v>
      </c>
      <c r="F611">
        <v>0</v>
      </c>
      <c r="G611">
        <v>0</v>
      </c>
      <c r="H611">
        <v>0</v>
      </c>
      <c r="I611">
        <f>IF(J611,TRUE,AND(M611))</f>
        <v>0</v>
      </c>
      <c r="J611">
        <f>COUNTBLANK(Metadata!B611)=COLUMNS(Metadata!B611)</f>
        <v>0</v>
      </c>
      <c r="K611">
        <v>0</v>
      </c>
      <c r="M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</row>
    <row r="612" spans="1:13">
      <c r="A612" s="3">
        <f>IF(B612=" "," ",HYPERLINK(CONCATENATE("#metadata!",ADDRESS(INDEX($H$2:$H$1001,MATCH(ROWS($F$2:F612),$F$2:$F$1001,0),0),2)),INDEX($K$2:$K$1001,MATCH(ROWS($F$2:F612),$F$2:$F$1001,0),0)))</f>
        <v>0</v>
      </c>
      <c r="B612" s="4">
        <f>IF(OR(INDEX($G$2:$G$1001,MATCH(ROWS($F$2:F612),$F$2:$F$1001,0),1)&gt;=100000,INDEX($M$1005,1,MATCH(COLUMNS($M$1006:M1006),$M$1006,0))&gt;=100000), " ",IF(INDEX($M$2:$M$1001,MATCH(ROWS($F$2:F612),$F$2:$F$1001,0),MATCH(COLUMNS($M$1006:M1006),$M$1006,0)), HYPERLINK("#",""), HYPERLINK(CONCATENATE("#Metadata!", ADDRESS(INDEX($H$2:$H$1001,MATCH(ROWS($F$2:F612),$F$2:$F$1001,0),0), INDEX($M$1004,1,MATCH(COLUMNS($M$1006:M1006),$M$1006,0)))),"Fix")))</f>
        <v>0</v>
      </c>
      <c r="F612">
        <v>0</v>
      </c>
      <c r="G612">
        <v>0</v>
      </c>
      <c r="H612">
        <v>0</v>
      </c>
      <c r="I612">
        <f>IF(J612,TRUE,AND(M612))</f>
        <v>0</v>
      </c>
      <c r="J612">
        <f>COUNTBLANK(Metadata!B612)=COLUMNS(Metadata!B612)</f>
        <v>0</v>
      </c>
      <c r="K612">
        <v>0</v>
      </c>
      <c r="M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</row>
    <row r="613" spans="1:13">
      <c r="A613" s="3">
        <f>IF(B613=" "," ",HYPERLINK(CONCATENATE("#metadata!",ADDRESS(INDEX($H$2:$H$1001,MATCH(ROWS($F$2:F613),$F$2:$F$1001,0),0),2)),INDEX($K$2:$K$1001,MATCH(ROWS($F$2:F613),$F$2:$F$1001,0),0)))</f>
        <v>0</v>
      </c>
      <c r="B613" s="4">
        <f>IF(OR(INDEX($G$2:$G$1001,MATCH(ROWS($F$2:F613),$F$2:$F$1001,0),1)&gt;=100000,INDEX($M$1005,1,MATCH(COLUMNS($M$1006:M1006),$M$1006,0))&gt;=100000), " ",IF(INDEX($M$2:$M$1001,MATCH(ROWS($F$2:F613),$F$2:$F$1001,0),MATCH(COLUMNS($M$1006:M1006),$M$1006,0)), HYPERLINK("#",""), HYPERLINK(CONCATENATE("#Metadata!", ADDRESS(INDEX($H$2:$H$1001,MATCH(ROWS($F$2:F613),$F$2:$F$1001,0),0), INDEX($M$1004,1,MATCH(COLUMNS($M$1006:M1006),$M$1006,0)))),"Fix")))</f>
        <v>0</v>
      </c>
      <c r="F613">
        <v>0</v>
      </c>
      <c r="G613">
        <v>0</v>
      </c>
      <c r="H613">
        <v>0</v>
      </c>
      <c r="I613">
        <f>IF(J613,TRUE,AND(M613))</f>
        <v>0</v>
      </c>
      <c r="J613">
        <f>COUNTBLANK(Metadata!B613)=COLUMNS(Metadata!B613)</f>
        <v>0</v>
      </c>
      <c r="K613">
        <v>0</v>
      </c>
      <c r="M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</row>
    <row r="614" spans="1:13">
      <c r="A614" s="3">
        <f>IF(B614=" "," ",HYPERLINK(CONCATENATE("#metadata!",ADDRESS(INDEX($H$2:$H$1001,MATCH(ROWS($F$2:F614),$F$2:$F$1001,0),0),2)),INDEX($K$2:$K$1001,MATCH(ROWS($F$2:F614),$F$2:$F$1001,0),0)))</f>
        <v>0</v>
      </c>
      <c r="B614" s="4">
        <f>IF(OR(INDEX($G$2:$G$1001,MATCH(ROWS($F$2:F614),$F$2:$F$1001,0),1)&gt;=100000,INDEX($M$1005,1,MATCH(COLUMNS($M$1006:M1006),$M$1006,0))&gt;=100000), " ",IF(INDEX($M$2:$M$1001,MATCH(ROWS($F$2:F614),$F$2:$F$1001,0),MATCH(COLUMNS($M$1006:M1006),$M$1006,0)), HYPERLINK("#",""), HYPERLINK(CONCATENATE("#Metadata!", ADDRESS(INDEX($H$2:$H$1001,MATCH(ROWS($F$2:F614),$F$2:$F$1001,0),0), INDEX($M$1004,1,MATCH(COLUMNS($M$1006:M1006),$M$1006,0)))),"Fix")))</f>
        <v>0</v>
      </c>
      <c r="F614">
        <v>0</v>
      </c>
      <c r="G614">
        <v>0</v>
      </c>
      <c r="H614">
        <v>0</v>
      </c>
      <c r="I614">
        <f>IF(J614,TRUE,AND(M614))</f>
        <v>0</v>
      </c>
      <c r="J614">
        <f>COUNTBLANK(Metadata!B614)=COLUMNS(Metadata!B614)</f>
        <v>0</v>
      </c>
      <c r="K614">
        <v>0</v>
      </c>
      <c r="M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</row>
    <row r="615" spans="1:13">
      <c r="A615" s="3">
        <f>IF(B615=" "," ",HYPERLINK(CONCATENATE("#metadata!",ADDRESS(INDEX($H$2:$H$1001,MATCH(ROWS($F$2:F615),$F$2:$F$1001,0),0),2)),INDEX($K$2:$K$1001,MATCH(ROWS($F$2:F615),$F$2:$F$1001,0),0)))</f>
        <v>0</v>
      </c>
      <c r="B615" s="4">
        <f>IF(OR(INDEX($G$2:$G$1001,MATCH(ROWS($F$2:F615),$F$2:$F$1001,0),1)&gt;=100000,INDEX($M$1005,1,MATCH(COLUMNS($M$1006:M1006),$M$1006,0))&gt;=100000), " ",IF(INDEX($M$2:$M$1001,MATCH(ROWS($F$2:F615),$F$2:$F$1001,0),MATCH(COLUMNS($M$1006:M1006),$M$1006,0)), HYPERLINK("#",""), HYPERLINK(CONCATENATE("#Metadata!", ADDRESS(INDEX($H$2:$H$1001,MATCH(ROWS($F$2:F615),$F$2:$F$1001,0),0), INDEX($M$1004,1,MATCH(COLUMNS($M$1006:M1006),$M$1006,0)))),"Fix")))</f>
        <v>0</v>
      </c>
      <c r="F615">
        <v>0</v>
      </c>
      <c r="G615">
        <v>0</v>
      </c>
      <c r="H615">
        <v>0</v>
      </c>
      <c r="I615">
        <f>IF(J615,TRUE,AND(M615))</f>
        <v>0</v>
      </c>
      <c r="J615">
        <f>COUNTBLANK(Metadata!B615)=COLUMNS(Metadata!B615)</f>
        <v>0</v>
      </c>
      <c r="K615">
        <v>0</v>
      </c>
      <c r="M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</row>
    <row r="616" spans="1:13">
      <c r="A616" s="3">
        <f>IF(B616=" "," ",HYPERLINK(CONCATENATE("#metadata!",ADDRESS(INDEX($H$2:$H$1001,MATCH(ROWS($F$2:F616),$F$2:$F$1001,0),0),2)),INDEX($K$2:$K$1001,MATCH(ROWS($F$2:F616),$F$2:$F$1001,0),0)))</f>
        <v>0</v>
      </c>
      <c r="B616" s="4">
        <f>IF(OR(INDEX($G$2:$G$1001,MATCH(ROWS($F$2:F616),$F$2:$F$1001,0),1)&gt;=100000,INDEX($M$1005,1,MATCH(COLUMNS($M$1006:M1006),$M$1006,0))&gt;=100000), " ",IF(INDEX($M$2:$M$1001,MATCH(ROWS($F$2:F616),$F$2:$F$1001,0),MATCH(COLUMNS($M$1006:M1006),$M$1006,0)), HYPERLINK("#",""), HYPERLINK(CONCATENATE("#Metadata!", ADDRESS(INDEX($H$2:$H$1001,MATCH(ROWS($F$2:F616),$F$2:$F$1001,0),0), INDEX($M$1004,1,MATCH(COLUMNS($M$1006:M1006),$M$1006,0)))),"Fix")))</f>
        <v>0</v>
      </c>
      <c r="F616">
        <v>0</v>
      </c>
      <c r="G616">
        <v>0</v>
      </c>
      <c r="H616">
        <v>0</v>
      </c>
      <c r="I616">
        <f>IF(J616,TRUE,AND(M616))</f>
        <v>0</v>
      </c>
      <c r="J616">
        <f>COUNTBLANK(Metadata!B616)=COLUMNS(Metadata!B616)</f>
        <v>0</v>
      </c>
      <c r="K616">
        <v>0</v>
      </c>
      <c r="M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</row>
    <row r="617" spans="1:13">
      <c r="A617" s="3">
        <f>IF(B617=" "," ",HYPERLINK(CONCATENATE("#metadata!",ADDRESS(INDEX($H$2:$H$1001,MATCH(ROWS($F$2:F617),$F$2:$F$1001,0),0),2)),INDEX($K$2:$K$1001,MATCH(ROWS($F$2:F617),$F$2:$F$1001,0),0)))</f>
        <v>0</v>
      </c>
      <c r="B617" s="4">
        <f>IF(OR(INDEX($G$2:$G$1001,MATCH(ROWS($F$2:F617),$F$2:$F$1001,0),1)&gt;=100000,INDEX($M$1005,1,MATCH(COLUMNS($M$1006:M1006),$M$1006,0))&gt;=100000), " ",IF(INDEX($M$2:$M$1001,MATCH(ROWS($F$2:F617),$F$2:$F$1001,0),MATCH(COLUMNS($M$1006:M1006),$M$1006,0)), HYPERLINK("#",""), HYPERLINK(CONCATENATE("#Metadata!", ADDRESS(INDEX($H$2:$H$1001,MATCH(ROWS($F$2:F617),$F$2:$F$1001,0),0), INDEX($M$1004,1,MATCH(COLUMNS($M$1006:M1006),$M$1006,0)))),"Fix")))</f>
        <v>0</v>
      </c>
      <c r="F617">
        <v>0</v>
      </c>
      <c r="G617">
        <v>0</v>
      </c>
      <c r="H617">
        <v>0</v>
      </c>
      <c r="I617">
        <f>IF(J617,TRUE,AND(M617))</f>
        <v>0</v>
      </c>
      <c r="J617">
        <f>COUNTBLANK(Metadata!B617)=COLUMNS(Metadata!B617)</f>
        <v>0</v>
      </c>
      <c r="K617">
        <v>0</v>
      </c>
      <c r="M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</row>
    <row r="618" spans="1:13">
      <c r="A618" s="3">
        <f>IF(B618=" "," ",HYPERLINK(CONCATENATE("#metadata!",ADDRESS(INDEX($H$2:$H$1001,MATCH(ROWS($F$2:F618),$F$2:$F$1001,0),0),2)),INDEX($K$2:$K$1001,MATCH(ROWS($F$2:F618),$F$2:$F$1001,0),0)))</f>
        <v>0</v>
      </c>
      <c r="B618" s="4">
        <f>IF(OR(INDEX($G$2:$G$1001,MATCH(ROWS($F$2:F618),$F$2:$F$1001,0),1)&gt;=100000,INDEX($M$1005,1,MATCH(COLUMNS($M$1006:M1006),$M$1006,0))&gt;=100000), " ",IF(INDEX($M$2:$M$1001,MATCH(ROWS($F$2:F618),$F$2:$F$1001,0),MATCH(COLUMNS($M$1006:M1006),$M$1006,0)), HYPERLINK("#",""), HYPERLINK(CONCATENATE("#Metadata!", ADDRESS(INDEX($H$2:$H$1001,MATCH(ROWS($F$2:F618),$F$2:$F$1001,0),0), INDEX($M$1004,1,MATCH(COLUMNS($M$1006:M1006),$M$1006,0)))),"Fix")))</f>
        <v>0</v>
      </c>
      <c r="F618">
        <v>0</v>
      </c>
      <c r="G618">
        <v>0</v>
      </c>
      <c r="H618">
        <v>0</v>
      </c>
      <c r="I618">
        <f>IF(J618,TRUE,AND(M618))</f>
        <v>0</v>
      </c>
      <c r="J618">
        <f>COUNTBLANK(Metadata!B618)=COLUMNS(Metadata!B618)</f>
        <v>0</v>
      </c>
      <c r="K618">
        <v>0</v>
      </c>
      <c r="M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</row>
    <row r="619" spans="1:13">
      <c r="A619" s="3">
        <f>IF(B619=" "," ",HYPERLINK(CONCATENATE("#metadata!",ADDRESS(INDEX($H$2:$H$1001,MATCH(ROWS($F$2:F619),$F$2:$F$1001,0),0),2)),INDEX($K$2:$K$1001,MATCH(ROWS($F$2:F619),$F$2:$F$1001,0),0)))</f>
        <v>0</v>
      </c>
      <c r="B619" s="4">
        <f>IF(OR(INDEX($G$2:$G$1001,MATCH(ROWS($F$2:F619),$F$2:$F$1001,0),1)&gt;=100000,INDEX($M$1005,1,MATCH(COLUMNS($M$1006:M1006),$M$1006,0))&gt;=100000), " ",IF(INDEX($M$2:$M$1001,MATCH(ROWS($F$2:F619),$F$2:$F$1001,0),MATCH(COLUMNS($M$1006:M1006),$M$1006,0)), HYPERLINK("#",""), HYPERLINK(CONCATENATE("#Metadata!", ADDRESS(INDEX($H$2:$H$1001,MATCH(ROWS($F$2:F619),$F$2:$F$1001,0),0), INDEX($M$1004,1,MATCH(COLUMNS($M$1006:M1006),$M$1006,0)))),"Fix")))</f>
        <v>0</v>
      </c>
      <c r="F619">
        <v>0</v>
      </c>
      <c r="G619">
        <v>0</v>
      </c>
      <c r="H619">
        <v>0</v>
      </c>
      <c r="I619">
        <f>IF(J619,TRUE,AND(M619))</f>
        <v>0</v>
      </c>
      <c r="J619">
        <f>COUNTBLANK(Metadata!B619)=COLUMNS(Metadata!B619)</f>
        <v>0</v>
      </c>
      <c r="K619">
        <v>0</v>
      </c>
      <c r="M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</row>
    <row r="620" spans="1:13">
      <c r="A620" s="3">
        <f>IF(B620=" "," ",HYPERLINK(CONCATENATE("#metadata!",ADDRESS(INDEX($H$2:$H$1001,MATCH(ROWS($F$2:F620),$F$2:$F$1001,0),0),2)),INDEX($K$2:$K$1001,MATCH(ROWS($F$2:F620),$F$2:$F$1001,0),0)))</f>
        <v>0</v>
      </c>
      <c r="B620" s="4">
        <f>IF(OR(INDEX($G$2:$G$1001,MATCH(ROWS($F$2:F620),$F$2:$F$1001,0),1)&gt;=100000,INDEX($M$1005,1,MATCH(COLUMNS($M$1006:M1006),$M$1006,0))&gt;=100000), " ",IF(INDEX($M$2:$M$1001,MATCH(ROWS($F$2:F620),$F$2:$F$1001,0),MATCH(COLUMNS($M$1006:M1006),$M$1006,0)), HYPERLINK("#",""), HYPERLINK(CONCATENATE("#Metadata!", ADDRESS(INDEX($H$2:$H$1001,MATCH(ROWS($F$2:F620),$F$2:$F$1001,0),0), INDEX($M$1004,1,MATCH(COLUMNS($M$1006:M1006),$M$1006,0)))),"Fix")))</f>
        <v>0</v>
      </c>
      <c r="F620">
        <v>0</v>
      </c>
      <c r="G620">
        <v>0</v>
      </c>
      <c r="H620">
        <v>0</v>
      </c>
      <c r="I620">
        <f>IF(J620,TRUE,AND(M620))</f>
        <v>0</v>
      </c>
      <c r="J620">
        <f>COUNTBLANK(Metadata!B620)=COLUMNS(Metadata!B620)</f>
        <v>0</v>
      </c>
      <c r="K620">
        <v>0</v>
      </c>
      <c r="M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</row>
    <row r="621" spans="1:13">
      <c r="A621" s="3">
        <f>IF(B621=" "," ",HYPERLINK(CONCATENATE("#metadata!",ADDRESS(INDEX($H$2:$H$1001,MATCH(ROWS($F$2:F621),$F$2:$F$1001,0),0),2)),INDEX($K$2:$K$1001,MATCH(ROWS($F$2:F621),$F$2:$F$1001,0),0)))</f>
        <v>0</v>
      </c>
      <c r="B621" s="4">
        <f>IF(OR(INDEX($G$2:$G$1001,MATCH(ROWS($F$2:F621),$F$2:$F$1001,0),1)&gt;=100000,INDEX($M$1005,1,MATCH(COLUMNS($M$1006:M1006),$M$1006,0))&gt;=100000), " ",IF(INDEX($M$2:$M$1001,MATCH(ROWS($F$2:F621),$F$2:$F$1001,0),MATCH(COLUMNS($M$1006:M1006),$M$1006,0)), HYPERLINK("#",""), HYPERLINK(CONCATENATE("#Metadata!", ADDRESS(INDEX($H$2:$H$1001,MATCH(ROWS($F$2:F621),$F$2:$F$1001,0),0), INDEX($M$1004,1,MATCH(COLUMNS($M$1006:M1006),$M$1006,0)))),"Fix")))</f>
        <v>0</v>
      </c>
      <c r="F621">
        <v>0</v>
      </c>
      <c r="G621">
        <v>0</v>
      </c>
      <c r="H621">
        <v>0</v>
      </c>
      <c r="I621">
        <f>IF(J621,TRUE,AND(M621))</f>
        <v>0</v>
      </c>
      <c r="J621">
        <f>COUNTBLANK(Metadata!B621)=COLUMNS(Metadata!B621)</f>
        <v>0</v>
      </c>
      <c r="K621">
        <v>0</v>
      </c>
      <c r="M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</row>
    <row r="622" spans="1:13">
      <c r="A622" s="3">
        <f>IF(B622=" "," ",HYPERLINK(CONCATENATE("#metadata!",ADDRESS(INDEX($H$2:$H$1001,MATCH(ROWS($F$2:F622),$F$2:$F$1001,0),0),2)),INDEX($K$2:$K$1001,MATCH(ROWS($F$2:F622),$F$2:$F$1001,0),0)))</f>
        <v>0</v>
      </c>
      <c r="B622" s="4">
        <f>IF(OR(INDEX($G$2:$G$1001,MATCH(ROWS($F$2:F622),$F$2:$F$1001,0),1)&gt;=100000,INDEX($M$1005,1,MATCH(COLUMNS($M$1006:M1006),$M$1006,0))&gt;=100000), " ",IF(INDEX($M$2:$M$1001,MATCH(ROWS($F$2:F622),$F$2:$F$1001,0),MATCH(COLUMNS($M$1006:M1006),$M$1006,0)), HYPERLINK("#",""), HYPERLINK(CONCATENATE("#Metadata!", ADDRESS(INDEX($H$2:$H$1001,MATCH(ROWS($F$2:F622),$F$2:$F$1001,0),0), INDEX($M$1004,1,MATCH(COLUMNS($M$1006:M1006),$M$1006,0)))),"Fix")))</f>
        <v>0</v>
      </c>
      <c r="F622">
        <v>0</v>
      </c>
      <c r="G622">
        <v>0</v>
      </c>
      <c r="H622">
        <v>0</v>
      </c>
      <c r="I622">
        <f>IF(J622,TRUE,AND(M622))</f>
        <v>0</v>
      </c>
      <c r="J622">
        <f>COUNTBLANK(Metadata!B622)=COLUMNS(Metadata!B622)</f>
        <v>0</v>
      </c>
      <c r="K622">
        <v>0</v>
      </c>
      <c r="M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</row>
    <row r="623" spans="1:13">
      <c r="A623" s="3">
        <f>IF(B623=" "," ",HYPERLINK(CONCATENATE("#metadata!",ADDRESS(INDEX($H$2:$H$1001,MATCH(ROWS($F$2:F623),$F$2:$F$1001,0),0),2)),INDEX($K$2:$K$1001,MATCH(ROWS($F$2:F623),$F$2:$F$1001,0),0)))</f>
        <v>0</v>
      </c>
      <c r="B623" s="4">
        <f>IF(OR(INDEX($G$2:$G$1001,MATCH(ROWS($F$2:F623),$F$2:$F$1001,0),1)&gt;=100000,INDEX($M$1005,1,MATCH(COLUMNS($M$1006:M1006),$M$1006,0))&gt;=100000), " ",IF(INDEX($M$2:$M$1001,MATCH(ROWS($F$2:F623),$F$2:$F$1001,0),MATCH(COLUMNS($M$1006:M1006),$M$1006,0)), HYPERLINK("#",""), HYPERLINK(CONCATENATE("#Metadata!", ADDRESS(INDEX($H$2:$H$1001,MATCH(ROWS($F$2:F623),$F$2:$F$1001,0),0), INDEX($M$1004,1,MATCH(COLUMNS($M$1006:M1006),$M$1006,0)))),"Fix")))</f>
        <v>0</v>
      </c>
      <c r="F623">
        <v>0</v>
      </c>
      <c r="G623">
        <v>0</v>
      </c>
      <c r="H623">
        <v>0</v>
      </c>
      <c r="I623">
        <f>IF(J623,TRUE,AND(M623))</f>
        <v>0</v>
      </c>
      <c r="J623">
        <f>COUNTBLANK(Metadata!B623)=COLUMNS(Metadata!B623)</f>
        <v>0</v>
      </c>
      <c r="K623">
        <v>0</v>
      </c>
      <c r="M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</row>
    <row r="624" spans="1:13">
      <c r="A624" s="3">
        <f>IF(B624=" "," ",HYPERLINK(CONCATENATE("#metadata!",ADDRESS(INDEX($H$2:$H$1001,MATCH(ROWS($F$2:F624),$F$2:$F$1001,0),0),2)),INDEX($K$2:$K$1001,MATCH(ROWS($F$2:F624),$F$2:$F$1001,0),0)))</f>
        <v>0</v>
      </c>
      <c r="B624" s="4">
        <f>IF(OR(INDEX($G$2:$G$1001,MATCH(ROWS($F$2:F624),$F$2:$F$1001,0),1)&gt;=100000,INDEX($M$1005,1,MATCH(COLUMNS($M$1006:M1006),$M$1006,0))&gt;=100000), " ",IF(INDEX($M$2:$M$1001,MATCH(ROWS($F$2:F624),$F$2:$F$1001,0),MATCH(COLUMNS($M$1006:M1006),$M$1006,0)), HYPERLINK("#",""), HYPERLINK(CONCATENATE("#Metadata!", ADDRESS(INDEX($H$2:$H$1001,MATCH(ROWS($F$2:F624),$F$2:$F$1001,0),0), INDEX($M$1004,1,MATCH(COLUMNS($M$1006:M1006),$M$1006,0)))),"Fix")))</f>
        <v>0</v>
      </c>
      <c r="F624">
        <v>0</v>
      </c>
      <c r="G624">
        <v>0</v>
      </c>
      <c r="H624">
        <v>0</v>
      </c>
      <c r="I624">
        <f>IF(J624,TRUE,AND(M624))</f>
        <v>0</v>
      </c>
      <c r="J624">
        <f>COUNTBLANK(Metadata!B624)=COLUMNS(Metadata!B624)</f>
        <v>0</v>
      </c>
      <c r="K624">
        <v>0</v>
      </c>
      <c r="M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</row>
    <row r="625" spans="1:13">
      <c r="A625" s="3">
        <f>IF(B625=" "," ",HYPERLINK(CONCATENATE("#metadata!",ADDRESS(INDEX($H$2:$H$1001,MATCH(ROWS($F$2:F625),$F$2:$F$1001,0),0),2)),INDEX($K$2:$K$1001,MATCH(ROWS($F$2:F625),$F$2:$F$1001,0),0)))</f>
        <v>0</v>
      </c>
      <c r="B625" s="4">
        <f>IF(OR(INDEX($G$2:$G$1001,MATCH(ROWS($F$2:F625),$F$2:$F$1001,0),1)&gt;=100000,INDEX($M$1005,1,MATCH(COLUMNS($M$1006:M1006),$M$1006,0))&gt;=100000), " ",IF(INDEX($M$2:$M$1001,MATCH(ROWS($F$2:F625),$F$2:$F$1001,0),MATCH(COLUMNS($M$1006:M1006),$M$1006,0)), HYPERLINK("#",""), HYPERLINK(CONCATENATE("#Metadata!", ADDRESS(INDEX($H$2:$H$1001,MATCH(ROWS($F$2:F625),$F$2:$F$1001,0),0), INDEX($M$1004,1,MATCH(COLUMNS($M$1006:M1006),$M$1006,0)))),"Fix")))</f>
        <v>0</v>
      </c>
      <c r="F625">
        <v>0</v>
      </c>
      <c r="G625">
        <v>0</v>
      </c>
      <c r="H625">
        <v>0</v>
      </c>
      <c r="I625">
        <f>IF(J625,TRUE,AND(M625))</f>
        <v>0</v>
      </c>
      <c r="J625">
        <f>COUNTBLANK(Metadata!B625)=COLUMNS(Metadata!B625)</f>
        <v>0</v>
      </c>
      <c r="K625">
        <v>0</v>
      </c>
      <c r="M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</row>
    <row r="626" spans="1:13">
      <c r="A626" s="3">
        <f>IF(B626=" "," ",HYPERLINK(CONCATENATE("#metadata!",ADDRESS(INDEX($H$2:$H$1001,MATCH(ROWS($F$2:F626),$F$2:$F$1001,0),0),2)),INDEX($K$2:$K$1001,MATCH(ROWS($F$2:F626),$F$2:$F$1001,0),0)))</f>
        <v>0</v>
      </c>
      <c r="B626" s="4">
        <f>IF(OR(INDEX($G$2:$G$1001,MATCH(ROWS($F$2:F626),$F$2:$F$1001,0),1)&gt;=100000,INDEX($M$1005,1,MATCH(COLUMNS($M$1006:M1006),$M$1006,0))&gt;=100000), " ",IF(INDEX($M$2:$M$1001,MATCH(ROWS($F$2:F626),$F$2:$F$1001,0),MATCH(COLUMNS($M$1006:M1006),$M$1006,0)), HYPERLINK("#",""), HYPERLINK(CONCATENATE("#Metadata!", ADDRESS(INDEX($H$2:$H$1001,MATCH(ROWS($F$2:F626),$F$2:$F$1001,0),0), INDEX($M$1004,1,MATCH(COLUMNS($M$1006:M1006),$M$1006,0)))),"Fix")))</f>
        <v>0</v>
      </c>
      <c r="F626">
        <v>0</v>
      </c>
      <c r="G626">
        <v>0</v>
      </c>
      <c r="H626">
        <v>0</v>
      </c>
      <c r="I626">
        <f>IF(J626,TRUE,AND(M626))</f>
        <v>0</v>
      </c>
      <c r="J626">
        <f>COUNTBLANK(Metadata!B626)=COLUMNS(Metadata!B626)</f>
        <v>0</v>
      </c>
      <c r="K626">
        <v>0</v>
      </c>
      <c r="M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</row>
    <row r="627" spans="1:13">
      <c r="A627" s="3">
        <f>IF(B627=" "," ",HYPERLINK(CONCATENATE("#metadata!",ADDRESS(INDEX($H$2:$H$1001,MATCH(ROWS($F$2:F627),$F$2:$F$1001,0),0),2)),INDEX($K$2:$K$1001,MATCH(ROWS($F$2:F627),$F$2:$F$1001,0),0)))</f>
        <v>0</v>
      </c>
      <c r="B627" s="4">
        <f>IF(OR(INDEX($G$2:$G$1001,MATCH(ROWS($F$2:F627),$F$2:$F$1001,0),1)&gt;=100000,INDEX($M$1005,1,MATCH(COLUMNS($M$1006:M1006),$M$1006,0))&gt;=100000), " ",IF(INDEX($M$2:$M$1001,MATCH(ROWS($F$2:F627),$F$2:$F$1001,0),MATCH(COLUMNS($M$1006:M1006),$M$1006,0)), HYPERLINK("#",""), HYPERLINK(CONCATENATE("#Metadata!", ADDRESS(INDEX($H$2:$H$1001,MATCH(ROWS($F$2:F627),$F$2:$F$1001,0),0), INDEX($M$1004,1,MATCH(COLUMNS($M$1006:M1006),$M$1006,0)))),"Fix")))</f>
        <v>0</v>
      </c>
      <c r="F627">
        <v>0</v>
      </c>
      <c r="G627">
        <v>0</v>
      </c>
      <c r="H627">
        <v>0</v>
      </c>
      <c r="I627">
        <f>IF(J627,TRUE,AND(M627))</f>
        <v>0</v>
      </c>
      <c r="J627">
        <f>COUNTBLANK(Metadata!B627)=COLUMNS(Metadata!B627)</f>
        <v>0</v>
      </c>
      <c r="K627">
        <v>0</v>
      </c>
      <c r="M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</row>
    <row r="628" spans="1:13">
      <c r="A628" s="3">
        <f>IF(B628=" "," ",HYPERLINK(CONCATENATE("#metadata!",ADDRESS(INDEX($H$2:$H$1001,MATCH(ROWS($F$2:F628),$F$2:$F$1001,0),0),2)),INDEX($K$2:$K$1001,MATCH(ROWS($F$2:F628),$F$2:$F$1001,0),0)))</f>
        <v>0</v>
      </c>
      <c r="B628" s="4">
        <f>IF(OR(INDEX($G$2:$G$1001,MATCH(ROWS($F$2:F628),$F$2:$F$1001,0),1)&gt;=100000,INDEX($M$1005,1,MATCH(COLUMNS($M$1006:M1006),$M$1006,0))&gt;=100000), " ",IF(INDEX($M$2:$M$1001,MATCH(ROWS($F$2:F628),$F$2:$F$1001,0),MATCH(COLUMNS($M$1006:M1006),$M$1006,0)), HYPERLINK("#",""), HYPERLINK(CONCATENATE("#Metadata!", ADDRESS(INDEX($H$2:$H$1001,MATCH(ROWS($F$2:F628),$F$2:$F$1001,0),0), INDEX($M$1004,1,MATCH(COLUMNS($M$1006:M1006),$M$1006,0)))),"Fix")))</f>
        <v>0</v>
      </c>
      <c r="F628">
        <v>0</v>
      </c>
      <c r="G628">
        <v>0</v>
      </c>
      <c r="H628">
        <v>0</v>
      </c>
      <c r="I628">
        <f>IF(J628,TRUE,AND(M628))</f>
        <v>0</v>
      </c>
      <c r="J628">
        <f>COUNTBLANK(Metadata!B628)=COLUMNS(Metadata!B628)</f>
        <v>0</v>
      </c>
      <c r="K628">
        <v>0</v>
      </c>
      <c r="M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</row>
    <row r="629" spans="1:13">
      <c r="A629" s="3">
        <f>IF(B629=" "," ",HYPERLINK(CONCATENATE("#metadata!",ADDRESS(INDEX($H$2:$H$1001,MATCH(ROWS($F$2:F629),$F$2:$F$1001,0),0),2)),INDEX($K$2:$K$1001,MATCH(ROWS($F$2:F629),$F$2:$F$1001,0),0)))</f>
        <v>0</v>
      </c>
      <c r="B629" s="4">
        <f>IF(OR(INDEX($G$2:$G$1001,MATCH(ROWS($F$2:F629),$F$2:$F$1001,0),1)&gt;=100000,INDEX($M$1005,1,MATCH(COLUMNS($M$1006:M1006),$M$1006,0))&gt;=100000), " ",IF(INDEX($M$2:$M$1001,MATCH(ROWS($F$2:F629),$F$2:$F$1001,0),MATCH(COLUMNS($M$1006:M1006),$M$1006,0)), HYPERLINK("#",""), HYPERLINK(CONCATENATE("#Metadata!", ADDRESS(INDEX($H$2:$H$1001,MATCH(ROWS($F$2:F629),$F$2:$F$1001,0),0), INDEX($M$1004,1,MATCH(COLUMNS($M$1006:M1006),$M$1006,0)))),"Fix")))</f>
        <v>0</v>
      </c>
      <c r="F629">
        <v>0</v>
      </c>
      <c r="G629">
        <v>0</v>
      </c>
      <c r="H629">
        <v>0</v>
      </c>
      <c r="I629">
        <f>IF(J629,TRUE,AND(M629))</f>
        <v>0</v>
      </c>
      <c r="J629">
        <f>COUNTBLANK(Metadata!B629)=COLUMNS(Metadata!B629)</f>
        <v>0</v>
      </c>
      <c r="K629">
        <v>0</v>
      </c>
      <c r="M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</row>
    <row r="630" spans="1:13">
      <c r="A630" s="3">
        <f>IF(B630=" "," ",HYPERLINK(CONCATENATE("#metadata!",ADDRESS(INDEX($H$2:$H$1001,MATCH(ROWS($F$2:F630),$F$2:$F$1001,0),0),2)),INDEX($K$2:$K$1001,MATCH(ROWS($F$2:F630),$F$2:$F$1001,0),0)))</f>
        <v>0</v>
      </c>
      <c r="B630" s="4">
        <f>IF(OR(INDEX($G$2:$G$1001,MATCH(ROWS($F$2:F630),$F$2:$F$1001,0),1)&gt;=100000,INDEX($M$1005,1,MATCH(COLUMNS($M$1006:M1006),$M$1006,0))&gt;=100000), " ",IF(INDEX($M$2:$M$1001,MATCH(ROWS($F$2:F630),$F$2:$F$1001,0),MATCH(COLUMNS($M$1006:M1006),$M$1006,0)), HYPERLINK("#",""), HYPERLINK(CONCATENATE("#Metadata!", ADDRESS(INDEX($H$2:$H$1001,MATCH(ROWS($F$2:F630),$F$2:$F$1001,0),0), INDEX($M$1004,1,MATCH(COLUMNS($M$1006:M1006),$M$1006,0)))),"Fix")))</f>
        <v>0</v>
      </c>
      <c r="F630">
        <v>0</v>
      </c>
      <c r="G630">
        <v>0</v>
      </c>
      <c r="H630">
        <v>0</v>
      </c>
      <c r="I630">
        <f>IF(J630,TRUE,AND(M630))</f>
        <v>0</v>
      </c>
      <c r="J630">
        <f>COUNTBLANK(Metadata!B630)=COLUMNS(Metadata!B630)</f>
        <v>0</v>
      </c>
      <c r="K630">
        <v>0</v>
      </c>
      <c r="M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</row>
    <row r="631" spans="1:13">
      <c r="A631" s="3">
        <f>IF(B631=" "," ",HYPERLINK(CONCATENATE("#metadata!",ADDRESS(INDEX($H$2:$H$1001,MATCH(ROWS($F$2:F631),$F$2:$F$1001,0),0),2)),INDEX($K$2:$K$1001,MATCH(ROWS($F$2:F631),$F$2:$F$1001,0),0)))</f>
        <v>0</v>
      </c>
      <c r="B631" s="4">
        <f>IF(OR(INDEX($G$2:$G$1001,MATCH(ROWS($F$2:F631),$F$2:$F$1001,0),1)&gt;=100000,INDEX($M$1005,1,MATCH(COLUMNS($M$1006:M1006),$M$1006,0))&gt;=100000), " ",IF(INDEX($M$2:$M$1001,MATCH(ROWS($F$2:F631),$F$2:$F$1001,0),MATCH(COLUMNS($M$1006:M1006),$M$1006,0)), HYPERLINK("#",""), HYPERLINK(CONCATENATE("#Metadata!", ADDRESS(INDEX($H$2:$H$1001,MATCH(ROWS($F$2:F631),$F$2:$F$1001,0),0), INDEX($M$1004,1,MATCH(COLUMNS($M$1006:M1006),$M$1006,0)))),"Fix")))</f>
        <v>0</v>
      </c>
      <c r="F631">
        <v>0</v>
      </c>
      <c r="G631">
        <v>0</v>
      </c>
      <c r="H631">
        <v>0</v>
      </c>
      <c r="I631">
        <f>IF(J631,TRUE,AND(M631))</f>
        <v>0</v>
      </c>
      <c r="J631">
        <f>COUNTBLANK(Metadata!B631)=COLUMNS(Metadata!B631)</f>
        <v>0</v>
      </c>
      <c r="K631">
        <v>0</v>
      </c>
      <c r="M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</row>
    <row r="632" spans="1:13">
      <c r="A632" s="3">
        <f>IF(B632=" "," ",HYPERLINK(CONCATENATE("#metadata!",ADDRESS(INDEX($H$2:$H$1001,MATCH(ROWS($F$2:F632),$F$2:$F$1001,0),0),2)),INDEX($K$2:$K$1001,MATCH(ROWS($F$2:F632),$F$2:$F$1001,0),0)))</f>
        <v>0</v>
      </c>
      <c r="B632" s="4">
        <f>IF(OR(INDEX($G$2:$G$1001,MATCH(ROWS($F$2:F632),$F$2:$F$1001,0),1)&gt;=100000,INDEX($M$1005,1,MATCH(COLUMNS($M$1006:M1006),$M$1006,0))&gt;=100000), " ",IF(INDEX($M$2:$M$1001,MATCH(ROWS($F$2:F632),$F$2:$F$1001,0),MATCH(COLUMNS($M$1006:M1006),$M$1006,0)), HYPERLINK("#",""), HYPERLINK(CONCATENATE("#Metadata!", ADDRESS(INDEX($H$2:$H$1001,MATCH(ROWS($F$2:F632),$F$2:$F$1001,0),0), INDEX($M$1004,1,MATCH(COLUMNS($M$1006:M1006),$M$1006,0)))),"Fix")))</f>
        <v>0</v>
      </c>
      <c r="F632">
        <v>0</v>
      </c>
      <c r="G632">
        <v>0</v>
      </c>
      <c r="H632">
        <v>0</v>
      </c>
      <c r="I632">
        <f>IF(J632,TRUE,AND(M632))</f>
        <v>0</v>
      </c>
      <c r="J632">
        <f>COUNTBLANK(Metadata!B632)=COLUMNS(Metadata!B632)</f>
        <v>0</v>
      </c>
      <c r="K632">
        <v>0</v>
      </c>
      <c r="M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</row>
    <row r="633" spans="1:13">
      <c r="A633" s="3">
        <f>IF(B633=" "," ",HYPERLINK(CONCATENATE("#metadata!",ADDRESS(INDEX($H$2:$H$1001,MATCH(ROWS($F$2:F633),$F$2:$F$1001,0),0),2)),INDEX($K$2:$K$1001,MATCH(ROWS($F$2:F633),$F$2:$F$1001,0),0)))</f>
        <v>0</v>
      </c>
      <c r="B633" s="4">
        <f>IF(OR(INDEX($G$2:$G$1001,MATCH(ROWS($F$2:F633),$F$2:$F$1001,0),1)&gt;=100000,INDEX($M$1005,1,MATCH(COLUMNS($M$1006:M1006),$M$1006,0))&gt;=100000), " ",IF(INDEX($M$2:$M$1001,MATCH(ROWS($F$2:F633),$F$2:$F$1001,0),MATCH(COLUMNS($M$1006:M1006),$M$1006,0)), HYPERLINK("#",""), HYPERLINK(CONCATENATE("#Metadata!", ADDRESS(INDEX($H$2:$H$1001,MATCH(ROWS($F$2:F633),$F$2:$F$1001,0),0), INDEX($M$1004,1,MATCH(COLUMNS($M$1006:M1006),$M$1006,0)))),"Fix")))</f>
        <v>0</v>
      </c>
      <c r="F633">
        <v>0</v>
      </c>
      <c r="G633">
        <v>0</v>
      </c>
      <c r="H633">
        <v>0</v>
      </c>
      <c r="I633">
        <f>IF(J633,TRUE,AND(M633))</f>
        <v>0</v>
      </c>
      <c r="J633">
        <f>COUNTBLANK(Metadata!B633)=COLUMNS(Metadata!B633)</f>
        <v>0</v>
      </c>
      <c r="K633">
        <v>0</v>
      </c>
      <c r="M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</row>
    <row r="634" spans="1:13">
      <c r="A634" s="3">
        <f>IF(B634=" "," ",HYPERLINK(CONCATENATE("#metadata!",ADDRESS(INDEX($H$2:$H$1001,MATCH(ROWS($F$2:F634),$F$2:$F$1001,0),0),2)),INDEX($K$2:$K$1001,MATCH(ROWS($F$2:F634),$F$2:$F$1001,0),0)))</f>
        <v>0</v>
      </c>
      <c r="B634" s="4">
        <f>IF(OR(INDEX($G$2:$G$1001,MATCH(ROWS($F$2:F634),$F$2:$F$1001,0),1)&gt;=100000,INDEX($M$1005,1,MATCH(COLUMNS($M$1006:M1006),$M$1006,0))&gt;=100000), " ",IF(INDEX($M$2:$M$1001,MATCH(ROWS($F$2:F634),$F$2:$F$1001,0),MATCH(COLUMNS($M$1006:M1006),$M$1006,0)), HYPERLINK("#",""), HYPERLINK(CONCATENATE("#Metadata!", ADDRESS(INDEX($H$2:$H$1001,MATCH(ROWS($F$2:F634),$F$2:$F$1001,0),0), INDEX($M$1004,1,MATCH(COLUMNS($M$1006:M1006),$M$1006,0)))),"Fix")))</f>
        <v>0</v>
      </c>
      <c r="F634">
        <v>0</v>
      </c>
      <c r="G634">
        <v>0</v>
      </c>
      <c r="H634">
        <v>0</v>
      </c>
      <c r="I634">
        <f>IF(J634,TRUE,AND(M634))</f>
        <v>0</v>
      </c>
      <c r="J634">
        <f>COUNTBLANK(Metadata!B634)=COLUMNS(Metadata!B634)</f>
        <v>0</v>
      </c>
      <c r="K634">
        <v>0</v>
      </c>
      <c r="M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</row>
    <row r="635" spans="1:13">
      <c r="A635" s="3">
        <f>IF(B635=" "," ",HYPERLINK(CONCATENATE("#metadata!",ADDRESS(INDEX($H$2:$H$1001,MATCH(ROWS($F$2:F635),$F$2:$F$1001,0),0),2)),INDEX($K$2:$K$1001,MATCH(ROWS($F$2:F635),$F$2:$F$1001,0),0)))</f>
        <v>0</v>
      </c>
      <c r="B635" s="4">
        <f>IF(OR(INDEX($G$2:$G$1001,MATCH(ROWS($F$2:F635),$F$2:$F$1001,0),1)&gt;=100000,INDEX($M$1005,1,MATCH(COLUMNS($M$1006:M1006),$M$1006,0))&gt;=100000), " ",IF(INDEX($M$2:$M$1001,MATCH(ROWS($F$2:F635),$F$2:$F$1001,0),MATCH(COLUMNS($M$1006:M1006),$M$1006,0)), HYPERLINK("#",""), HYPERLINK(CONCATENATE("#Metadata!", ADDRESS(INDEX($H$2:$H$1001,MATCH(ROWS($F$2:F635),$F$2:$F$1001,0),0), INDEX($M$1004,1,MATCH(COLUMNS($M$1006:M1006),$M$1006,0)))),"Fix")))</f>
        <v>0</v>
      </c>
      <c r="F635">
        <v>0</v>
      </c>
      <c r="G635">
        <v>0</v>
      </c>
      <c r="H635">
        <v>0</v>
      </c>
      <c r="I635">
        <f>IF(J635,TRUE,AND(M635))</f>
        <v>0</v>
      </c>
      <c r="J635">
        <f>COUNTBLANK(Metadata!B635)=COLUMNS(Metadata!B635)</f>
        <v>0</v>
      </c>
      <c r="K635">
        <v>0</v>
      </c>
      <c r="M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</row>
    <row r="636" spans="1:13">
      <c r="A636" s="3">
        <f>IF(B636=" "," ",HYPERLINK(CONCATENATE("#metadata!",ADDRESS(INDEX($H$2:$H$1001,MATCH(ROWS($F$2:F636),$F$2:$F$1001,0),0),2)),INDEX($K$2:$K$1001,MATCH(ROWS($F$2:F636),$F$2:$F$1001,0),0)))</f>
        <v>0</v>
      </c>
      <c r="B636" s="4">
        <f>IF(OR(INDEX($G$2:$G$1001,MATCH(ROWS($F$2:F636),$F$2:$F$1001,0),1)&gt;=100000,INDEX($M$1005,1,MATCH(COLUMNS($M$1006:M1006),$M$1006,0))&gt;=100000), " ",IF(INDEX($M$2:$M$1001,MATCH(ROWS($F$2:F636),$F$2:$F$1001,0),MATCH(COLUMNS($M$1006:M1006),$M$1006,0)), HYPERLINK("#",""), HYPERLINK(CONCATENATE("#Metadata!", ADDRESS(INDEX($H$2:$H$1001,MATCH(ROWS($F$2:F636),$F$2:$F$1001,0),0), INDEX($M$1004,1,MATCH(COLUMNS($M$1006:M1006),$M$1006,0)))),"Fix")))</f>
        <v>0</v>
      </c>
      <c r="F636">
        <v>0</v>
      </c>
      <c r="G636">
        <v>0</v>
      </c>
      <c r="H636">
        <v>0</v>
      </c>
      <c r="I636">
        <f>IF(J636,TRUE,AND(M636))</f>
        <v>0</v>
      </c>
      <c r="J636">
        <f>COUNTBLANK(Metadata!B636)=COLUMNS(Metadata!B636)</f>
        <v>0</v>
      </c>
      <c r="K636">
        <v>0</v>
      </c>
      <c r="M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</row>
    <row r="637" spans="1:13">
      <c r="A637" s="3">
        <f>IF(B637=" "," ",HYPERLINK(CONCATENATE("#metadata!",ADDRESS(INDEX($H$2:$H$1001,MATCH(ROWS($F$2:F637),$F$2:$F$1001,0),0),2)),INDEX($K$2:$K$1001,MATCH(ROWS($F$2:F637),$F$2:$F$1001,0),0)))</f>
        <v>0</v>
      </c>
      <c r="B637" s="4">
        <f>IF(OR(INDEX($G$2:$G$1001,MATCH(ROWS($F$2:F637),$F$2:$F$1001,0),1)&gt;=100000,INDEX($M$1005,1,MATCH(COLUMNS($M$1006:M1006),$M$1006,0))&gt;=100000), " ",IF(INDEX($M$2:$M$1001,MATCH(ROWS($F$2:F637),$F$2:$F$1001,0),MATCH(COLUMNS($M$1006:M1006),$M$1006,0)), HYPERLINK("#",""), HYPERLINK(CONCATENATE("#Metadata!", ADDRESS(INDEX($H$2:$H$1001,MATCH(ROWS($F$2:F637),$F$2:$F$1001,0),0), INDEX($M$1004,1,MATCH(COLUMNS($M$1006:M1006),$M$1006,0)))),"Fix")))</f>
        <v>0</v>
      </c>
      <c r="F637">
        <v>0</v>
      </c>
      <c r="G637">
        <v>0</v>
      </c>
      <c r="H637">
        <v>0</v>
      </c>
      <c r="I637">
        <f>IF(J637,TRUE,AND(M637))</f>
        <v>0</v>
      </c>
      <c r="J637">
        <f>COUNTBLANK(Metadata!B637)=COLUMNS(Metadata!B637)</f>
        <v>0</v>
      </c>
      <c r="K637">
        <v>0</v>
      </c>
      <c r="M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</row>
    <row r="638" spans="1:13">
      <c r="A638" s="3">
        <f>IF(B638=" "," ",HYPERLINK(CONCATENATE("#metadata!",ADDRESS(INDEX($H$2:$H$1001,MATCH(ROWS($F$2:F638),$F$2:$F$1001,0),0),2)),INDEX($K$2:$K$1001,MATCH(ROWS($F$2:F638),$F$2:$F$1001,0),0)))</f>
        <v>0</v>
      </c>
      <c r="B638" s="4">
        <f>IF(OR(INDEX($G$2:$G$1001,MATCH(ROWS($F$2:F638),$F$2:$F$1001,0),1)&gt;=100000,INDEX($M$1005,1,MATCH(COLUMNS($M$1006:M1006),$M$1006,0))&gt;=100000), " ",IF(INDEX($M$2:$M$1001,MATCH(ROWS($F$2:F638),$F$2:$F$1001,0),MATCH(COLUMNS($M$1006:M1006),$M$1006,0)), HYPERLINK("#",""), HYPERLINK(CONCATENATE("#Metadata!", ADDRESS(INDEX($H$2:$H$1001,MATCH(ROWS($F$2:F638),$F$2:$F$1001,0),0), INDEX($M$1004,1,MATCH(COLUMNS($M$1006:M1006),$M$1006,0)))),"Fix")))</f>
        <v>0</v>
      </c>
      <c r="F638">
        <v>0</v>
      </c>
      <c r="G638">
        <v>0</v>
      </c>
      <c r="H638">
        <v>0</v>
      </c>
      <c r="I638">
        <f>IF(J638,TRUE,AND(M638))</f>
        <v>0</v>
      </c>
      <c r="J638">
        <f>COUNTBLANK(Metadata!B638)=COLUMNS(Metadata!B638)</f>
        <v>0</v>
      </c>
      <c r="K638">
        <v>0</v>
      </c>
      <c r="M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</row>
    <row r="639" spans="1:13">
      <c r="A639" s="3">
        <f>IF(B639=" "," ",HYPERLINK(CONCATENATE("#metadata!",ADDRESS(INDEX($H$2:$H$1001,MATCH(ROWS($F$2:F639),$F$2:$F$1001,0),0),2)),INDEX($K$2:$K$1001,MATCH(ROWS($F$2:F639),$F$2:$F$1001,0),0)))</f>
        <v>0</v>
      </c>
      <c r="B639" s="4">
        <f>IF(OR(INDEX($G$2:$G$1001,MATCH(ROWS($F$2:F639),$F$2:$F$1001,0),1)&gt;=100000,INDEX($M$1005,1,MATCH(COLUMNS($M$1006:M1006),$M$1006,0))&gt;=100000), " ",IF(INDEX($M$2:$M$1001,MATCH(ROWS($F$2:F639),$F$2:$F$1001,0),MATCH(COLUMNS($M$1006:M1006),$M$1006,0)), HYPERLINK("#",""), HYPERLINK(CONCATENATE("#Metadata!", ADDRESS(INDEX($H$2:$H$1001,MATCH(ROWS($F$2:F639),$F$2:$F$1001,0),0), INDEX($M$1004,1,MATCH(COLUMNS($M$1006:M1006),$M$1006,0)))),"Fix")))</f>
        <v>0</v>
      </c>
      <c r="F639">
        <v>0</v>
      </c>
      <c r="G639">
        <v>0</v>
      </c>
      <c r="H639">
        <v>0</v>
      </c>
      <c r="I639">
        <f>IF(J639,TRUE,AND(M639))</f>
        <v>0</v>
      </c>
      <c r="J639">
        <f>COUNTBLANK(Metadata!B639)=COLUMNS(Metadata!B639)</f>
        <v>0</v>
      </c>
      <c r="K639">
        <v>0</v>
      </c>
      <c r="M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</row>
    <row r="640" spans="1:13">
      <c r="A640" s="3">
        <f>IF(B640=" "," ",HYPERLINK(CONCATENATE("#metadata!",ADDRESS(INDEX($H$2:$H$1001,MATCH(ROWS($F$2:F640),$F$2:$F$1001,0),0),2)),INDEX($K$2:$K$1001,MATCH(ROWS($F$2:F640),$F$2:$F$1001,0),0)))</f>
        <v>0</v>
      </c>
      <c r="B640" s="4">
        <f>IF(OR(INDEX($G$2:$G$1001,MATCH(ROWS($F$2:F640),$F$2:$F$1001,0),1)&gt;=100000,INDEX($M$1005,1,MATCH(COLUMNS($M$1006:M1006),$M$1006,0))&gt;=100000), " ",IF(INDEX($M$2:$M$1001,MATCH(ROWS($F$2:F640),$F$2:$F$1001,0),MATCH(COLUMNS($M$1006:M1006),$M$1006,0)), HYPERLINK("#",""), HYPERLINK(CONCATENATE("#Metadata!", ADDRESS(INDEX($H$2:$H$1001,MATCH(ROWS($F$2:F640),$F$2:$F$1001,0),0), INDEX($M$1004,1,MATCH(COLUMNS($M$1006:M1006),$M$1006,0)))),"Fix")))</f>
        <v>0</v>
      </c>
      <c r="F640">
        <v>0</v>
      </c>
      <c r="G640">
        <v>0</v>
      </c>
      <c r="H640">
        <v>0</v>
      </c>
      <c r="I640">
        <f>IF(J640,TRUE,AND(M640))</f>
        <v>0</v>
      </c>
      <c r="J640">
        <f>COUNTBLANK(Metadata!B640)=COLUMNS(Metadata!B640)</f>
        <v>0</v>
      </c>
      <c r="K640">
        <v>0</v>
      </c>
      <c r="M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</row>
    <row r="641" spans="1:13">
      <c r="A641" s="3">
        <f>IF(B641=" "," ",HYPERLINK(CONCATENATE("#metadata!",ADDRESS(INDEX($H$2:$H$1001,MATCH(ROWS($F$2:F641),$F$2:$F$1001,0),0),2)),INDEX($K$2:$K$1001,MATCH(ROWS($F$2:F641),$F$2:$F$1001,0),0)))</f>
        <v>0</v>
      </c>
      <c r="B641" s="4">
        <f>IF(OR(INDEX($G$2:$G$1001,MATCH(ROWS($F$2:F641),$F$2:$F$1001,0),1)&gt;=100000,INDEX($M$1005,1,MATCH(COLUMNS($M$1006:M1006),$M$1006,0))&gt;=100000), " ",IF(INDEX($M$2:$M$1001,MATCH(ROWS($F$2:F641),$F$2:$F$1001,0),MATCH(COLUMNS($M$1006:M1006),$M$1006,0)), HYPERLINK("#",""), HYPERLINK(CONCATENATE("#Metadata!", ADDRESS(INDEX($H$2:$H$1001,MATCH(ROWS($F$2:F641),$F$2:$F$1001,0),0), INDEX($M$1004,1,MATCH(COLUMNS($M$1006:M1006),$M$1006,0)))),"Fix")))</f>
        <v>0</v>
      </c>
      <c r="F641">
        <v>0</v>
      </c>
      <c r="G641">
        <v>0</v>
      </c>
      <c r="H641">
        <v>0</v>
      </c>
      <c r="I641">
        <f>IF(J641,TRUE,AND(M641))</f>
        <v>0</v>
      </c>
      <c r="J641">
        <f>COUNTBLANK(Metadata!B641)=COLUMNS(Metadata!B641)</f>
        <v>0</v>
      </c>
      <c r="K641">
        <v>0</v>
      </c>
      <c r="M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</row>
    <row r="642" spans="1:13">
      <c r="A642" s="3">
        <f>IF(B642=" "," ",HYPERLINK(CONCATENATE("#metadata!",ADDRESS(INDEX($H$2:$H$1001,MATCH(ROWS($F$2:F642),$F$2:$F$1001,0),0),2)),INDEX($K$2:$K$1001,MATCH(ROWS($F$2:F642),$F$2:$F$1001,0),0)))</f>
        <v>0</v>
      </c>
      <c r="B642" s="4">
        <f>IF(OR(INDEX($G$2:$G$1001,MATCH(ROWS($F$2:F642),$F$2:$F$1001,0),1)&gt;=100000,INDEX($M$1005,1,MATCH(COLUMNS($M$1006:M1006),$M$1006,0))&gt;=100000), " ",IF(INDEX($M$2:$M$1001,MATCH(ROWS($F$2:F642),$F$2:$F$1001,0),MATCH(COLUMNS($M$1006:M1006),$M$1006,0)), HYPERLINK("#",""), HYPERLINK(CONCATENATE("#Metadata!", ADDRESS(INDEX($H$2:$H$1001,MATCH(ROWS($F$2:F642),$F$2:$F$1001,0),0), INDEX($M$1004,1,MATCH(COLUMNS($M$1006:M1006),$M$1006,0)))),"Fix")))</f>
        <v>0</v>
      </c>
      <c r="F642">
        <v>0</v>
      </c>
      <c r="G642">
        <v>0</v>
      </c>
      <c r="H642">
        <v>0</v>
      </c>
      <c r="I642">
        <f>IF(J642,TRUE,AND(M642))</f>
        <v>0</v>
      </c>
      <c r="J642">
        <f>COUNTBLANK(Metadata!B642)=COLUMNS(Metadata!B642)</f>
        <v>0</v>
      </c>
      <c r="K642">
        <v>0</v>
      </c>
      <c r="M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</row>
    <row r="643" spans="1:13">
      <c r="A643" s="3">
        <f>IF(B643=" "," ",HYPERLINK(CONCATENATE("#metadata!",ADDRESS(INDEX($H$2:$H$1001,MATCH(ROWS($F$2:F643),$F$2:$F$1001,0),0),2)),INDEX($K$2:$K$1001,MATCH(ROWS($F$2:F643),$F$2:$F$1001,0),0)))</f>
        <v>0</v>
      </c>
      <c r="B643" s="4">
        <f>IF(OR(INDEX($G$2:$G$1001,MATCH(ROWS($F$2:F643),$F$2:$F$1001,0),1)&gt;=100000,INDEX($M$1005,1,MATCH(COLUMNS($M$1006:M1006),$M$1006,0))&gt;=100000), " ",IF(INDEX($M$2:$M$1001,MATCH(ROWS($F$2:F643),$F$2:$F$1001,0),MATCH(COLUMNS($M$1006:M1006),$M$1006,0)), HYPERLINK("#",""), HYPERLINK(CONCATENATE("#Metadata!", ADDRESS(INDEX($H$2:$H$1001,MATCH(ROWS($F$2:F643),$F$2:$F$1001,0),0), INDEX($M$1004,1,MATCH(COLUMNS($M$1006:M1006),$M$1006,0)))),"Fix")))</f>
        <v>0</v>
      </c>
      <c r="F643">
        <v>0</v>
      </c>
      <c r="G643">
        <v>0</v>
      </c>
      <c r="H643">
        <v>0</v>
      </c>
      <c r="I643">
        <f>IF(J643,TRUE,AND(M643))</f>
        <v>0</v>
      </c>
      <c r="J643">
        <f>COUNTBLANK(Metadata!B643)=COLUMNS(Metadata!B643)</f>
        <v>0</v>
      </c>
      <c r="K643">
        <v>0</v>
      </c>
      <c r="M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</row>
    <row r="644" spans="1:13">
      <c r="A644" s="3">
        <f>IF(B644=" "," ",HYPERLINK(CONCATENATE("#metadata!",ADDRESS(INDEX($H$2:$H$1001,MATCH(ROWS($F$2:F644),$F$2:$F$1001,0),0),2)),INDEX($K$2:$K$1001,MATCH(ROWS($F$2:F644),$F$2:$F$1001,0),0)))</f>
        <v>0</v>
      </c>
      <c r="B644" s="4">
        <f>IF(OR(INDEX($G$2:$G$1001,MATCH(ROWS($F$2:F644),$F$2:$F$1001,0),1)&gt;=100000,INDEX($M$1005,1,MATCH(COLUMNS($M$1006:M1006),$M$1006,0))&gt;=100000), " ",IF(INDEX($M$2:$M$1001,MATCH(ROWS($F$2:F644),$F$2:$F$1001,0),MATCH(COLUMNS($M$1006:M1006),$M$1006,0)), HYPERLINK("#",""), HYPERLINK(CONCATENATE("#Metadata!", ADDRESS(INDEX($H$2:$H$1001,MATCH(ROWS($F$2:F644),$F$2:$F$1001,0),0), INDEX($M$1004,1,MATCH(COLUMNS($M$1006:M1006),$M$1006,0)))),"Fix")))</f>
        <v>0</v>
      </c>
      <c r="F644">
        <v>0</v>
      </c>
      <c r="G644">
        <v>0</v>
      </c>
      <c r="H644">
        <v>0</v>
      </c>
      <c r="I644">
        <f>IF(J644,TRUE,AND(M644))</f>
        <v>0</v>
      </c>
      <c r="J644">
        <f>COUNTBLANK(Metadata!B644)=COLUMNS(Metadata!B644)</f>
        <v>0</v>
      </c>
      <c r="K644">
        <v>0</v>
      </c>
      <c r="M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</row>
    <row r="645" spans="1:13">
      <c r="A645" s="3">
        <f>IF(B645=" "," ",HYPERLINK(CONCATENATE("#metadata!",ADDRESS(INDEX($H$2:$H$1001,MATCH(ROWS($F$2:F645),$F$2:$F$1001,0),0),2)),INDEX($K$2:$K$1001,MATCH(ROWS($F$2:F645),$F$2:$F$1001,0),0)))</f>
        <v>0</v>
      </c>
      <c r="B645" s="4">
        <f>IF(OR(INDEX($G$2:$G$1001,MATCH(ROWS($F$2:F645),$F$2:$F$1001,0),1)&gt;=100000,INDEX($M$1005,1,MATCH(COLUMNS($M$1006:M1006),$M$1006,0))&gt;=100000), " ",IF(INDEX($M$2:$M$1001,MATCH(ROWS($F$2:F645),$F$2:$F$1001,0),MATCH(COLUMNS($M$1006:M1006),$M$1006,0)), HYPERLINK("#",""), HYPERLINK(CONCATENATE("#Metadata!", ADDRESS(INDEX($H$2:$H$1001,MATCH(ROWS($F$2:F645),$F$2:$F$1001,0),0), INDEX($M$1004,1,MATCH(COLUMNS($M$1006:M1006),$M$1006,0)))),"Fix")))</f>
        <v>0</v>
      </c>
      <c r="F645">
        <v>0</v>
      </c>
      <c r="G645">
        <v>0</v>
      </c>
      <c r="H645">
        <v>0</v>
      </c>
      <c r="I645">
        <f>IF(J645,TRUE,AND(M645))</f>
        <v>0</v>
      </c>
      <c r="J645">
        <f>COUNTBLANK(Metadata!B645)=COLUMNS(Metadata!B645)</f>
        <v>0</v>
      </c>
      <c r="K645">
        <v>0</v>
      </c>
      <c r="M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</row>
    <row r="646" spans="1:13">
      <c r="A646" s="3">
        <f>IF(B646=" "," ",HYPERLINK(CONCATENATE("#metadata!",ADDRESS(INDEX($H$2:$H$1001,MATCH(ROWS($F$2:F646),$F$2:$F$1001,0),0),2)),INDEX($K$2:$K$1001,MATCH(ROWS($F$2:F646),$F$2:$F$1001,0),0)))</f>
        <v>0</v>
      </c>
      <c r="B646" s="4">
        <f>IF(OR(INDEX($G$2:$G$1001,MATCH(ROWS($F$2:F646),$F$2:$F$1001,0),1)&gt;=100000,INDEX($M$1005,1,MATCH(COLUMNS($M$1006:M1006),$M$1006,0))&gt;=100000), " ",IF(INDEX($M$2:$M$1001,MATCH(ROWS($F$2:F646),$F$2:$F$1001,0),MATCH(COLUMNS($M$1006:M1006),$M$1006,0)), HYPERLINK("#",""), HYPERLINK(CONCATENATE("#Metadata!", ADDRESS(INDEX($H$2:$H$1001,MATCH(ROWS($F$2:F646),$F$2:$F$1001,0),0), INDEX($M$1004,1,MATCH(COLUMNS($M$1006:M1006),$M$1006,0)))),"Fix")))</f>
        <v>0</v>
      </c>
      <c r="F646">
        <v>0</v>
      </c>
      <c r="G646">
        <v>0</v>
      </c>
      <c r="H646">
        <v>0</v>
      </c>
      <c r="I646">
        <f>IF(J646,TRUE,AND(M646))</f>
        <v>0</v>
      </c>
      <c r="J646">
        <f>COUNTBLANK(Metadata!B646)=COLUMNS(Metadata!B646)</f>
        <v>0</v>
      </c>
      <c r="K646">
        <v>0</v>
      </c>
      <c r="M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</row>
    <row r="647" spans="1:13">
      <c r="A647" s="3">
        <f>IF(B647=" "," ",HYPERLINK(CONCATENATE("#metadata!",ADDRESS(INDEX($H$2:$H$1001,MATCH(ROWS($F$2:F647),$F$2:$F$1001,0),0),2)),INDEX($K$2:$K$1001,MATCH(ROWS($F$2:F647),$F$2:$F$1001,0),0)))</f>
        <v>0</v>
      </c>
      <c r="B647" s="4">
        <f>IF(OR(INDEX($G$2:$G$1001,MATCH(ROWS($F$2:F647),$F$2:$F$1001,0),1)&gt;=100000,INDEX($M$1005,1,MATCH(COLUMNS($M$1006:M1006),$M$1006,0))&gt;=100000), " ",IF(INDEX($M$2:$M$1001,MATCH(ROWS($F$2:F647),$F$2:$F$1001,0),MATCH(COLUMNS($M$1006:M1006),$M$1006,0)), HYPERLINK("#",""), HYPERLINK(CONCATENATE("#Metadata!", ADDRESS(INDEX($H$2:$H$1001,MATCH(ROWS($F$2:F647),$F$2:$F$1001,0),0), INDEX($M$1004,1,MATCH(COLUMNS($M$1006:M1006),$M$1006,0)))),"Fix")))</f>
        <v>0</v>
      </c>
      <c r="F647">
        <v>0</v>
      </c>
      <c r="G647">
        <v>0</v>
      </c>
      <c r="H647">
        <v>0</v>
      </c>
      <c r="I647">
        <f>IF(J647,TRUE,AND(M647))</f>
        <v>0</v>
      </c>
      <c r="J647">
        <f>COUNTBLANK(Metadata!B647)=COLUMNS(Metadata!B647)</f>
        <v>0</v>
      </c>
      <c r="K647">
        <v>0</v>
      </c>
      <c r="M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</row>
    <row r="648" spans="1:13">
      <c r="A648" s="3">
        <f>IF(B648=" "," ",HYPERLINK(CONCATENATE("#metadata!",ADDRESS(INDEX($H$2:$H$1001,MATCH(ROWS($F$2:F648),$F$2:$F$1001,0),0),2)),INDEX($K$2:$K$1001,MATCH(ROWS($F$2:F648),$F$2:$F$1001,0),0)))</f>
        <v>0</v>
      </c>
      <c r="B648" s="4">
        <f>IF(OR(INDEX($G$2:$G$1001,MATCH(ROWS($F$2:F648),$F$2:$F$1001,0),1)&gt;=100000,INDEX($M$1005,1,MATCH(COLUMNS($M$1006:M1006),$M$1006,0))&gt;=100000), " ",IF(INDEX($M$2:$M$1001,MATCH(ROWS($F$2:F648),$F$2:$F$1001,0),MATCH(COLUMNS($M$1006:M1006),$M$1006,0)), HYPERLINK("#",""), HYPERLINK(CONCATENATE("#Metadata!", ADDRESS(INDEX($H$2:$H$1001,MATCH(ROWS($F$2:F648),$F$2:$F$1001,0),0), INDEX($M$1004,1,MATCH(COLUMNS($M$1006:M1006),$M$1006,0)))),"Fix")))</f>
        <v>0</v>
      </c>
      <c r="F648">
        <v>0</v>
      </c>
      <c r="G648">
        <v>0</v>
      </c>
      <c r="H648">
        <v>0</v>
      </c>
      <c r="I648">
        <f>IF(J648,TRUE,AND(M648))</f>
        <v>0</v>
      </c>
      <c r="J648">
        <f>COUNTBLANK(Metadata!B648)=COLUMNS(Metadata!B648)</f>
        <v>0</v>
      </c>
      <c r="K648">
        <v>0</v>
      </c>
      <c r="M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</row>
    <row r="649" spans="1:13">
      <c r="A649" s="3">
        <f>IF(B649=" "," ",HYPERLINK(CONCATENATE("#metadata!",ADDRESS(INDEX($H$2:$H$1001,MATCH(ROWS($F$2:F649),$F$2:$F$1001,0),0),2)),INDEX($K$2:$K$1001,MATCH(ROWS($F$2:F649),$F$2:$F$1001,0),0)))</f>
        <v>0</v>
      </c>
      <c r="B649" s="4">
        <f>IF(OR(INDEX($G$2:$G$1001,MATCH(ROWS($F$2:F649),$F$2:$F$1001,0),1)&gt;=100000,INDEX($M$1005,1,MATCH(COLUMNS($M$1006:M1006),$M$1006,0))&gt;=100000), " ",IF(INDEX($M$2:$M$1001,MATCH(ROWS($F$2:F649),$F$2:$F$1001,0),MATCH(COLUMNS($M$1006:M1006),$M$1006,0)), HYPERLINK("#",""), HYPERLINK(CONCATENATE("#Metadata!", ADDRESS(INDEX($H$2:$H$1001,MATCH(ROWS($F$2:F649),$F$2:$F$1001,0),0), INDEX($M$1004,1,MATCH(COLUMNS($M$1006:M1006),$M$1006,0)))),"Fix")))</f>
        <v>0</v>
      </c>
      <c r="F649">
        <v>0</v>
      </c>
      <c r="G649">
        <v>0</v>
      </c>
      <c r="H649">
        <v>0</v>
      </c>
      <c r="I649">
        <f>IF(J649,TRUE,AND(M649))</f>
        <v>0</v>
      </c>
      <c r="J649">
        <f>COUNTBLANK(Metadata!B649)=COLUMNS(Metadata!B649)</f>
        <v>0</v>
      </c>
      <c r="K649">
        <v>0</v>
      </c>
      <c r="M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</row>
    <row r="650" spans="1:13">
      <c r="A650" s="3">
        <f>IF(B650=" "," ",HYPERLINK(CONCATENATE("#metadata!",ADDRESS(INDEX($H$2:$H$1001,MATCH(ROWS($F$2:F650),$F$2:$F$1001,0),0),2)),INDEX($K$2:$K$1001,MATCH(ROWS($F$2:F650),$F$2:$F$1001,0),0)))</f>
        <v>0</v>
      </c>
      <c r="B650" s="4">
        <f>IF(OR(INDEX($G$2:$G$1001,MATCH(ROWS($F$2:F650),$F$2:$F$1001,0),1)&gt;=100000,INDEX($M$1005,1,MATCH(COLUMNS($M$1006:M1006),$M$1006,0))&gt;=100000), " ",IF(INDEX($M$2:$M$1001,MATCH(ROWS($F$2:F650),$F$2:$F$1001,0),MATCH(COLUMNS($M$1006:M1006),$M$1006,0)), HYPERLINK("#",""), HYPERLINK(CONCATENATE("#Metadata!", ADDRESS(INDEX($H$2:$H$1001,MATCH(ROWS($F$2:F650),$F$2:$F$1001,0),0), INDEX($M$1004,1,MATCH(COLUMNS($M$1006:M1006),$M$1006,0)))),"Fix")))</f>
        <v>0</v>
      </c>
      <c r="F650">
        <v>0</v>
      </c>
      <c r="G650">
        <v>0</v>
      </c>
      <c r="H650">
        <v>0</v>
      </c>
      <c r="I650">
        <f>IF(J650,TRUE,AND(M650))</f>
        <v>0</v>
      </c>
      <c r="J650">
        <f>COUNTBLANK(Metadata!B650)=COLUMNS(Metadata!B650)</f>
        <v>0</v>
      </c>
      <c r="K650">
        <v>0</v>
      </c>
      <c r="M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</row>
    <row r="651" spans="1:13">
      <c r="A651" s="3">
        <f>IF(B651=" "," ",HYPERLINK(CONCATENATE("#metadata!",ADDRESS(INDEX($H$2:$H$1001,MATCH(ROWS($F$2:F651),$F$2:$F$1001,0),0),2)),INDEX($K$2:$K$1001,MATCH(ROWS($F$2:F651),$F$2:$F$1001,0),0)))</f>
        <v>0</v>
      </c>
      <c r="B651" s="4">
        <f>IF(OR(INDEX($G$2:$G$1001,MATCH(ROWS($F$2:F651),$F$2:$F$1001,0),1)&gt;=100000,INDEX($M$1005,1,MATCH(COLUMNS($M$1006:M1006),$M$1006,0))&gt;=100000), " ",IF(INDEX($M$2:$M$1001,MATCH(ROWS($F$2:F651),$F$2:$F$1001,0),MATCH(COLUMNS($M$1006:M1006),$M$1006,0)), HYPERLINK("#",""), HYPERLINK(CONCATENATE("#Metadata!", ADDRESS(INDEX($H$2:$H$1001,MATCH(ROWS($F$2:F651),$F$2:$F$1001,0),0), INDEX($M$1004,1,MATCH(COLUMNS($M$1006:M1006),$M$1006,0)))),"Fix")))</f>
        <v>0</v>
      </c>
      <c r="F651">
        <v>0</v>
      </c>
      <c r="G651">
        <v>0</v>
      </c>
      <c r="H651">
        <v>0</v>
      </c>
      <c r="I651">
        <f>IF(J651,TRUE,AND(M651))</f>
        <v>0</v>
      </c>
      <c r="J651">
        <f>COUNTBLANK(Metadata!B651)=COLUMNS(Metadata!B651)</f>
        <v>0</v>
      </c>
      <c r="K651">
        <v>0</v>
      </c>
      <c r="M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</row>
    <row r="652" spans="1:13">
      <c r="A652" s="3">
        <f>IF(B652=" "," ",HYPERLINK(CONCATENATE("#metadata!",ADDRESS(INDEX($H$2:$H$1001,MATCH(ROWS($F$2:F652),$F$2:$F$1001,0),0),2)),INDEX($K$2:$K$1001,MATCH(ROWS($F$2:F652),$F$2:$F$1001,0),0)))</f>
        <v>0</v>
      </c>
      <c r="B652" s="4">
        <f>IF(OR(INDEX($G$2:$G$1001,MATCH(ROWS($F$2:F652),$F$2:$F$1001,0),1)&gt;=100000,INDEX($M$1005,1,MATCH(COLUMNS($M$1006:M1006),$M$1006,0))&gt;=100000), " ",IF(INDEX($M$2:$M$1001,MATCH(ROWS($F$2:F652),$F$2:$F$1001,0),MATCH(COLUMNS($M$1006:M1006),$M$1006,0)), HYPERLINK("#",""), HYPERLINK(CONCATENATE("#Metadata!", ADDRESS(INDEX($H$2:$H$1001,MATCH(ROWS($F$2:F652),$F$2:$F$1001,0),0), INDEX($M$1004,1,MATCH(COLUMNS($M$1006:M1006),$M$1006,0)))),"Fix")))</f>
        <v>0</v>
      </c>
      <c r="F652">
        <v>0</v>
      </c>
      <c r="G652">
        <v>0</v>
      </c>
      <c r="H652">
        <v>0</v>
      </c>
      <c r="I652">
        <f>IF(J652,TRUE,AND(M652))</f>
        <v>0</v>
      </c>
      <c r="J652">
        <f>COUNTBLANK(Metadata!B652)=COLUMNS(Metadata!B652)</f>
        <v>0</v>
      </c>
      <c r="K652">
        <v>0</v>
      </c>
      <c r="M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</row>
    <row r="653" spans="1:13">
      <c r="A653" s="3">
        <f>IF(B653=" "," ",HYPERLINK(CONCATENATE("#metadata!",ADDRESS(INDEX($H$2:$H$1001,MATCH(ROWS($F$2:F653),$F$2:$F$1001,0),0),2)),INDEX($K$2:$K$1001,MATCH(ROWS($F$2:F653),$F$2:$F$1001,0),0)))</f>
        <v>0</v>
      </c>
      <c r="B653" s="4">
        <f>IF(OR(INDEX($G$2:$G$1001,MATCH(ROWS($F$2:F653),$F$2:$F$1001,0),1)&gt;=100000,INDEX($M$1005,1,MATCH(COLUMNS($M$1006:M1006),$M$1006,0))&gt;=100000), " ",IF(INDEX($M$2:$M$1001,MATCH(ROWS($F$2:F653),$F$2:$F$1001,0),MATCH(COLUMNS($M$1006:M1006),$M$1006,0)), HYPERLINK("#",""), HYPERLINK(CONCATENATE("#Metadata!", ADDRESS(INDEX($H$2:$H$1001,MATCH(ROWS($F$2:F653),$F$2:$F$1001,0),0), INDEX($M$1004,1,MATCH(COLUMNS($M$1006:M1006),$M$1006,0)))),"Fix")))</f>
        <v>0</v>
      </c>
      <c r="F653">
        <v>0</v>
      </c>
      <c r="G653">
        <v>0</v>
      </c>
      <c r="H653">
        <v>0</v>
      </c>
      <c r="I653">
        <f>IF(J653,TRUE,AND(M653))</f>
        <v>0</v>
      </c>
      <c r="J653">
        <f>COUNTBLANK(Metadata!B653)=COLUMNS(Metadata!B653)</f>
        <v>0</v>
      </c>
      <c r="K653">
        <v>0</v>
      </c>
      <c r="M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</row>
    <row r="654" spans="1:13">
      <c r="A654" s="3">
        <f>IF(B654=" "," ",HYPERLINK(CONCATENATE("#metadata!",ADDRESS(INDEX($H$2:$H$1001,MATCH(ROWS($F$2:F654),$F$2:$F$1001,0),0),2)),INDEX($K$2:$K$1001,MATCH(ROWS($F$2:F654),$F$2:$F$1001,0),0)))</f>
        <v>0</v>
      </c>
      <c r="B654" s="4">
        <f>IF(OR(INDEX($G$2:$G$1001,MATCH(ROWS($F$2:F654),$F$2:$F$1001,0),1)&gt;=100000,INDEX($M$1005,1,MATCH(COLUMNS($M$1006:M1006),$M$1006,0))&gt;=100000), " ",IF(INDEX($M$2:$M$1001,MATCH(ROWS($F$2:F654),$F$2:$F$1001,0),MATCH(COLUMNS($M$1006:M1006),$M$1006,0)), HYPERLINK("#",""), HYPERLINK(CONCATENATE("#Metadata!", ADDRESS(INDEX($H$2:$H$1001,MATCH(ROWS($F$2:F654),$F$2:$F$1001,0),0), INDEX($M$1004,1,MATCH(COLUMNS($M$1006:M1006),$M$1006,0)))),"Fix")))</f>
        <v>0</v>
      </c>
      <c r="F654">
        <v>0</v>
      </c>
      <c r="G654">
        <v>0</v>
      </c>
      <c r="H654">
        <v>0</v>
      </c>
      <c r="I654">
        <f>IF(J654,TRUE,AND(M654))</f>
        <v>0</v>
      </c>
      <c r="J654">
        <f>COUNTBLANK(Metadata!B654)=COLUMNS(Metadata!B654)</f>
        <v>0</v>
      </c>
      <c r="K654">
        <v>0</v>
      </c>
      <c r="M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</row>
    <row r="655" spans="1:13">
      <c r="A655" s="3">
        <f>IF(B655=" "," ",HYPERLINK(CONCATENATE("#metadata!",ADDRESS(INDEX($H$2:$H$1001,MATCH(ROWS($F$2:F655),$F$2:$F$1001,0),0),2)),INDEX($K$2:$K$1001,MATCH(ROWS($F$2:F655),$F$2:$F$1001,0),0)))</f>
        <v>0</v>
      </c>
      <c r="B655" s="4">
        <f>IF(OR(INDEX($G$2:$G$1001,MATCH(ROWS($F$2:F655),$F$2:$F$1001,0),1)&gt;=100000,INDEX($M$1005,1,MATCH(COLUMNS($M$1006:M1006),$M$1006,0))&gt;=100000), " ",IF(INDEX($M$2:$M$1001,MATCH(ROWS($F$2:F655),$F$2:$F$1001,0),MATCH(COLUMNS($M$1006:M1006),$M$1006,0)), HYPERLINK("#",""), HYPERLINK(CONCATENATE("#Metadata!", ADDRESS(INDEX($H$2:$H$1001,MATCH(ROWS($F$2:F655),$F$2:$F$1001,0),0), INDEX($M$1004,1,MATCH(COLUMNS($M$1006:M1006),$M$1006,0)))),"Fix")))</f>
        <v>0</v>
      </c>
      <c r="F655">
        <v>0</v>
      </c>
      <c r="G655">
        <v>0</v>
      </c>
      <c r="H655">
        <v>0</v>
      </c>
      <c r="I655">
        <f>IF(J655,TRUE,AND(M655))</f>
        <v>0</v>
      </c>
      <c r="J655">
        <f>COUNTBLANK(Metadata!B655)=COLUMNS(Metadata!B655)</f>
        <v>0</v>
      </c>
      <c r="K655">
        <v>0</v>
      </c>
      <c r="M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</row>
    <row r="656" spans="1:13">
      <c r="A656" s="3">
        <f>IF(B656=" "," ",HYPERLINK(CONCATENATE("#metadata!",ADDRESS(INDEX($H$2:$H$1001,MATCH(ROWS($F$2:F656),$F$2:$F$1001,0),0),2)),INDEX($K$2:$K$1001,MATCH(ROWS($F$2:F656),$F$2:$F$1001,0),0)))</f>
        <v>0</v>
      </c>
      <c r="B656" s="4">
        <f>IF(OR(INDEX($G$2:$G$1001,MATCH(ROWS($F$2:F656),$F$2:$F$1001,0),1)&gt;=100000,INDEX($M$1005,1,MATCH(COLUMNS($M$1006:M1006),$M$1006,0))&gt;=100000), " ",IF(INDEX($M$2:$M$1001,MATCH(ROWS($F$2:F656),$F$2:$F$1001,0),MATCH(COLUMNS($M$1006:M1006),$M$1006,0)), HYPERLINK("#",""), HYPERLINK(CONCATENATE("#Metadata!", ADDRESS(INDEX($H$2:$H$1001,MATCH(ROWS($F$2:F656),$F$2:$F$1001,0),0), INDEX($M$1004,1,MATCH(COLUMNS($M$1006:M1006),$M$1006,0)))),"Fix")))</f>
        <v>0</v>
      </c>
      <c r="F656">
        <v>0</v>
      </c>
      <c r="G656">
        <v>0</v>
      </c>
      <c r="H656">
        <v>0</v>
      </c>
      <c r="I656">
        <f>IF(J656,TRUE,AND(M656))</f>
        <v>0</v>
      </c>
      <c r="J656">
        <f>COUNTBLANK(Metadata!B656)=COLUMNS(Metadata!B656)</f>
        <v>0</v>
      </c>
      <c r="K656">
        <v>0</v>
      </c>
      <c r="M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</row>
    <row r="657" spans="1:13">
      <c r="A657" s="3">
        <f>IF(B657=" "," ",HYPERLINK(CONCATENATE("#metadata!",ADDRESS(INDEX($H$2:$H$1001,MATCH(ROWS($F$2:F657),$F$2:$F$1001,0),0),2)),INDEX($K$2:$K$1001,MATCH(ROWS($F$2:F657),$F$2:$F$1001,0),0)))</f>
        <v>0</v>
      </c>
      <c r="B657" s="4">
        <f>IF(OR(INDEX($G$2:$G$1001,MATCH(ROWS($F$2:F657),$F$2:$F$1001,0),1)&gt;=100000,INDEX($M$1005,1,MATCH(COLUMNS($M$1006:M1006),$M$1006,0))&gt;=100000), " ",IF(INDEX($M$2:$M$1001,MATCH(ROWS($F$2:F657),$F$2:$F$1001,0),MATCH(COLUMNS($M$1006:M1006),$M$1006,0)), HYPERLINK("#",""), HYPERLINK(CONCATENATE("#Metadata!", ADDRESS(INDEX($H$2:$H$1001,MATCH(ROWS($F$2:F657),$F$2:$F$1001,0),0), INDEX($M$1004,1,MATCH(COLUMNS($M$1006:M1006),$M$1006,0)))),"Fix")))</f>
        <v>0</v>
      </c>
      <c r="F657">
        <v>0</v>
      </c>
      <c r="G657">
        <v>0</v>
      </c>
      <c r="H657">
        <v>0</v>
      </c>
      <c r="I657">
        <f>IF(J657,TRUE,AND(M657))</f>
        <v>0</v>
      </c>
      <c r="J657">
        <f>COUNTBLANK(Metadata!B657)=COLUMNS(Metadata!B657)</f>
        <v>0</v>
      </c>
      <c r="K657">
        <v>0</v>
      </c>
      <c r="M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</row>
    <row r="658" spans="1:13">
      <c r="A658" s="3">
        <f>IF(B658=" "," ",HYPERLINK(CONCATENATE("#metadata!",ADDRESS(INDEX($H$2:$H$1001,MATCH(ROWS($F$2:F658),$F$2:$F$1001,0),0),2)),INDEX($K$2:$K$1001,MATCH(ROWS($F$2:F658),$F$2:$F$1001,0),0)))</f>
        <v>0</v>
      </c>
      <c r="B658" s="4">
        <f>IF(OR(INDEX($G$2:$G$1001,MATCH(ROWS($F$2:F658),$F$2:$F$1001,0),1)&gt;=100000,INDEX($M$1005,1,MATCH(COLUMNS($M$1006:M1006),$M$1006,0))&gt;=100000), " ",IF(INDEX($M$2:$M$1001,MATCH(ROWS($F$2:F658),$F$2:$F$1001,0),MATCH(COLUMNS($M$1006:M1006),$M$1006,0)), HYPERLINK("#",""), HYPERLINK(CONCATENATE("#Metadata!", ADDRESS(INDEX($H$2:$H$1001,MATCH(ROWS($F$2:F658),$F$2:$F$1001,0),0), INDEX($M$1004,1,MATCH(COLUMNS($M$1006:M1006),$M$1006,0)))),"Fix")))</f>
        <v>0</v>
      </c>
      <c r="F658">
        <v>0</v>
      </c>
      <c r="G658">
        <v>0</v>
      </c>
      <c r="H658">
        <v>0</v>
      </c>
      <c r="I658">
        <f>IF(J658,TRUE,AND(M658))</f>
        <v>0</v>
      </c>
      <c r="J658">
        <f>COUNTBLANK(Metadata!B658)=COLUMNS(Metadata!B658)</f>
        <v>0</v>
      </c>
      <c r="K658">
        <v>0</v>
      </c>
      <c r="M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</row>
    <row r="659" spans="1:13">
      <c r="A659" s="3">
        <f>IF(B659=" "," ",HYPERLINK(CONCATENATE("#metadata!",ADDRESS(INDEX($H$2:$H$1001,MATCH(ROWS($F$2:F659),$F$2:$F$1001,0),0),2)),INDEX($K$2:$K$1001,MATCH(ROWS($F$2:F659),$F$2:$F$1001,0),0)))</f>
        <v>0</v>
      </c>
      <c r="B659" s="4">
        <f>IF(OR(INDEX($G$2:$G$1001,MATCH(ROWS($F$2:F659),$F$2:$F$1001,0),1)&gt;=100000,INDEX($M$1005,1,MATCH(COLUMNS($M$1006:M1006),$M$1006,0))&gt;=100000), " ",IF(INDEX($M$2:$M$1001,MATCH(ROWS($F$2:F659),$F$2:$F$1001,0),MATCH(COLUMNS($M$1006:M1006),$M$1006,0)), HYPERLINK("#",""), HYPERLINK(CONCATENATE("#Metadata!", ADDRESS(INDEX($H$2:$H$1001,MATCH(ROWS($F$2:F659),$F$2:$F$1001,0),0), INDEX($M$1004,1,MATCH(COLUMNS($M$1006:M1006),$M$1006,0)))),"Fix")))</f>
        <v>0</v>
      </c>
      <c r="F659">
        <v>0</v>
      </c>
      <c r="G659">
        <v>0</v>
      </c>
      <c r="H659">
        <v>0</v>
      </c>
      <c r="I659">
        <f>IF(J659,TRUE,AND(M659))</f>
        <v>0</v>
      </c>
      <c r="J659">
        <f>COUNTBLANK(Metadata!B659)=COLUMNS(Metadata!B659)</f>
        <v>0</v>
      </c>
      <c r="K659">
        <v>0</v>
      </c>
      <c r="M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</row>
    <row r="660" spans="1:13">
      <c r="A660" s="3">
        <f>IF(B660=" "," ",HYPERLINK(CONCATENATE("#metadata!",ADDRESS(INDEX($H$2:$H$1001,MATCH(ROWS($F$2:F660),$F$2:$F$1001,0),0),2)),INDEX($K$2:$K$1001,MATCH(ROWS($F$2:F660),$F$2:$F$1001,0),0)))</f>
        <v>0</v>
      </c>
      <c r="B660" s="4">
        <f>IF(OR(INDEX($G$2:$G$1001,MATCH(ROWS($F$2:F660),$F$2:$F$1001,0),1)&gt;=100000,INDEX($M$1005,1,MATCH(COLUMNS($M$1006:M1006),$M$1006,0))&gt;=100000), " ",IF(INDEX($M$2:$M$1001,MATCH(ROWS($F$2:F660),$F$2:$F$1001,0),MATCH(COLUMNS($M$1006:M1006),$M$1006,0)), HYPERLINK("#",""), HYPERLINK(CONCATENATE("#Metadata!", ADDRESS(INDEX($H$2:$H$1001,MATCH(ROWS($F$2:F660),$F$2:$F$1001,0),0), INDEX($M$1004,1,MATCH(COLUMNS($M$1006:M1006),$M$1006,0)))),"Fix")))</f>
        <v>0</v>
      </c>
      <c r="F660">
        <v>0</v>
      </c>
      <c r="G660">
        <v>0</v>
      </c>
      <c r="H660">
        <v>0</v>
      </c>
      <c r="I660">
        <f>IF(J660,TRUE,AND(M660))</f>
        <v>0</v>
      </c>
      <c r="J660">
        <f>COUNTBLANK(Metadata!B660)=COLUMNS(Metadata!B660)</f>
        <v>0</v>
      </c>
      <c r="K660">
        <v>0</v>
      </c>
      <c r="M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</row>
    <row r="661" spans="1:13">
      <c r="A661" s="3">
        <f>IF(B661=" "," ",HYPERLINK(CONCATENATE("#metadata!",ADDRESS(INDEX($H$2:$H$1001,MATCH(ROWS($F$2:F661),$F$2:$F$1001,0),0),2)),INDEX($K$2:$K$1001,MATCH(ROWS($F$2:F661),$F$2:$F$1001,0),0)))</f>
        <v>0</v>
      </c>
      <c r="B661" s="4">
        <f>IF(OR(INDEX($G$2:$G$1001,MATCH(ROWS($F$2:F661),$F$2:$F$1001,0),1)&gt;=100000,INDEX($M$1005,1,MATCH(COLUMNS($M$1006:M1006),$M$1006,0))&gt;=100000), " ",IF(INDEX($M$2:$M$1001,MATCH(ROWS($F$2:F661),$F$2:$F$1001,0),MATCH(COLUMNS($M$1006:M1006),$M$1006,0)), HYPERLINK("#",""), HYPERLINK(CONCATENATE("#Metadata!", ADDRESS(INDEX($H$2:$H$1001,MATCH(ROWS($F$2:F661),$F$2:$F$1001,0),0), INDEX($M$1004,1,MATCH(COLUMNS($M$1006:M1006),$M$1006,0)))),"Fix")))</f>
        <v>0</v>
      </c>
      <c r="F661">
        <v>0</v>
      </c>
      <c r="G661">
        <v>0</v>
      </c>
      <c r="H661">
        <v>0</v>
      </c>
      <c r="I661">
        <f>IF(J661,TRUE,AND(M661))</f>
        <v>0</v>
      </c>
      <c r="J661">
        <f>COUNTBLANK(Metadata!B661)=COLUMNS(Metadata!B661)</f>
        <v>0</v>
      </c>
      <c r="K661">
        <v>0</v>
      </c>
      <c r="M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</row>
    <row r="662" spans="1:13">
      <c r="A662" s="3">
        <f>IF(B662=" "," ",HYPERLINK(CONCATENATE("#metadata!",ADDRESS(INDEX($H$2:$H$1001,MATCH(ROWS($F$2:F662),$F$2:$F$1001,0),0),2)),INDEX($K$2:$K$1001,MATCH(ROWS($F$2:F662),$F$2:$F$1001,0),0)))</f>
        <v>0</v>
      </c>
      <c r="B662" s="4">
        <f>IF(OR(INDEX($G$2:$G$1001,MATCH(ROWS($F$2:F662),$F$2:$F$1001,0),1)&gt;=100000,INDEX($M$1005,1,MATCH(COLUMNS($M$1006:M1006),$M$1006,0))&gt;=100000), " ",IF(INDEX($M$2:$M$1001,MATCH(ROWS($F$2:F662),$F$2:$F$1001,0),MATCH(COLUMNS($M$1006:M1006),$M$1006,0)), HYPERLINK("#",""), HYPERLINK(CONCATENATE("#Metadata!", ADDRESS(INDEX($H$2:$H$1001,MATCH(ROWS($F$2:F662),$F$2:$F$1001,0),0), INDEX($M$1004,1,MATCH(COLUMNS($M$1006:M1006),$M$1006,0)))),"Fix")))</f>
        <v>0</v>
      </c>
      <c r="F662">
        <v>0</v>
      </c>
      <c r="G662">
        <v>0</v>
      </c>
      <c r="H662">
        <v>0</v>
      </c>
      <c r="I662">
        <f>IF(J662,TRUE,AND(M662))</f>
        <v>0</v>
      </c>
      <c r="J662">
        <f>COUNTBLANK(Metadata!B662)=COLUMNS(Metadata!B662)</f>
        <v>0</v>
      </c>
      <c r="K662">
        <v>0</v>
      </c>
      <c r="M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</row>
    <row r="663" spans="1:13">
      <c r="A663" s="3">
        <f>IF(B663=" "," ",HYPERLINK(CONCATENATE("#metadata!",ADDRESS(INDEX($H$2:$H$1001,MATCH(ROWS($F$2:F663),$F$2:$F$1001,0),0),2)),INDEX($K$2:$K$1001,MATCH(ROWS($F$2:F663),$F$2:$F$1001,0),0)))</f>
        <v>0</v>
      </c>
      <c r="B663" s="4">
        <f>IF(OR(INDEX($G$2:$G$1001,MATCH(ROWS($F$2:F663),$F$2:$F$1001,0),1)&gt;=100000,INDEX($M$1005,1,MATCH(COLUMNS($M$1006:M1006),$M$1006,0))&gt;=100000), " ",IF(INDEX($M$2:$M$1001,MATCH(ROWS($F$2:F663),$F$2:$F$1001,0),MATCH(COLUMNS($M$1006:M1006),$M$1006,0)), HYPERLINK("#",""), HYPERLINK(CONCATENATE("#Metadata!", ADDRESS(INDEX($H$2:$H$1001,MATCH(ROWS($F$2:F663),$F$2:$F$1001,0),0), INDEX($M$1004,1,MATCH(COLUMNS($M$1006:M1006),$M$1006,0)))),"Fix")))</f>
        <v>0</v>
      </c>
      <c r="F663">
        <v>0</v>
      </c>
      <c r="G663">
        <v>0</v>
      </c>
      <c r="H663">
        <v>0</v>
      </c>
      <c r="I663">
        <f>IF(J663,TRUE,AND(M663))</f>
        <v>0</v>
      </c>
      <c r="J663">
        <f>COUNTBLANK(Metadata!B663)=COLUMNS(Metadata!B663)</f>
        <v>0</v>
      </c>
      <c r="K663">
        <v>0</v>
      </c>
      <c r="M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</row>
    <row r="664" spans="1:13">
      <c r="A664" s="3">
        <f>IF(B664=" "," ",HYPERLINK(CONCATENATE("#metadata!",ADDRESS(INDEX($H$2:$H$1001,MATCH(ROWS($F$2:F664),$F$2:$F$1001,0),0),2)),INDEX($K$2:$K$1001,MATCH(ROWS($F$2:F664),$F$2:$F$1001,0),0)))</f>
        <v>0</v>
      </c>
      <c r="B664" s="4">
        <f>IF(OR(INDEX($G$2:$G$1001,MATCH(ROWS($F$2:F664),$F$2:$F$1001,0),1)&gt;=100000,INDEX($M$1005,1,MATCH(COLUMNS($M$1006:M1006),$M$1006,0))&gt;=100000), " ",IF(INDEX($M$2:$M$1001,MATCH(ROWS($F$2:F664),$F$2:$F$1001,0),MATCH(COLUMNS($M$1006:M1006),$M$1006,0)), HYPERLINK("#",""), HYPERLINK(CONCATENATE("#Metadata!", ADDRESS(INDEX($H$2:$H$1001,MATCH(ROWS($F$2:F664),$F$2:$F$1001,0),0), INDEX($M$1004,1,MATCH(COLUMNS($M$1006:M1006),$M$1006,0)))),"Fix")))</f>
        <v>0</v>
      </c>
      <c r="F664">
        <v>0</v>
      </c>
      <c r="G664">
        <v>0</v>
      </c>
      <c r="H664">
        <v>0</v>
      </c>
      <c r="I664">
        <f>IF(J664,TRUE,AND(M664))</f>
        <v>0</v>
      </c>
      <c r="J664">
        <f>COUNTBLANK(Metadata!B664)=COLUMNS(Metadata!B664)</f>
        <v>0</v>
      </c>
      <c r="K664">
        <v>0</v>
      </c>
      <c r="M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</row>
    <row r="665" spans="1:13">
      <c r="A665" s="3">
        <f>IF(B665=" "," ",HYPERLINK(CONCATENATE("#metadata!",ADDRESS(INDEX($H$2:$H$1001,MATCH(ROWS($F$2:F665),$F$2:$F$1001,0),0),2)),INDEX($K$2:$K$1001,MATCH(ROWS($F$2:F665),$F$2:$F$1001,0),0)))</f>
        <v>0</v>
      </c>
      <c r="B665" s="4">
        <f>IF(OR(INDEX($G$2:$G$1001,MATCH(ROWS($F$2:F665),$F$2:$F$1001,0),1)&gt;=100000,INDEX($M$1005,1,MATCH(COLUMNS($M$1006:M1006),$M$1006,0))&gt;=100000), " ",IF(INDEX($M$2:$M$1001,MATCH(ROWS($F$2:F665),$F$2:$F$1001,0),MATCH(COLUMNS($M$1006:M1006),$M$1006,0)), HYPERLINK("#",""), HYPERLINK(CONCATENATE("#Metadata!", ADDRESS(INDEX($H$2:$H$1001,MATCH(ROWS($F$2:F665),$F$2:$F$1001,0),0), INDEX($M$1004,1,MATCH(COLUMNS($M$1006:M1006),$M$1006,0)))),"Fix")))</f>
        <v>0</v>
      </c>
      <c r="F665">
        <v>0</v>
      </c>
      <c r="G665">
        <v>0</v>
      </c>
      <c r="H665">
        <v>0</v>
      </c>
      <c r="I665">
        <f>IF(J665,TRUE,AND(M665))</f>
        <v>0</v>
      </c>
      <c r="J665">
        <f>COUNTBLANK(Metadata!B665)=COLUMNS(Metadata!B665)</f>
        <v>0</v>
      </c>
      <c r="K665">
        <v>0</v>
      </c>
      <c r="M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</row>
    <row r="666" spans="1:13">
      <c r="A666" s="3">
        <f>IF(B666=" "," ",HYPERLINK(CONCATENATE("#metadata!",ADDRESS(INDEX($H$2:$H$1001,MATCH(ROWS($F$2:F666),$F$2:$F$1001,0),0),2)),INDEX($K$2:$K$1001,MATCH(ROWS($F$2:F666),$F$2:$F$1001,0),0)))</f>
        <v>0</v>
      </c>
      <c r="B666" s="4">
        <f>IF(OR(INDEX($G$2:$G$1001,MATCH(ROWS($F$2:F666),$F$2:$F$1001,0),1)&gt;=100000,INDEX($M$1005,1,MATCH(COLUMNS($M$1006:M1006),$M$1006,0))&gt;=100000), " ",IF(INDEX($M$2:$M$1001,MATCH(ROWS($F$2:F666),$F$2:$F$1001,0),MATCH(COLUMNS($M$1006:M1006),$M$1006,0)), HYPERLINK("#",""), HYPERLINK(CONCATENATE("#Metadata!", ADDRESS(INDEX($H$2:$H$1001,MATCH(ROWS($F$2:F666),$F$2:$F$1001,0),0), INDEX($M$1004,1,MATCH(COLUMNS($M$1006:M1006),$M$1006,0)))),"Fix")))</f>
        <v>0</v>
      </c>
      <c r="F666">
        <v>0</v>
      </c>
      <c r="G666">
        <v>0</v>
      </c>
      <c r="H666">
        <v>0</v>
      </c>
      <c r="I666">
        <f>IF(J666,TRUE,AND(M666))</f>
        <v>0</v>
      </c>
      <c r="J666">
        <f>COUNTBLANK(Metadata!B666)=COLUMNS(Metadata!B666)</f>
        <v>0</v>
      </c>
      <c r="K666">
        <v>0</v>
      </c>
      <c r="M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</row>
    <row r="667" spans="1:13">
      <c r="A667" s="3">
        <f>IF(B667=" "," ",HYPERLINK(CONCATENATE("#metadata!",ADDRESS(INDEX($H$2:$H$1001,MATCH(ROWS($F$2:F667),$F$2:$F$1001,0),0),2)),INDEX($K$2:$K$1001,MATCH(ROWS($F$2:F667),$F$2:$F$1001,0),0)))</f>
        <v>0</v>
      </c>
      <c r="B667" s="4">
        <f>IF(OR(INDEX($G$2:$G$1001,MATCH(ROWS($F$2:F667),$F$2:$F$1001,0),1)&gt;=100000,INDEX($M$1005,1,MATCH(COLUMNS($M$1006:M1006),$M$1006,0))&gt;=100000), " ",IF(INDEX($M$2:$M$1001,MATCH(ROWS($F$2:F667),$F$2:$F$1001,0),MATCH(COLUMNS($M$1006:M1006),$M$1006,0)), HYPERLINK("#",""), HYPERLINK(CONCATENATE("#Metadata!", ADDRESS(INDEX($H$2:$H$1001,MATCH(ROWS($F$2:F667),$F$2:$F$1001,0),0), INDEX($M$1004,1,MATCH(COLUMNS($M$1006:M1006),$M$1006,0)))),"Fix")))</f>
        <v>0</v>
      </c>
      <c r="F667">
        <v>0</v>
      </c>
      <c r="G667">
        <v>0</v>
      </c>
      <c r="H667">
        <v>0</v>
      </c>
      <c r="I667">
        <f>IF(J667,TRUE,AND(M667))</f>
        <v>0</v>
      </c>
      <c r="J667">
        <f>COUNTBLANK(Metadata!B667)=COLUMNS(Metadata!B667)</f>
        <v>0</v>
      </c>
      <c r="K667">
        <v>0</v>
      </c>
      <c r="M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</row>
    <row r="668" spans="1:13">
      <c r="A668" s="3">
        <f>IF(B668=" "," ",HYPERLINK(CONCATENATE("#metadata!",ADDRESS(INDEX($H$2:$H$1001,MATCH(ROWS($F$2:F668),$F$2:$F$1001,0),0),2)),INDEX($K$2:$K$1001,MATCH(ROWS($F$2:F668),$F$2:$F$1001,0),0)))</f>
        <v>0</v>
      </c>
      <c r="B668" s="4">
        <f>IF(OR(INDEX($G$2:$G$1001,MATCH(ROWS($F$2:F668),$F$2:$F$1001,0),1)&gt;=100000,INDEX($M$1005,1,MATCH(COLUMNS($M$1006:M1006),$M$1006,0))&gt;=100000), " ",IF(INDEX($M$2:$M$1001,MATCH(ROWS($F$2:F668),$F$2:$F$1001,0),MATCH(COLUMNS($M$1006:M1006),$M$1006,0)), HYPERLINK("#",""), HYPERLINK(CONCATENATE("#Metadata!", ADDRESS(INDEX($H$2:$H$1001,MATCH(ROWS($F$2:F668),$F$2:$F$1001,0),0), INDEX($M$1004,1,MATCH(COLUMNS($M$1006:M1006),$M$1006,0)))),"Fix")))</f>
        <v>0</v>
      </c>
      <c r="F668">
        <v>0</v>
      </c>
      <c r="G668">
        <v>0</v>
      </c>
      <c r="H668">
        <v>0</v>
      </c>
      <c r="I668">
        <f>IF(J668,TRUE,AND(M668))</f>
        <v>0</v>
      </c>
      <c r="J668">
        <f>COUNTBLANK(Metadata!B668)=COLUMNS(Metadata!B668)</f>
        <v>0</v>
      </c>
      <c r="K668">
        <v>0</v>
      </c>
      <c r="M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</row>
    <row r="669" spans="1:13">
      <c r="A669" s="3">
        <f>IF(B669=" "," ",HYPERLINK(CONCATENATE("#metadata!",ADDRESS(INDEX($H$2:$H$1001,MATCH(ROWS($F$2:F669),$F$2:$F$1001,0),0),2)),INDEX($K$2:$K$1001,MATCH(ROWS($F$2:F669),$F$2:$F$1001,0),0)))</f>
        <v>0</v>
      </c>
      <c r="B669" s="4">
        <f>IF(OR(INDEX($G$2:$G$1001,MATCH(ROWS($F$2:F669),$F$2:$F$1001,0),1)&gt;=100000,INDEX($M$1005,1,MATCH(COLUMNS($M$1006:M1006),$M$1006,0))&gt;=100000), " ",IF(INDEX($M$2:$M$1001,MATCH(ROWS($F$2:F669),$F$2:$F$1001,0),MATCH(COLUMNS($M$1006:M1006),$M$1006,0)), HYPERLINK("#",""), HYPERLINK(CONCATENATE("#Metadata!", ADDRESS(INDEX($H$2:$H$1001,MATCH(ROWS($F$2:F669),$F$2:$F$1001,0),0), INDEX($M$1004,1,MATCH(COLUMNS($M$1006:M1006),$M$1006,0)))),"Fix")))</f>
        <v>0</v>
      </c>
      <c r="F669">
        <v>0</v>
      </c>
      <c r="G669">
        <v>0</v>
      </c>
      <c r="H669">
        <v>0</v>
      </c>
      <c r="I669">
        <f>IF(J669,TRUE,AND(M669))</f>
        <v>0</v>
      </c>
      <c r="J669">
        <f>COUNTBLANK(Metadata!B669)=COLUMNS(Metadata!B669)</f>
        <v>0</v>
      </c>
      <c r="K669">
        <v>0</v>
      </c>
      <c r="M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</row>
    <row r="670" spans="1:13">
      <c r="A670" s="3">
        <f>IF(B670=" "," ",HYPERLINK(CONCATENATE("#metadata!",ADDRESS(INDEX($H$2:$H$1001,MATCH(ROWS($F$2:F670),$F$2:$F$1001,0),0),2)),INDEX($K$2:$K$1001,MATCH(ROWS($F$2:F670),$F$2:$F$1001,0),0)))</f>
        <v>0</v>
      </c>
      <c r="B670" s="4">
        <f>IF(OR(INDEX($G$2:$G$1001,MATCH(ROWS($F$2:F670),$F$2:$F$1001,0),1)&gt;=100000,INDEX($M$1005,1,MATCH(COLUMNS($M$1006:M1006),$M$1006,0))&gt;=100000), " ",IF(INDEX($M$2:$M$1001,MATCH(ROWS($F$2:F670),$F$2:$F$1001,0),MATCH(COLUMNS($M$1006:M1006),$M$1006,0)), HYPERLINK("#",""), HYPERLINK(CONCATENATE("#Metadata!", ADDRESS(INDEX($H$2:$H$1001,MATCH(ROWS($F$2:F670),$F$2:$F$1001,0),0), INDEX($M$1004,1,MATCH(COLUMNS($M$1006:M1006),$M$1006,0)))),"Fix")))</f>
        <v>0</v>
      </c>
      <c r="F670">
        <v>0</v>
      </c>
      <c r="G670">
        <v>0</v>
      </c>
      <c r="H670">
        <v>0</v>
      </c>
      <c r="I670">
        <f>IF(J670,TRUE,AND(M670))</f>
        <v>0</v>
      </c>
      <c r="J670">
        <f>COUNTBLANK(Metadata!B670)=COLUMNS(Metadata!B670)</f>
        <v>0</v>
      </c>
      <c r="K670">
        <v>0</v>
      </c>
      <c r="M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</row>
    <row r="671" spans="1:13">
      <c r="A671" s="3">
        <f>IF(B671=" "," ",HYPERLINK(CONCATENATE("#metadata!",ADDRESS(INDEX($H$2:$H$1001,MATCH(ROWS($F$2:F671),$F$2:$F$1001,0),0),2)),INDEX($K$2:$K$1001,MATCH(ROWS($F$2:F671),$F$2:$F$1001,0),0)))</f>
        <v>0</v>
      </c>
      <c r="B671" s="4">
        <f>IF(OR(INDEX($G$2:$G$1001,MATCH(ROWS($F$2:F671),$F$2:$F$1001,0),1)&gt;=100000,INDEX($M$1005,1,MATCH(COLUMNS($M$1006:M1006),$M$1006,0))&gt;=100000), " ",IF(INDEX($M$2:$M$1001,MATCH(ROWS($F$2:F671),$F$2:$F$1001,0),MATCH(COLUMNS($M$1006:M1006),$M$1006,0)), HYPERLINK("#",""), HYPERLINK(CONCATENATE("#Metadata!", ADDRESS(INDEX($H$2:$H$1001,MATCH(ROWS($F$2:F671),$F$2:$F$1001,0),0), INDEX($M$1004,1,MATCH(COLUMNS($M$1006:M1006),$M$1006,0)))),"Fix")))</f>
        <v>0</v>
      </c>
      <c r="F671">
        <v>0</v>
      </c>
      <c r="G671">
        <v>0</v>
      </c>
      <c r="H671">
        <v>0</v>
      </c>
      <c r="I671">
        <f>IF(J671,TRUE,AND(M671))</f>
        <v>0</v>
      </c>
      <c r="J671">
        <f>COUNTBLANK(Metadata!B671)=COLUMNS(Metadata!B671)</f>
        <v>0</v>
      </c>
      <c r="K671">
        <v>0</v>
      </c>
      <c r="M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</row>
    <row r="672" spans="1:13">
      <c r="A672" s="3">
        <f>IF(B672=" "," ",HYPERLINK(CONCATENATE("#metadata!",ADDRESS(INDEX($H$2:$H$1001,MATCH(ROWS($F$2:F672),$F$2:$F$1001,0),0),2)),INDEX($K$2:$K$1001,MATCH(ROWS($F$2:F672),$F$2:$F$1001,0),0)))</f>
        <v>0</v>
      </c>
      <c r="B672" s="4">
        <f>IF(OR(INDEX($G$2:$G$1001,MATCH(ROWS($F$2:F672),$F$2:$F$1001,0),1)&gt;=100000,INDEX($M$1005,1,MATCH(COLUMNS($M$1006:M1006),$M$1006,0))&gt;=100000), " ",IF(INDEX($M$2:$M$1001,MATCH(ROWS($F$2:F672),$F$2:$F$1001,0),MATCH(COLUMNS($M$1006:M1006),$M$1006,0)), HYPERLINK("#",""), HYPERLINK(CONCATENATE("#Metadata!", ADDRESS(INDEX($H$2:$H$1001,MATCH(ROWS($F$2:F672),$F$2:$F$1001,0),0), INDEX($M$1004,1,MATCH(COLUMNS($M$1006:M1006),$M$1006,0)))),"Fix")))</f>
        <v>0</v>
      </c>
      <c r="F672">
        <v>0</v>
      </c>
      <c r="G672">
        <v>0</v>
      </c>
      <c r="H672">
        <v>0</v>
      </c>
      <c r="I672">
        <f>IF(J672,TRUE,AND(M672))</f>
        <v>0</v>
      </c>
      <c r="J672">
        <f>COUNTBLANK(Metadata!B672)=COLUMNS(Metadata!B672)</f>
        <v>0</v>
      </c>
      <c r="K672">
        <v>0</v>
      </c>
      <c r="M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</row>
    <row r="673" spans="1:13">
      <c r="A673" s="3">
        <f>IF(B673=" "," ",HYPERLINK(CONCATENATE("#metadata!",ADDRESS(INDEX($H$2:$H$1001,MATCH(ROWS($F$2:F673),$F$2:$F$1001,0),0),2)),INDEX($K$2:$K$1001,MATCH(ROWS($F$2:F673),$F$2:$F$1001,0),0)))</f>
        <v>0</v>
      </c>
      <c r="B673" s="4">
        <f>IF(OR(INDEX($G$2:$G$1001,MATCH(ROWS($F$2:F673),$F$2:$F$1001,0),1)&gt;=100000,INDEX($M$1005,1,MATCH(COLUMNS($M$1006:M1006),$M$1006,0))&gt;=100000), " ",IF(INDEX($M$2:$M$1001,MATCH(ROWS($F$2:F673),$F$2:$F$1001,0),MATCH(COLUMNS($M$1006:M1006),$M$1006,0)), HYPERLINK("#",""), HYPERLINK(CONCATENATE("#Metadata!", ADDRESS(INDEX($H$2:$H$1001,MATCH(ROWS($F$2:F673),$F$2:$F$1001,0),0), INDEX($M$1004,1,MATCH(COLUMNS($M$1006:M1006),$M$1006,0)))),"Fix")))</f>
        <v>0</v>
      </c>
      <c r="F673">
        <v>0</v>
      </c>
      <c r="G673">
        <v>0</v>
      </c>
      <c r="H673">
        <v>0</v>
      </c>
      <c r="I673">
        <f>IF(J673,TRUE,AND(M673))</f>
        <v>0</v>
      </c>
      <c r="J673">
        <f>COUNTBLANK(Metadata!B673)=COLUMNS(Metadata!B673)</f>
        <v>0</v>
      </c>
      <c r="K673">
        <v>0</v>
      </c>
      <c r="M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</row>
    <row r="674" spans="1:13">
      <c r="A674" s="3">
        <f>IF(B674=" "," ",HYPERLINK(CONCATENATE("#metadata!",ADDRESS(INDEX($H$2:$H$1001,MATCH(ROWS($F$2:F674),$F$2:$F$1001,0),0),2)),INDEX($K$2:$K$1001,MATCH(ROWS($F$2:F674),$F$2:$F$1001,0),0)))</f>
        <v>0</v>
      </c>
      <c r="B674" s="4">
        <f>IF(OR(INDEX($G$2:$G$1001,MATCH(ROWS($F$2:F674),$F$2:$F$1001,0),1)&gt;=100000,INDEX($M$1005,1,MATCH(COLUMNS($M$1006:M1006),$M$1006,0))&gt;=100000), " ",IF(INDEX($M$2:$M$1001,MATCH(ROWS($F$2:F674),$F$2:$F$1001,0),MATCH(COLUMNS($M$1006:M1006),$M$1006,0)), HYPERLINK("#",""), HYPERLINK(CONCATENATE("#Metadata!", ADDRESS(INDEX($H$2:$H$1001,MATCH(ROWS($F$2:F674),$F$2:$F$1001,0),0), INDEX($M$1004,1,MATCH(COLUMNS($M$1006:M1006),$M$1006,0)))),"Fix")))</f>
        <v>0</v>
      </c>
      <c r="F674">
        <v>0</v>
      </c>
      <c r="G674">
        <v>0</v>
      </c>
      <c r="H674">
        <v>0</v>
      </c>
      <c r="I674">
        <f>IF(J674,TRUE,AND(M674))</f>
        <v>0</v>
      </c>
      <c r="J674">
        <f>COUNTBLANK(Metadata!B674)=COLUMNS(Metadata!B674)</f>
        <v>0</v>
      </c>
      <c r="K674">
        <v>0</v>
      </c>
      <c r="M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</row>
    <row r="675" spans="1:13">
      <c r="A675" s="3">
        <f>IF(B675=" "," ",HYPERLINK(CONCATENATE("#metadata!",ADDRESS(INDEX($H$2:$H$1001,MATCH(ROWS($F$2:F675),$F$2:$F$1001,0),0),2)),INDEX($K$2:$K$1001,MATCH(ROWS($F$2:F675),$F$2:$F$1001,0),0)))</f>
        <v>0</v>
      </c>
      <c r="B675" s="4">
        <f>IF(OR(INDEX($G$2:$G$1001,MATCH(ROWS($F$2:F675),$F$2:$F$1001,0),1)&gt;=100000,INDEX($M$1005,1,MATCH(COLUMNS($M$1006:M1006),$M$1006,0))&gt;=100000), " ",IF(INDEX($M$2:$M$1001,MATCH(ROWS($F$2:F675),$F$2:$F$1001,0),MATCH(COLUMNS($M$1006:M1006),$M$1006,0)), HYPERLINK("#",""), HYPERLINK(CONCATENATE("#Metadata!", ADDRESS(INDEX($H$2:$H$1001,MATCH(ROWS($F$2:F675),$F$2:$F$1001,0),0), INDEX($M$1004,1,MATCH(COLUMNS($M$1006:M1006),$M$1006,0)))),"Fix")))</f>
        <v>0</v>
      </c>
      <c r="F675">
        <v>0</v>
      </c>
      <c r="G675">
        <v>0</v>
      </c>
      <c r="H675">
        <v>0</v>
      </c>
      <c r="I675">
        <f>IF(J675,TRUE,AND(M675))</f>
        <v>0</v>
      </c>
      <c r="J675">
        <f>COUNTBLANK(Metadata!B675)=COLUMNS(Metadata!B675)</f>
        <v>0</v>
      </c>
      <c r="K675">
        <v>0</v>
      </c>
      <c r="M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</row>
    <row r="676" spans="1:13">
      <c r="A676" s="3">
        <f>IF(B676=" "," ",HYPERLINK(CONCATENATE("#metadata!",ADDRESS(INDEX($H$2:$H$1001,MATCH(ROWS($F$2:F676),$F$2:$F$1001,0),0),2)),INDEX($K$2:$K$1001,MATCH(ROWS($F$2:F676),$F$2:$F$1001,0),0)))</f>
        <v>0</v>
      </c>
      <c r="B676" s="4">
        <f>IF(OR(INDEX($G$2:$G$1001,MATCH(ROWS($F$2:F676),$F$2:$F$1001,0),1)&gt;=100000,INDEX($M$1005,1,MATCH(COLUMNS($M$1006:M1006),$M$1006,0))&gt;=100000), " ",IF(INDEX($M$2:$M$1001,MATCH(ROWS($F$2:F676),$F$2:$F$1001,0),MATCH(COLUMNS($M$1006:M1006),$M$1006,0)), HYPERLINK("#",""), HYPERLINK(CONCATENATE("#Metadata!", ADDRESS(INDEX($H$2:$H$1001,MATCH(ROWS($F$2:F676),$F$2:$F$1001,0),0), INDEX($M$1004,1,MATCH(COLUMNS($M$1006:M1006),$M$1006,0)))),"Fix")))</f>
        <v>0</v>
      </c>
      <c r="F676">
        <v>0</v>
      </c>
      <c r="G676">
        <v>0</v>
      </c>
      <c r="H676">
        <v>0</v>
      </c>
      <c r="I676">
        <f>IF(J676,TRUE,AND(M676))</f>
        <v>0</v>
      </c>
      <c r="J676">
        <f>COUNTBLANK(Metadata!B676)=COLUMNS(Metadata!B676)</f>
        <v>0</v>
      </c>
      <c r="K676">
        <v>0</v>
      </c>
      <c r="M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</row>
    <row r="677" spans="1:13">
      <c r="A677" s="3">
        <f>IF(B677=" "," ",HYPERLINK(CONCATENATE("#metadata!",ADDRESS(INDEX($H$2:$H$1001,MATCH(ROWS($F$2:F677),$F$2:$F$1001,0),0),2)),INDEX($K$2:$K$1001,MATCH(ROWS($F$2:F677),$F$2:$F$1001,0),0)))</f>
        <v>0</v>
      </c>
      <c r="B677" s="4">
        <f>IF(OR(INDEX($G$2:$G$1001,MATCH(ROWS($F$2:F677),$F$2:$F$1001,0),1)&gt;=100000,INDEX($M$1005,1,MATCH(COLUMNS($M$1006:M1006),$M$1006,0))&gt;=100000), " ",IF(INDEX($M$2:$M$1001,MATCH(ROWS($F$2:F677),$F$2:$F$1001,0),MATCH(COLUMNS($M$1006:M1006),$M$1006,0)), HYPERLINK("#",""), HYPERLINK(CONCATENATE("#Metadata!", ADDRESS(INDEX($H$2:$H$1001,MATCH(ROWS($F$2:F677),$F$2:$F$1001,0),0), INDEX($M$1004,1,MATCH(COLUMNS($M$1006:M1006),$M$1006,0)))),"Fix")))</f>
        <v>0</v>
      </c>
      <c r="F677">
        <v>0</v>
      </c>
      <c r="G677">
        <v>0</v>
      </c>
      <c r="H677">
        <v>0</v>
      </c>
      <c r="I677">
        <f>IF(J677,TRUE,AND(M677))</f>
        <v>0</v>
      </c>
      <c r="J677">
        <f>COUNTBLANK(Metadata!B677)=COLUMNS(Metadata!B677)</f>
        <v>0</v>
      </c>
      <c r="K677">
        <v>0</v>
      </c>
      <c r="M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</row>
    <row r="678" spans="1:13">
      <c r="A678" s="3">
        <f>IF(B678=" "," ",HYPERLINK(CONCATENATE("#metadata!",ADDRESS(INDEX($H$2:$H$1001,MATCH(ROWS($F$2:F678),$F$2:$F$1001,0),0),2)),INDEX($K$2:$K$1001,MATCH(ROWS($F$2:F678),$F$2:$F$1001,0),0)))</f>
        <v>0</v>
      </c>
      <c r="B678" s="4">
        <f>IF(OR(INDEX($G$2:$G$1001,MATCH(ROWS($F$2:F678),$F$2:$F$1001,0),1)&gt;=100000,INDEX($M$1005,1,MATCH(COLUMNS($M$1006:M1006),$M$1006,0))&gt;=100000), " ",IF(INDEX($M$2:$M$1001,MATCH(ROWS($F$2:F678),$F$2:$F$1001,0),MATCH(COLUMNS($M$1006:M1006),$M$1006,0)), HYPERLINK("#",""), HYPERLINK(CONCATENATE("#Metadata!", ADDRESS(INDEX($H$2:$H$1001,MATCH(ROWS($F$2:F678),$F$2:$F$1001,0),0), INDEX($M$1004,1,MATCH(COLUMNS($M$1006:M1006),$M$1006,0)))),"Fix")))</f>
        <v>0</v>
      </c>
      <c r="F678">
        <v>0</v>
      </c>
      <c r="G678">
        <v>0</v>
      </c>
      <c r="H678">
        <v>0</v>
      </c>
      <c r="I678">
        <f>IF(J678,TRUE,AND(M678))</f>
        <v>0</v>
      </c>
      <c r="J678">
        <f>COUNTBLANK(Metadata!B678)=COLUMNS(Metadata!B678)</f>
        <v>0</v>
      </c>
      <c r="K678">
        <v>0</v>
      </c>
      <c r="M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</row>
    <row r="679" spans="1:13">
      <c r="A679" s="3">
        <f>IF(B679=" "," ",HYPERLINK(CONCATENATE("#metadata!",ADDRESS(INDEX($H$2:$H$1001,MATCH(ROWS($F$2:F679),$F$2:$F$1001,0),0),2)),INDEX($K$2:$K$1001,MATCH(ROWS($F$2:F679),$F$2:$F$1001,0),0)))</f>
        <v>0</v>
      </c>
      <c r="B679" s="4">
        <f>IF(OR(INDEX($G$2:$G$1001,MATCH(ROWS($F$2:F679),$F$2:$F$1001,0),1)&gt;=100000,INDEX($M$1005,1,MATCH(COLUMNS($M$1006:M1006),$M$1006,0))&gt;=100000), " ",IF(INDEX($M$2:$M$1001,MATCH(ROWS($F$2:F679),$F$2:$F$1001,0),MATCH(COLUMNS($M$1006:M1006),$M$1006,0)), HYPERLINK("#",""), HYPERLINK(CONCATENATE("#Metadata!", ADDRESS(INDEX($H$2:$H$1001,MATCH(ROWS($F$2:F679),$F$2:$F$1001,0),0), INDEX($M$1004,1,MATCH(COLUMNS($M$1006:M1006),$M$1006,0)))),"Fix")))</f>
        <v>0</v>
      </c>
      <c r="F679">
        <v>0</v>
      </c>
      <c r="G679">
        <v>0</v>
      </c>
      <c r="H679">
        <v>0</v>
      </c>
      <c r="I679">
        <f>IF(J679,TRUE,AND(M679))</f>
        <v>0</v>
      </c>
      <c r="J679">
        <f>COUNTBLANK(Metadata!B679)=COLUMNS(Metadata!B679)</f>
        <v>0</v>
      </c>
      <c r="K679">
        <v>0</v>
      </c>
      <c r="M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</row>
    <row r="680" spans="1:13">
      <c r="A680" s="3">
        <f>IF(B680=" "," ",HYPERLINK(CONCATENATE("#metadata!",ADDRESS(INDEX($H$2:$H$1001,MATCH(ROWS($F$2:F680),$F$2:$F$1001,0),0),2)),INDEX($K$2:$K$1001,MATCH(ROWS($F$2:F680),$F$2:$F$1001,0),0)))</f>
        <v>0</v>
      </c>
      <c r="B680" s="4">
        <f>IF(OR(INDEX($G$2:$G$1001,MATCH(ROWS($F$2:F680),$F$2:$F$1001,0),1)&gt;=100000,INDEX($M$1005,1,MATCH(COLUMNS($M$1006:M1006),$M$1006,0))&gt;=100000), " ",IF(INDEX($M$2:$M$1001,MATCH(ROWS($F$2:F680),$F$2:$F$1001,0),MATCH(COLUMNS($M$1006:M1006),$M$1006,0)), HYPERLINK("#",""), HYPERLINK(CONCATENATE("#Metadata!", ADDRESS(INDEX($H$2:$H$1001,MATCH(ROWS($F$2:F680),$F$2:$F$1001,0),0), INDEX($M$1004,1,MATCH(COLUMNS($M$1006:M1006),$M$1006,0)))),"Fix")))</f>
        <v>0</v>
      </c>
      <c r="F680">
        <v>0</v>
      </c>
      <c r="G680">
        <v>0</v>
      </c>
      <c r="H680">
        <v>0</v>
      </c>
      <c r="I680">
        <f>IF(J680,TRUE,AND(M680))</f>
        <v>0</v>
      </c>
      <c r="J680">
        <f>COUNTBLANK(Metadata!B680)=COLUMNS(Metadata!B680)</f>
        <v>0</v>
      </c>
      <c r="K680">
        <v>0</v>
      </c>
      <c r="M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</row>
    <row r="681" spans="1:13">
      <c r="A681" s="3">
        <f>IF(B681=" "," ",HYPERLINK(CONCATENATE("#metadata!",ADDRESS(INDEX($H$2:$H$1001,MATCH(ROWS($F$2:F681),$F$2:$F$1001,0),0),2)),INDEX($K$2:$K$1001,MATCH(ROWS($F$2:F681),$F$2:$F$1001,0),0)))</f>
        <v>0</v>
      </c>
      <c r="B681" s="4">
        <f>IF(OR(INDEX($G$2:$G$1001,MATCH(ROWS($F$2:F681),$F$2:$F$1001,0),1)&gt;=100000,INDEX($M$1005,1,MATCH(COLUMNS($M$1006:M1006),$M$1006,0))&gt;=100000), " ",IF(INDEX($M$2:$M$1001,MATCH(ROWS($F$2:F681),$F$2:$F$1001,0),MATCH(COLUMNS($M$1006:M1006),$M$1006,0)), HYPERLINK("#",""), HYPERLINK(CONCATENATE("#Metadata!", ADDRESS(INDEX($H$2:$H$1001,MATCH(ROWS($F$2:F681),$F$2:$F$1001,0),0), INDEX($M$1004,1,MATCH(COLUMNS($M$1006:M1006),$M$1006,0)))),"Fix")))</f>
        <v>0</v>
      </c>
      <c r="F681">
        <v>0</v>
      </c>
      <c r="G681">
        <v>0</v>
      </c>
      <c r="H681">
        <v>0</v>
      </c>
      <c r="I681">
        <f>IF(J681,TRUE,AND(M681))</f>
        <v>0</v>
      </c>
      <c r="J681">
        <f>COUNTBLANK(Metadata!B681)=COLUMNS(Metadata!B681)</f>
        <v>0</v>
      </c>
      <c r="K681">
        <v>0</v>
      </c>
      <c r="M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</row>
    <row r="682" spans="1:13">
      <c r="A682" s="3">
        <f>IF(B682=" "," ",HYPERLINK(CONCATENATE("#metadata!",ADDRESS(INDEX($H$2:$H$1001,MATCH(ROWS($F$2:F682),$F$2:$F$1001,0),0),2)),INDEX($K$2:$K$1001,MATCH(ROWS($F$2:F682),$F$2:$F$1001,0),0)))</f>
        <v>0</v>
      </c>
      <c r="B682" s="4">
        <f>IF(OR(INDEX($G$2:$G$1001,MATCH(ROWS($F$2:F682),$F$2:$F$1001,0),1)&gt;=100000,INDEX($M$1005,1,MATCH(COLUMNS($M$1006:M1006),$M$1006,0))&gt;=100000), " ",IF(INDEX($M$2:$M$1001,MATCH(ROWS($F$2:F682),$F$2:$F$1001,0),MATCH(COLUMNS($M$1006:M1006),$M$1006,0)), HYPERLINK("#",""), HYPERLINK(CONCATENATE("#Metadata!", ADDRESS(INDEX($H$2:$H$1001,MATCH(ROWS($F$2:F682),$F$2:$F$1001,0),0), INDEX($M$1004,1,MATCH(COLUMNS($M$1006:M1006),$M$1006,0)))),"Fix")))</f>
        <v>0</v>
      </c>
      <c r="F682">
        <v>0</v>
      </c>
      <c r="G682">
        <v>0</v>
      </c>
      <c r="H682">
        <v>0</v>
      </c>
      <c r="I682">
        <f>IF(J682,TRUE,AND(M682))</f>
        <v>0</v>
      </c>
      <c r="J682">
        <f>COUNTBLANK(Metadata!B682)=COLUMNS(Metadata!B682)</f>
        <v>0</v>
      </c>
      <c r="K682">
        <v>0</v>
      </c>
      <c r="M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</row>
    <row r="683" spans="1:13">
      <c r="A683" s="3">
        <f>IF(B683=" "," ",HYPERLINK(CONCATENATE("#metadata!",ADDRESS(INDEX($H$2:$H$1001,MATCH(ROWS($F$2:F683),$F$2:$F$1001,0),0),2)),INDEX($K$2:$K$1001,MATCH(ROWS($F$2:F683),$F$2:$F$1001,0),0)))</f>
        <v>0</v>
      </c>
      <c r="B683" s="4">
        <f>IF(OR(INDEX($G$2:$G$1001,MATCH(ROWS($F$2:F683),$F$2:$F$1001,0),1)&gt;=100000,INDEX($M$1005,1,MATCH(COLUMNS($M$1006:M1006),$M$1006,0))&gt;=100000), " ",IF(INDEX($M$2:$M$1001,MATCH(ROWS($F$2:F683),$F$2:$F$1001,0),MATCH(COLUMNS($M$1006:M1006),$M$1006,0)), HYPERLINK("#",""), HYPERLINK(CONCATENATE("#Metadata!", ADDRESS(INDEX($H$2:$H$1001,MATCH(ROWS($F$2:F683),$F$2:$F$1001,0),0), INDEX($M$1004,1,MATCH(COLUMNS($M$1006:M1006),$M$1006,0)))),"Fix")))</f>
        <v>0</v>
      </c>
      <c r="F683">
        <v>0</v>
      </c>
      <c r="G683">
        <v>0</v>
      </c>
      <c r="H683">
        <v>0</v>
      </c>
      <c r="I683">
        <f>IF(J683,TRUE,AND(M683))</f>
        <v>0</v>
      </c>
      <c r="J683">
        <f>COUNTBLANK(Metadata!B683)=COLUMNS(Metadata!B683)</f>
        <v>0</v>
      </c>
      <c r="K683">
        <v>0</v>
      </c>
      <c r="M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</row>
    <row r="684" spans="1:13">
      <c r="A684" s="3">
        <f>IF(B684=" "," ",HYPERLINK(CONCATENATE("#metadata!",ADDRESS(INDEX($H$2:$H$1001,MATCH(ROWS($F$2:F684),$F$2:$F$1001,0),0),2)),INDEX($K$2:$K$1001,MATCH(ROWS($F$2:F684),$F$2:$F$1001,0),0)))</f>
        <v>0</v>
      </c>
      <c r="B684" s="4">
        <f>IF(OR(INDEX($G$2:$G$1001,MATCH(ROWS($F$2:F684),$F$2:$F$1001,0),1)&gt;=100000,INDEX($M$1005,1,MATCH(COLUMNS($M$1006:M1006),$M$1006,0))&gt;=100000), " ",IF(INDEX($M$2:$M$1001,MATCH(ROWS($F$2:F684),$F$2:$F$1001,0),MATCH(COLUMNS($M$1006:M1006),$M$1006,0)), HYPERLINK("#",""), HYPERLINK(CONCATENATE("#Metadata!", ADDRESS(INDEX($H$2:$H$1001,MATCH(ROWS($F$2:F684),$F$2:$F$1001,0),0), INDEX($M$1004,1,MATCH(COLUMNS($M$1006:M1006),$M$1006,0)))),"Fix")))</f>
        <v>0</v>
      </c>
      <c r="F684">
        <v>0</v>
      </c>
      <c r="G684">
        <v>0</v>
      </c>
      <c r="H684">
        <v>0</v>
      </c>
      <c r="I684">
        <f>IF(J684,TRUE,AND(M684))</f>
        <v>0</v>
      </c>
      <c r="J684">
        <f>COUNTBLANK(Metadata!B684)=COLUMNS(Metadata!B684)</f>
        <v>0</v>
      </c>
      <c r="K684">
        <v>0</v>
      </c>
      <c r="M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</row>
    <row r="685" spans="1:13">
      <c r="A685" s="3">
        <f>IF(B685=" "," ",HYPERLINK(CONCATENATE("#metadata!",ADDRESS(INDEX($H$2:$H$1001,MATCH(ROWS($F$2:F685),$F$2:$F$1001,0),0),2)),INDEX($K$2:$K$1001,MATCH(ROWS($F$2:F685),$F$2:$F$1001,0),0)))</f>
        <v>0</v>
      </c>
      <c r="B685" s="4">
        <f>IF(OR(INDEX($G$2:$G$1001,MATCH(ROWS($F$2:F685),$F$2:$F$1001,0),1)&gt;=100000,INDEX($M$1005,1,MATCH(COLUMNS($M$1006:M1006),$M$1006,0))&gt;=100000), " ",IF(INDEX($M$2:$M$1001,MATCH(ROWS($F$2:F685),$F$2:$F$1001,0),MATCH(COLUMNS($M$1006:M1006),$M$1006,0)), HYPERLINK("#",""), HYPERLINK(CONCATENATE("#Metadata!", ADDRESS(INDEX($H$2:$H$1001,MATCH(ROWS($F$2:F685),$F$2:$F$1001,0),0), INDEX($M$1004,1,MATCH(COLUMNS($M$1006:M1006),$M$1006,0)))),"Fix")))</f>
        <v>0</v>
      </c>
      <c r="F685">
        <v>0</v>
      </c>
      <c r="G685">
        <v>0</v>
      </c>
      <c r="H685">
        <v>0</v>
      </c>
      <c r="I685">
        <f>IF(J685,TRUE,AND(M685))</f>
        <v>0</v>
      </c>
      <c r="J685">
        <f>COUNTBLANK(Metadata!B685)=COLUMNS(Metadata!B685)</f>
        <v>0</v>
      </c>
      <c r="K685">
        <v>0</v>
      </c>
      <c r="M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</row>
    <row r="686" spans="1:13">
      <c r="A686" s="3">
        <f>IF(B686=" "," ",HYPERLINK(CONCATENATE("#metadata!",ADDRESS(INDEX($H$2:$H$1001,MATCH(ROWS($F$2:F686),$F$2:$F$1001,0),0),2)),INDEX($K$2:$K$1001,MATCH(ROWS($F$2:F686),$F$2:$F$1001,0),0)))</f>
        <v>0</v>
      </c>
      <c r="B686" s="4">
        <f>IF(OR(INDEX($G$2:$G$1001,MATCH(ROWS($F$2:F686),$F$2:$F$1001,0),1)&gt;=100000,INDEX($M$1005,1,MATCH(COLUMNS($M$1006:M1006),$M$1006,0))&gt;=100000), " ",IF(INDEX($M$2:$M$1001,MATCH(ROWS($F$2:F686),$F$2:$F$1001,0),MATCH(COLUMNS($M$1006:M1006),$M$1006,0)), HYPERLINK("#",""), HYPERLINK(CONCATENATE("#Metadata!", ADDRESS(INDEX($H$2:$H$1001,MATCH(ROWS($F$2:F686),$F$2:$F$1001,0),0), INDEX($M$1004,1,MATCH(COLUMNS($M$1006:M1006),$M$1006,0)))),"Fix")))</f>
        <v>0</v>
      </c>
      <c r="F686">
        <v>0</v>
      </c>
      <c r="G686">
        <v>0</v>
      </c>
      <c r="H686">
        <v>0</v>
      </c>
      <c r="I686">
        <f>IF(J686,TRUE,AND(M686))</f>
        <v>0</v>
      </c>
      <c r="J686">
        <f>COUNTBLANK(Metadata!B686)=COLUMNS(Metadata!B686)</f>
        <v>0</v>
      </c>
      <c r="K686">
        <v>0</v>
      </c>
      <c r="M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</row>
    <row r="687" spans="1:13">
      <c r="A687" s="3">
        <f>IF(B687=" "," ",HYPERLINK(CONCATENATE("#metadata!",ADDRESS(INDEX($H$2:$H$1001,MATCH(ROWS($F$2:F687),$F$2:$F$1001,0),0),2)),INDEX($K$2:$K$1001,MATCH(ROWS($F$2:F687),$F$2:$F$1001,0),0)))</f>
        <v>0</v>
      </c>
      <c r="B687" s="4">
        <f>IF(OR(INDEX($G$2:$G$1001,MATCH(ROWS($F$2:F687),$F$2:$F$1001,0),1)&gt;=100000,INDEX($M$1005,1,MATCH(COLUMNS($M$1006:M1006),$M$1006,0))&gt;=100000), " ",IF(INDEX($M$2:$M$1001,MATCH(ROWS($F$2:F687),$F$2:$F$1001,0),MATCH(COLUMNS($M$1006:M1006),$M$1006,0)), HYPERLINK("#",""), HYPERLINK(CONCATENATE("#Metadata!", ADDRESS(INDEX($H$2:$H$1001,MATCH(ROWS($F$2:F687),$F$2:$F$1001,0),0), INDEX($M$1004,1,MATCH(COLUMNS($M$1006:M1006),$M$1006,0)))),"Fix")))</f>
        <v>0</v>
      </c>
      <c r="F687">
        <v>0</v>
      </c>
      <c r="G687">
        <v>0</v>
      </c>
      <c r="H687">
        <v>0</v>
      </c>
      <c r="I687">
        <f>IF(J687,TRUE,AND(M687))</f>
        <v>0</v>
      </c>
      <c r="J687">
        <f>COUNTBLANK(Metadata!B687)=COLUMNS(Metadata!B687)</f>
        <v>0</v>
      </c>
      <c r="K687">
        <v>0</v>
      </c>
      <c r="M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</row>
    <row r="688" spans="1:13">
      <c r="A688" s="3">
        <f>IF(B688=" "," ",HYPERLINK(CONCATENATE("#metadata!",ADDRESS(INDEX($H$2:$H$1001,MATCH(ROWS($F$2:F688),$F$2:$F$1001,0),0),2)),INDEX($K$2:$K$1001,MATCH(ROWS($F$2:F688),$F$2:$F$1001,0),0)))</f>
        <v>0</v>
      </c>
      <c r="B688" s="4">
        <f>IF(OR(INDEX($G$2:$G$1001,MATCH(ROWS($F$2:F688),$F$2:$F$1001,0),1)&gt;=100000,INDEX($M$1005,1,MATCH(COLUMNS($M$1006:M1006),$M$1006,0))&gt;=100000), " ",IF(INDEX($M$2:$M$1001,MATCH(ROWS($F$2:F688),$F$2:$F$1001,0),MATCH(COLUMNS($M$1006:M1006),$M$1006,0)), HYPERLINK("#",""), HYPERLINK(CONCATENATE("#Metadata!", ADDRESS(INDEX($H$2:$H$1001,MATCH(ROWS($F$2:F688),$F$2:$F$1001,0),0), INDEX($M$1004,1,MATCH(COLUMNS($M$1006:M1006),$M$1006,0)))),"Fix")))</f>
        <v>0</v>
      </c>
      <c r="F688">
        <v>0</v>
      </c>
      <c r="G688">
        <v>0</v>
      </c>
      <c r="H688">
        <v>0</v>
      </c>
      <c r="I688">
        <f>IF(J688,TRUE,AND(M688))</f>
        <v>0</v>
      </c>
      <c r="J688">
        <f>COUNTBLANK(Metadata!B688)=COLUMNS(Metadata!B688)</f>
        <v>0</v>
      </c>
      <c r="K688">
        <v>0</v>
      </c>
      <c r="M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</row>
    <row r="689" spans="1:13">
      <c r="A689" s="3">
        <f>IF(B689=" "," ",HYPERLINK(CONCATENATE("#metadata!",ADDRESS(INDEX($H$2:$H$1001,MATCH(ROWS($F$2:F689),$F$2:$F$1001,0),0),2)),INDEX($K$2:$K$1001,MATCH(ROWS($F$2:F689),$F$2:$F$1001,0),0)))</f>
        <v>0</v>
      </c>
      <c r="B689" s="4">
        <f>IF(OR(INDEX($G$2:$G$1001,MATCH(ROWS($F$2:F689),$F$2:$F$1001,0),1)&gt;=100000,INDEX($M$1005,1,MATCH(COLUMNS($M$1006:M1006),$M$1006,0))&gt;=100000), " ",IF(INDEX($M$2:$M$1001,MATCH(ROWS($F$2:F689),$F$2:$F$1001,0),MATCH(COLUMNS($M$1006:M1006),$M$1006,0)), HYPERLINK("#",""), HYPERLINK(CONCATENATE("#Metadata!", ADDRESS(INDEX($H$2:$H$1001,MATCH(ROWS($F$2:F689),$F$2:$F$1001,0),0), INDEX($M$1004,1,MATCH(COLUMNS($M$1006:M1006),$M$1006,0)))),"Fix")))</f>
        <v>0</v>
      </c>
      <c r="F689">
        <v>0</v>
      </c>
      <c r="G689">
        <v>0</v>
      </c>
      <c r="H689">
        <v>0</v>
      </c>
      <c r="I689">
        <f>IF(J689,TRUE,AND(M689))</f>
        <v>0</v>
      </c>
      <c r="J689">
        <f>COUNTBLANK(Metadata!B689)=COLUMNS(Metadata!B689)</f>
        <v>0</v>
      </c>
      <c r="K689">
        <v>0</v>
      </c>
      <c r="M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</row>
    <row r="690" spans="1:13">
      <c r="A690" s="3">
        <f>IF(B690=" "," ",HYPERLINK(CONCATENATE("#metadata!",ADDRESS(INDEX($H$2:$H$1001,MATCH(ROWS($F$2:F690),$F$2:$F$1001,0),0),2)),INDEX($K$2:$K$1001,MATCH(ROWS($F$2:F690),$F$2:$F$1001,0),0)))</f>
        <v>0</v>
      </c>
      <c r="B690" s="4">
        <f>IF(OR(INDEX($G$2:$G$1001,MATCH(ROWS($F$2:F690),$F$2:$F$1001,0),1)&gt;=100000,INDEX($M$1005,1,MATCH(COLUMNS($M$1006:M1006),$M$1006,0))&gt;=100000), " ",IF(INDEX($M$2:$M$1001,MATCH(ROWS($F$2:F690),$F$2:$F$1001,0),MATCH(COLUMNS($M$1006:M1006),$M$1006,0)), HYPERLINK("#",""), HYPERLINK(CONCATENATE("#Metadata!", ADDRESS(INDEX($H$2:$H$1001,MATCH(ROWS($F$2:F690),$F$2:$F$1001,0),0), INDEX($M$1004,1,MATCH(COLUMNS($M$1006:M1006),$M$1006,0)))),"Fix")))</f>
        <v>0</v>
      </c>
      <c r="F690">
        <v>0</v>
      </c>
      <c r="G690">
        <v>0</v>
      </c>
      <c r="H690">
        <v>0</v>
      </c>
      <c r="I690">
        <f>IF(J690,TRUE,AND(M690))</f>
        <v>0</v>
      </c>
      <c r="J690">
        <f>COUNTBLANK(Metadata!B690)=COLUMNS(Metadata!B690)</f>
        <v>0</v>
      </c>
      <c r="K690">
        <v>0</v>
      </c>
      <c r="M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</row>
    <row r="691" spans="1:13">
      <c r="A691" s="3">
        <f>IF(B691=" "," ",HYPERLINK(CONCATENATE("#metadata!",ADDRESS(INDEX($H$2:$H$1001,MATCH(ROWS($F$2:F691),$F$2:$F$1001,0),0),2)),INDEX($K$2:$K$1001,MATCH(ROWS($F$2:F691),$F$2:$F$1001,0),0)))</f>
        <v>0</v>
      </c>
      <c r="B691" s="4">
        <f>IF(OR(INDEX($G$2:$G$1001,MATCH(ROWS($F$2:F691),$F$2:$F$1001,0),1)&gt;=100000,INDEX($M$1005,1,MATCH(COLUMNS($M$1006:M1006),$M$1006,0))&gt;=100000), " ",IF(INDEX($M$2:$M$1001,MATCH(ROWS($F$2:F691),$F$2:$F$1001,0),MATCH(COLUMNS($M$1006:M1006),$M$1006,0)), HYPERLINK("#",""), HYPERLINK(CONCATENATE("#Metadata!", ADDRESS(INDEX($H$2:$H$1001,MATCH(ROWS($F$2:F691),$F$2:$F$1001,0),0), INDEX($M$1004,1,MATCH(COLUMNS($M$1006:M1006),$M$1006,0)))),"Fix")))</f>
        <v>0</v>
      </c>
      <c r="F691">
        <v>0</v>
      </c>
      <c r="G691">
        <v>0</v>
      </c>
      <c r="H691">
        <v>0</v>
      </c>
      <c r="I691">
        <f>IF(J691,TRUE,AND(M691))</f>
        <v>0</v>
      </c>
      <c r="J691">
        <f>COUNTBLANK(Metadata!B691)=COLUMNS(Metadata!B691)</f>
        <v>0</v>
      </c>
      <c r="K691">
        <v>0</v>
      </c>
      <c r="M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</row>
    <row r="692" spans="1:13">
      <c r="A692" s="3">
        <f>IF(B692=" "," ",HYPERLINK(CONCATENATE("#metadata!",ADDRESS(INDEX($H$2:$H$1001,MATCH(ROWS($F$2:F692),$F$2:$F$1001,0),0),2)),INDEX($K$2:$K$1001,MATCH(ROWS($F$2:F692),$F$2:$F$1001,0),0)))</f>
        <v>0</v>
      </c>
      <c r="B692" s="4">
        <f>IF(OR(INDEX($G$2:$G$1001,MATCH(ROWS($F$2:F692),$F$2:$F$1001,0),1)&gt;=100000,INDEX($M$1005,1,MATCH(COLUMNS($M$1006:M1006),$M$1006,0))&gt;=100000), " ",IF(INDEX($M$2:$M$1001,MATCH(ROWS($F$2:F692),$F$2:$F$1001,0),MATCH(COLUMNS($M$1006:M1006),$M$1006,0)), HYPERLINK("#",""), HYPERLINK(CONCATENATE("#Metadata!", ADDRESS(INDEX($H$2:$H$1001,MATCH(ROWS($F$2:F692),$F$2:$F$1001,0),0), INDEX($M$1004,1,MATCH(COLUMNS($M$1006:M1006),$M$1006,0)))),"Fix")))</f>
        <v>0</v>
      </c>
      <c r="F692">
        <v>0</v>
      </c>
      <c r="G692">
        <v>0</v>
      </c>
      <c r="H692">
        <v>0</v>
      </c>
      <c r="I692">
        <f>IF(J692,TRUE,AND(M692))</f>
        <v>0</v>
      </c>
      <c r="J692">
        <f>COUNTBLANK(Metadata!B692)=COLUMNS(Metadata!B692)</f>
        <v>0</v>
      </c>
      <c r="K692">
        <v>0</v>
      </c>
      <c r="M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</row>
    <row r="693" spans="1:13">
      <c r="A693" s="3">
        <f>IF(B693=" "," ",HYPERLINK(CONCATENATE("#metadata!",ADDRESS(INDEX($H$2:$H$1001,MATCH(ROWS($F$2:F693),$F$2:$F$1001,0),0),2)),INDEX($K$2:$K$1001,MATCH(ROWS($F$2:F693),$F$2:$F$1001,0),0)))</f>
        <v>0</v>
      </c>
      <c r="B693" s="4">
        <f>IF(OR(INDEX($G$2:$G$1001,MATCH(ROWS($F$2:F693),$F$2:$F$1001,0),1)&gt;=100000,INDEX($M$1005,1,MATCH(COLUMNS($M$1006:M1006),$M$1006,0))&gt;=100000), " ",IF(INDEX($M$2:$M$1001,MATCH(ROWS($F$2:F693),$F$2:$F$1001,0),MATCH(COLUMNS($M$1006:M1006),$M$1006,0)), HYPERLINK("#",""), HYPERLINK(CONCATENATE("#Metadata!", ADDRESS(INDEX($H$2:$H$1001,MATCH(ROWS($F$2:F693),$F$2:$F$1001,0),0), INDEX($M$1004,1,MATCH(COLUMNS($M$1006:M1006),$M$1006,0)))),"Fix")))</f>
        <v>0</v>
      </c>
      <c r="F693">
        <v>0</v>
      </c>
      <c r="G693">
        <v>0</v>
      </c>
      <c r="H693">
        <v>0</v>
      </c>
      <c r="I693">
        <f>IF(J693,TRUE,AND(M693))</f>
        <v>0</v>
      </c>
      <c r="J693">
        <f>COUNTBLANK(Metadata!B693)=COLUMNS(Metadata!B693)</f>
        <v>0</v>
      </c>
      <c r="K693">
        <v>0</v>
      </c>
      <c r="M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</row>
    <row r="694" spans="1:13">
      <c r="A694" s="3">
        <f>IF(B694=" "," ",HYPERLINK(CONCATENATE("#metadata!",ADDRESS(INDEX($H$2:$H$1001,MATCH(ROWS($F$2:F694),$F$2:$F$1001,0),0),2)),INDEX($K$2:$K$1001,MATCH(ROWS($F$2:F694),$F$2:$F$1001,0),0)))</f>
        <v>0</v>
      </c>
      <c r="B694" s="4">
        <f>IF(OR(INDEX($G$2:$G$1001,MATCH(ROWS($F$2:F694),$F$2:$F$1001,0),1)&gt;=100000,INDEX($M$1005,1,MATCH(COLUMNS($M$1006:M1006),$M$1006,0))&gt;=100000), " ",IF(INDEX($M$2:$M$1001,MATCH(ROWS($F$2:F694),$F$2:$F$1001,0),MATCH(COLUMNS($M$1006:M1006),$M$1006,0)), HYPERLINK("#",""), HYPERLINK(CONCATENATE("#Metadata!", ADDRESS(INDEX($H$2:$H$1001,MATCH(ROWS($F$2:F694),$F$2:$F$1001,0),0), INDEX($M$1004,1,MATCH(COLUMNS($M$1006:M1006),$M$1006,0)))),"Fix")))</f>
        <v>0</v>
      </c>
      <c r="F694">
        <v>0</v>
      </c>
      <c r="G694">
        <v>0</v>
      </c>
      <c r="H694">
        <v>0</v>
      </c>
      <c r="I694">
        <f>IF(J694,TRUE,AND(M694))</f>
        <v>0</v>
      </c>
      <c r="J694">
        <f>COUNTBLANK(Metadata!B694)=COLUMNS(Metadata!B694)</f>
        <v>0</v>
      </c>
      <c r="K694">
        <v>0</v>
      </c>
      <c r="M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</row>
    <row r="695" spans="1:13">
      <c r="A695" s="3">
        <f>IF(B695=" "," ",HYPERLINK(CONCATENATE("#metadata!",ADDRESS(INDEX($H$2:$H$1001,MATCH(ROWS($F$2:F695),$F$2:$F$1001,0),0),2)),INDEX($K$2:$K$1001,MATCH(ROWS($F$2:F695),$F$2:$F$1001,0),0)))</f>
        <v>0</v>
      </c>
      <c r="B695" s="4">
        <f>IF(OR(INDEX($G$2:$G$1001,MATCH(ROWS($F$2:F695),$F$2:$F$1001,0),1)&gt;=100000,INDEX($M$1005,1,MATCH(COLUMNS($M$1006:M1006),$M$1006,0))&gt;=100000), " ",IF(INDEX($M$2:$M$1001,MATCH(ROWS($F$2:F695),$F$2:$F$1001,0),MATCH(COLUMNS($M$1006:M1006),$M$1006,0)), HYPERLINK("#",""), HYPERLINK(CONCATENATE("#Metadata!", ADDRESS(INDEX($H$2:$H$1001,MATCH(ROWS($F$2:F695),$F$2:$F$1001,0),0), INDEX($M$1004,1,MATCH(COLUMNS($M$1006:M1006),$M$1006,0)))),"Fix")))</f>
        <v>0</v>
      </c>
      <c r="F695">
        <v>0</v>
      </c>
      <c r="G695">
        <v>0</v>
      </c>
      <c r="H695">
        <v>0</v>
      </c>
      <c r="I695">
        <f>IF(J695,TRUE,AND(M695))</f>
        <v>0</v>
      </c>
      <c r="J695">
        <f>COUNTBLANK(Metadata!B695)=COLUMNS(Metadata!B695)</f>
        <v>0</v>
      </c>
      <c r="K695">
        <v>0</v>
      </c>
      <c r="M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</row>
    <row r="696" spans="1:13">
      <c r="A696" s="3">
        <f>IF(B696=" "," ",HYPERLINK(CONCATENATE("#metadata!",ADDRESS(INDEX($H$2:$H$1001,MATCH(ROWS($F$2:F696),$F$2:$F$1001,0),0),2)),INDEX($K$2:$K$1001,MATCH(ROWS($F$2:F696),$F$2:$F$1001,0),0)))</f>
        <v>0</v>
      </c>
      <c r="B696" s="4">
        <f>IF(OR(INDEX($G$2:$G$1001,MATCH(ROWS($F$2:F696),$F$2:$F$1001,0),1)&gt;=100000,INDEX($M$1005,1,MATCH(COLUMNS($M$1006:M1006),$M$1006,0))&gt;=100000), " ",IF(INDEX($M$2:$M$1001,MATCH(ROWS($F$2:F696),$F$2:$F$1001,0),MATCH(COLUMNS($M$1006:M1006),$M$1006,0)), HYPERLINK("#",""), HYPERLINK(CONCATENATE("#Metadata!", ADDRESS(INDEX($H$2:$H$1001,MATCH(ROWS($F$2:F696),$F$2:$F$1001,0),0), INDEX($M$1004,1,MATCH(COLUMNS($M$1006:M1006),$M$1006,0)))),"Fix")))</f>
        <v>0</v>
      </c>
      <c r="F696">
        <v>0</v>
      </c>
      <c r="G696">
        <v>0</v>
      </c>
      <c r="H696">
        <v>0</v>
      </c>
      <c r="I696">
        <f>IF(J696,TRUE,AND(M696))</f>
        <v>0</v>
      </c>
      <c r="J696">
        <f>COUNTBLANK(Metadata!B696)=COLUMNS(Metadata!B696)</f>
        <v>0</v>
      </c>
      <c r="K696">
        <v>0</v>
      </c>
      <c r="M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</row>
    <row r="697" spans="1:13">
      <c r="A697" s="3">
        <f>IF(B697=" "," ",HYPERLINK(CONCATENATE("#metadata!",ADDRESS(INDEX($H$2:$H$1001,MATCH(ROWS($F$2:F697),$F$2:$F$1001,0),0),2)),INDEX($K$2:$K$1001,MATCH(ROWS($F$2:F697),$F$2:$F$1001,0),0)))</f>
        <v>0</v>
      </c>
      <c r="B697" s="4">
        <f>IF(OR(INDEX($G$2:$G$1001,MATCH(ROWS($F$2:F697),$F$2:$F$1001,0),1)&gt;=100000,INDEX($M$1005,1,MATCH(COLUMNS($M$1006:M1006),$M$1006,0))&gt;=100000), " ",IF(INDEX($M$2:$M$1001,MATCH(ROWS($F$2:F697),$F$2:$F$1001,0),MATCH(COLUMNS($M$1006:M1006),$M$1006,0)), HYPERLINK("#",""), HYPERLINK(CONCATENATE("#Metadata!", ADDRESS(INDEX($H$2:$H$1001,MATCH(ROWS($F$2:F697),$F$2:$F$1001,0),0), INDEX($M$1004,1,MATCH(COLUMNS($M$1006:M1006),$M$1006,0)))),"Fix")))</f>
        <v>0</v>
      </c>
      <c r="F697">
        <v>0</v>
      </c>
      <c r="G697">
        <v>0</v>
      </c>
      <c r="H697">
        <v>0</v>
      </c>
      <c r="I697">
        <f>IF(J697,TRUE,AND(M697))</f>
        <v>0</v>
      </c>
      <c r="J697">
        <f>COUNTBLANK(Metadata!B697)=COLUMNS(Metadata!B697)</f>
        <v>0</v>
      </c>
      <c r="K697">
        <v>0</v>
      </c>
      <c r="M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</row>
    <row r="698" spans="1:13">
      <c r="A698" s="3">
        <f>IF(B698=" "," ",HYPERLINK(CONCATENATE("#metadata!",ADDRESS(INDEX($H$2:$H$1001,MATCH(ROWS($F$2:F698),$F$2:$F$1001,0),0),2)),INDEX($K$2:$K$1001,MATCH(ROWS($F$2:F698),$F$2:$F$1001,0),0)))</f>
        <v>0</v>
      </c>
      <c r="B698" s="4">
        <f>IF(OR(INDEX($G$2:$G$1001,MATCH(ROWS($F$2:F698),$F$2:$F$1001,0),1)&gt;=100000,INDEX($M$1005,1,MATCH(COLUMNS($M$1006:M1006),$M$1006,0))&gt;=100000), " ",IF(INDEX($M$2:$M$1001,MATCH(ROWS($F$2:F698),$F$2:$F$1001,0),MATCH(COLUMNS($M$1006:M1006),$M$1006,0)), HYPERLINK("#",""), HYPERLINK(CONCATENATE("#Metadata!", ADDRESS(INDEX($H$2:$H$1001,MATCH(ROWS($F$2:F698),$F$2:$F$1001,0),0), INDEX($M$1004,1,MATCH(COLUMNS($M$1006:M1006),$M$1006,0)))),"Fix")))</f>
        <v>0</v>
      </c>
      <c r="F698">
        <v>0</v>
      </c>
      <c r="G698">
        <v>0</v>
      </c>
      <c r="H698">
        <v>0</v>
      </c>
      <c r="I698">
        <f>IF(J698,TRUE,AND(M698))</f>
        <v>0</v>
      </c>
      <c r="J698">
        <f>COUNTBLANK(Metadata!B698)=COLUMNS(Metadata!B698)</f>
        <v>0</v>
      </c>
      <c r="K698">
        <v>0</v>
      </c>
      <c r="M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</row>
    <row r="699" spans="1:13">
      <c r="A699" s="3">
        <f>IF(B699=" "," ",HYPERLINK(CONCATENATE("#metadata!",ADDRESS(INDEX($H$2:$H$1001,MATCH(ROWS($F$2:F699),$F$2:$F$1001,0),0),2)),INDEX($K$2:$K$1001,MATCH(ROWS($F$2:F699),$F$2:$F$1001,0),0)))</f>
        <v>0</v>
      </c>
      <c r="B699" s="4">
        <f>IF(OR(INDEX($G$2:$G$1001,MATCH(ROWS($F$2:F699),$F$2:$F$1001,0),1)&gt;=100000,INDEX($M$1005,1,MATCH(COLUMNS($M$1006:M1006),$M$1006,0))&gt;=100000), " ",IF(INDEX($M$2:$M$1001,MATCH(ROWS($F$2:F699),$F$2:$F$1001,0),MATCH(COLUMNS($M$1006:M1006),$M$1006,0)), HYPERLINK("#",""), HYPERLINK(CONCATENATE("#Metadata!", ADDRESS(INDEX($H$2:$H$1001,MATCH(ROWS($F$2:F699),$F$2:$F$1001,0),0), INDEX($M$1004,1,MATCH(COLUMNS($M$1006:M1006),$M$1006,0)))),"Fix")))</f>
        <v>0</v>
      </c>
      <c r="F699">
        <v>0</v>
      </c>
      <c r="G699">
        <v>0</v>
      </c>
      <c r="H699">
        <v>0</v>
      </c>
      <c r="I699">
        <f>IF(J699,TRUE,AND(M699))</f>
        <v>0</v>
      </c>
      <c r="J699">
        <f>COUNTBLANK(Metadata!B699)=COLUMNS(Metadata!B699)</f>
        <v>0</v>
      </c>
      <c r="K699">
        <v>0</v>
      </c>
      <c r="M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</row>
    <row r="700" spans="1:13">
      <c r="A700" s="3">
        <f>IF(B700=" "," ",HYPERLINK(CONCATENATE("#metadata!",ADDRESS(INDEX($H$2:$H$1001,MATCH(ROWS($F$2:F700),$F$2:$F$1001,0),0),2)),INDEX($K$2:$K$1001,MATCH(ROWS($F$2:F700),$F$2:$F$1001,0),0)))</f>
        <v>0</v>
      </c>
      <c r="B700" s="4">
        <f>IF(OR(INDEX($G$2:$G$1001,MATCH(ROWS($F$2:F700),$F$2:$F$1001,0),1)&gt;=100000,INDEX($M$1005,1,MATCH(COLUMNS($M$1006:M1006),$M$1006,0))&gt;=100000), " ",IF(INDEX($M$2:$M$1001,MATCH(ROWS($F$2:F700),$F$2:$F$1001,0),MATCH(COLUMNS($M$1006:M1006),$M$1006,0)), HYPERLINK("#",""), HYPERLINK(CONCATENATE("#Metadata!", ADDRESS(INDEX($H$2:$H$1001,MATCH(ROWS($F$2:F700),$F$2:$F$1001,0),0), INDEX($M$1004,1,MATCH(COLUMNS($M$1006:M1006),$M$1006,0)))),"Fix")))</f>
        <v>0</v>
      </c>
      <c r="F700">
        <v>0</v>
      </c>
      <c r="G700">
        <v>0</v>
      </c>
      <c r="H700">
        <v>0</v>
      </c>
      <c r="I700">
        <f>IF(J700,TRUE,AND(M700))</f>
        <v>0</v>
      </c>
      <c r="J700">
        <f>COUNTBLANK(Metadata!B700)=COLUMNS(Metadata!B700)</f>
        <v>0</v>
      </c>
      <c r="K700">
        <v>0</v>
      </c>
      <c r="M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</row>
    <row r="701" spans="1:13">
      <c r="A701" s="3">
        <f>IF(B701=" "," ",HYPERLINK(CONCATENATE("#metadata!",ADDRESS(INDEX($H$2:$H$1001,MATCH(ROWS($F$2:F701),$F$2:$F$1001,0),0),2)),INDEX($K$2:$K$1001,MATCH(ROWS($F$2:F701),$F$2:$F$1001,0),0)))</f>
        <v>0</v>
      </c>
      <c r="B701" s="4">
        <f>IF(OR(INDEX($G$2:$G$1001,MATCH(ROWS($F$2:F701),$F$2:$F$1001,0),1)&gt;=100000,INDEX($M$1005,1,MATCH(COLUMNS($M$1006:M1006),$M$1006,0))&gt;=100000), " ",IF(INDEX($M$2:$M$1001,MATCH(ROWS($F$2:F701),$F$2:$F$1001,0),MATCH(COLUMNS($M$1006:M1006),$M$1006,0)), HYPERLINK("#",""), HYPERLINK(CONCATENATE("#Metadata!", ADDRESS(INDEX($H$2:$H$1001,MATCH(ROWS($F$2:F701),$F$2:$F$1001,0),0), INDEX($M$1004,1,MATCH(COLUMNS($M$1006:M1006),$M$1006,0)))),"Fix")))</f>
        <v>0</v>
      </c>
      <c r="F701">
        <v>0</v>
      </c>
      <c r="G701">
        <v>0</v>
      </c>
      <c r="H701">
        <v>0</v>
      </c>
      <c r="I701">
        <f>IF(J701,TRUE,AND(M701))</f>
        <v>0</v>
      </c>
      <c r="J701">
        <f>COUNTBLANK(Metadata!B701)=COLUMNS(Metadata!B701)</f>
        <v>0</v>
      </c>
      <c r="K701">
        <v>0</v>
      </c>
      <c r="M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</row>
    <row r="702" spans="1:13">
      <c r="A702" s="3">
        <f>IF(B702=" "," ",HYPERLINK(CONCATENATE("#metadata!",ADDRESS(INDEX($H$2:$H$1001,MATCH(ROWS($F$2:F702),$F$2:$F$1001,0),0),2)),INDEX($K$2:$K$1001,MATCH(ROWS($F$2:F702),$F$2:$F$1001,0),0)))</f>
        <v>0</v>
      </c>
      <c r="B702" s="4">
        <f>IF(OR(INDEX($G$2:$G$1001,MATCH(ROWS($F$2:F702),$F$2:$F$1001,0),1)&gt;=100000,INDEX($M$1005,1,MATCH(COLUMNS($M$1006:M1006),$M$1006,0))&gt;=100000), " ",IF(INDEX($M$2:$M$1001,MATCH(ROWS($F$2:F702),$F$2:$F$1001,0),MATCH(COLUMNS($M$1006:M1006),$M$1006,0)), HYPERLINK("#",""), HYPERLINK(CONCATENATE("#Metadata!", ADDRESS(INDEX($H$2:$H$1001,MATCH(ROWS($F$2:F702),$F$2:$F$1001,0),0), INDEX($M$1004,1,MATCH(COLUMNS($M$1006:M1006),$M$1006,0)))),"Fix")))</f>
        <v>0</v>
      </c>
      <c r="F702">
        <v>0</v>
      </c>
      <c r="G702">
        <v>0</v>
      </c>
      <c r="H702">
        <v>0</v>
      </c>
      <c r="I702">
        <f>IF(J702,TRUE,AND(M702))</f>
        <v>0</v>
      </c>
      <c r="J702">
        <f>COUNTBLANK(Metadata!B702)=COLUMNS(Metadata!B702)</f>
        <v>0</v>
      </c>
      <c r="K702">
        <v>0</v>
      </c>
      <c r="M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</row>
    <row r="703" spans="1:13">
      <c r="A703" s="3">
        <f>IF(B703=" "," ",HYPERLINK(CONCATENATE("#metadata!",ADDRESS(INDEX($H$2:$H$1001,MATCH(ROWS($F$2:F703),$F$2:$F$1001,0),0),2)),INDEX($K$2:$K$1001,MATCH(ROWS($F$2:F703),$F$2:$F$1001,0),0)))</f>
        <v>0</v>
      </c>
      <c r="B703" s="4">
        <f>IF(OR(INDEX($G$2:$G$1001,MATCH(ROWS($F$2:F703),$F$2:$F$1001,0),1)&gt;=100000,INDEX($M$1005,1,MATCH(COLUMNS($M$1006:M1006),$M$1006,0))&gt;=100000), " ",IF(INDEX($M$2:$M$1001,MATCH(ROWS($F$2:F703),$F$2:$F$1001,0),MATCH(COLUMNS($M$1006:M1006),$M$1006,0)), HYPERLINK("#",""), HYPERLINK(CONCATENATE("#Metadata!", ADDRESS(INDEX($H$2:$H$1001,MATCH(ROWS($F$2:F703),$F$2:$F$1001,0),0), INDEX($M$1004,1,MATCH(COLUMNS($M$1006:M1006),$M$1006,0)))),"Fix")))</f>
        <v>0</v>
      </c>
      <c r="F703">
        <v>0</v>
      </c>
      <c r="G703">
        <v>0</v>
      </c>
      <c r="H703">
        <v>0</v>
      </c>
      <c r="I703">
        <f>IF(J703,TRUE,AND(M703))</f>
        <v>0</v>
      </c>
      <c r="J703">
        <f>COUNTBLANK(Metadata!B703)=COLUMNS(Metadata!B703)</f>
        <v>0</v>
      </c>
      <c r="K703">
        <v>0</v>
      </c>
      <c r="M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</row>
    <row r="704" spans="1:13">
      <c r="A704" s="3">
        <f>IF(B704=" "," ",HYPERLINK(CONCATENATE("#metadata!",ADDRESS(INDEX($H$2:$H$1001,MATCH(ROWS($F$2:F704),$F$2:$F$1001,0),0),2)),INDEX($K$2:$K$1001,MATCH(ROWS($F$2:F704),$F$2:$F$1001,0),0)))</f>
        <v>0</v>
      </c>
      <c r="B704" s="4">
        <f>IF(OR(INDEX($G$2:$G$1001,MATCH(ROWS($F$2:F704),$F$2:$F$1001,0),1)&gt;=100000,INDEX($M$1005,1,MATCH(COLUMNS($M$1006:M1006),$M$1006,0))&gt;=100000), " ",IF(INDEX($M$2:$M$1001,MATCH(ROWS($F$2:F704),$F$2:$F$1001,0),MATCH(COLUMNS($M$1006:M1006),$M$1006,0)), HYPERLINK("#",""), HYPERLINK(CONCATENATE("#Metadata!", ADDRESS(INDEX($H$2:$H$1001,MATCH(ROWS($F$2:F704),$F$2:$F$1001,0),0), INDEX($M$1004,1,MATCH(COLUMNS($M$1006:M1006),$M$1006,0)))),"Fix")))</f>
        <v>0</v>
      </c>
      <c r="F704">
        <v>0</v>
      </c>
      <c r="G704">
        <v>0</v>
      </c>
      <c r="H704">
        <v>0</v>
      </c>
      <c r="I704">
        <f>IF(J704,TRUE,AND(M704))</f>
        <v>0</v>
      </c>
      <c r="J704">
        <f>COUNTBLANK(Metadata!B704)=COLUMNS(Metadata!B704)</f>
        <v>0</v>
      </c>
      <c r="K704">
        <v>0</v>
      </c>
      <c r="M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</row>
    <row r="705" spans="1:13">
      <c r="A705" s="3">
        <f>IF(B705=" "," ",HYPERLINK(CONCATENATE("#metadata!",ADDRESS(INDEX($H$2:$H$1001,MATCH(ROWS($F$2:F705),$F$2:$F$1001,0),0),2)),INDEX($K$2:$K$1001,MATCH(ROWS($F$2:F705),$F$2:$F$1001,0),0)))</f>
        <v>0</v>
      </c>
      <c r="B705" s="4">
        <f>IF(OR(INDEX($G$2:$G$1001,MATCH(ROWS($F$2:F705),$F$2:$F$1001,0),1)&gt;=100000,INDEX($M$1005,1,MATCH(COLUMNS($M$1006:M1006),$M$1006,0))&gt;=100000), " ",IF(INDEX($M$2:$M$1001,MATCH(ROWS($F$2:F705),$F$2:$F$1001,0),MATCH(COLUMNS($M$1006:M1006),$M$1006,0)), HYPERLINK("#",""), HYPERLINK(CONCATENATE("#Metadata!", ADDRESS(INDEX($H$2:$H$1001,MATCH(ROWS($F$2:F705),$F$2:$F$1001,0),0), INDEX($M$1004,1,MATCH(COLUMNS($M$1006:M1006),$M$1006,0)))),"Fix")))</f>
        <v>0</v>
      </c>
      <c r="F705">
        <v>0</v>
      </c>
      <c r="G705">
        <v>0</v>
      </c>
      <c r="H705">
        <v>0</v>
      </c>
      <c r="I705">
        <f>IF(J705,TRUE,AND(M705))</f>
        <v>0</v>
      </c>
      <c r="J705">
        <f>COUNTBLANK(Metadata!B705)=COLUMNS(Metadata!B705)</f>
        <v>0</v>
      </c>
      <c r="K705">
        <v>0</v>
      </c>
      <c r="M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</row>
    <row r="706" spans="1:13">
      <c r="A706" s="3">
        <f>IF(B706=" "," ",HYPERLINK(CONCATENATE("#metadata!",ADDRESS(INDEX($H$2:$H$1001,MATCH(ROWS($F$2:F706),$F$2:$F$1001,0),0),2)),INDEX($K$2:$K$1001,MATCH(ROWS($F$2:F706),$F$2:$F$1001,0),0)))</f>
        <v>0</v>
      </c>
      <c r="B706" s="4">
        <f>IF(OR(INDEX($G$2:$G$1001,MATCH(ROWS($F$2:F706),$F$2:$F$1001,0),1)&gt;=100000,INDEX($M$1005,1,MATCH(COLUMNS($M$1006:M1006),$M$1006,0))&gt;=100000), " ",IF(INDEX($M$2:$M$1001,MATCH(ROWS($F$2:F706),$F$2:$F$1001,0),MATCH(COLUMNS($M$1006:M1006),$M$1006,0)), HYPERLINK("#",""), HYPERLINK(CONCATENATE("#Metadata!", ADDRESS(INDEX($H$2:$H$1001,MATCH(ROWS($F$2:F706),$F$2:$F$1001,0),0), INDEX($M$1004,1,MATCH(COLUMNS($M$1006:M1006),$M$1006,0)))),"Fix")))</f>
        <v>0</v>
      </c>
      <c r="F706">
        <v>0</v>
      </c>
      <c r="G706">
        <v>0</v>
      </c>
      <c r="H706">
        <v>0</v>
      </c>
      <c r="I706">
        <f>IF(J706,TRUE,AND(M706))</f>
        <v>0</v>
      </c>
      <c r="J706">
        <f>COUNTBLANK(Metadata!B706)=COLUMNS(Metadata!B706)</f>
        <v>0</v>
      </c>
      <c r="K706">
        <v>0</v>
      </c>
      <c r="M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</row>
    <row r="707" spans="1:13">
      <c r="A707" s="3">
        <f>IF(B707=" "," ",HYPERLINK(CONCATENATE("#metadata!",ADDRESS(INDEX($H$2:$H$1001,MATCH(ROWS($F$2:F707),$F$2:$F$1001,0),0),2)),INDEX($K$2:$K$1001,MATCH(ROWS($F$2:F707),$F$2:$F$1001,0),0)))</f>
        <v>0</v>
      </c>
      <c r="B707" s="4">
        <f>IF(OR(INDEX($G$2:$G$1001,MATCH(ROWS($F$2:F707),$F$2:$F$1001,0),1)&gt;=100000,INDEX($M$1005,1,MATCH(COLUMNS($M$1006:M1006),$M$1006,0))&gt;=100000), " ",IF(INDEX($M$2:$M$1001,MATCH(ROWS($F$2:F707),$F$2:$F$1001,0),MATCH(COLUMNS($M$1006:M1006),$M$1006,0)), HYPERLINK("#",""), HYPERLINK(CONCATENATE("#Metadata!", ADDRESS(INDEX($H$2:$H$1001,MATCH(ROWS($F$2:F707),$F$2:$F$1001,0),0), INDEX($M$1004,1,MATCH(COLUMNS($M$1006:M1006),$M$1006,0)))),"Fix")))</f>
        <v>0</v>
      </c>
      <c r="F707">
        <v>0</v>
      </c>
      <c r="G707">
        <v>0</v>
      </c>
      <c r="H707">
        <v>0</v>
      </c>
      <c r="I707">
        <f>IF(J707,TRUE,AND(M707))</f>
        <v>0</v>
      </c>
      <c r="J707">
        <f>COUNTBLANK(Metadata!B707)=COLUMNS(Metadata!B707)</f>
        <v>0</v>
      </c>
      <c r="K707">
        <v>0</v>
      </c>
      <c r="M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</row>
    <row r="708" spans="1:13">
      <c r="A708" s="3">
        <f>IF(B708=" "," ",HYPERLINK(CONCATENATE("#metadata!",ADDRESS(INDEX($H$2:$H$1001,MATCH(ROWS($F$2:F708),$F$2:$F$1001,0),0),2)),INDEX($K$2:$K$1001,MATCH(ROWS($F$2:F708),$F$2:$F$1001,0),0)))</f>
        <v>0</v>
      </c>
      <c r="B708" s="4">
        <f>IF(OR(INDEX($G$2:$G$1001,MATCH(ROWS($F$2:F708),$F$2:$F$1001,0),1)&gt;=100000,INDEX($M$1005,1,MATCH(COLUMNS($M$1006:M1006),$M$1006,0))&gt;=100000), " ",IF(INDEX($M$2:$M$1001,MATCH(ROWS($F$2:F708),$F$2:$F$1001,0),MATCH(COLUMNS($M$1006:M1006),$M$1006,0)), HYPERLINK("#",""), HYPERLINK(CONCATENATE("#Metadata!", ADDRESS(INDEX($H$2:$H$1001,MATCH(ROWS($F$2:F708),$F$2:$F$1001,0),0), INDEX($M$1004,1,MATCH(COLUMNS($M$1006:M1006),$M$1006,0)))),"Fix")))</f>
        <v>0</v>
      </c>
      <c r="F708">
        <v>0</v>
      </c>
      <c r="G708">
        <v>0</v>
      </c>
      <c r="H708">
        <v>0</v>
      </c>
      <c r="I708">
        <f>IF(J708,TRUE,AND(M708))</f>
        <v>0</v>
      </c>
      <c r="J708">
        <f>COUNTBLANK(Metadata!B708)=COLUMNS(Metadata!B708)</f>
        <v>0</v>
      </c>
      <c r="K708">
        <v>0</v>
      </c>
      <c r="M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</row>
    <row r="709" spans="1:13">
      <c r="A709" s="3">
        <f>IF(B709=" "," ",HYPERLINK(CONCATENATE("#metadata!",ADDRESS(INDEX($H$2:$H$1001,MATCH(ROWS($F$2:F709),$F$2:$F$1001,0),0),2)),INDEX($K$2:$K$1001,MATCH(ROWS($F$2:F709),$F$2:$F$1001,0),0)))</f>
        <v>0</v>
      </c>
      <c r="B709" s="4">
        <f>IF(OR(INDEX($G$2:$G$1001,MATCH(ROWS($F$2:F709),$F$2:$F$1001,0),1)&gt;=100000,INDEX($M$1005,1,MATCH(COLUMNS($M$1006:M1006),$M$1006,0))&gt;=100000), " ",IF(INDEX($M$2:$M$1001,MATCH(ROWS($F$2:F709),$F$2:$F$1001,0),MATCH(COLUMNS($M$1006:M1006),$M$1006,0)), HYPERLINK("#",""), HYPERLINK(CONCATENATE("#Metadata!", ADDRESS(INDEX($H$2:$H$1001,MATCH(ROWS($F$2:F709),$F$2:$F$1001,0),0), INDEX($M$1004,1,MATCH(COLUMNS($M$1006:M1006),$M$1006,0)))),"Fix")))</f>
        <v>0</v>
      </c>
      <c r="F709">
        <v>0</v>
      </c>
      <c r="G709">
        <v>0</v>
      </c>
      <c r="H709">
        <v>0</v>
      </c>
      <c r="I709">
        <f>IF(J709,TRUE,AND(M709))</f>
        <v>0</v>
      </c>
      <c r="J709">
        <f>COUNTBLANK(Metadata!B709)=COLUMNS(Metadata!B709)</f>
        <v>0</v>
      </c>
      <c r="K709">
        <v>0</v>
      </c>
      <c r="M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</row>
    <row r="710" spans="1:13">
      <c r="A710" s="3">
        <f>IF(B710=" "," ",HYPERLINK(CONCATENATE("#metadata!",ADDRESS(INDEX($H$2:$H$1001,MATCH(ROWS($F$2:F710),$F$2:$F$1001,0),0),2)),INDEX($K$2:$K$1001,MATCH(ROWS($F$2:F710),$F$2:$F$1001,0),0)))</f>
        <v>0</v>
      </c>
      <c r="B710" s="4">
        <f>IF(OR(INDEX($G$2:$G$1001,MATCH(ROWS($F$2:F710),$F$2:$F$1001,0),1)&gt;=100000,INDEX($M$1005,1,MATCH(COLUMNS($M$1006:M1006),$M$1006,0))&gt;=100000), " ",IF(INDEX($M$2:$M$1001,MATCH(ROWS($F$2:F710),$F$2:$F$1001,0),MATCH(COLUMNS($M$1006:M1006),$M$1006,0)), HYPERLINK("#",""), HYPERLINK(CONCATENATE("#Metadata!", ADDRESS(INDEX($H$2:$H$1001,MATCH(ROWS($F$2:F710),$F$2:$F$1001,0),0), INDEX($M$1004,1,MATCH(COLUMNS($M$1006:M1006),$M$1006,0)))),"Fix")))</f>
        <v>0</v>
      </c>
      <c r="F710">
        <v>0</v>
      </c>
      <c r="G710">
        <v>0</v>
      </c>
      <c r="H710">
        <v>0</v>
      </c>
      <c r="I710">
        <f>IF(J710,TRUE,AND(M710))</f>
        <v>0</v>
      </c>
      <c r="J710">
        <f>COUNTBLANK(Metadata!B710)=COLUMNS(Metadata!B710)</f>
        <v>0</v>
      </c>
      <c r="K710">
        <v>0</v>
      </c>
      <c r="M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</row>
    <row r="711" spans="1:13">
      <c r="A711" s="3">
        <f>IF(B711=" "," ",HYPERLINK(CONCATENATE("#metadata!",ADDRESS(INDEX($H$2:$H$1001,MATCH(ROWS($F$2:F711),$F$2:$F$1001,0),0),2)),INDEX($K$2:$K$1001,MATCH(ROWS($F$2:F711),$F$2:$F$1001,0),0)))</f>
        <v>0</v>
      </c>
      <c r="B711" s="4">
        <f>IF(OR(INDEX($G$2:$G$1001,MATCH(ROWS($F$2:F711),$F$2:$F$1001,0),1)&gt;=100000,INDEX($M$1005,1,MATCH(COLUMNS($M$1006:M1006),$M$1006,0))&gt;=100000), " ",IF(INDEX($M$2:$M$1001,MATCH(ROWS($F$2:F711),$F$2:$F$1001,0),MATCH(COLUMNS($M$1006:M1006),$M$1006,0)), HYPERLINK("#",""), HYPERLINK(CONCATENATE("#Metadata!", ADDRESS(INDEX($H$2:$H$1001,MATCH(ROWS($F$2:F711),$F$2:$F$1001,0),0), INDEX($M$1004,1,MATCH(COLUMNS($M$1006:M1006),$M$1006,0)))),"Fix")))</f>
        <v>0</v>
      </c>
      <c r="F711">
        <v>0</v>
      </c>
      <c r="G711">
        <v>0</v>
      </c>
      <c r="H711">
        <v>0</v>
      </c>
      <c r="I711">
        <f>IF(J711,TRUE,AND(M711))</f>
        <v>0</v>
      </c>
      <c r="J711">
        <f>COUNTBLANK(Metadata!B711)=COLUMNS(Metadata!B711)</f>
        <v>0</v>
      </c>
      <c r="K711">
        <v>0</v>
      </c>
      <c r="M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</row>
    <row r="712" spans="1:13">
      <c r="A712" s="3">
        <f>IF(B712=" "," ",HYPERLINK(CONCATENATE("#metadata!",ADDRESS(INDEX($H$2:$H$1001,MATCH(ROWS($F$2:F712),$F$2:$F$1001,0),0),2)),INDEX($K$2:$K$1001,MATCH(ROWS($F$2:F712),$F$2:$F$1001,0),0)))</f>
        <v>0</v>
      </c>
      <c r="B712" s="4">
        <f>IF(OR(INDEX($G$2:$G$1001,MATCH(ROWS($F$2:F712),$F$2:$F$1001,0),1)&gt;=100000,INDEX($M$1005,1,MATCH(COLUMNS($M$1006:M1006),$M$1006,0))&gt;=100000), " ",IF(INDEX($M$2:$M$1001,MATCH(ROWS($F$2:F712),$F$2:$F$1001,0),MATCH(COLUMNS($M$1006:M1006),$M$1006,0)), HYPERLINK("#",""), HYPERLINK(CONCATENATE("#Metadata!", ADDRESS(INDEX($H$2:$H$1001,MATCH(ROWS($F$2:F712),$F$2:$F$1001,0),0), INDEX($M$1004,1,MATCH(COLUMNS($M$1006:M1006),$M$1006,0)))),"Fix")))</f>
        <v>0</v>
      </c>
      <c r="F712">
        <v>0</v>
      </c>
      <c r="G712">
        <v>0</v>
      </c>
      <c r="H712">
        <v>0</v>
      </c>
      <c r="I712">
        <f>IF(J712,TRUE,AND(M712))</f>
        <v>0</v>
      </c>
      <c r="J712">
        <f>COUNTBLANK(Metadata!B712)=COLUMNS(Metadata!B712)</f>
        <v>0</v>
      </c>
      <c r="K712">
        <v>0</v>
      </c>
      <c r="M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</row>
    <row r="713" spans="1:13">
      <c r="A713" s="3">
        <f>IF(B713=" "," ",HYPERLINK(CONCATENATE("#metadata!",ADDRESS(INDEX($H$2:$H$1001,MATCH(ROWS($F$2:F713),$F$2:$F$1001,0),0),2)),INDEX($K$2:$K$1001,MATCH(ROWS($F$2:F713),$F$2:$F$1001,0),0)))</f>
        <v>0</v>
      </c>
      <c r="B713" s="4">
        <f>IF(OR(INDEX($G$2:$G$1001,MATCH(ROWS($F$2:F713),$F$2:$F$1001,0),1)&gt;=100000,INDEX($M$1005,1,MATCH(COLUMNS($M$1006:M1006),$M$1006,0))&gt;=100000), " ",IF(INDEX($M$2:$M$1001,MATCH(ROWS($F$2:F713),$F$2:$F$1001,0),MATCH(COLUMNS($M$1006:M1006),$M$1006,0)), HYPERLINK("#",""), HYPERLINK(CONCATENATE("#Metadata!", ADDRESS(INDEX($H$2:$H$1001,MATCH(ROWS($F$2:F713),$F$2:$F$1001,0),0), INDEX($M$1004,1,MATCH(COLUMNS($M$1006:M1006),$M$1006,0)))),"Fix")))</f>
        <v>0</v>
      </c>
      <c r="F713">
        <v>0</v>
      </c>
      <c r="G713">
        <v>0</v>
      </c>
      <c r="H713">
        <v>0</v>
      </c>
      <c r="I713">
        <f>IF(J713,TRUE,AND(M713))</f>
        <v>0</v>
      </c>
      <c r="J713">
        <f>COUNTBLANK(Metadata!B713)=COLUMNS(Metadata!B713)</f>
        <v>0</v>
      </c>
      <c r="K713">
        <v>0</v>
      </c>
      <c r="M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</row>
    <row r="714" spans="1:13">
      <c r="A714" s="3">
        <f>IF(B714=" "," ",HYPERLINK(CONCATENATE("#metadata!",ADDRESS(INDEX($H$2:$H$1001,MATCH(ROWS($F$2:F714),$F$2:$F$1001,0),0),2)),INDEX($K$2:$K$1001,MATCH(ROWS($F$2:F714),$F$2:$F$1001,0),0)))</f>
        <v>0</v>
      </c>
      <c r="B714" s="4">
        <f>IF(OR(INDEX($G$2:$G$1001,MATCH(ROWS($F$2:F714),$F$2:$F$1001,0),1)&gt;=100000,INDEX($M$1005,1,MATCH(COLUMNS($M$1006:M1006),$M$1006,0))&gt;=100000), " ",IF(INDEX($M$2:$M$1001,MATCH(ROWS($F$2:F714),$F$2:$F$1001,0),MATCH(COLUMNS($M$1006:M1006),$M$1006,0)), HYPERLINK("#",""), HYPERLINK(CONCATENATE("#Metadata!", ADDRESS(INDEX($H$2:$H$1001,MATCH(ROWS($F$2:F714),$F$2:$F$1001,0),0), INDEX($M$1004,1,MATCH(COLUMNS($M$1006:M1006),$M$1006,0)))),"Fix")))</f>
        <v>0</v>
      </c>
      <c r="F714">
        <v>0</v>
      </c>
      <c r="G714">
        <v>0</v>
      </c>
      <c r="H714">
        <v>0</v>
      </c>
      <c r="I714">
        <f>IF(J714,TRUE,AND(M714))</f>
        <v>0</v>
      </c>
      <c r="J714">
        <f>COUNTBLANK(Metadata!B714)=COLUMNS(Metadata!B714)</f>
        <v>0</v>
      </c>
      <c r="K714">
        <v>0</v>
      </c>
      <c r="M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</row>
    <row r="715" spans="1:13">
      <c r="A715" s="3">
        <f>IF(B715=" "," ",HYPERLINK(CONCATENATE("#metadata!",ADDRESS(INDEX($H$2:$H$1001,MATCH(ROWS($F$2:F715),$F$2:$F$1001,0),0),2)),INDEX($K$2:$K$1001,MATCH(ROWS($F$2:F715),$F$2:$F$1001,0),0)))</f>
        <v>0</v>
      </c>
      <c r="B715" s="4">
        <f>IF(OR(INDEX($G$2:$G$1001,MATCH(ROWS($F$2:F715),$F$2:$F$1001,0),1)&gt;=100000,INDEX($M$1005,1,MATCH(COLUMNS($M$1006:M1006),$M$1006,0))&gt;=100000), " ",IF(INDEX($M$2:$M$1001,MATCH(ROWS($F$2:F715),$F$2:$F$1001,0),MATCH(COLUMNS($M$1006:M1006),$M$1006,0)), HYPERLINK("#",""), HYPERLINK(CONCATENATE("#Metadata!", ADDRESS(INDEX($H$2:$H$1001,MATCH(ROWS($F$2:F715),$F$2:$F$1001,0),0), INDEX($M$1004,1,MATCH(COLUMNS($M$1006:M1006),$M$1006,0)))),"Fix")))</f>
        <v>0</v>
      </c>
      <c r="F715">
        <v>0</v>
      </c>
      <c r="G715">
        <v>0</v>
      </c>
      <c r="H715">
        <v>0</v>
      </c>
      <c r="I715">
        <f>IF(J715,TRUE,AND(M715))</f>
        <v>0</v>
      </c>
      <c r="J715">
        <f>COUNTBLANK(Metadata!B715)=COLUMNS(Metadata!B715)</f>
        <v>0</v>
      </c>
      <c r="K715">
        <v>0</v>
      </c>
      <c r="M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</row>
    <row r="716" spans="1:13">
      <c r="A716" s="3">
        <f>IF(B716=" "," ",HYPERLINK(CONCATENATE("#metadata!",ADDRESS(INDEX($H$2:$H$1001,MATCH(ROWS($F$2:F716),$F$2:$F$1001,0),0),2)),INDEX($K$2:$K$1001,MATCH(ROWS($F$2:F716),$F$2:$F$1001,0),0)))</f>
        <v>0</v>
      </c>
      <c r="B716" s="4">
        <f>IF(OR(INDEX($G$2:$G$1001,MATCH(ROWS($F$2:F716),$F$2:$F$1001,0),1)&gt;=100000,INDEX($M$1005,1,MATCH(COLUMNS($M$1006:M1006),$M$1006,0))&gt;=100000), " ",IF(INDEX($M$2:$M$1001,MATCH(ROWS($F$2:F716),$F$2:$F$1001,0),MATCH(COLUMNS($M$1006:M1006),$M$1006,0)), HYPERLINK("#",""), HYPERLINK(CONCATENATE("#Metadata!", ADDRESS(INDEX($H$2:$H$1001,MATCH(ROWS($F$2:F716),$F$2:$F$1001,0),0), INDEX($M$1004,1,MATCH(COLUMNS($M$1006:M1006),$M$1006,0)))),"Fix")))</f>
        <v>0</v>
      </c>
      <c r="F716">
        <v>0</v>
      </c>
      <c r="G716">
        <v>0</v>
      </c>
      <c r="H716">
        <v>0</v>
      </c>
      <c r="I716">
        <f>IF(J716,TRUE,AND(M716))</f>
        <v>0</v>
      </c>
      <c r="J716">
        <f>COUNTBLANK(Metadata!B716)=COLUMNS(Metadata!B716)</f>
        <v>0</v>
      </c>
      <c r="K716">
        <v>0</v>
      </c>
      <c r="M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</row>
    <row r="717" spans="1:13">
      <c r="A717" s="3">
        <f>IF(B717=" "," ",HYPERLINK(CONCATENATE("#metadata!",ADDRESS(INDEX($H$2:$H$1001,MATCH(ROWS($F$2:F717),$F$2:$F$1001,0),0),2)),INDEX($K$2:$K$1001,MATCH(ROWS($F$2:F717),$F$2:$F$1001,0),0)))</f>
        <v>0</v>
      </c>
      <c r="B717" s="4">
        <f>IF(OR(INDEX($G$2:$G$1001,MATCH(ROWS($F$2:F717),$F$2:$F$1001,0),1)&gt;=100000,INDEX($M$1005,1,MATCH(COLUMNS($M$1006:M1006),$M$1006,0))&gt;=100000), " ",IF(INDEX($M$2:$M$1001,MATCH(ROWS($F$2:F717),$F$2:$F$1001,0),MATCH(COLUMNS($M$1006:M1006),$M$1006,0)), HYPERLINK("#",""), HYPERLINK(CONCATENATE("#Metadata!", ADDRESS(INDEX($H$2:$H$1001,MATCH(ROWS($F$2:F717),$F$2:$F$1001,0),0), INDEX($M$1004,1,MATCH(COLUMNS($M$1006:M1006),$M$1006,0)))),"Fix")))</f>
        <v>0</v>
      </c>
      <c r="F717">
        <v>0</v>
      </c>
      <c r="G717">
        <v>0</v>
      </c>
      <c r="H717">
        <v>0</v>
      </c>
      <c r="I717">
        <f>IF(J717,TRUE,AND(M717))</f>
        <v>0</v>
      </c>
      <c r="J717">
        <f>COUNTBLANK(Metadata!B717)=COLUMNS(Metadata!B717)</f>
        <v>0</v>
      </c>
      <c r="K717">
        <v>0</v>
      </c>
      <c r="M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</row>
    <row r="718" spans="1:13">
      <c r="A718" s="3">
        <f>IF(B718=" "," ",HYPERLINK(CONCATENATE("#metadata!",ADDRESS(INDEX($H$2:$H$1001,MATCH(ROWS($F$2:F718),$F$2:$F$1001,0),0),2)),INDEX($K$2:$K$1001,MATCH(ROWS($F$2:F718),$F$2:$F$1001,0),0)))</f>
        <v>0</v>
      </c>
      <c r="B718" s="4">
        <f>IF(OR(INDEX($G$2:$G$1001,MATCH(ROWS($F$2:F718),$F$2:$F$1001,0),1)&gt;=100000,INDEX($M$1005,1,MATCH(COLUMNS($M$1006:M1006),$M$1006,0))&gt;=100000), " ",IF(INDEX($M$2:$M$1001,MATCH(ROWS($F$2:F718),$F$2:$F$1001,0),MATCH(COLUMNS($M$1006:M1006),$M$1006,0)), HYPERLINK("#",""), HYPERLINK(CONCATENATE("#Metadata!", ADDRESS(INDEX($H$2:$H$1001,MATCH(ROWS($F$2:F718),$F$2:$F$1001,0),0), INDEX($M$1004,1,MATCH(COLUMNS($M$1006:M1006),$M$1006,0)))),"Fix")))</f>
        <v>0</v>
      </c>
      <c r="F718">
        <v>0</v>
      </c>
      <c r="G718">
        <v>0</v>
      </c>
      <c r="H718">
        <v>0</v>
      </c>
      <c r="I718">
        <f>IF(J718,TRUE,AND(M718))</f>
        <v>0</v>
      </c>
      <c r="J718">
        <f>COUNTBLANK(Metadata!B718)=COLUMNS(Metadata!B718)</f>
        <v>0</v>
      </c>
      <c r="K718">
        <v>0</v>
      </c>
      <c r="M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</row>
    <row r="719" spans="1:13">
      <c r="A719" s="3">
        <f>IF(B719=" "," ",HYPERLINK(CONCATENATE("#metadata!",ADDRESS(INDEX($H$2:$H$1001,MATCH(ROWS($F$2:F719),$F$2:$F$1001,0),0),2)),INDEX($K$2:$K$1001,MATCH(ROWS($F$2:F719),$F$2:$F$1001,0),0)))</f>
        <v>0</v>
      </c>
      <c r="B719" s="4">
        <f>IF(OR(INDEX($G$2:$G$1001,MATCH(ROWS($F$2:F719),$F$2:$F$1001,0),1)&gt;=100000,INDEX($M$1005,1,MATCH(COLUMNS($M$1006:M1006),$M$1006,0))&gt;=100000), " ",IF(INDEX($M$2:$M$1001,MATCH(ROWS($F$2:F719),$F$2:$F$1001,0),MATCH(COLUMNS($M$1006:M1006),$M$1006,0)), HYPERLINK("#",""), HYPERLINK(CONCATENATE("#Metadata!", ADDRESS(INDEX($H$2:$H$1001,MATCH(ROWS($F$2:F719),$F$2:$F$1001,0),0), INDEX($M$1004,1,MATCH(COLUMNS($M$1006:M1006),$M$1006,0)))),"Fix")))</f>
        <v>0</v>
      </c>
      <c r="F719">
        <v>0</v>
      </c>
      <c r="G719">
        <v>0</v>
      </c>
      <c r="H719">
        <v>0</v>
      </c>
      <c r="I719">
        <f>IF(J719,TRUE,AND(M719))</f>
        <v>0</v>
      </c>
      <c r="J719">
        <f>COUNTBLANK(Metadata!B719)=COLUMNS(Metadata!B719)</f>
        <v>0</v>
      </c>
      <c r="K719">
        <v>0</v>
      </c>
      <c r="M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</row>
    <row r="720" spans="1:13">
      <c r="A720" s="3">
        <f>IF(B720=" "," ",HYPERLINK(CONCATENATE("#metadata!",ADDRESS(INDEX($H$2:$H$1001,MATCH(ROWS($F$2:F720),$F$2:$F$1001,0),0),2)),INDEX($K$2:$K$1001,MATCH(ROWS($F$2:F720),$F$2:$F$1001,0),0)))</f>
        <v>0</v>
      </c>
      <c r="B720" s="4">
        <f>IF(OR(INDEX($G$2:$G$1001,MATCH(ROWS($F$2:F720),$F$2:$F$1001,0),1)&gt;=100000,INDEX($M$1005,1,MATCH(COLUMNS($M$1006:M1006),$M$1006,0))&gt;=100000), " ",IF(INDEX($M$2:$M$1001,MATCH(ROWS($F$2:F720),$F$2:$F$1001,0),MATCH(COLUMNS($M$1006:M1006),$M$1006,0)), HYPERLINK("#",""), HYPERLINK(CONCATENATE("#Metadata!", ADDRESS(INDEX($H$2:$H$1001,MATCH(ROWS($F$2:F720),$F$2:$F$1001,0),0), INDEX($M$1004,1,MATCH(COLUMNS($M$1006:M1006),$M$1006,0)))),"Fix")))</f>
        <v>0</v>
      </c>
      <c r="F720">
        <v>0</v>
      </c>
      <c r="G720">
        <v>0</v>
      </c>
      <c r="H720">
        <v>0</v>
      </c>
      <c r="I720">
        <f>IF(J720,TRUE,AND(M720))</f>
        <v>0</v>
      </c>
      <c r="J720">
        <f>COUNTBLANK(Metadata!B720)=COLUMNS(Metadata!B720)</f>
        <v>0</v>
      </c>
      <c r="K720">
        <v>0</v>
      </c>
      <c r="M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</row>
    <row r="721" spans="1:13">
      <c r="A721" s="3">
        <f>IF(B721=" "," ",HYPERLINK(CONCATENATE("#metadata!",ADDRESS(INDEX($H$2:$H$1001,MATCH(ROWS($F$2:F721),$F$2:$F$1001,0),0),2)),INDEX($K$2:$K$1001,MATCH(ROWS($F$2:F721),$F$2:$F$1001,0),0)))</f>
        <v>0</v>
      </c>
      <c r="B721" s="4">
        <f>IF(OR(INDEX($G$2:$G$1001,MATCH(ROWS($F$2:F721),$F$2:$F$1001,0),1)&gt;=100000,INDEX($M$1005,1,MATCH(COLUMNS($M$1006:M1006),$M$1006,0))&gt;=100000), " ",IF(INDEX($M$2:$M$1001,MATCH(ROWS($F$2:F721),$F$2:$F$1001,0),MATCH(COLUMNS($M$1006:M1006),$M$1006,0)), HYPERLINK("#",""), HYPERLINK(CONCATENATE("#Metadata!", ADDRESS(INDEX($H$2:$H$1001,MATCH(ROWS($F$2:F721),$F$2:$F$1001,0),0), INDEX($M$1004,1,MATCH(COLUMNS($M$1006:M1006),$M$1006,0)))),"Fix")))</f>
        <v>0</v>
      </c>
      <c r="F721">
        <v>0</v>
      </c>
      <c r="G721">
        <v>0</v>
      </c>
      <c r="H721">
        <v>0</v>
      </c>
      <c r="I721">
        <f>IF(J721,TRUE,AND(M721))</f>
        <v>0</v>
      </c>
      <c r="J721">
        <f>COUNTBLANK(Metadata!B721)=COLUMNS(Metadata!B721)</f>
        <v>0</v>
      </c>
      <c r="K721">
        <v>0</v>
      </c>
      <c r="M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</row>
    <row r="722" spans="1:13">
      <c r="A722" s="3">
        <f>IF(B722=" "," ",HYPERLINK(CONCATENATE("#metadata!",ADDRESS(INDEX($H$2:$H$1001,MATCH(ROWS($F$2:F722),$F$2:$F$1001,0),0),2)),INDEX($K$2:$K$1001,MATCH(ROWS($F$2:F722),$F$2:$F$1001,0),0)))</f>
        <v>0</v>
      </c>
      <c r="B722" s="4">
        <f>IF(OR(INDEX($G$2:$G$1001,MATCH(ROWS($F$2:F722),$F$2:$F$1001,0),1)&gt;=100000,INDEX($M$1005,1,MATCH(COLUMNS($M$1006:M1006),$M$1006,0))&gt;=100000), " ",IF(INDEX($M$2:$M$1001,MATCH(ROWS($F$2:F722),$F$2:$F$1001,0),MATCH(COLUMNS($M$1006:M1006),$M$1006,0)), HYPERLINK("#",""), HYPERLINK(CONCATENATE("#Metadata!", ADDRESS(INDEX($H$2:$H$1001,MATCH(ROWS($F$2:F722),$F$2:$F$1001,0),0), INDEX($M$1004,1,MATCH(COLUMNS($M$1006:M1006),$M$1006,0)))),"Fix")))</f>
        <v>0</v>
      </c>
      <c r="F722">
        <v>0</v>
      </c>
      <c r="G722">
        <v>0</v>
      </c>
      <c r="H722">
        <v>0</v>
      </c>
      <c r="I722">
        <f>IF(J722,TRUE,AND(M722))</f>
        <v>0</v>
      </c>
      <c r="J722">
        <f>COUNTBLANK(Metadata!B722)=COLUMNS(Metadata!B722)</f>
        <v>0</v>
      </c>
      <c r="K722">
        <v>0</v>
      </c>
      <c r="M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</row>
    <row r="723" spans="1:13">
      <c r="A723" s="3">
        <f>IF(B723=" "," ",HYPERLINK(CONCATENATE("#metadata!",ADDRESS(INDEX($H$2:$H$1001,MATCH(ROWS($F$2:F723),$F$2:$F$1001,0),0),2)),INDEX($K$2:$K$1001,MATCH(ROWS($F$2:F723),$F$2:$F$1001,0),0)))</f>
        <v>0</v>
      </c>
      <c r="B723" s="4">
        <f>IF(OR(INDEX($G$2:$G$1001,MATCH(ROWS($F$2:F723),$F$2:$F$1001,0),1)&gt;=100000,INDEX($M$1005,1,MATCH(COLUMNS($M$1006:M1006),$M$1006,0))&gt;=100000), " ",IF(INDEX($M$2:$M$1001,MATCH(ROWS($F$2:F723),$F$2:$F$1001,0),MATCH(COLUMNS($M$1006:M1006),$M$1006,0)), HYPERLINK("#",""), HYPERLINK(CONCATENATE("#Metadata!", ADDRESS(INDEX($H$2:$H$1001,MATCH(ROWS($F$2:F723),$F$2:$F$1001,0),0), INDEX($M$1004,1,MATCH(COLUMNS($M$1006:M1006),$M$1006,0)))),"Fix")))</f>
        <v>0</v>
      </c>
      <c r="F723">
        <v>0</v>
      </c>
      <c r="G723">
        <v>0</v>
      </c>
      <c r="H723">
        <v>0</v>
      </c>
      <c r="I723">
        <f>IF(J723,TRUE,AND(M723))</f>
        <v>0</v>
      </c>
      <c r="J723">
        <f>COUNTBLANK(Metadata!B723)=COLUMNS(Metadata!B723)</f>
        <v>0</v>
      </c>
      <c r="K723">
        <v>0</v>
      </c>
      <c r="M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</row>
    <row r="724" spans="1:13">
      <c r="A724" s="3">
        <f>IF(B724=" "," ",HYPERLINK(CONCATENATE("#metadata!",ADDRESS(INDEX($H$2:$H$1001,MATCH(ROWS($F$2:F724),$F$2:$F$1001,0),0),2)),INDEX($K$2:$K$1001,MATCH(ROWS($F$2:F724),$F$2:$F$1001,0),0)))</f>
        <v>0</v>
      </c>
      <c r="B724" s="4">
        <f>IF(OR(INDEX($G$2:$G$1001,MATCH(ROWS($F$2:F724),$F$2:$F$1001,0),1)&gt;=100000,INDEX($M$1005,1,MATCH(COLUMNS($M$1006:M1006),$M$1006,0))&gt;=100000), " ",IF(INDEX($M$2:$M$1001,MATCH(ROWS($F$2:F724),$F$2:$F$1001,0),MATCH(COLUMNS($M$1006:M1006),$M$1006,0)), HYPERLINK("#",""), HYPERLINK(CONCATENATE("#Metadata!", ADDRESS(INDEX($H$2:$H$1001,MATCH(ROWS($F$2:F724),$F$2:$F$1001,0),0), INDEX($M$1004,1,MATCH(COLUMNS($M$1006:M1006),$M$1006,0)))),"Fix")))</f>
        <v>0</v>
      </c>
      <c r="F724">
        <v>0</v>
      </c>
      <c r="G724">
        <v>0</v>
      </c>
      <c r="H724">
        <v>0</v>
      </c>
      <c r="I724">
        <f>IF(J724,TRUE,AND(M724))</f>
        <v>0</v>
      </c>
      <c r="J724">
        <f>COUNTBLANK(Metadata!B724)=COLUMNS(Metadata!B724)</f>
        <v>0</v>
      </c>
      <c r="K724">
        <v>0</v>
      </c>
      <c r="M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</row>
    <row r="725" spans="1:13">
      <c r="A725" s="3">
        <f>IF(B725=" "," ",HYPERLINK(CONCATENATE("#metadata!",ADDRESS(INDEX($H$2:$H$1001,MATCH(ROWS($F$2:F725),$F$2:$F$1001,0),0),2)),INDEX($K$2:$K$1001,MATCH(ROWS($F$2:F725),$F$2:$F$1001,0),0)))</f>
        <v>0</v>
      </c>
      <c r="B725" s="4">
        <f>IF(OR(INDEX($G$2:$G$1001,MATCH(ROWS($F$2:F725),$F$2:$F$1001,0),1)&gt;=100000,INDEX($M$1005,1,MATCH(COLUMNS($M$1006:M1006),$M$1006,0))&gt;=100000), " ",IF(INDEX($M$2:$M$1001,MATCH(ROWS($F$2:F725),$F$2:$F$1001,0),MATCH(COLUMNS($M$1006:M1006),$M$1006,0)), HYPERLINK("#",""), HYPERLINK(CONCATENATE("#Metadata!", ADDRESS(INDEX($H$2:$H$1001,MATCH(ROWS($F$2:F725),$F$2:$F$1001,0),0), INDEX($M$1004,1,MATCH(COLUMNS($M$1006:M1006),$M$1006,0)))),"Fix")))</f>
        <v>0</v>
      </c>
      <c r="F725">
        <v>0</v>
      </c>
      <c r="G725">
        <v>0</v>
      </c>
      <c r="H725">
        <v>0</v>
      </c>
      <c r="I725">
        <f>IF(J725,TRUE,AND(M725))</f>
        <v>0</v>
      </c>
      <c r="J725">
        <f>COUNTBLANK(Metadata!B725)=COLUMNS(Metadata!B725)</f>
        <v>0</v>
      </c>
      <c r="K725">
        <v>0</v>
      </c>
      <c r="M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</row>
    <row r="726" spans="1:13">
      <c r="A726" s="3">
        <f>IF(B726=" "," ",HYPERLINK(CONCATENATE("#metadata!",ADDRESS(INDEX($H$2:$H$1001,MATCH(ROWS($F$2:F726),$F$2:$F$1001,0),0),2)),INDEX($K$2:$K$1001,MATCH(ROWS($F$2:F726),$F$2:$F$1001,0),0)))</f>
        <v>0</v>
      </c>
      <c r="B726" s="4">
        <f>IF(OR(INDEX($G$2:$G$1001,MATCH(ROWS($F$2:F726),$F$2:$F$1001,0),1)&gt;=100000,INDEX($M$1005,1,MATCH(COLUMNS($M$1006:M1006),$M$1006,0))&gt;=100000), " ",IF(INDEX($M$2:$M$1001,MATCH(ROWS($F$2:F726),$F$2:$F$1001,0),MATCH(COLUMNS($M$1006:M1006),$M$1006,0)), HYPERLINK("#",""), HYPERLINK(CONCATENATE("#Metadata!", ADDRESS(INDEX($H$2:$H$1001,MATCH(ROWS($F$2:F726),$F$2:$F$1001,0),0), INDEX($M$1004,1,MATCH(COLUMNS($M$1006:M1006),$M$1006,0)))),"Fix")))</f>
        <v>0</v>
      </c>
      <c r="F726">
        <v>0</v>
      </c>
      <c r="G726">
        <v>0</v>
      </c>
      <c r="H726">
        <v>0</v>
      </c>
      <c r="I726">
        <f>IF(J726,TRUE,AND(M726))</f>
        <v>0</v>
      </c>
      <c r="J726">
        <f>COUNTBLANK(Metadata!B726)=COLUMNS(Metadata!B726)</f>
        <v>0</v>
      </c>
      <c r="K726">
        <v>0</v>
      </c>
      <c r="M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</row>
    <row r="727" spans="1:13">
      <c r="A727" s="3">
        <f>IF(B727=" "," ",HYPERLINK(CONCATENATE("#metadata!",ADDRESS(INDEX($H$2:$H$1001,MATCH(ROWS($F$2:F727),$F$2:$F$1001,0),0),2)),INDEX($K$2:$K$1001,MATCH(ROWS($F$2:F727),$F$2:$F$1001,0),0)))</f>
        <v>0</v>
      </c>
      <c r="B727" s="4">
        <f>IF(OR(INDEX($G$2:$G$1001,MATCH(ROWS($F$2:F727),$F$2:$F$1001,0),1)&gt;=100000,INDEX($M$1005,1,MATCH(COLUMNS($M$1006:M1006),$M$1006,0))&gt;=100000), " ",IF(INDEX($M$2:$M$1001,MATCH(ROWS($F$2:F727),$F$2:$F$1001,0),MATCH(COLUMNS($M$1006:M1006),$M$1006,0)), HYPERLINK("#",""), HYPERLINK(CONCATENATE("#Metadata!", ADDRESS(INDEX($H$2:$H$1001,MATCH(ROWS($F$2:F727),$F$2:$F$1001,0),0), INDEX($M$1004,1,MATCH(COLUMNS($M$1006:M1006),$M$1006,0)))),"Fix")))</f>
        <v>0</v>
      </c>
      <c r="F727">
        <v>0</v>
      </c>
      <c r="G727">
        <v>0</v>
      </c>
      <c r="H727">
        <v>0</v>
      </c>
      <c r="I727">
        <f>IF(J727,TRUE,AND(M727))</f>
        <v>0</v>
      </c>
      <c r="J727">
        <f>COUNTBLANK(Metadata!B727)=COLUMNS(Metadata!B727)</f>
        <v>0</v>
      </c>
      <c r="K727">
        <v>0</v>
      </c>
      <c r="M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</row>
    <row r="728" spans="1:13">
      <c r="A728" s="3">
        <f>IF(B728=" "," ",HYPERLINK(CONCATENATE("#metadata!",ADDRESS(INDEX($H$2:$H$1001,MATCH(ROWS($F$2:F728),$F$2:$F$1001,0),0),2)),INDEX($K$2:$K$1001,MATCH(ROWS($F$2:F728),$F$2:$F$1001,0),0)))</f>
        <v>0</v>
      </c>
      <c r="B728" s="4">
        <f>IF(OR(INDEX($G$2:$G$1001,MATCH(ROWS($F$2:F728),$F$2:$F$1001,0),1)&gt;=100000,INDEX($M$1005,1,MATCH(COLUMNS($M$1006:M1006),$M$1006,0))&gt;=100000), " ",IF(INDEX($M$2:$M$1001,MATCH(ROWS($F$2:F728),$F$2:$F$1001,0),MATCH(COLUMNS($M$1006:M1006),$M$1006,0)), HYPERLINK("#",""), HYPERLINK(CONCATENATE("#Metadata!", ADDRESS(INDEX($H$2:$H$1001,MATCH(ROWS($F$2:F728),$F$2:$F$1001,0),0), INDEX($M$1004,1,MATCH(COLUMNS($M$1006:M1006),$M$1006,0)))),"Fix")))</f>
        <v>0</v>
      </c>
      <c r="F728">
        <v>0</v>
      </c>
      <c r="G728">
        <v>0</v>
      </c>
      <c r="H728">
        <v>0</v>
      </c>
      <c r="I728">
        <f>IF(J728,TRUE,AND(M728))</f>
        <v>0</v>
      </c>
      <c r="J728">
        <f>COUNTBLANK(Metadata!B728)=COLUMNS(Metadata!B728)</f>
        <v>0</v>
      </c>
      <c r="K728">
        <v>0</v>
      </c>
      <c r="M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</row>
    <row r="729" spans="1:13">
      <c r="A729" s="3">
        <f>IF(B729=" "," ",HYPERLINK(CONCATENATE("#metadata!",ADDRESS(INDEX($H$2:$H$1001,MATCH(ROWS($F$2:F729),$F$2:$F$1001,0),0),2)),INDEX($K$2:$K$1001,MATCH(ROWS($F$2:F729),$F$2:$F$1001,0),0)))</f>
        <v>0</v>
      </c>
      <c r="B729" s="4">
        <f>IF(OR(INDEX($G$2:$G$1001,MATCH(ROWS($F$2:F729),$F$2:$F$1001,0),1)&gt;=100000,INDEX($M$1005,1,MATCH(COLUMNS($M$1006:M1006),$M$1006,0))&gt;=100000), " ",IF(INDEX($M$2:$M$1001,MATCH(ROWS($F$2:F729),$F$2:$F$1001,0),MATCH(COLUMNS($M$1006:M1006),$M$1006,0)), HYPERLINK("#",""), HYPERLINK(CONCATENATE("#Metadata!", ADDRESS(INDEX($H$2:$H$1001,MATCH(ROWS($F$2:F729),$F$2:$F$1001,0),0), INDEX($M$1004,1,MATCH(COLUMNS($M$1006:M1006),$M$1006,0)))),"Fix")))</f>
        <v>0</v>
      </c>
      <c r="F729">
        <v>0</v>
      </c>
      <c r="G729">
        <v>0</v>
      </c>
      <c r="H729">
        <v>0</v>
      </c>
      <c r="I729">
        <f>IF(J729,TRUE,AND(M729))</f>
        <v>0</v>
      </c>
      <c r="J729">
        <f>COUNTBLANK(Metadata!B729)=COLUMNS(Metadata!B729)</f>
        <v>0</v>
      </c>
      <c r="K729">
        <v>0</v>
      </c>
      <c r="M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</row>
    <row r="730" spans="1:13">
      <c r="A730" s="3">
        <f>IF(B730=" "," ",HYPERLINK(CONCATENATE("#metadata!",ADDRESS(INDEX($H$2:$H$1001,MATCH(ROWS($F$2:F730),$F$2:$F$1001,0),0),2)),INDEX($K$2:$K$1001,MATCH(ROWS($F$2:F730),$F$2:$F$1001,0),0)))</f>
        <v>0</v>
      </c>
      <c r="B730" s="4">
        <f>IF(OR(INDEX($G$2:$G$1001,MATCH(ROWS($F$2:F730),$F$2:$F$1001,0),1)&gt;=100000,INDEX($M$1005,1,MATCH(COLUMNS($M$1006:M1006),$M$1006,0))&gt;=100000), " ",IF(INDEX($M$2:$M$1001,MATCH(ROWS($F$2:F730),$F$2:$F$1001,0),MATCH(COLUMNS($M$1006:M1006),$M$1006,0)), HYPERLINK("#",""), HYPERLINK(CONCATENATE("#Metadata!", ADDRESS(INDEX($H$2:$H$1001,MATCH(ROWS($F$2:F730),$F$2:$F$1001,0),0), INDEX($M$1004,1,MATCH(COLUMNS($M$1006:M1006),$M$1006,0)))),"Fix")))</f>
        <v>0</v>
      </c>
      <c r="F730">
        <v>0</v>
      </c>
      <c r="G730">
        <v>0</v>
      </c>
      <c r="H730">
        <v>0</v>
      </c>
      <c r="I730">
        <f>IF(J730,TRUE,AND(M730))</f>
        <v>0</v>
      </c>
      <c r="J730">
        <f>COUNTBLANK(Metadata!B730)=COLUMNS(Metadata!B730)</f>
        <v>0</v>
      </c>
      <c r="K730">
        <v>0</v>
      </c>
      <c r="M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</row>
    <row r="731" spans="1:13">
      <c r="A731" s="3">
        <f>IF(B731=" "," ",HYPERLINK(CONCATENATE("#metadata!",ADDRESS(INDEX($H$2:$H$1001,MATCH(ROWS($F$2:F731),$F$2:$F$1001,0),0),2)),INDEX($K$2:$K$1001,MATCH(ROWS($F$2:F731),$F$2:$F$1001,0),0)))</f>
        <v>0</v>
      </c>
      <c r="B731" s="4">
        <f>IF(OR(INDEX($G$2:$G$1001,MATCH(ROWS($F$2:F731),$F$2:$F$1001,0),1)&gt;=100000,INDEX($M$1005,1,MATCH(COLUMNS($M$1006:M1006),$M$1006,0))&gt;=100000), " ",IF(INDEX($M$2:$M$1001,MATCH(ROWS($F$2:F731),$F$2:$F$1001,0),MATCH(COLUMNS($M$1006:M1006),$M$1006,0)), HYPERLINK("#",""), HYPERLINK(CONCATENATE("#Metadata!", ADDRESS(INDEX($H$2:$H$1001,MATCH(ROWS($F$2:F731),$F$2:$F$1001,0),0), INDEX($M$1004,1,MATCH(COLUMNS($M$1006:M1006),$M$1006,0)))),"Fix")))</f>
        <v>0</v>
      </c>
      <c r="F731">
        <v>0</v>
      </c>
      <c r="G731">
        <v>0</v>
      </c>
      <c r="H731">
        <v>0</v>
      </c>
      <c r="I731">
        <f>IF(J731,TRUE,AND(M731))</f>
        <v>0</v>
      </c>
      <c r="J731">
        <f>COUNTBLANK(Metadata!B731)=COLUMNS(Metadata!B731)</f>
        <v>0</v>
      </c>
      <c r="K731">
        <v>0</v>
      </c>
      <c r="M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</row>
    <row r="732" spans="1:13">
      <c r="A732" s="3">
        <f>IF(B732=" "," ",HYPERLINK(CONCATENATE("#metadata!",ADDRESS(INDEX($H$2:$H$1001,MATCH(ROWS($F$2:F732),$F$2:$F$1001,0),0),2)),INDEX($K$2:$K$1001,MATCH(ROWS($F$2:F732),$F$2:$F$1001,0),0)))</f>
        <v>0</v>
      </c>
      <c r="B732" s="4">
        <f>IF(OR(INDEX($G$2:$G$1001,MATCH(ROWS($F$2:F732),$F$2:$F$1001,0),1)&gt;=100000,INDEX($M$1005,1,MATCH(COLUMNS($M$1006:M1006),$M$1006,0))&gt;=100000), " ",IF(INDEX($M$2:$M$1001,MATCH(ROWS($F$2:F732),$F$2:$F$1001,0),MATCH(COLUMNS($M$1006:M1006),$M$1006,0)), HYPERLINK("#",""), HYPERLINK(CONCATENATE("#Metadata!", ADDRESS(INDEX($H$2:$H$1001,MATCH(ROWS($F$2:F732),$F$2:$F$1001,0),0), INDEX($M$1004,1,MATCH(COLUMNS($M$1006:M1006),$M$1006,0)))),"Fix")))</f>
        <v>0</v>
      </c>
      <c r="F732">
        <v>0</v>
      </c>
      <c r="G732">
        <v>0</v>
      </c>
      <c r="H732">
        <v>0</v>
      </c>
      <c r="I732">
        <f>IF(J732,TRUE,AND(M732))</f>
        <v>0</v>
      </c>
      <c r="J732">
        <f>COUNTBLANK(Metadata!B732)=COLUMNS(Metadata!B732)</f>
        <v>0</v>
      </c>
      <c r="K732">
        <v>0</v>
      </c>
      <c r="M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</row>
    <row r="733" spans="1:13">
      <c r="A733" s="3">
        <f>IF(B733=" "," ",HYPERLINK(CONCATENATE("#metadata!",ADDRESS(INDEX($H$2:$H$1001,MATCH(ROWS($F$2:F733),$F$2:$F$1001,0),0),2)),INDEX($K$2:$K$1001,MATCH(ROWS($F$2:F733),$F$2:$F$1001,0),0)))</f>
        <v>0</v>
      </c>
      <c r="B733" s="4">
        <f>IF(OR(INDEX($G$2:$G$1001,MATCH(ROWS($F$2:F733),$F$2:$F$1001,0),1)&gt;=100000,INDEX($M$1005,1,MATCH(COLUMNS($M$1006:M1006),$M$1006,0))&gt;=100000), " ",IF(INDEX($M$2:$M$1001,MATCH(ROWS($F$2:F733),$F$2:$F$1001,0),MATCH(COLUMNS($M$1006:M1006),$M$1006,0)), HYPERLINK("#",""), HYPERLINK(CONCATENATE("#Metadata!", ADDRESS(INDEX($H$2:$H$1001,MATCH(ROWS($F$2:F733),$F$2:$F$1001,0),0), INDEX($M$1004,1,MATCH(COLUMNS($M$1006:M1006),$M$1006,0)))),"Fix")))</f>
        <v>0</v>
      </c>
      <c r="F733">
        <v>0</v>
      </c>
      <c r="G733">
        <v>0</v>
      </c>
      <c r="H733">
        <v>0</v>
      </c>
      <c r="I733">
        <f>IF(J733,TRUE,AND(M733))</f>
        <v>0</v>
      </c>
      <c r="J733">
        <f>COUNTBLANK(Metadata!B733)=COLUMNS(Metadata!B733)</f>
        <v>0</v>
      </c>
      <c r="K733">
        <v>0</v>
      </c>
      <c r="M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</row>
    <row r="734" spans="1:13">
      <c r="A734" s="3">
        <f>IF(B734=" "," ",HYPERLINK(CONCATENATE("#metadata!",ADDRESS(INDEX($H$2:$H$1001,MATCH(ROWS($F$2:F734),$F$2:$F$1001,0),0),2)),INDEX($K$2:$K$1001,MATCH(ROWS($F$2:F734),$F$2:$F$1001,0),0)))</f>
        <v>0</v>
      </c>
      <c r="B734" s="4">
        <f>IF(OR(INDEX($G$2:$G$1001,MATCH(ROWS($F$2:F734),$F$2:$F$1001,0),1)&gt;=100000,INDEX($M$1005,1,MATCH(COLUMNS($M$1006:M1006),$M$1006,0))&gt;=100000), " ",IF(INDEX($M$2:$M$1001,MATCH(ROWS($F$2:F734),$F$2:$F$1001,0),MATCH(COLUMNS($M$1006:M1006),$M$1006,0)), HYPERLINK("#",""), HYPERLINK(CONCATENATE("#Metadata!", ADDRESS(INDEX($H$2:$H$1001,MATCH(ROWS($F$2:F734),$F$2:$F$1001,0),0), INDEX($M$1004,1,MATCH(COLUMNS($M$1006:M1006),$M$1006,0)))),"Fix")))</f>
        <v>0</v>
      </c>
      <c r="F734">
        <v>0</v>
      </c>
      <c r="G734">
        <v>0</v>
      </c>
      <c r="H734">
        <v>0</v>
      </c>
      <c r="I734">
        <f>IF(J734,TRUE,AND(M734))</f>
        <v>0</v>
      </c>
      <c r="J734">
        <f>COUNTBLANK(Metadata!B734)=COLUMNS(Metadata!B734)</f>
        <v>0</v>
      </c>
      <c r="K734">
        <v>0</v>
      </c>
      <c r="M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</row>
    <row r="735" spans="1:13">
      <c r="A735" s="3">
        <f>IF(B735=" "," ",HYPERLINK(CONCATENATE("#metadata!",ADDRESS(INDEX($H$2:$H$1001,MATCH(ROWS($F$2:F735),$F$2:$F$1001,0),0),2)),INDEX($K$2:$K$1001,MATCH(ROWS($F$2:F735),$F$2:$F$1001,0),0)))</f>
        <v>0</v>
      </c>
      <c r="B735" s="4">
        <f>IF(OR(INDEX($G$2:$G$1001,MATCH(ROWS($F$2:F735),$F$2:$F$1001,0),1)&gt;=100000,INDEX($M$1005,1,MATCH(COLUMNS($M$1006:M1006),$M$1006,0))&gt;=100000), " ",IF(INDEX($M$2:$M$1001,MATCH(ROWS($F$2:F735),$F$2:$F$1001,0),MATCH(COLUMNS($M$1006:M1006),$M$1006,0)), HYPERLINK("#",""), HYPERLINK(CONCATENATE("#Metadata!", ADDRESS(INDEX($H$2:$H$1001,MATCH(ROWS($F$2:F735),$F$2:$F$1001,0),0), INDEX($M$1004,1,MATCH(COLUMNS($M$1006:M1006),$M$1006,0)))),"Fix")))</f>
        <v>0</v>
      </c>
      <c r="F735">
        <v>0</v>
      </c>
      <c r="G735">
        <v>0</v>
      </c>
      <c r="H735">
        <v>0</v>
      </c>
      <c r="I735">
        <f>IF(J735,TRUE,AND(M735))</f>
        <v>0</v>
      </c>
      <c r="J735">
        <f>COUNTBLANK(Metadata!B735)=COLUMNS(Metadata!B735)</f>
        <v>0</v>
      </c>
      <c r="K735">
        <v>0</v>
      </c>
      <c r="M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</row>
    <row r="736" spans="1:13">
      <c r="A736" s="3">
        <f>IF(B736=" "," ",HYPERLINK(CONCATENATE("#metadata!",ADDRESS(INDEX($H$2:$H$1001,MATCH(ROWS($F$2:F736),$F$2:$F$1001,0),0),2)),INDEX($K$2:$K$1001,MATCH(ROWS($F$2:F736),$F$2:$F$1001,0),0)))</f>
        <v>0</v>
      </c>
      <c r="B736" s="4">
        <f>IF(OR(INDEX($G$2:$G$1001,MATCH(ROWS($F$2:F736),$F$2:$F$1001,0),1)&gt;=100000,INDEX($M$1005,1,MATCH(COLUMNS($M$1006:M1006),$M$1006,0))&gt;=100000), " ",IF(INDEX($M$2:$M$1001,MATCH(ROWS($F$2:F736),$F$2:$F$1001,0),MATCH(COLUMNS($M$1006:M1006),$M$1006,0)), HYPERLINK("#",""), HYPERLINK(CONCATENATE("#Metadata!", ADDRESS(INDEX($H$2:$H$1001,MATCH(ROWS($F$2:F736),$F$2:$F$1001,0),0), INDEX($M$1004,1,MATCH(COLUMNS($M$1006:M1006),$M$1006,0)))),"Fix")))</f>
        <v>0</v>
      </c>
      <c r="F736">
        <v>0</v>
      </c>
      <c r="G736">
        <v>0</v>
      </c>
      <c r="H736">
        <v>0</v>
      </c>
      <c r="I736">
        <f>IF(J736,TRUE,AND(M736))</f>
        <v>0</v>
      </c>
      <c r="J736">
        <f>COUNTBLANK(Metadata!B736)=COLUMNS(Metadata!B736)</f>
        <v>0</v>
      </c>
      <c r="K736">
        <v>0</v>
      </c>
      <c r="M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</row>
    <row r="737" spans="1:13">
      <c r="A737" s="3">
        <f>IF(B737=" "," ",HYPERLINK(CONCATENATE("#metadata!",ADDRESS(INDEX($H$2:$H$1001,MATCH(ROWS($F$2:F737),$F$2:$F$1001,0),0),2)),INDEX($K$2:$K$1001,MATCH(ROWS($F$2:F737),$F$2:$F$1001,0),0)))</f>
        <v>0</v>
      </c>
      <c r="B737" s="4">
        <f>IF(OR(INDEX($G$2:$G$1001,MATCH(ROWS($F$2:F737),$F$2:$F$1001,0),1)&gt;=100000,INDEX($M$1005,1,MATCH(COLUMNS($M$1006:M1006),$M$1006,0))&gt;=100000), " ",IF(INDEX($M$2:$M$1001,MATCH(ROWS($F$2:F737),$F$2:$F$1001,0),MATCH(COLUMNS($M$1006:M1006),$M$1006,0)), HYPERLINK("#",""), HYPERLINK(CONCATENATE("#Metadata!", ADDRESS(INDEX($H$2:$H$1001,MATCH(ROWS($F$2:F737),$F$2:$F$1001,0),0), INDEX($M$1004,1,MATCH(COLUMNS($M$1006:M1006),$M$1006,0)))),"Fix")))</f>
        <v>0</v>
      </c>
      <c r="F737">
        <v>0</v>
      </c>
      <c r="G737">
        <v>0</v>
      </c>
      <c r="H737">
        <v>0</v>
      </c>
      <c r="I737">
        <f>IF(J737,TRUE,AND(M737))</f>
        <v>0</v>
      </c>
      <c r="J737">
        <f>COUNTBLANK(Metadata!B737)=COLUMNS(Metadata!B737)</f>
        <v>0</v>
      </c>
      <c r="K737">
        <v>0</v>
      </c>
      <c r="M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</row>
    <row r="738" spans="1:13">
      <c r="A738" s="3">
        <f>IF(B738=" "," ",HYPERLINK(CONCATENATE("#metadata!",ADDRESS(INDEX($H$2:$H$1001,MATCH(ROWS($F$2:F738),$F$2:$F$1001,0),0),2)),INDEX($K$2:$K$1001,MATCH(ROWS($F$2:F738),$F$2:$F$1001,0),0)))</f>
        <v>0</v>
      </c>
      <c r="B738" s="4">
        <f>IF(OR(INDEX($G$2:$G$1001,MATCH(ROWS($F$2:F738),$F$2:$F$1001,0),1)&gt;=100000,INDEX($M$1005,1,MATCH(COLUMNS($M$1006:M1006),$M$1006,0))&gt;=100000), " ",IF(INDEX($M$2:$M$1001,MATCH(ROWS($F$2:F738),$F$2:$F$1001,0),MATCH(COLUMNS($M$1006:M1006),$M$1006,0)), HYPERLINK("#",""), HYPERLINK(CONCATENATE("#Metadata!", ADDRESS(INDEX($H$2:$H$1001,MATCH(ROWS($F$2:F738),$F$2:$F$1001,0),0), INDEX($M$1004,1,MATCH(COLUMNS($M$1006:M1006),$M$1006,0)))),"Fix")))</f>
        <v>0</v>
      </c>
      <c r="F738">
        <v>0</v>
      </c>
      <c r="G738">
        <v>0</v>
      </c>
      <c r="H738">
        <v>0</v>
      </c>
      <c r="I738">
        <f>IF(J738,TRUE,AND(M738))</f>
        <v>0</v>
      </c>
      <c r="J738">
        <f>COUNTBLANK(Metadata!B738)=COLUMNS(Metadata!B738)</f>
        <v>0</v>
      </c>
      <c r="K738">
        <v>0</v>
      </c>
      <c r="M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</row>
    <row r="739" spans="1:13">
      <c r="A739" s="3">
        <f>IF(B739=" "," ",HYPERLINK(CONCATENATE("#metadata!",ADDRESS(INDEX($H$2:$H$1001,MATCH(ROWS($F$2:F739),$F$2:$F$1001,0),0),2)),INDEX($K$2:$K$1001,MATCH(ROWS($F$2:F739),$F$2:$F$1001,0),0)))</f>
        <v>0</v>
      </c>
      <c r="B739" s="4">
        <f>IF(OR(INDEX($G$2:$G$1001,MATCH(ROWS($F$2:F739),$F$2:$F$1001,0),1)&gt;=100000,INDEX($M$1005,1,MATCH(COLUMNS($M$1006:M1006),$M$1006,0))&gt;=100000), " ",IF(INDEX($M$2:$M$1001,MATCH(ROWS($F$2:F739),$F$2:$F$1001,0),MATCH(COLUMNS($M$1006:M1006),$M$1006,0)), HYPERLINK("#",""), HYPERLINK(CONCATENATE("#Metadata!", ADDRESS(INDEX($H$2:$H$1001,MATCH(ROWS($F$2:F739),$F$2:$F$1001,0),0), INDEX($M$1004,1,MATCH(COLUMNS($M$1006:M1006),$M$1006,0)))),"Fix")))</f>
        <v>0</v>
      </c>
      <c r="F739">
        <v>0</v>
      </c>
      <c r="G739">
        <v>0</v>
      </c>
      <c r="H739">
        <v>0</v>
      </c>
      <c r="I739">
        <f>IF(J739,TRUE,AND(M739))</f>
        <v>0</v>
      </c>
      <c r="J739">
        <f>COUNTBLANK(Metadata!B739)=COLUMNS(Metadata!B739)</f>
        <v>0</v>
      </c>
      <c r="K739">
        <v>0</v>
      </c>
      <c r="M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</row>
    <row r="740" spans="1:13">
      <c r="A740" s="3">
        <f>IF(B740=" "," ",HYPERLINK(CONCATENATE("#metadata!",ADDRESS(INDEX($H$2:$H$1001,MATCH(ROWS($F$2:F740),$F$2:$F$1001,0),0),2)),INDEX($K$2:$K$1001,MATCH(ROWS($F$2:F740),$F$2:$F$1001,0),0)))</f>
        <v>0</v>
      </c>
      <c r="B740" s="4">
        <f>IF(OR(INDEX($G$2:$G$1001,MATCH(ROWS($F$2:F740),$F$2:$F$1001,0),1)&gt;=100000,INDEX($M$1005,1,MATCH(COLUMNS($M$1006:M1006),$M$1006,0))&gt;=100000), " ",IF(INDEX($M$2:$M$1001,MATCH(ROWS($F$2:F740),$F$2:$F$1001,0),MATCH(COLUMNS($M$1006:M1006),$M$1006,0)), HYPERLINK("#",""), HYPERLINK(CONCATENATE("#Metadata!", ADDRESS(INDEX($H$2:$H$1001,MATCH(ROWS($F$2:F740),$F$2:$F$1001,0),0), INDEX($M$1004,1,MATCH(COLUMNS($M$1006:M1006),$M$1006,0)))),"Fix")))</f>
        <v>0</v>
      </c>
      <c r="F740">
        <v>0</v>
      </c>
      <c r="G740">
        <v>0</v>
      </c>
      <c r="H740">
        <v>0</v>
      </c>
      <c r="I740">
        <f>IF(J740,TRUE,AND(M740))</f>
        <v>0</v>
      </c>
      <c r="J740">
        <f>COUNTBLANK(Metadata!B740)=COLUMNS(Metadata!B740)</f>
        <v>0</v>
      </c>
      <c r="K740">
        <v>0</v>
      </c>
      <c r="M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</row>
    <row r="741" spans="1:13">
      <c r="A741" s="3">
        <f>IF(B741=" "," ",HYPERLINK(CONCATENATE("#metadata!",ADDRESS(INDEX($H$2:$H$1001,MATCH(ROWS($F$2:F741),$F$2:$F$1001,0),0),2)),INDEX($K$2:$K$1001,MATCH(ROWS($F$2:F741),$F$2:$F$1001,0),0)))</f>
        <v>0</v>
      </c>
      <c r="B741" s="4">
        <f>IF(OR(INDEX($G$2:$G$1001,MATCH(ROWS($F$2:F741),$F$2:$F$1001,0),1)&gt;=100000,INDEX($M$1005,1,MATCH(COLUMNS($M$1006:M1006),$M$1006,0))&gt;=100000), " ",IF(INDEX($M$2:$M$1001,MATCH(ROWS($F$2:F741),$F$2:$F$1001,0),MATCH(COLUMNS($M$1006:M1006),$M$1006,0)), HYPERLINK("#",""), HYPERLINK(CONCATENATE("#Metadata!", ADDRESS(INDEX($H$2:$H$1001,MATCH(ROWS($F$2:F741),$F$2:$F$1001,0),0), INDEX($M$1004,1,MATCH(COLUMNS($M$1006:M1006),$M$1006,0)))),"Fix")))</f>
        <v>0</v>
      </c>
      <c r="F741">
        <v>0</v>
      </c>
      <c r="G741">
        <v>0</v>
      </c>
      <c r="H741">
        <v>0</v>
      </c>
      <c r="I741">
        <f>IF(J741,TRUE,AND(M741))</f>
        <v>0</v>
      </c>
      <c r="J741">
        <f>COUNTBLANK(Metadata!B741)=COLUMNS(Metadata!B741)</f>
        <v>0</v>
      </c>
      <c r="K741">
        <v>0</v>
      </c>
      <c r="M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</row>
    <row r="742" spans="1:13">
      <c r="A742" s="3">
        <f>IF(B742=" "," ",HYPERLINK(CONCATENATE("#metadata!",ADDRESS(INDEX($H$2:$H$1001,MATCH(ROWS($F$2:F742),$F$2:$F$1001,0),0),2)),INDEX($K$2:$K$1001,MATCH(ROWS($F$2:F742),$F$2:$F$1001,0),0)))</f>
        <v>0</v>
      </c>
      <c r="B742" s="4">
        <f>IF(OR(INDEX($G$2:$G$1001,MATCH(ROWS($F$2:F742),$F$2:$F$1001,0),1)&gt;=100000,INDEX($M$1005,1,MATCH(COLUMNS($M$1006:M1006),$M$1006,0))&gt;=100000), " ",IF(INDEX($M$2:$M$1001,MATCH(ROWS($F$2:F742),$F$2:$F$1001,0),MATCH(COLUMNS($M$1006:M1006),$M$1006,0)), HYPERLINK("#",""), HYPERLINK(CONCATENATE("#Metadata!", ADDRESS(INDEX($H$2:$H$1001,MATCH(ROWS($F$2:F742),$F$2:$F$1001,0),0), INDEX($M$1004,1,MATCH(COLUMNS($M$1006:M1006),$M$1006,0)))),"Fix")))</f>
        <v>0</v>
      </c>
      <c r="F742">
        <v>0</v>
      </c>
      <c r="G742">
        <v>0</v>
      </c>
      <c r="H742">
        <v>0</v>
      </c>
      <c r="I742">
        <f>IF(J742,TRUE,AND(M742))</f>
        <v>0</v>
      </c>
      <c r="J742">
        <f>COUNTBLANK(Metadata!B742)=COLUMNS(Metadata!B742)</f>
        <v>0</v>
      </c>
      <c r="K742">
        <v>0</v>
      </c>
      <c r="M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</row>
    <row r="743" spans="1:13">
      <c r="A743" s="3">
        <f>IF(B743=" "," ",HYPERLINK(CONCATENATE("#metadata!",ADDRESS(INDEX($H$2:$H$1001,MATCH(ROWS($F$2:F743),$F$2:$F$1001,0),0),2)),INDEX($K$2:$K$1001,MATCH(ROWS($F$2:F743),$F$2:$F$1001,0),0)))</f>
        <v>0</v>
      </c>
      <c r="B743" s="4">
        <f>IF(OR(INDEX($G$2:$G$1001,MATCH(ROWS($F$2:F743),$F$2:$F$1001,0),1)&gt;=100000,INDEX($M$1005,1,MATCH(COLUMNS($M$1006:M1006),$M$1006,0))&gt;=100000), " ",IF(INDEX($M$2:$M$1001,MATCH(ROWS($F$2:F743),$F$2:$F$1001,0),MATCH(COLUMNS($M$1006:M1006),$M$1006,0)), HYPERLINK("#",""), HYPERLINK(CONCATENATE("#Metadata!", ADDRESS(INDEX($H$2:$H$1001,MATCH(ROWS($F$2:F743),$F$2:$F$1001,0),0), INDEX($M$1004,1,MATCH(COLUMNS($M$1006:M1006),$M$1006,0)))),"Fix")))</f>
        <v>0</v>
      </c>
      <c r="F743">
        <v>0</v>
      </c>
      <c r="G743">
        <v>0</v>
      </c>
      <c r="H743">
        <v>0</v>
      </c>
      <c r="I743">
        <f>IF(J743,TRUE,AND(M743))</f>
        <v>0</v>
      </c>
      <c r="J743">
        <f>COUNTBLANK(Metadata!B743)=COLUMNS(Metadata!B743)</f>
        <v>0</v>
      </c>
      <c r="K743">
        <v>0</v>
      </c>
      <c r="M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</row>
    <row r="744" spans="1:13">
      <c r="A744" s="3">
        <f>IF(B744=" "," ",HYPERLINK(CONCATENATE("#metadata!",ADDRESS(INDEX($H$2:$H$1001,MATCH(ROWS($F$2:F744),$F$2:$F$1001,0),0),2)),INDEX($K$2:$K$1001,MATCH(ROWS($F$2:F744),$F$2:$F$1001,0),0)))</f>
        <v>0</v>
      </c>
      <c r="B744" s="4">
        <f>IF(OR(INDEX($G$2:$G$1001,MATCH(ROWS($F$2:F744),$F$2:$F$1001,0),1)&gt;=100000,INDEX($M$1005,1,MATCH(COLUMNS($M$1006:M1006),$M$1006,0))&gt;=100000), " ",IF(INDEX($M$2:$M$1001,MATCH(ROWS($F$2:F744),$F$2:$F$1001,0),MATCH(COLUMNS($M$1006:M1006),$M$1006,0)), HYPERLINK("#",""), HYPERLINK(CONCATENATE("#Metadata!", ADDRESS(INDEX($H$2:$H$1001,MATCH(ROWS($F$2:F744),$F$2:$F$1001,0),0), INDEX($M$1004,1,MATCH(COLUMNS($M$1006:M1006),$M$1006,0)))),"Fix")))</f>
        <v>0</v>
      </c>
      <c r="F744">
        <v>0</v>
      </c>
      <c r="G744">
        <v>0</v>
      </c>
      <c r="H744">
        <v>0</v>
      </c>
      <c r="I744">
        <f>IF(J744,TRUE,AND(M744))</f>
        <v>0</v>
      </c>
      <c r="J744">
        <f>COUNTBLANK(Metadata!B744)=COLUMNS(Metadata!B744)</f>
        <v>0</v>
      </c>
      <c r="K744">
        <v>0</v>
      </c>
      <c r="M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</row>
    <row r="745" spans="1:13">
      <c r="A745" s="3">
        <f>IF(B745=" "," ",HYPERLINK(CONCATENATE("#metadata!",ADDRESS(INDEX($H$2:$H$1001,MATCH(ROWS($F$2:F745),$F$2:$F$1001,0),0),2)),INDEX($K$2:$K$1001,MATCH(ROWS($F$2:F745),$F$2:$F$1001,0),0)))</f>
        <v>0</v>
      </c>
      <c r="B745" s="4">
        <f>IF(OR(INDEX($G$2:$G$1001,MATCH(ROWS($F$2:F745),$F$2:$F$1001,0),1)&gt;=100000,INDEX($M$1005,1,MATCH(COLUMNS($M$1006:M1006),$M$1006,0))&gt;=100000), " ",IF(INDEX($M$2:$M$1001,MATCH(ROWS($F$2:F745),$F$2:$F$1001,0),MATCH(COLUMNS($M$1006:M1006),$M$1006,0)), HYPERLINK("#",""), HYPERLINK(CONCATENATE("#Metadata!", ADDRESS(INDEX($H$2:$H$1001,MATCH(ROWS($F$2:F745),$F$2:$F$1001,0),0), INDEX($M$1004,1,MATCH(COLUMNS($M$1006:M1006),$M$1006,0)))),"Fix")))</f>
        <v>0</v>
      </c>
      <c r="F745">
        <v>0</v>
      </c>
      <c r="G745">
        <v>0</v>
      </c>
      <c r="H745">
        <v>0</v>
      </c>
      <c r="I745">
        <f>IF(J745,TRUE,AND(M745))</f>
        <v>0</v>
      </c>
      <c r="J745">
        <f>COUNTBLANK(Metadata!B745)=COLUMNS(Metadata!B745)</f>
        <v>0</v>
      </c>
      <c r="K745">
        <v>0</v>
      </c>
      <c r="M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</row>
    <row r="746" spans="1:13">
      <c r="A746" s="3">
        <f>IF(B746=" "," ",HYPERLINK(CONCATENATE("#metadata!",ADDRESS(INDEX($H$2:$H$1001,MATCH(ROWS($F$2:F746),$F$2:$F$1001,0),0),2)),INDEX($K$2:$K$1001,MATCH(ROWS($F$2:F746),$F$2:$F$1001,0),0)))</f>
        <v>0</v>
      </c>
      <c r="B746" s="4">
        <f>IF(OR(INDEX($G$2:$G$1001,MATCH(ROWS($F$2:F746),$F$2:$F$1001,0),1)&gt;=100000,INDEX($M$1005,1,MATCH(COLUMNS($M$1006:M1006),$M$1006,0))&gt;=100000), " ",IF(INDEX($M$2:$M$1001,MATCH(ROWS($F$2:F746),$F$2:$F$1001,0),MATCH(COLUMNS($M$1006:M1006),$M$1006,0)), HYPERLINK("#",""), HYPERLINK(CONCATENATE("#Metadata!", ADDRESS(INDEX($H$2:$H$1001,MATCH(ROWS($F$2:F746),$F$2:$F$1001,0),0), INDEX($M$1004,1,MATCH(COLUMNS($M$1006:M1006),$M$1006,0)))),"Fix")))</f>
        <v>0</v>
      </c>
      <c r="F746">
        <v>0</v>
      </c>
      <c r="G746">
        <v>0</v>
      </c>
      <c r="H746">
        <v>0</v>
      </c>
      <c r="I746">
        <f>IF(J746,TRUE,AND(M746))</f>
        <v>0</v>
      </c>
      <c r="J746">
        <f>COUNTBLANK(Metadata!B746)=COLUMNS(Metadata!B746)</f>
        <v>0</v>
      </c>
      <c r="K746">
        <v>0</v>
      </c>
      <c r="M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</row>
    <row r="747" spans="1:13">
      <c r="A747" s="3">
        <f>IF(B747=" "," ",HYPERLINK(CONCATENATE("#metadata!",ADDRESS(INDEX($H$2:$H$1001,MATCH(ROWS($F$2:F747),$F$2:$F$1001,0),0),2)),INDEX($K$2:$K$1001,MATCH(ROWS($F$2:F747),$F$2:$F$1001,0),0)))</f>
        <v>0</v>
      </c>
      <c r="B747" s="4">
        <f>IF(OR(INDEX($G$2:$G$1001,MATCH(ROWS($F$2:F747),$F$2:$F$1001,0),1)&gt;=100000,INDEX($M$1005,1,MATCH(COLUMNS($M$1006:M1006),$M$1006,0))&gt;=100000), " ",IF(INDEX($M$2:$M$1001,MATCH(ROWS($F$2:F747),$F$2:$F$1001,0),MATCH(COLUMNS($M$1006:M1006),$M$1006,0)), HYPERLINK("#",""), HYPERLINK(CONCATENATE("#Metadata!", ADDRESS(INDEX($H$2:$H$1001,MATCH(ROWS($F$2:F747),$F$2:$F$1001,0),0), INDEX($M$1004,1,MATCH(COLUMNS($M$1006:M1006),$M$1006,0)))),"Fix")))</f>
        <v>0</v>
      </c>
      <c r="F747">
        <v>0</v>
      </c>
      <c r="G747">
        <v>0</v>
      </c>
      <c r="H747">
        <v>0</v>
      </c>
      <c r="I747">
        <f>IF(J747,TRUE,AND(M747))</f>
        <v>0</v>
      </c>
      <c r="J747">
        <f>COUNTBLANK(Metadata!B747)=COLUMNS(Metadata!B747)</f>
        <v>0</v>
      </c>
      <c r="K747">
        <v>0</v>
      </c>
      <c r="M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</row>
    <row r="748" spans="1:13">
      <c r="A748" s="3">
        <f>IF(B748=" "," ",HYPERLINK(CONCATENATE("#metadata!",ADDRESS(INDEX($H$2:$H$1001,MATCH(ROWS($F$2:F748),$F$2:$F$1001,0),0),2)),INDEX($K$2:$K$1001,MATCH(ROWS($F$2:F748),$F$2:$F$1001,0),0)))</f>
        <v>0</v>
      </c>
      <c r="B748" s="4">
        <f>IF(OR(INDEX($G$2:$G$1001,MATCH(ROWS($F$2:F748),$F$2:$F$1001,0),1)&gt;=100000,INDEX($M$1005,1,MATCH(COLUMNS($M$1006:M1006),$M$1006,0))&gt;=100000), " ",IF(INDEX($M$2:$M$1001,MATCH(ROWS($F$2:F748),$F$2:$F$1001,0),MATCH(COLUMNS($M$1006:M1006),$M$1006,0)), HYPERLINK("#",""), HYPERLINK(CONCATENATE("#Metadata!", ADDRESS(INDEX($H$2:$H$1001,MATCH(ROWS($F$2:F748),$F$2:$F$1001,0),0), INDEX($M$1004,1,MATCH(COLUMNS($M$1006:M1006),$M$1006,0)))),"Fix")))</f>
        <v>0</v>
      </c>
      <c r="F748">
        <v>0</v>
      </c>
      <c r="G748">
        <v>0</v>
      </c>
      <c r="H748">
        <v>0</v>
      </c>
      <c r="I748">
        <f>IF(J748,TRUE,AND(M748))</f>
        <v>0</v>
      </c>
      <c r="J748">
        <f>COUNTBLANK(Metadata!B748)=COLUMNS(Metadata!B748)</f>
        <v>0</v>
      </c>
      <c r="K748">
        <v>0</v>
      </c>
      <c r="M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</row>
    <row r="749" spans="1:13">
      <c r="A749" s="3">
        <f>IF(B749=" "," ",HYPERLINK(CONCATENATE("#metadata!",ADDRESS(INDEX($H$2:$H$1001,MATCH(ROWS($F$2:F749),$F$2:$F$1001,0),0),2)),INDEX($K$2:$K$1001,MATCH(ROWS($F$2:F749),$F$2:$F$1001,0),0)))</f>
        <v>0</v>
      </c>
      <c r="B749" s="4">
        <f>IF(OR(INDEX($G$2:$G$1001,MATCH(ROWS($F$2:F749),$F$2:$F$1001,0),1)&gt;=100000,INDEX($M$1005,1,MATCH(COLUMNS($M$1006:M1006),$M$1006,0))&gt;=100000), " ",IF(INDEX($M$2:$M$1001,MATCH(ROWS($F$2:F749),$F$2:$F$1001,0),MATCH(COLUMNS($M$1006:M1006),$M$1006,0)), HYPERLINK("#",""), HYPERLINK(CONCATENATE("#Metadata!", ADDRESS(INDEX($H$2:$H$1001,MATCH(ROWS($F$2:F749),$F$2:$F$1001,0),0), INDEX($M$1004,1,MATCH(COLUMNS($M$1006:M1006),$M$1006,0)))),"Fix")))</f>
        <v>0</v>
      </c>
      <c r="F749">
        <v>0</v>
      </c>
      <c r="G749">
        <v>0</v>
      </c>
      <c r="H749">
        <v>0</v>
      </c>
      <c r="I749">
        <f>IF(J749,TRUE,AND(M749))</f>
        <v>0</v>
      </c>
      <c r="J749">
        <f>COUNTBLANK(Metadata!B749)=COLUMNS(Metadata!B749)</f>
        <v>0</v>
      </c>
      <c r="K749">
        <v>0</v>
      </c>
      <c r="M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</row>
    <row r="750" spans="1:13">
      <c r="A750" s="3">
        <f>IF(B750=" "," ",HYPERLINK(CONCATENATE("#metadata!",ADDRESS(INDEX($H$2:$H$1001,MATCH(ROWS($F$2:F750),$F$2:$F$1001,0),0),2)),INDEX($K$2:$K$1001,MATCH(ROWS($F$2:F750),$F$2:$F$1001,0),0)))</f>
        <v>0</v>
      </c>
      <c r="B750" s="4">
        <f>IF(OR(INDEX($G$2:$G$1001,MATCH(ROWS($F$2:F750),$F$2:$F$1001,0),1)&gt;=100000,INDEX($M$1005,1,MATCH(COLUMNS($M$1006:M1006),$M$1006,0))&gt;=100000), " ",IF(INDEX($M$2:$M$1001,MATCH(ROWS($F$2:F750),$F$2:$F$1001,0),MATCH(COLUMNS($M$1006:M1006),$M$1006,0)), HYPERLINK("#",""), HYPERLINK(CONCATENATE("#Metadata!", ADDRESS(INDEX($H$2:$H$1001,MATCH(ROWS($F$2:F750),$F$2:$F$1001,0),0), INDEX($M$1004,1,MATCH(COLUMNS($M$1006:M1006),$M$1006,0)))),"Fix")))</f>
        <v>0</v>
      </c>
      <c r="F750">
        <v>0</v>
      </c>
      <c r="G750">
        <v>0</v>
      </c>
      <c r="H750">
        <v>0</v>
      </c>
      <c r="I750">
        <f>IF(J750,TRUE,AND(M750))</f>
        <v>0</v>
      </c>
      <c r="J750">
        <f>COUNTBLANK(Metadata!B750)=COLUMNS(Metadata!B750)</f>
        <v>0</v>
      </c>
      <c r="K750">
        <v>0</v>
      </c>
      <c r="M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</row>
    <row r="751" spans="1:13">
      <c r="A751" s="3">
        <f>IF(B751=" "," ",HYPERLINK(CONCATENATE("#metadata!",ADDRESS(INDEX($H$2:$H$1001,MATCH(ROWS($F$2:F751),$F$2:$F$1001,0),0),2)),INDEX($K$2:$K$1001,MATCH(ROWS($F$2:F751),$F$2:$F$1001,0),0)))</f>
        <v>0</v>
      </c>
      <c r="B751" s="4">
        <f>IF(OR(INDEX($G$2:$G$1001,MATCH(ROWS($F$2:F751),$F$2:$F$1001,0),1)&gt;=100000,INDEX($M$1005,1,MATCH(COLUMNS($M$1006:M1006),$M$1006,0))&gt;=100000), " ",IF(INDEX($M$2:$M$1001,MATCH(ROWS($F$2:F751),$F$2:$F$1001,0),MATCH(COLUMNS($M$1006:M1006),$M$1006,0)), HYPERLINK("#",""), HYPERLINK(CONCATENATE("#Metadata!", ADDRESS(INDEX($H$2:$H$1001,MATCH(ROWS($F$2:F751),$F$2:$F$1001,0),0), INDEX($M$1004,1,MATCH(COLUMNS($M$1006:M1006),$M$1006,0)))),"Fix")))</f>
        <v>0</v>
      </c>
      <c r="F751">
        <v>0</v>
      </c>
      <c r="G751">
        <v>0</v>
      </c>
      <c r="H751">
        <v>0</v>
      </c>
      <c r="I751">
        <f>IF(J751,TRUE,AND(M751))</f>
        <v>0</v>
      </c>
      <c r="J751">
        <f>COUNTBLANK(Metadata!B751)=COLUMNS(Metadata!B751)</f>
        <v>0</v>
      </c>
      <c r="K751">
        <v>0</v>
      </c>
      <c r="M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</row>
    <row r="752" spans="1:13">
      <c r="A752" s="3">
        <f>IF(B752=" "," ",HYPERLINK(CONCATENATE("#metadata!",ADDRESS(INDEX($H$2:$H$1001,MATCH(ROWS($F$2:F752),$F$2:$F$1001,0),0),2)),INDEX($K$2:$K$1001,MATCH(ROWS($F$2:F752),$F$2:$F$1001,0),0)))</f>
        <v>0</v>
      </c>
      <c r="B752" s="4">
        <f>IF(OR(INDEX($G$2:$G$1001,MATCH(ROWS($F$2:F752),$F$2:$F$1001,0),1)&gt;=100000,INDEX($M$1005,1,MATCH(COLUMNS($M$1006:M1006),$M$1006,0))&gt;=100000), " ",IF(INDEX($M$2:$M$1001,MATCH(ROWS($F$2:F752),$F$2:$F$1001,0),MATCH(COLUMNS($M$1006:M1006),$M$1006,0)), HYPERLINK("#",""), HYPERLINK(CONCATENATE("#Metadata!", ADDRESS(INDEX($H$2:$H$1001,MATCH(ROWS($F$2:F752),$F$2:$F$1001,0),0), INDEX($M$1004,1,MATCH(COLUMNS($M$1006:M1006),$M$1006,0)))),"Fix")))</f>
        <v>0</v>
      </c>
      <c r="F752">
        <v>0</v>
      </c>
      <c r="G752">
        <v>0</v>
      </c>
      <c r="H752">
        <v>0</v>
      </c>
      <c r="I752">
        <f>IF(J752,TRUE,AND(M752))</f>
        <v>0</v>
      </c>
      <c r="J752">
        <f>COUNTBLANK(Metadata!B752)=COLUMNS(Metadata!B752)</f>
        <v>0</v>
      </c>
      <c r="K752">
        <v>0</v>
      </c>
      <c r="M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</row>
    <row r="753" spans="1:13">
      <c r="A753" s="3">
        <f>IF(B753=" "," ",HYPERLINK(CONCATENATE("#metadata!",ADDRESS(INDEX($H$2:$H$1001,MATCH(ROWS($F$2:F753),$F$2:$F$1001,0),0),2)),INDEX($K$2:$K$1001,MATCH(ROWS($F$2:F753),$F$2:$F$1001,0),0)))</f>
        <v>0</v>
      </c>
      <c r="B753" s="4">
        <f>IF(OR(INDEX($G$2:$G$1001,MATCH(ROWS($F$2:F753),$F$2:$F$1001,0),1)&gt;=100000,INDEX($M$1005,1,MATCH(COLUMNS($M$1006:M1006),$M$1006,0))&gt;=100000), " ",IF(INDEX($M$2:$M$1001,MATCH(ROWS($F$2:F753),$F$2:$F$1001,0),MATCH(COLUMNS($M$1006:M1006),$M$1006,0)), HYPERLINK("#",""), HYPERLINK(CONCATENATE("#Metadata!", ADDRESS(INDEX($H$2:$H$1001,MATCH(ROWS($F$2:F753),$F$2:$F$1001,0),0), INDEX($M$1004,1,MATCH(COLUMNS($M$1006:M1006),$M$1006,0)))),"Fix")))</f>
        <v>0</v>
      </c>
      <c r="F753">
        <v>0</v>
      </c>
      <c r="G753">
        <v>0</v>
      </c>
      <c r="H753">
        <v>0</v>
      </c>
      <c r="I753">
        <f>IF(J753,TRUE,AND(M753))</f>
        <v>0</v>
      </c>
      <c r="J753">
        <f>COUNTBLANK(Metadata!B753)=COLUMNS(Metadata!B753)</f>
        <v>0</v>
      </c>
      <c r="K753">
        <v>0</v>
      </c>
      <c r="M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</row>
    <row r="754" spans="1:13">
      <c r="A754" s="3">
        <f>IF(B754=" "," ",HYPERLINK(CONCATENATE("#metadata!",ADDRESS(INDEX($H$2:$H$1001,MATCH(ROWS($F$2:F754),$F$2:$F$1001,0),0),2)),INDEX($K$2:$K$1001,MATCH(ROWS($F$2:F754),$F$2:$F$1001,0),0)))</f>
        <v>0</v>
      </c>
      <c r="B754" s="4">
        <f>IF(OR(INDEX($G$2:$G$1001,MATCH(ROWS($F$2:F754),$F$2:$F$1001,0),1)&gt;=100000,INDEX($M$1005,1,MATCH(COLUMNS($M$1006:M1006),$M$1006,0))&gt;=100000), " ",IF(INDEX($M$2:$M$1001,MATCH(ROWS($F$2:F754),$F$2:$F$1001,0),MATCH(COLUMNS($M$1006:M1006),$M$1006,0)), HYPERLINK("#",""), HYPERLINK(CONCATENATE("#Metadata!", ADDRESS(INDEX($H$2:$H$1001,MATCH(ROWS($F$2:F754),$F$2:$F$1001,0),0), INDEX($M$1004,1,MATCH(COLUMNS($M$1006:M1006),$M$1006,0)))),"Fix")))</f>
        <v>0</v>
      </c>
      <c r="F754">
        <v>0</v>
      </c>
      <c r="G754">
        <v>0</v>
      </c>
      <c r="H754">
        <v>0</v>
      </c>
      <c r="I754">
        <f>IF(J754,TRUE,AND(M754))</f>
        <v>0</v>
      </c>
      <c r="J754">
        <f>COUNTBLANK(Metadata!B754)=COLUMNS(Metadata!B754)</f>
        <v>0</v>
      </c>
      <c r="K754">
        <v>0</v>
      </c>
      <c r="M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</row>
    <row r="755" spans="1:13">
      <c r="A755" s="3">
        <f>IF(B755=" "," ",HYPERLINK(CONCATENATE("#metadata!",ADDRESS(INDEX($H$2:$H$1001,MATCH(ROWS($F$2:F755),$F$2:$F$1001,0),0),2)),INDEX($K$2:$K$1001,MATCH(ROWS($F$2:F755),$F$2:$F$1001,0),0)))</f>
        <v>0</v>
      </c>
      <c r="B755" s="4">
        <f>IF(OR(INDEX($G$2:$G$1001,MATCH(ROWS($F$2:F755),$F$2:$F$1001,0),1)&gt;=100000,INDEX($M$1005,1,MATCH(COLUMNS($M$1006:M1006),$M$1006,0))&gt;=100000), " ",IF(INDEX($M$2:$M$1001,MATCH(ROWS($F$2:F755),$F$2:$F$1001,0),MATCH(COLUMNS($M$1006:M1006),$M$1006,0)), HYPERLINK("#",""), HYPERLINK(CONCATENATE("#Metadata!", ADDRESS(INDEX($H$2:$H$1001,MATCH(ROWS($F$2:F755),$F$2:$F$1001,0),0), INDEX($M$1004,1,MATCH(COLUMNS($M$1006:M1006),$M$1006,0)))),"Fix")))</f>
        <v>0</v>
      </c>
      <c r="F755">
        <v>0</v>
      </c>
      <c r="G755">
        <v>0</v>
      </c>
      <c r="H755">
        <v>0</v>
      </c>
      <c r="I755">
        <f>IF(J755,TRUE,AND(M755))</f>
        <v>0</v>
      </c>
      <c r="J755">
        <f>COUNTBLANK(Metadata!B755)=COLUMNS(Metadata!B755)</f>
        <v>0</v>
      </c>
      <c r="K755">
        <v>0</v>
      </c>
      <c r="M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</row>
    <row r="756" spans="1:13">
      <c r="A756" s="3">
        <f>IF(B756=" "," ",HYPERLINK(CONCATENATE("#metadata!",ADDRESS(INDEX($H$2:$H$1001,MATCH(ROWS($F$2:F756),$F$2:$F$1001,0),0),2)),INDEX($K$2:$K$1001,MATCH(ROWS($F$2:F756),$F$2:$F$1001,0),0)))</f>
        <v>0</v>
      </c>
      <c r="B756" s="4">
        <f>IF(OR(INDEX($G$2:$G$1001,MATCH(ROWS($F$2:F756),$F$2:$F$1001,0),1)&gt;=100000,INDEX($M$1005,1,MATCH(COLUMNS($M$1006:M1006),$M$1006,0))&gt;=100000), " ",IF(INDEX($M$2:$M$1001,MATCH(ROWS($F$2:F756),$F$2:$F$1001,0),MATCH(COLUMNS($M$1006:M1006),$M$1006,0)), HYPERLINK("#",""), HYPERLINK(CONCATENATE("#Metadata!", ADDRESS(INDEX($H$2:$H$1001,MATCH(ROWS($F$2:F756),$F$2:$F$1001,0),0), INDEX($M$1004,1,MATCH(COLUMNS($M$1006:M1006),$M$1006,0)))),"Fix")))</f>
        <v>0</v>
      </c>
      <c r="F756">
        <v>0</v>
      </c>
      <c r="G756">
        <v>0</v>
      </c>
      <c r="H756">
        <v>0</v>
      </c>
      <c r="I756">
        <f>IF(J756,TRUE,AND(M756))</f>
        <v>0</v>
      </c>
      <c r="J756">
        <f>COUNTBLANK(Metadata!B756)=COLUMNS(Metadata!B756)</f>
        <v>0</v>
      </c>
      <c r="K756">
        <v>0</v>
      </c>
      <c r="M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</row>
    <row r="757" spans="1:13">
      <c r="A757" s="3">
        <f>IF(B757=" "," ",HYPERLINK(CONCATENATE("#metadata!",ADDRESS(INDEX($H$2:$H$1001,MATCH(ROWS($F$2:F757),$F$2:$F$1001,0),0),2)),INDEX($K$2:$K$1001,MATCH(ROWS($F$2:F757),$F$2:$F$1001,0),0)))</f>
        <v>0</v>
      </c>
      <c r="B757" s="4">
        <f>IF(OR(INDEX($G$2:$G$1001,MATCH(ROWS($F$2:F757),$F$2:$F$1001,0),1)&gt;=100000,INDEX($M$1005,1,MATCH(COLUMNS($M$1006:M1006),$M$1006,0))&gt;=100000), " ",IF(INDEX($M$2:$M$1001,MATCH(ROWS($F$2:F757),$F$2:$F$1001,0),MATCH(COLUMNS($M$1006:M1006),$M$1006,0)), HYPERLINK("#",""), HYPERLINK(CONCATENATE("#Metadata!", ADDRESS(INDEX($H$2:$H$1001,MATCH(ROWS($F$2:F757),$F$2:$F$1001,0),0), INDEX($M$1004,1,MATCH(COLUMNS($M$1006:M1006),$M$1006,0)))),"Fix")))</f>
        <v>0</v>
      </c>
      <c r="F757">
        <v>0</v>
      </c>
      <c r="G757">
        <v>0</v>
      </c>
      <c r="H757">
        <v>0</v>
      </c>
      <c r="I757">
        <f>IF(J757,TRUE,AND(M757))</f>
        <v>0</v>
      </c>
      <c r="J757">
        <f>COUNTBLANK(Metadata!B757)=COLUMNS(Metadata!B757)</f>
        <v>0</v>
      </c>
      <c r="K757">
        <v>0</v>
      </c>
      <c r="M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</row>
    <row r="758" spans="1:13">
      <c r="A758" s="3">
        <f>IF(B758=" "," ",HYPERLINK(CONCATENATE("#metadata!",ADDRESS(INDEX($H$2:$H$1001,MATCH(ROWS($F$2:F758),$F$2:$F$1001,0),0),2)),INDEX($K$2:$K$1001,MATCH(ROWS($F$2:F758),$F$2:$F$1001,0),0)))</f>
        <v>0</v>
      </c>
      <c r="B758" s="4">
        <f>IF(OR(INDEX($G$2:$G$1001,MATCH(ROWS($F$2:F758),$F$2:$F$1001,0),1)&gt;=100000,INDEX($M$1005,1,MATCH(COLUMNS($M$1006:M1006),$M$1006,0))&gt;=100000), " ",IF(INDEX($M$2:$M$1001,MATCH(ROWS($F$2:F758),$F$2:$F$1001,0),MATCH(COLUMNS($M$1006:M1006),$M$1006,0)), HYPERLINK("#",""), HYPERLINK(CONCATENATE("#Metadata!", ADDRESS(INDEX($H$2:$H$1001,MATCH(ROWS($F$2:F758),$F$2:$F$1001,0),0), INDEX($M$1004,1,MATCH(COLUMNS($M$1006:M1006),$M$1006,0)))),"Fix")))</f>
        <v>0</v>
      </c>
      <c r="F758">
        <v>0</v>
      </c>
      <c r="G758">
        <v>0</v>
      </c>
      <c r="H758">
        <v>0</v>
      </c>
      <c r="I758">
        <f>IF(J758,TRUE,AND(M758))</f>
        <v>0</v>
      </c>
      <c r="J758">
        <f>COUNTBLANK(Metadata!B758)=COLUMNS(Metadata!B758)</f>
        <v>0</v>
      </c>
      <c r="K758">
        <v>0</v>
      </c>
      <c r="M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</row>
    <row r="759" spans="1:13">
      <c r="A759" s="3">
        <f>IF(B759=" "," ",HYPERLINK(CONCATENATE("#metadata!",ADDRESS(INDEX($H$2:$H$1001,MATCH(ROWS($F$2:F759),$F$2:$F$1001,0),0),2)),INDEX($K$2:$K$1001,MATCH(ROWS($F$2:F759),$F$2:$F$1001,0),0)))</f>
        <v>0</v>
      </c>
      <c r="B759" s="4">
        <f>IF(OR(INDEX($G$2:$G$1001,MATCH(ROWS($F$2:F759),$F$2:$F$1001,0),1)&gt;=100000,INDEX($M$1005,1,MATCH(COLUMNS($M$1006:M1006),$M$1006,0))&gt;=100000), " ",IF(INDEX($M$2:$M$1001,MATCH(ROWS($F$2:F759),$F$2:$F$1001,0),MATCH(COLUMNS($M$1006:M1006),$M$1006,0)), HYPERLINK("#",""), HYPERLINK(CONCATENATE("#Metadata!", ADDRESS(INDEX($H$2:$H$1001,MATCH(ROWS($F$2:F759),$F$2:$F$1001,0),0), INDEX($M$1004,1,MATCH(COLUMNS($M$1006:M1006),$M$1006,0)))),"Fix")))</f>
        <v>0</v>
      </c>
      <c r="F759">
        <v>0</v>
      </c>
      <c r="G759">
        <v>0</v>
      </c>
      <c r="H759">
        <v>0</v>
      </c>
      <c r="I759">
        <f>IF(J759,TRUE,AND(M759))</f>
        <v>0</v>
      </c>
      <c r="J759">
        <f>COUNTBLANK(Metadata!B759)=COLUMNS(Metadata!B759)</f>
        <v>0</v>
      </c>
      <c r="K759">
        <v>0</v>
      </c>
      <c r="M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</row>
    <row r="760" spans="1:13">
      <c r="A760" s="3">
        <f>IF(B760=" "," ",HYPERLINK(CONCATENATE("#metadata!",ADDRESS(INDEX($H$2:$H$1001,MATCH(ROWS($F$2:F760),$F$2:$F$1001,0),0),2)),INDEX($K$2:$K$1001,MATCH(ROWS($F$2:F760),$F$2:$F$1001,0),0)))</f>
        <v>0</v>
      </c>
      <c r="B760" s="4">
        <f>IF(OR(INDEX($G$2:$G$1001,MATCH(ROWS($F$2:F760),$F$2:$F$1001,0),1)&gt;=100000,INDEX($M$1005,1,MATCH(COLUMNS($M$1006:M1006),$M$1006,0))&gt;=100000), " ",IF(INDEX($M$2:$M$1001,MATCH(ROWS($F$2:F760),$F$2:$F$1001,0),MATCH(COLUMNS($M$1006:M1006),$M$1006,0)), HYPERLINK("#",""), HYPERLINK(CONCATENATE("#Metadata!", ADDRESS(INDEX($H$2:$H$1001,MATCH(ROWS($F$2:F760),$F$2:$F$1001,0),0), INDEX($M$1004,1,MATCH(COLUMNS($M$1006:M1006),$M$1006,0)))),"Fix")))</f>
        <v>0</v>
      </c>
      <c r="F760">
        <v>0</v>
      </c>
      <c r="G760">
        <v>0</v>
      </c>
      <c r="H760">
        <v>0</v>
      </c>
      <c r="I760">
        <f>IF(J760,TRUE,AND(M760))</f>
        <v>0</v>
      </c>
      <c r="J760">
        <f>COUNTBLANK(Metadata!B760)=COLUMNS(Metadata!B760)</f>
        <v>0</v>
      </c>
      <c r="K760">
        <v>0</v>
      </c>
      <c r="M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</row>
    <row r="761" spans="1:13">
      <c r="A761" s="3">
        <f>IF(B761=" "," ",HYPERLINK(CONCATENATE("#metadata!",ADDRESS(INDEX($H$2:$H$1001,MATCH(ROWS($F$2:F761),$F$2:$F$1001,0),0),2)),INDEX($K$2:$K$1001,MATCH(ROWS($F$2:F761),$F$2:$F$1001,0),0)))</f>
        <v>0</v>
      </c>
      <c r="B761" s="4">
        <f>IF(OR(INDEX($G$2:$G$1001,MATCH(ROWS($F$2:F761),$F$2:$F$1001,0),1)&gt;=100000,INDEX($M$1005,1,MATCH(COLUMNS($M$1006:M1006),$M$1006,0))&gt;=100000), " ",IF(INDEX($M$2:$M$1001,MATCH(ROWS($F$2:F761),$F$2:$F$1001,0),MATCH(COLUMNS($M$1006:M1006),$M$1006,0)), HYPERLINK("#",""), HYPERLINK(CONCATENATE("#Metadata!", ADDRESS(INDEX($H$2:$H$1001,MATCH(ROWS($F$2:F761),$F$2:$F$1001,0),0), INDEX($M$1004,1,MATCH(COLUMNS($M$1006:M1006),$M$1006,0)))),"Fix")))</f>
        <v>0</v>
      </c>
      <c r="F761">
        <v>0</v>
      </c>
      <c r="G761">
        <v>0</v>
      </c>
      <c r="H761">
        <v>0</v>
      </c>
      <c r="I761">
        <f>IF(J761,TRUE,AND(M761))</f>
        <v>0</v>
      </c>
      <c r="J761">
        <f>COUNTBLANK(Metadata!B761)=COLUMNS(Metadata!B761)</f>
        <v>0</v>
      </c>
      <c r="K761">
        <v>0</v>
      </c>
      <c r="M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</row>
    <row r="762" spans="1:13">
      <c r="A762" s="3">
        <f>IF(B762=" "," ",HYPERLINK(CONCATENATE("#metadata!",ADDRESS(INDEX($H$2:$H$1001,MATCH(ROWS($F$2:F762),$F$2:$F$1001,0),0),2)),INDEX($K$2:$K$1001,MATCH(ROWS($F$2:F762),$F$2:$F$1001,0),0)))</f>
        <v>0</v>
      </c>
      <c r="B762" s="4">
        <f>IF(OR(INDEX($G$2:$G$1001,MATCH(ROWS($F$2:F762),$F$2:$F$1001,0),1)&gt;=100000,INDEX($M$1005,1,MATCH(COLUMNS($M$1006:M1006),$M$1006,0))&gt;=100000), " ",IF(INDEX($M$2:$M$1001,MATCH(ROWS($F$2:F762),$F$2:$F$1001,0),MATCH(COLUMNS($M$1006:M1006),$M$1006,0)), HYPERLINK("#",""), HYPERLINK(CONCATENATE("#Metadata!", ADDRESS(INDEX($H$2:$H$1001,MATCH(ROWS($F$2:F762),$F$2:$F$1001,0),0), INDEX($M$1004,1,MATCH(COLUMNS($M$1006:M1006),$M$1006,0)))),"Fix")))</f>
        <v>0</v>
      </c>
      <c r="F762">
        <v>0</v>
      </c>
      <c r="G762">
        <v>0</v>
      </c>
      <c r="H762">
        <v>0</v>
      </c>
      <c r="I762">
        <f>IF(J762,TRUE,AND(M762))</f>
        <v>0</v>
      </c>
      <c r="J762">
        <f>COUNTBLANK(Metadata!B762)=COLUMNS(Metadata!B762)</f>
        <v>0</v>
      </c>
      <c r="K762">
        <v>0</v>
      </c>
      <c r="M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</row>
    <row r="763" spans="1:13">
      <c r="A763" s="3">
        <f>IF(B763=" "," ",HYPERLINK(CONCATENATE("#metadata!",ADDRESS(INDEX($H$2:$H$1001,MATCH(ROWS($F$2:F763),$F$2:$F$1001,0),0),2)),INDEX($K$2:$K$1001,MATCH(ROWS($F$2:F763),$F$2:$F$1001,0),0)))</f>
        <v>0</v>
      </c>
      <c r="B763" s="4">
        <f>IF(OR(INDEX($G$2:$G$1001,MATCH(ROWS($F$2:F763),$F$2:$F$1001,0),1)&gt;=100000,INDEX($M$1005,1,MATCH(COLUMNS($M$1006:M1006),$M$1006,0))&gt;=100000), " ",IF(INDEX($M$2:$M$1001,MATCH(ROWS($F$2:F763),$F$2:$F$1001,0),MATCH(COLUMNS($M$1006:M1006),$M$1006,0)), HYPERLINK("#",""), HYPERLINK(CONCATENATE("#Metadata!", ADDRESS(INDEX($H$2:$H$1001,MATCH(ROWS($F$2:F763),$F$2:$F$1001,0),0), INDEX($M$1004,1,MATCH(COLUMNS($M$1006:M1006),$M$1006,0)))),"Fix")))</f>
        <v>0</v>
      </c>
      <c r="F763">
        <v>0</v>
      </c>
      <c r="G763">
        <v>0</v>
      </c>
      <c r="H763">
        <v>0</v>
      </c>
      <c r="I763">
        <f>IF(J763,TRUE,AND(M763))</f>
        <v>0</v>
      </c>
      <c r="J763">
        <f>COUNTBLANK(Metadata!B763)=COLUMNS(Metadata!B763)</f>
        <v>0</v>
      </c>
      <c r="K763">
        <v>0</v>
      </c>
      <c r="M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</row>
    <row r="764" spans="1:13">
      <c r="A764" s="3">
        <f>IF(B764=" "," ",HYPERLINK(CONCATENATE("#metadata!",ADDRESS(INDEX($H$2:$H$1001,MATCH(ROWS($F$2:F764),$F$2:$F$1001,0),0),2)),INDEX($K$2:$K$1001,MATCH(ROWS($F$2:F764),$F$2:$F$1001,0),0)))</f>
        <v>0</v>
      </c>
      <c r="B764" s="4">
        <f>IF(OR(INDEX($G$2:$G$1001,MATCH(ROWS($F$2:F764),$F$2:$F$1001,0),1)&gt;=100000,INDEX($M$1005,1,MATCH(COLUMNS($M$1006:M1006),$M$1006,0))&gt;=100000), " ",IF(INDEX($M$2:$M$1001,MATCH(ROWS($F$2:F764),$F$2:$F$1001,0),MATCH(COLUMNS($M$1006:M1006),$M$1006,0)), HYPERLINK("#",""), HYPERLINK(CONCATENATE("#Metadata!", ADDRESS(INDEX($H$2:$H$1001,MATCH(ROWS($F$2:F764),$F$2:$F$1001,0),0), INDEX($M$1004,1,MATCH(COLUMNS($M$1006:M1006),$M$1006,0)))),"Fix")))</f>
        <v>0</v>
      </c>
      <c r="F764">
        <v>0</v>
      </c>
      <c r="G764">
        <v>0</v>
      </c>
      <c r="H764">
        <v>0</v>
      </c>
      <c r="I764">
        <f>IF(J764,TRUE,AND(M764))</f>
        <v>0</v>
      </c>
      <c r="J764">
        <f>COUNTBLANK(Metadata!B764)=COLUMNS(Metadata!B764)</f>
        <v>0</v>
      </c>
      <c r="K764">
        <v>0</v>
      </c>
      <c r="M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</row>
    <row r="765" spans="1:13">
      <c r="A765" s="3">
        <f>IF(B765=" "," ",HYPERLINK(CONCATENATE("#metadata!",ADDRESS(INDEX($H$2:$H$1001,MATCH(ROWS($F$2:F765),$F$2:$F$1001,0),0),2)),INDEX($K$2:$K$1001,MATCH(ROWS($F$2:F765),$F$2:$F$1001,0),0)))</f>
        <v>0</v>
      </c>
      <c r="B765" s="4">
        <f>IF(OR(INDEX($G$2:$G$1001,MATCH(ROWS($F$2:F765),$F$2:$F$1001,0),1)&gt;=100000,INDEX($M$1005,1,MATCH(COLUMNS($M$1006:M1006),$M$1006,0))&gt;=100000), " ",IF(INDEX($M$2:$M$1001,MATCH(ROWS($F$2:F765),$F$2:$F$1001,0),MATCH(COLUMNS($M$1006:M1006),$M$1006,0)), HYPERLINK("#",""), HYPERLINK(CONCATENATE("#Metadata!", ADDRESS(INDEX($H$2:$H$1001,MATCH(ROWS($F$2:F765),$F$2:$F$1001,0),0), INDEX($M$1004,1,MATCH(COLUMNS($M$1006:M1006),$M$1006,0)))),"Fix")))</f>
        <v>0</v>
      </c>
      <c r="F765">
        <v>0</v>
      </c>
      <c r="G765">
        <v>0</v>
      </c>
      <c r="H765">
        <v>0</v>
      </c>
      <c r="I765">
        <f>IF(J765,TRUE,AND(M765))</f>
        <v>0</v>
      </c>
      <c r="J765">
        <f>COUNTBLANK(Metadata!B765)=COLUMNS(Metadata!B765)</f>
        <v>0</v>
      </c>
      <c r="K765">
        <v>0</v>
      </c>
      <c r="M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</row>
    <row r="766" spans="1:13">
      <c r="A766" s="3">
        <f>IF(B766=" "," ",HYPERLINK(CONCATENATE("#metadata!",ADDRESS(INDEX($H$2:$H$1001,MATCH(ROWS($F$2:F766),$F$2:$F$1001,0),0),2)),INDEX($K$2:$K$1001,MATCH(ROWS($F$2:F766),$F$2:$F$1001,0),0)))</f>
        <v>0</v>
      </c>
      <c r="B766" s="4">
        <f>IF(OR(INDEX($G$2:$G$1001,MATCH(ROWS($F$2:F766),$F$2:$F$1001,0),1)&gt;=100000,INDEX($M$1005,1,MATCH(COLUMNS($M$1006:M1006),$M$1006,0))&gt;=100000), " ",IF(INDEX($M$2:$M$1001,MATCH(ROWS($F$2:F766),$F$2:$F$1001,0),MATCH(COLUMNS($M$1006:M1006),$M$1006,0)), HYPERLINK("#",""), HYPERLINK(CONCATENATE("#Metadata!", ADDRESS(INDEX($H$2:$H$1001,MATCH(ROWS($F$2:F766),$F$2:$F$1001,0),0), INDEX($M$1004,1,MATCH(COLUMNS($M$1006:M1006),$M$1006,0)))),"Fix")))</f>
        <v>0</v>
      </c>
      <c r="F766">
        <v>0</v>
      </c>
      <c r="G766">
        <v>0</v>
      </c>
      <c r="H766">
        <v>0</v>
      </c>
      <c r="I766">
        <f>IF(J766,TRUE,AND(M766))</f>
        <v>0</v>
      </c>
      <c r="J766">
        <f>COUNTBLANK(Metadata!B766)=COLUMNS(Metadata!B766)</f>
        <v>0</v>
      </c>
      <c r="K766">
        <v>0</v>
      </c>
      <c r="M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</row>
    <row r="767" spans="1:13">
      <c r="A767" s="3">
        <f>IF(B767=" "," ",HYPERLINK(CONCATENATE("#metadata!",ADDRESS(INDEX($H$2:$H$1001,MATCH(ROWS($F$2:F767),$F$2:$F$1001,0),0),2)),INDEX($K$2:$K$1001,MATCH(ROWS($F$2:F767),$F$2:$F$1001,0),0)))</f>
        <v>0</v>
      </c>
      <c r="B767" s="4">
        <f>IF(OR(INDEX($G$2:$G$1001,MATCH(ROWS($F$2:F767),$F$2:$F$1001,0),1)&gt;=100000,INDEX($M$1005,1,MATCH(COLUMNS($M$1006:M1006),$M$1006,0))&gt;=100000), " ",IF(INDEX($M$2:$M$1001,MATCH(ROWS($F$2:F767),$F$2:$F$1001,0),MATCH(COLUMNS($M$1006:M1006),$M$1006,0)), HYPERLINK("#",""), HYPERLINK(CONCATENATE("#Metadata!", ADDRESS(INDEX($H$2:$H$1001,MATCH(ROWS($F$2:F767),$F$2:$F$1001,0),0), INDEX($M$1004,1,MATCH(COLUMNS($M$1006:M1006),$M$1006,0)))),"Fix")))</f>
        <v>0</v>
      </c>
      <c r="F767">
        <v>0</v>
      </c>
      <c r="G767">
        <v>0</v>
      </c>
      <c r="H767">
        <v>0</v>
      </c>
      <c r="I767">
        <f>IF(J767,TRUE,AND(M767))</f>
        <v>0</v>
      </c>
      <c r="J767">
        <f>COUNTBLANK(Metadata!B767)=COLUMNS(Metadata!B767)</f>
        <v>0</v>
      </c>
      <c r="K767">
        <v>0</v>
      </c>
      <c r="M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</row>
    <row r="768" spans="1:13">
      <c r="A768" s="3">
        <f>IF(B768=" "," ",HYPERLINK(CONCATENATE("#metadata!",ADDRESS(INDEX($H$2:$H$1001,MATCH(ROWS($F$2:F768),$F$2:$F$1001,0),0),2)),INDEX($K$2:$K$1001,MATCH(ROWS($F$2:F768),$F$2:$F$1001,0),0)))</f>
        <v>0</v>
      </c>
      <c r="B768" s="4">
        <f>IF(OR(INDEX($G$2:$G$1001,MATCH(ROWS($F$2:F768),$F$2:$F$1001,0),1)&gt;=100000,INDEX($M$1005,1,MATCH(COLUMNS($M$1006:M1006),$M$1006,0))&gt;=100000), " ",IF(INDEX($M$2:$M$1001,MATCH(ROWS($F$2:F768),$F$2:$F$1001,0),MATCH(COLUMNS($M$1006:M1006),$M$1006,0)), HYPERLINK("#",""), HYPERLINK(CONCATENATE("#Metadata!", ADDRESS(INDEX($H$2:$H$1001,MATCH(ROWS($F$2:F768),$F$2:$F$1001,0),0), INDEX($M$1004,1,MATCH(COLUMNS($M$1006:M1006),$M$1006,0)))),"Fix")))</f>
        <v>0</v>
      </c>
      <c r="F768">
        <v>0</v>
      </c>
      <c r="G768">
        <v>0</v>
      </c>
      <c r="H768">
        <v>0</v>
      </c>
      <c r="I768">
        <f>IF(J768,TRUE,AND(M768))</f>
        <v>0</v>
      </c>
      <c r="J768">
        <f>COUNTBLANK(Metadata!B768)=COLUMNS(Metadata!B768)</f>
        <v>0</v>
      </c>
      <c r="K768">
        <v>0</v>
      </c>
      <c r="M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</row>
    <row r="769" spans="1:13">
      <c r="A769" s="3">
        <f>IF(B769=" "," ",HYPERLINK(CONCATENATE("#metadata!",ADDRESS(INDEX($H$2:$H$1001,MATCH(ROWS($F$2:F769),$F$2:$F$1001,0),0),2)),INDEX($K$2:$K$1001,MATCH(ROWS($F$2:F769),$F$2:$F$1001,0),0)))</f>
        <v>0</v>
      </c>
      <c r="B769" s="4">
        <f>IF(OR(INDEX($G$2:$G$1001,MATCH(ROWS($F$2:F769),$F$2:$F$1001,0),1)&gt;=100000,INDEX($M$1005,1,MATCH(COLUMNS($M$1006:M1006),$M$1006,0))&gt;=100000), " ",IF(INDEX($M$2:$M$1001,MATCH(ROWS($F$2:F769),$F$2:$F$1001,0),MATCH(COLUMNS($M$1006:M1006),$M$1006,0)), HYPERLINK("#",""), HYPERLINK(CONCATENATE("#Metadata!", ADDRESS(INDEX($H$2:$H$1001,MATCH(ROWS($F$2:F769),$F$2:$F$1001,0),0), INDEX($M$1004,1,MATCH(COLUMNS($M$1006:M1006),$M$1006,0)))),"Fix")))</f>
        <v>0</v>
      </c>
      <c r="F769">
        <v>0</v>
      </c>
      <c r="G769">
        <v>0</v>
      </c>
      <c r="H769">
        <v>0</v>
      </c>
      <c r="I769">
        <f>IF(J769,TRUE,AND(M769))</f>
        <v>0</v>
      </c>
      <c r="J769">
        <f>COUNTBLANK(Metadata!B769)=COLUMNS(Metadata!B769)</f>
        <v>0</v>
      </c>
      <c r="K769">
        <v>0</v>
      </c>
      <c r="M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</row>
    <row r="770" spans="1:13">
      <c r="A770" s="3">
        <f>IF(B770=" "," ",HYPERLINK(CONCATENATE("#metadata!",ADDRESS(INDEX($H$2:$H$1001,MATCH(ROWS($F$2:F770),$F$2:$F$1001,0),0),2)),INDEX($K$2:$K$1001,MATCH(ROWS($F$2:F770),$F$2:$F$1001,0),0)))</f>
        <v>0</v>
      </c>
      <c r="B770" s="4">
        <f>IF(OR(INDEX($G$2:$G$1001,MATCH(ROWS($F$2:F770),$F$2:$F$1001,0),1)&gt;=100000,INDEX($M$1005,1,MATCH(COLUMNS($M$1006:M1006),$M$1006,0))&gt;=100000), " ",IF(INDEX($M$2:$M$1001,MATCH(ROWS($F$2:F770),$F$2:$F$1001,0),MATCH(COLUMNS($M$1006:M1006),$M$1006,0)), HYPERLINK("#",""), HYPERLINK(CONCATENATE("#Metadata!", ADDRESS(INDEX($H$2:$H$1001,MATCH(ROWS($F$2:F770),$F$2:$F$1001,0),0), INDEX($M$1004,1,MATCH(COLUMNS($M$1006:M1006),$M$1006,0)))),"Fix")))</f>
        <v>0</v>
      </c>
      <c r="F770">
        <v>0</v>
      </c>
      <c r="G770">
        <v>0</v>
      </c>
      <c r="H770">
        <v>0</v>
      </c>
      <c r="I770">
        <f>IF(J770,TRUE,AND(M770))</f>
        <v>0</v>
      </c>
      <c r="J770">
        <f>COUNTBLANK(Metadata!B770)=COLUMNS(Metadata!B770)</f>
        <v>0</v>
      </c>
      <c r="K770">
        <v>0</v>
      </c>
      <c r="M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</row>
    <row r="771" spans="1:13">
      <c r="A771" s="3">
        <f>IF(B771=" "," ",HYPERLINK(CONCATENATE("#metadata!",ADDRESS(INDEX($H$2:$H$1001,MATCH(ROWS($F$2:F771),$F$2:$F$1001,0),0),2)),INDEX($K$2:$K$1001,MATCH(ROWS($F$2:F771),$F$2:$F$1001,0),0)))</f>
        <v>0</v>
      </c>
      <c r="B771" s="4">
        <f>IF(OR(INDEX($G$2:$G$1001,MATCH(ROWS($F$2:F771),$F$2:$F$1001,0),1)&gt;=100000,INDEX($M$1005,1,MATCH(COLUMNS($M$1006:M1006),$M$1006,0))&gt;=100000), " ",IF(INDEX($M$2:$M$1001,MATCH(ROWS($F$2:F771),$F$2:$F$1001,0),MATCH(COLUMNS($M$1006:M1006),$M$1006,0)), HYPERLINK("#",""), HYPERLINK(CONCATENATE("#Metadata!", ADDRESS(INDEX($H$2:$H$1001,MATCH(ROWS($F$2:F771),$F$2:$F$1001,0),0), INDEX($M$1004,1,MATCH(COLUMNS($M$1006:M1006),$M$1006,0)))),"Fix")))</f>
        <v>0</v>
      </c>
      <c r="F771">
        <v>0</v>
      </c>
      <c r="G771">
        <v>0</v>
      </c>
      <c r="H771">
        <v>0</v>
      </c>
      <c r="I771">
        <f>IF(J771,TRUE,AND(M771))</f>
        <v>0</v>
      </c>
      <c r="J771">
        <f>COUNTBLANK(Metadata!B771)=COLUMNS(Metadata!B771)</f>
        <v>0</v>
      </c>
      <c r="K771">
        <v>0</v>
      </c>
      <c r="M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</row>
    <row r="772" spans="1:13">
      <c r="A772" s="3">
        <f>IF(B772=" "," ",HYPERLINK(CONCATENATE("#metadata!",ADDRESS(INDEX($H$2:$H$1001,MATCH(ROWS($F$2:F772),$F$2:$F$1001,0),0),2)),INDEX($K$2:$K$1001,MATCH(ROWS($F$2:F772),$F$2:$F$1001,0),0)))</f>
        <v>0</v>
      </c>
      <c r="B772" s="4">
        <f>IF(OR(INDEX($G$2:$G$1001,MATCH(ROWS($F$2:F772),$F$2:$F$1001,0),1)&gt;=100000,INDEX($M$1005,1,MATCH(COLUMNS($M$1006:M1006),$M$1006,0))&gt;=100000), " ",IF(INDEX($M$2:$M$1001,MATCH(ROWS($F$2:F772),$F$2:$F$1001,0),MATCH(COLUMNS($M$1006:M1006),$M$1006,0)), HYPERLINK("#",""), HYPERLINK(CONCATENATE("#Metadata!", ADDRESS(INDEX($H$2:$H$1001,MATCH(ROWS($F$2:F772),$F$2:$F$1001,0),0), INDEX($M$1004,1,MATCH(COLUMNS($M$1006:M1006),$M$1006,0)))),"Fix")))</f>
        <v>0</v>
      </c>
      <c r="F772">
        <v>0</v>
      </c>
      <c r="G772">
        <v>0</v>
      </c>
      <c r="H772">
        <v>0</v>
      </c>
      <c r="I772">
        <f>IF(J772,TRUE,AND(M772))</f>
        <v>0</v>
      </c>
      <c r="J772">
        <f>COUNTBLANK(Metadata!B772)=COLUMNS(Metadata!B772)</f>
        <v>0</v>
      </c>
      <c r="K772">
        <v>0</v>
      </c>
      <c r="M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</row>
    <row r="773" spans="1:13">
      <c r="A773" s="3">
        <f>IF(B773=" "," ",HYPERLINK(CONCATENATE("#metadata!",ADDRESS(INDEX($H$2:$H$1001,MATCH(ROWS($F$2:F773),$F$2:$F$1001,0),0),2)),INDEX($K$2:$K$1001,MATCH(ROWS($F$2:F773),$F$2:$F$1001,0),0)))</f>
        <v>0</v>
      </c>
      <c r="B773" s="4">
        <f>IF(OR(INDEX($G$2:$G$1001,MATCH(ROWS($F$2:F773),$F$2:$F$1001,0),1)&gt;=100000,INDEX($M$1005,1,MATCH(COLUMNS($M$1006:M1006),$M$1006,0))&gt;=100000), " ",IF(INDEX($M$2:$M$1001,MATCH(ROWS($F$2:F773),$F$2:$F$1001,0),MATCH(COLUMNS($M$1006:M1006),$M$1006,0)), HYPERLINK("#",""), HYPERLINK(CONCATENATE("#Metadata!", ADDRESS(INDEX($H$2:$H$1001,MATCH(ROWS($F$2:F773),$F$2:$F$1001,0),0), INDEX($M$1004,1,MATCH(COLUMNS($M$1006:M1006),$M$1006,0)))),"Fix")))</f>
        <v>0</v>
      </c>
      <c r="F773">
        <v>0</v>
      </c>
      <c r="G773">
        <v>0</v>
      </c>
      <c r="H773">
        <v>0</v>
      </c>
      <c r="I773">
        <f>IF(J773,TRUE,AND(M773))</f>
        <v>0</v>
      </c>
      <c r="J773">
        <f>COUNTBLANK(Metadata!B773)=COLUMNS(Metadata!B773)</f>
        <v>0</v>
      </c>
      <c r="K773">
        <v>0</v>
      </c>
      <c r="M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</row>
    <row r="774" spans="1:13">
      <c r="A774" s="3">
        <f>IF(B774=" "," ",HYPERLINK(CONCATENATE("#metadata!",ADDRESS(INDEX($H$2:$H$1001,MATCH(ROWS($F$2:F774),$F$2:$F$1001,0),0),2)),INDEX($K$2:$K$1001,MATCH(ROWS($F$2:F774),$F$2:$F$1001,0),0)))</f>
        <v>0</v>
      </c>
      <c r="B774" s="4">
        <f>IF(OR(INDEX($G$2:$G$1001,MATCH(ROWS($F$2:F774),$F$2:$F$1001,0),1)&gt;=100000,INDEX($M$1005,1,MATCH(COLUMNS($M$1006:M1006),$M$1006,0))&gt;=100000), " ",IF(INDEX($M$2:$M$1001,MATCH(ROWS($F$2:F774),$F$2:$F$1001,0),MATCH(COLUMNS($M$1006:M1006),$M$1006,0)), HYPERLINK("#",""), HYPERLINK(CONCATENATE("#Metadata!", ADDRESS(INDEX($H$2:$H$1001,MATCH(ROWS($F$2:F774),$F$2:$F$1001,0),0), INDEX($M$1004,1,MATCH(COLUMNS($M$1006:M1006),$M$1006,0)))),"Fix")))</f>
        <v>0</v>
      </c>
      <c r="F774">
        <v>0</v>
      </c>
      <c r="G774">
        <v>0</v>
      </c>
      <c r="H774">
        <v>0</v>
      </c>
      <c r="I774">
        <f>IF(J774,TRUE,AND(M774))</f>
        <v>0</v>
      </c>
      <c r="J774">
        <f>COUNTBLANK(Metadata!B774)=COLUMNS(Metadata!B774)</f>
        <v>0</v>
      </c>
      <c r="K774">
        <v>0</v>
      </c>
      <c r="M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</row>
    <row r="775" spans="1:13">
      <c r="A775" s="3">
        <f>IF(B775=" "," ",HYPERLINK(CONCATENATE("#metadata!",ADDRESS(INDEX($H$2:$H$1001,MATCH(ROWS($F$2:F775),$F$2:$F$1001,0),0),2)),INDEX($K$2:$K$1001,MATCH(ROWS($F$2:F775),$F$2:$F$1001,0),0)))</f>
        <v>0</v>
      </c>
      <c r="B775" s="4">
        <f>IF(OR(INDEX($G$2:$G$1001,MATCH(ROWS($F$2:F775),$F$2:$F$1001,0),1)&gt;=100000,INDEX($M$1005,1,MATCH(COLUMNS($M$1006:M1006),$M$1006,0))&gt;=100000), " ",IF(INDEX($M$2:$M$1001,MATCH(ROWS($F$2:F775),$F$2:$F$1001,0),MATCH(COLUMNS($M$1006:M1006),$M$1006,0)), HYPERLINK("#",""), HYPERLINK(CONCATENATE("#Metadata!", ADDRESS(INDEX($H$2:$H$1001,MATCH(ROWS($F$2:F775),$F$2:$F$1001,0),0), INDEX($M$1004,1,MATCH(COLUMNS($M$1006:M1006),$M$1006,0)))),"Fix")))</f>
        <v>0</v>
      </c>
      <c r="F775">
        <v>0</v>
      </c>
      <c r="G775">
        <v>0</v>
      </c>
      <c r="H775">
        <v>0</v>
      </c>
      <c r="I775">
        <f>IF(J775,TRUE,AND(M775))</f>
        <v>0</v>
      </c>
      <c r="J775">
        <f>COUNTBLANK(Metadata!B775)=COLUMNS(Metadata!B775)</f>
        <v>0</v>
      </c>
      <c r="K775">
        <v>0</v>
      </c>
      <c r="M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</row>
    <row r="776" spans="1:13">
      <c r="A776" s="3">
        <f>IF(B776=" "," ",HYPERLINK(CONCATENATE("#metadata!",ADDRESS(INDEX($H$2:$H$1001,MATCH(ROWS($F$2:F776),$F$2:$F$1001,0),0),2)),INDEX($K$2:$K$1001,MATCH(ROWS($F$2:F776),$F$2:$F$1001,0),0)))</f>
        <v>0</v>
      </c>
      <c r="B776" s="4">
        <f>IF(OR(INDEX($G$2:$G$1001,MATCH(ROWS($F$2:F776),$F$2:$F$1001,0),1)&gt;=100000,INDEX($M$1005,1,MATCH(COLUMNS($M$1006:M1006),$M$1006,0))&gt;=100000), " ",IF(INDEX($M$2:$M$1001,MATCH(ROWS($F$2:F776),$F$2:$F$1001,0),MATCH(COLUMNS($M$1006:M1006),$M$1006,0)), HYPERLINK("#",""), HYPERLINK(CONCATENATE("#Metadata!", ADDRESS(INDEX($H$2:$H$1001,MATCH(ROWS($F$2:F776),$F$2:$F$1001,0),0), INDEX($M$1004,1,MATCH(COLUMNS($M$1006:M1006),$M$1006,0)))),"Fix")))</f>
        <v>0</v>
      </c>
      <c r="F776">
        <v>0</v>
      </c>
      <c r="G776">
        <v>0</v>
      </c>
      <c r="H776">
        <v>0</v>
      </c>
      <c r="I776">
        <f>IF(J776,TRUE,AND(M776))</f>
        <v>0</v>
      </c>
      <c r="J776">
        <f>COUNTBLANK(Metadata!B776)=COLUMNS(Metadata!B776)</f>
        <v>0</v>
      </c>
      <c r="K776">
        <v>0</v>
      </c>
      <c r="M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</row>
    <row r="777" spans="1:13">
      <c r="A777" s="3">
        <f>IF(B777=" "," ",HYPERLINK(CONCATENATE("#metadata!",ADDRESS(INDEX($H$2:$H$1001,MATCH(ROWS($F$2:F777),$F$2:$F$1001,0),0),2)),INDEX($K$2:$K$1001,MATCH(ROWS($F$2:F777),$F$2:$F$1001,0),0)))</f>
        <v>0</v>
      </c>
      <c r="B777" s="4">
        <f>IF(OR(INDEX($G$2:$G$1001,MATCH(ROWS($F$2:F777),$F$2:$F$1001,0),1)&gt;=100000,INDEX($M$1005,1,MATCH(COLUMNS($M$1006:M1006),$M$1006,0))&gt;=100000), " ",IF(INDEX($M$2:$M$1001,MATCH(ROWS($F$2:F777),$F$2:$F$1001,0),MATCH(COLUMNS($M$1006:M1006),$M$1006,0)), HYPERLINK("#",""), HYPERLINK(CONCATENATE("#Metadata!", ADDRESS(INDEX($H$2:$H$1001,MATCH(ROWS($F$2:F777),$F$2:$F$1001,0),0), INDEX($M$1004,1,MATCH(COLUMNS($M$1006:M1006),$M$1006,0)))),"Fix")))</f>
        <v>0</v>
      </c>
      <c r="F777">
        <v>0</v>
      </c>
      <c r="G777">
        <v>0</v>
      </c>
      <c r="H777">
        <v>0</v>
      </c>
      <c r="I777">
        <f>IF(J777,TRUE,AND(M777))</f>
        <v>0</v>
      </c>
      <c r="J777">
        <f>COUNTBLANK(Metadata!B777)=COLUMNS(Metadata!B777)</f>
        <v>0</v>
      </c>
      <c r="K777">
        <v>0</v>
      </c>
      <c r="M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</row>
    <row r="778" spans="1:13">
      <c r="A778" s="3">
        <f>IF(B778=" "," ",HYPERLINK(CONCATENATE("#metadata!",ADDRESS(INDEX($H$2:$H$1001,MATCH(ROWS($F$2:F778),$F$2:$F$1001,0),0),2)),INDEX($K$2:$K$1001,MATCH(ROWS($F$2:F778),$F$2:$F$1001,0),0)))</f>
        <v>0</v>
      </c>
      <c r="B778" s="4">
        <f>IF(OR(INDEX($G$2:$G$1001,MATCH(ROWS($F$2:F778),$F$2:$F$1001,0),1)&gt;=100000,INDEX($M$1005,1,MATCH(COLUMNS($M$1006:M1006),$M$1006,0))&gt;=100000), " ",IF(INDEX($M$2:$M$1001,MATCH(ROWS($F$2:F778),$F$2:$F$1001,0),MATCH(COLUMNS($M$1006:M1006),$M$1006,0)), HYPERLINK("#",""), HYPERLINK(CONCATENATE("#Metadata!", ADDRESS(INDEX($H$2:$H$1001,MATCH(ROWS($F$2:F778),$F$2:$F$1001,0),0), INDEX($M$1004,1,MATCH(COLUMNS($M$1006:M1006),$M$1006,0)))),"Fix")))</f>
        <v>0</v>
      </c>
      <c r="F778">
        <v>0</v>
      </c>
      <c r="G778">
        <v>0</v>
      </c>
      <c r="H778">
        <v>0</v>
      </c>
      <c r="I778">
        <f>IF(J778,TRUE,AND(M778))</f>
        <v>0</v>
      </c>
      <c r="J778">
        <f>COUNTBLANK(Metadata!B778)=COLUMNS(Metadata!B778)</f>
        <v>0</v>
      </c>
      <c r="K778">
        <v>0</v>
      </c>
      <c r="M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</row>
    <row r="779" spans="1:13">
      <c r="A779" s="3">
        <f>IF(B779=" "," ",HYPERLINK(CONCATENATE("#metadata!",ADDRESS(INDEX($H$2:$H$1001,MATCH(ROWS($F$2:F779),$F$2:$F$1001,0),0),2)),INDEX($K$2:$K$1001,MATCH(ROWS($F$2:F779),$F$2:$F$1001,0),0)))</f>
        <v>0</v>
      </c>
      <c r="B779" s="4">
        <f>IF(OR(INDEX($G$2:$G$1001,MATCH(ROWS($F$2:F779),$F$2:$F$1001,0),1)&gt;=100000,INDEX($M$1005,1,MATCH(COLUMNS($M$1006:M1006),$M$1006,0))&gt;=100000), " ",IF(INDEX($M$2:$M$1001,MATCH(ROWS($F$2:F779),$F$2:$F$1001,0),MATCH(COLUMNS($M$1006:M1006),$M$1006,0)), HYPERLINK("#",""), HYPERLINK(CONCATENATE("#Metadata!", ADDRESS(INDEX($H$2:$H$1001,MATCH(ROWS($F$2:F779),$F$2:$F$1001,0),0), INDEX($M$1004,1,MATCH(COLUMNS($M$1006:M1006),$M$1006,0)))),"Fix")))</f>
        <v>0</v>
      </c>
      <c r="F779">
        <v>0</v>
      </c>
      <c r="G779">
        <v>0</v>
      </c>
      <c r="H779">
        <v>0</v>
      </c>
      <c r="I779">
        <f>IF(J779,TRUE,AND(M779))</f>
        <v>0</v>
      </c>
      <c r="J779">
        <f>COUNTBLANK(Metadata!B779)=COLUMNS(Metadata!B779)</f>
        <v>0</v>
      </c>
      <c r="K779">
        <v>0</v>
      </c>
      <c r="M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</row>
    <row r="780" spans="1:13">
      <c r="A780" s="3">
        <f>IF(B780=" "," ",HYPERLINK(CONCATENATE("#metadata!",ADDRESS(INDEX($H$2:$H$1001,MATCH(ROWS($F$2:F780),$F$2:$F$1001,0),0),2)),INDEX($K$2:$K$1001,MATCH(ROWS($F$2:F780),$F$2:$F$1001,0),0)))</f>
        <v>0</v>
      </c>
      <c r="B780" s="4">
        <f>IF(OR(INDEX($G$2:$G$1001,MATCH(ROWS($F$2:F780),$F$2:$F$1001,0),1)&gt;=100000,INDEX($M$1005,1,MATCH(COLUMNS($M$1006:M1006),$M$1006,0))&gt;=100000), " ",IF(INDEX($M$2:$M$1001,MATCH(ROWS($F$2:F780),$F$2:$F$1001,0),MATCH(COLUMNS($M$1006:M1006),$M$1006,0)), HYPERLINK("#",""), HYPERLINK(CONCATENATE("#Metadata!", ADDRESS(INDEX($H$2:$H$1001,MATCH(ROWS($F$2:F780),$F$2:$F$1001,0),0), INDEX($M$1004,1,MATCH(COLUMNS($M$1006:M1006),$M$1006,0)))),"Fix")))</f>
        <v>0</v>
      </c>
      <c r="F780">
        <v>0</v>
      </c>
      <c r="G780">
        <v>0</v>
      </c>
      <c r="H780">
        <v>0</v>
      </c>
      <c r="I780">
        <f>IF(J780,TRUE,AND(M780))</f>
        <v>0</v>
      </c>
      <c r="J780">
        <f>COUNTBLANK(Metadata!B780)=COLUMNS(Metadata!B780)</f>
        <v>0</v>
      </c>
      <c r="K780">
        <v>0</v>
      </c>
      <c r="M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</row>
    <row r="781" spans="1:13">
      <c r="A781" s="3">
        <f>IF(B781=" "," ",HYPERLINK(CONCATENATE("#metadata!",ADDRESS(INDEX($H$2:$H$1001,MATCH(ROWS($F$2:F781),$F$2:$F$1001,0),0),2)),INDEX($K$2:$K$1001,MATCH(ROWS($F$2:F781),$F$2:$F$1001,0),0)))</f>
        <v>0</v>
      </c>
      <c r="B781" s="4">
        <f>IF(OR(INDEX($G$2:$G$1001,MATCH(ROWS($F$2:F781),$F$2:$F$1001,0),1)&gt;=100000,INDEX($M$1005,1,MATCH(COLUMNS($M$1006:M1006),$M$1006,0))&gt;=100000), " ",IF(INDEX($M$2:$M$1001,MATCH(ROWS($F$2:F781),$F$2:$F$1001,0),MATCH(COLUMNS($M$1006:M1006),$M$1006,0)), HYPERLINK("#",""), HYPERLINK(CONCATENATE("#Metadata!", ADDRESS(INDEX($H$2:$H$1001,MATCH(ROWS($F$2:F781),$F$2:$F$1001,0),0), INDEX($M$1004,1,MATCH(COLUMNS($M$1006:M1006),$M$1006,0)))),"Fix")))</f>
        <v>0</v>
      </c>
      <c r="F781">
        <v>0</v>
      </c>
      <c r="G781">
        <v>0</v>
      </c>
      <c r="H781">
        <v>0</v>
      </c>
      <c r="I781">
        <f>IF(J781,TRUE,AND(M781))</f>
        <v>0</v>
      </c>
      <c r="J781">
        <f>COUNTBLANK(Metadata!B781)=COLUMNS(Metadata!B781)</f>
        <v>0</v>
      </c>
      <c r="K781">
        <v>0</v>
      </c>
      <c r="M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</row>
    <row r="782" spans="1:13">
      <c r="A782" s="3">
        <f>IF(B782=" "," ",HYPERLINK(CONCATENATE("#metadata!",ADDRESS(INDEX($H$2:$H$1001,MATCH(ROWS($F$2:F782),$F$2:$F$1001,0),0),2)),INDEX($K$2:$K$1001,MATCH(ROWS($F$2:F782),$F$2:$F$1001,0),0)))</f>
        <v>0</v>
      </c>
      <c r="B782" s="4">
        <f>IF(OR(INDEX($G$2:$G$1001,MATCH(ROWS($F$2:F782),$F$2:$F$1001,0),1)&gt;=100000,INDEX($M$1005,1,MATCH(COLUMNS($M$1006:M1006),$M$1006,0))&gt;=100000), " ",IF(INDEX($M$2:$M$1001,MATCH(ROWS($F$2:F782),$F$2:$F$1001,0),MATCH(COLUMNS($M$1006:M1006),$M$1006,0)), HYPERLINK("#",""), HYPERLINK(CONCATENATE("#Metadata!", ADDRESS(INDEX($H$2:$H$1001,MATCH(ROWS($F$2:F782),$F$2:$F$1001,0),0), INDEX($M$1004,1,MATCH(COLUMNS($M$1006:M1006),$M$1006,0)))),"Fix")))</f>
        <v>0</v>
      </c>
      <c r="F782">
        <v>0</v>
      </c>
      <c r="G782">
        <v>0</v>
      </c>
      <c r="H782">
        <v>0</v>
      </c>
      <c r="I782">
        <f>IF(J782,TRUE,AND(M782))</f>
        <v>0</v>
      </c>
      <c r="J782">
        <f>COUNTBLANK(Metadata!B782)=COLUMNS(Metadata!B782)</f>
        <v>0</v>
      </c>
      <c r="K782">
        <v>0</v>
      </c>
      <c r="M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</row>
    <row r="783" spans="1:13">
      <c r="A783" s="3">
        <f>IF(B783=" "," ",HYPERLINK(CONCATENATE("#metadata!",ADDRESS(INDEX($H$2:$H$1001,MATCH(ROWS($F$2:F783),$F$2:$F$1001,0),0),2)),INDEX($K$2:$K$1001,MATCH(ROWS($F$2:F783),$F$2:$F$1001,0),0)))</f>
        <v>0</v>
      </c>
      <c r="B783" s="4">
        <f>IF(OR(INDEX($G$2:$G$1001,MATCH(ROWS($F$2:F783),$F$2:$F$1001,0),1)&gt;=100000,INDEX($M$1005,1,MATCH(COLUMNS($M$1006:M1006),$M$1006,0))&gt;=100000), " ",IF(INDEX($M$2:$M$1001,MATCH(ROWS($F$2:F783),$F$2:$F$1001,0),MATCH(COLUMNS($M$1006:M1006),$M$1006,0)), HYPERLINK("#",""), HYPERLINK(CONCATENATE("#Metadata!", ADDRESS(INDEX($H$2:$H$1001,MATCH(ROWS($F$2:F783),$F$2:$F$1001,0),0), INDEX($M$1004,1,MATCH(COLUMNS($M$1006:M1006),$M$1006,0)))),"Fix")))</f>
        <v>0</v>
      </c>
      <c r="F783">
        <v>0</v>
      </c>
      <c r="G783">
        <v>0</v>
      </c>
      <c r="H783">
        <v>0</v>
      </c>
      <c r="I783">
        <f>IF(J783,TRUE,AND(M783))</f>
        <v>0</v>
      </c>
      <c r="J783">
        <f>COUNTBLANK(Metadata!B783)=COLUMNS(Metadata!B783)</f>
        <v>0</v>
      </c>
      <c r="K783">
        <v>0</v>
      </c>
      <c r="M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</row>
    <row r="784" spans="1:13">
      <c r="A784" s="3">
        <f>IF(B784=" "," ",HYPERLINK(CONCATENATE("#metadata!",ADDRESS(INDEX($H$2:$H$1001,MATCH(ROWS($F$2:F784),$F$2:$F$1001,0),0),2)),INDEX($K$2:$K$1001,MATCH(ROWS($F$2:F784),$F$2:$F$1001,0),0)))</f>
        <v>0</v>
      </c>
      <c r="B784" s="4">
        <f>IF(OR(INDEX($G$2:$G$1001,MATCH(ROWS($F$2:F784),$F$2:$F$1001,0),1)&gt;=100000,INDEX($M$1005,1,MATCH(COLUMNS($M$1006:M1006),$M$1006,0))&gt;=100000), " ",IF(INDEX($M$2:$M$1001,MATCH(ROWS($F$2:F784),$F$2:$F$1001,0),MATCH(COLUMNS($M$1006:M1006),$M$1006,0)), HYPERLINK("#",""), HYPERLINK(CONCATENATE("#Metadata!", ADDRESS(INDEX($H$2:$H$1001,MATCH(ROWS($F$2:F784),$F$2:$F$1001,0),0), INDEX($M$1004,1,MATCH(COLUMNS($M$1006:M1006),$M$1006,0)))),"Fix")))</f>
        <v>0</v>
      </c>
      <c r="F784">
        <v>0</v>
      </c>
      <c r="G784">
        <v>0</v>
      </c>
      <c r="H784">
        <v>0</v>
      </c>
      <c r="I784">
        <f>IF(J784,TRUE,AND(M784))</f>
        <v>0</v>
      </c>
      <c r="J784">
        <f>COUNTBLANK(Metadata!B784)=COLUMNS(Metadata!B784)</f>
        <v>0</v>
      </c>
      <c r="K784">
        <v>0</v>
      </c>
      <c r="M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</row>
    <row r="785" spans="1:13">
      <c r="A785" s="3">
        <f>IF(B785=" "," ",HYPERLINK(CONCATENATE("#metadata!",ADDRESS(INDEX($H$2:$H$1001,MATCH(ROWS($F$2:F785),$F$2:$F$1001,0),0),2)),INDEX($K$2:$K$1001,MATCH(ROWS($F$2:F785),$F$2:$F$1001,0),0)))</f>
        <v>0</v>
      </c>
      <c r="B785" s="4">
        <f>IF(OR(INDEX($G$2:$G$1001,MATCH(ROWS($F$2:F785),$F$2:$F$1001,0),1)&gt;=100000,INDEX($M$1005,1,MATCH(COLUMNS($M$1006:M1006),$M$1006,0))&gt;=100000), " ",IF(INDEX($M$2:$M$1001,MATCH(ROWS($F$2:F785),$F$2:$F$1001,0),MATCH(COLUMNS($M$1006:M1006),$M$1006,0)), HYPERLINK("#",""), HYPERLINK(CONCATENATE("#Metadata!", ADDRESS(INDEX($H$2:$H$1001,MATCH(ROWS($F$2:F785),$F$2:$F$1001,0),0), INDEX($M$1004,1,MATCH(COLUMNS($M$1006:M1006),$M$1006,0)))),"Fix")))</f>
        <v>0</v>
      </c>
      <c r="F785">
        <v>0</v>
      </c>
      <c r="G785">
        <v>0</v>
      </c>
      <c r="H785">
        <v>0</v>
      </c>
      <c r="I785">
        <f>IF(J785,TRUE,AND(M785))</f>
        <v>0</v>
      </c>
      <c r="J785">
        <f>COUNTBLANK(Metadata!B785)=COLUMNS(Metadata!B785)</f>
        <v>0</v>
      </c>
      <c r="K785">
        <v>0</v>
      </c>
      <c r="M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</row>
    <row r="786" spans="1:13">
      <c r="A786" s="3">
        <f>IF(B786=" "," ",HYPERLINK(CONCATENATE("#metadata!",ADDRESS(INDEX($H$2:$H$1001,MATCH(ROWS($F$2:F786),$F$2:$F$1001,0),0),2)),INDEX($K$2:$K$1001,MATCH(ROWS($F$2:F786),$F$2:$F$1001,0),0)))</f>
        <v>0</v>
      </c>
      <c r="B786" s="4">
        <f>IF(OR(INDEX($G$2:$G$1001,MATCH(ROWS($F$2:F786),$F$2:$F$1001,0),1)&gt;=100000,INDEX($M$1005,1,MATCH(COLUMNS($M$1006:M1006),$M$1006,0))&gt;=100000), " ",IF(INDEX($M$2:$M$1001,MATCH(ROWS($F$2:F786),$F$2:$F$1001,0),MATCH(COLUMNS($M$1006:M1006),$M$1006,0)), HYPERLINK("#",""), HYPERLINK(CONCATENATE("#Metadata!", ADDRESS(INDEX($H$2:$H$1001,MATCH(ROWS($F$2:F786),$F$2:$F$1001,0),0), INDEX($M$1004,1,MATCH(COLUMNS($M$1006:M1006),$M$1006,0)))),"Fix")))</f>
        <v>0</v>
      </c>
      <c r="F786">
        <v>0</v>
      </c>
      <c r="G786">
        <v>0</v>
      </c>
      <c r="H786">
        <v>0</v>
      </c>
      <c r="I786">
        <f>IF(J786,TRUE,AND(M786))</f>
        <v>0</v>
      </c>
      <c r="J786">
        <f>COUNTBLANK(Metadata!B786)=COLUMNS(Metadata!B786)</f>
        <v>0</v>
      </c>
      <c r="K786">
        <v>0</v>
      </c>
      <c r="M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</row>
    <row r="787" spans="1:13">
      <c r="A787" s="3">
        <f>IF(B787=" "," ",HYPERLINK(CONCATENATE("#metadata!",ADDRESS(INDEX($H$2:$H$1001,MATCH(ROWS($F$2:F787),$F$2:$F$1001,0),0),2)),INDEX($K$2:$K$1001,MATCH(ROWS($F$2:F787),$F$2:$F$1001,0),0)))</f>
        <v>0</v>
      </c>
      <c r="B787" s="4">
        <f>IF(OR(INDEX($G$2:$G$1001,MATCH(ROWS($F$2:F787),$F$2:$F$1001,0),1)&gt;=100000,INDEX($M$1005,1,MATCH(COLUMNS($M$1006:M1006),$M$1006,0))&gt;=100000), " ",IF(INDEX($M$2:$M$1001,MATCH(ROWS($F$2:F787),$F$2:$F$1001,0),MATCH(COLUMNS($M$1006:M1006),$M$1006,0)), HYPERLINK("#",""), HYPERLINK(CONCATENATE("#Metadata!", ADDRESS(INDEX($H$2:$H$1001,MATCH(ROWS($F$2:F787),$F$2:$F$1001,0),0), INDEX($M$1004,1,MATCH(COLUMNS($M$1006:M1006),$M$1006,0)))),"Fix")))</f>
        <v>0</v>
      </c>
      <c r="F787">
        <v>0</v>
      </c>
      <c r="G787">
        <v>0</v>
      </c>
      <c r="H787">
        <v>0</v>
      </c>
      <c r="I787">
        <f>IF(J787,TRUE,AND(M787))</f>
        <v>0</v>
      </c>
      <c r="J787">
        <f>COUNTBLANK(Metadata!B787)=COLUMNS(Metadata!B787)</f>
        <v>0</v>
      </c>
      <c r="K787">
        <v>0</v>
      </c>
      <c r="M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</row>
    <row r="788" spans="1:13">
      <c r="A788" s="3">
        <f>IF(B788=" "," ",HYPERLINK(CONCATENATE("#metadata!",ADDRESS(INDEX($H$2:$H$1001,MATCH(ROWS($F$2:F788),$F$2:$F$1001,0),0),2)),INDEX($K$2:$K$1001,MATCH(ROWS($F$2:F788),$F$2:$F$1001,0),0)))</f>
        <v>0</v>
      </c>
      <c r="B788" s="4">
        <f>IF(OR(INDEX($G$2:$G$1001,MATCH(ROWS($F$2:F788),$F$2:$F$1001,0),1)&gt;=100000,INDEX($M$1005,1,MATCH(COLUMNS($M$1006:M1006),$M$1006,0))&gt;=100000), " ",IF(INDEX($M$2:$M$1001,MATCH(ROWS($F$2:F788),$F$2:$F$1001,0),MATCH(COLUMNS($M$1006:M1006),$M$1006,0)), HYPERLINK("#",""), HYPERLINK(CONCATENATE("#Metadata!", ADDRESS(INDEX($H$2:$H$1001,MATCH(ROWS($F$2:F788),$F$2:$F$1001,0),0), INDEX($M$1004,1,MATCH(COLUMNS($M$1006:M1006),$M$1006,0)))),"Fix")))</f>
        <v>0</v>
      </c>
      <c r="F788">
        <v>0</v>
      </c>
      <c r="G788">
        <v>0</v>
      </c>
      <c r="H788">
        <v>0</v>
      </c>
      <c r="I788">
        <f>IF(J788,TRUE,AND(M788))</f>
        <v>0</v>
      </c>
      <c r="J788">
        <f>COUNTBLANK(Metadata!B788)=COLUMNS(Metadata!B788)</f>
        <v>0</v>
      </c>
      <c r="K788">
        <v>0</v>
      </c>
      <c r="M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</row>
    <row r="789" spans="1:13">
      <c r="A789" s="3">
        <f>IF(B789=" "," ",HYPERLINK(CONCATENATE("#metadata!",ADDRESS(INDEX($H$2:$H$1001,MATCH(ROWS($F$2:F789),$F$2:$F$1001,0),0),2)),INDEX($K$2:$K$1001,MATCH(ROWS($F$2:F789),$F$2:$F$1001,0),0)))</f>
        <v>0</v>
      </c>
      <c r="B789" s="4">
        <f>IF(OR(INDEX($G$2:$G$1001,MATCH(ROWS($F$2:F789),$F$2:$F$1001,0),1)&gt;=100000,INDEX($M$1005,1,MATCH(COLUMNS($M$1006:M1006),$M$1006,0))&gt;=100000), " ",IF(INDEX($M$2:$M$1001,MATCH(ROWS($F$2:F789),$F$2:$F$1001,0),MATCH(COLUMNS($M$1006:M1006),$M$1006,0)), HYPERLINK("#",""), HYPERLINK(CONCATENATE("#Metadata!", ADDRESS(INDEX($H$2:$H$1001,MATCH(ROWS($F$2:F789),$F$2:$F$1001,0),0), INDEX($M$1004,1,MATCH(COLUMNS($M$1006:M1006),$M$1006,0)))),"Fix")))</f>
        <v>0</v>
      </c>
      <c r="F789">
        <v>0</v>
      </c>
      <c r="G789">
        <v>0</v>
      </c>
      <c r="H789">
        <v>0</v>
      </c>
      <c r="I789">
        <f>IF(J789,TRUE,AND(M789))</f>
        <v>0</v>
      </c>
      <c r="J789">
        <f>COUNTBLANK(Metadata!B789)=COLUMNS(Metadata!B789)</f>
        <v>0</v>
      </c>
      <c r="K789">
        <v>0</v>
      </c>
      <c r="M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</row>
    <row r="790" spans="1:13">
      <c r="A790" s="3">
        <f>IF(B790=" "," ",HYPERLINK(CONCATENATE("#metadata!",ADDRESS(INDEX($H$2:$H$1001,MATCH(ROWS($F$2:F790),$F$2:$F$1001,0),0),2)),INDEX($K$2:$K$1001,MATCH(ROWS($F$2:F790),$F$2:$F$1001,0),0)))</f>
        <v>0</v>
      </c>
      <c r="B790" s="4">
        <f>IF(OR(INDEX($G$2:$G$1001,MATCH(ROWS($F$2:F790),$F$2:$F$1001,0),1)&gt;=100000,INDEX($M$1005,1,MATCH(COLUMNS($M$1006:M1006),$M$1006,0))&gt;=100000), " ",IF(INDEX($M$2:$M$1001,MATCH(ROWS($F$2:F790),$F$2:$F$1001,0),MATCH(COLUMNS($M$1006:M1006),$M$1006,0)), HYPERLINK("#",""), HYPERLINK(CONCATENATE("#Metadata!", ADDRESS(INDEX($H$2:$H$1001,MATCH(ROWS($F$2:F790),$F$2:$F$1001,0),0), INDEX($M$1004,1,MATCH(COLUMNS($M$1006:M1006),$M$1006,0)))),"Fix")))</f>
        <v>0</v>
      </c>
      <c r="F790">
        <v>0</v>
      </c>
      <c r="G790">
        <v>0</v>
      </c>
      <c r="H790">
        <v>0</v>
      </c>
      <c r="I790">
        <f>IF(J790,TRUE,AND(M790))</f>
        <v>0</v>
      </c>
      <c r="J790">
        <f>COUNTBLANK(Metadata!B790)=COLUMNS(Metadata!B790)</f>
        <v>0</v>
      </c>
      <c r="K790">
        <v>0</v>
      </c>
      <c r="M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</row>
    <row r="791" spans="1:13">
      <c r="A791" s="3">
        <f>IF(B791=" "," ",HYPERLINK(CONCATENATE("#metadata!",ADDRESS(INDEX($H$2:$H$1001,MATCH(ROWS($F$2:F791),$F$2:$F$1001,0),0),2)),INDEX($K$2:$K$1001,MATCH(ROWS($F$2:F791),$F$2:$F$1001,0),0)))</f>
        <v>0</v>
      </c>
      <c r="B791" s="4">
        <f>IF(OR(INDEX($G$2:$G$1001,MATCH(ROWS($F$2:F791),$F$2:$F$1001,0),1)&gt;=100000,INDEX($M$1005,1,MATCH(COLUMNS($M$1006:M1006),$M$1006,0))&gt;=100000), " ",IF(INDEX($M$2:$M$1001,MATCH(ROWS($F$2:F791),$F$2:$F$1001,0),MATCH(COLUMNS($M$1006:M1006),$M$1006,0)), HYPERLINK("#",""), HYPERLINK(CONCATENATE("#Metadata!", ADDRESS(INDEX($H$2:$H$1001,MATCH(ROWS($F$2:F791),$F$2:$F$1001,0),0), INDEX($M$1004,1,MATCH(COLUMNS($M$1006:M1006),$M$1006,0)))),"Fix")))</f>
        <v>0</v>
      </c>
      <c r="F791">
        <v>0</v>
      </c>
      <c r="G791">
        <v>0</v>
      </c>
      <c r="H791">
        <v>0</v>
      </c>
      <c r="I791">
        <f>IF(J791,TRUE,AND(M791))</f>
        <v>0</v>
      </c>
      <c r="J791">
        <f>COUNTBLANK(Metadata!B791)=COLUMNS(Metadata!B791)</f>
        <v>0</v>
      </c>
      <c r="K791">
        <v>0</v>
      </c>
      <c r="M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</row>
    <row r="792" spans="1:13">
      <c r="A792" s="3">
        <f>IF(B792=" "," ",HYPERLINK(CONCATENATE("#metadata!",ADDRESS(INDEX($H$2:$H$1001,MATCH(ROWS($F$2:F792),$F$2:$F$1001,0),0),2)),INDEX($K$2:$K$1001,MATCH(ROWS($F$2:F792),$F$2:$F$1001,0),0)))</f>
        <v>0</v>
      </c>
      <c r="B792" s="4">
        <f>IF(OR(INDEX($G$2:$G$1001,MATCH(ROWS($F$2:F792),$F$2:$F$1001,0),1)&gt;=100000,INDEX($M$1005,1,MATCH(COLUMNS($M$1006:M1006),$M$1006,0))&gt;=100000), " ",IF(INDEX($M$2:$M$1001,MATCH(ROWS($F$2:F792),$F$2:$F$1001,0),MATCH(COLUMNS($M$1006:M1006),$M$1006,0)), HYPERLINK("#",""), HYPERLINK(CONCATENATE("#Metadata!", ADDRESS(INDEX($H$2:$H$1001,MATCH(ROWS($F$2:F792),$F$2:$F$1001,0),0), INDEX($M$1004,1,MATCH(COLUMNS($M$1006:M1006),$M$1006,0)))),"Fix")))</f>
        <v>0</v>
      </c>
      <c r="F792">
        <v>0</v>
      </c>
      <c r="G792">
        <v>0</v>
      </c>
      <c r="H792">
        <v>0</v>
      </c>
      <c r="I792">
        <f>IF(J792,TRUE,AND(M792))</f>
        <v>0</v>
      </c>
      <c r="J792">
        <f>COUNTBLANK(Metadata!B792)=COLUMNS(Metadata!B792)</f>
        <v>0</v>
      </c>
      <c r="K792">
        <v>0</v>
      </c>
      <c r="M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</row>
    <row r="793" spans="1:13">
      <c r="A793" s="3">
        <f>IF(B793=" "," ",HYPERLINK(CONCATENATE("#metadata!",ADDRESS(INDEX($H$2:$H$1001,MATCH(ROWS($F$2:F793),$F$2:$F$1001,0),0),2)),INDEX($K$2:$K$1001,MATCH(ROWS($F$2:F793),$F$2:$F$1001,0),0)))</f>
        <v>0</v>
      </c>
      <c r="B793" s="4">
        <f>IF(OR(INDEX($G$2:$G$1001,MATCH(ROWS($F$2:F793),$F$2:$F$1001,0),1)&gt;=100000,INDEX($M$1005,1,MATCH(COLUMNS($M$1006:M1006),$M$1006,0))&gt;=100000), " ",IF(INDEX($M$2:$M$1001,MATCH(ROWS($F$2:F793),$F$2:$F$1001,0),MATCH(COLUMNS($M$1006:M1006),$M$1006,0)), HYPERLINK("#",""), HYPERLINK(CONCATENATE("#Metadata!", ADDRESS(INDEX($H$2:$H$1001,MATCH(ROWS($F$2:F793),$F$2:$F$1001,0),0), INDEX($M$1004,1,MATCH(COLUMNS($M$1006:M1006),$M$1006,0)))),"Fix")))</f>
        <v>0</v>
      </c>
      <c r="F793">
        <v>0</v>
      </c>
      <c r="G793">
        <v>0</v>
      </c>
      <c r="H793">
        <v>0</v>
      </c>
      <c r="I793">
        <f>IF(J793,TRUE,AND(M793))</f>
        <v>0</v>
      </c>
      <c r="J793">
        <f>COUNTBLANK(Metadata!B793)=COLUMNS(Metadata!B793)</f>
        <v>0</v>
      </c>
      <c r="K793">
        <v>0</v>
      </c>
      <c r="M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</row>
    <row r="794" spans="1:13">
      <c r="A794" s="3">
        <f>IF(B794=" "," ",HYPERLINK(CONCATENATE("#metadata!",ADDRESS(INDEX($H$2:$H$1001,MATCH(ROWS($F$2:F794),$F$2:$F$1001,0),0),2)),INDEX($K$2:$K$1001,MATCH(ROWS($F$2:F794),$F$2:$F$1001,0),0)))</f>
        <v>0</v>
      </c>
      <c r="B794" s="4">
        <f>IF(OR(INDEX($G$2:$G$1001,MATCH(ROWS($F$2:F794),$F$2:$F$1001,0),1)&gt;=100000,INDEX($M$1005,1,MATCH(COLUMNS($M$1006:M1006),$M$1006,0))&gt;=100000), " ",IF(INDEX($M$2:$M$1001,MATCH(ROWS($F$2:F794),$F$2:$F$1001,0),MATCH(COLUMNS($M$1006:M1006),$M$1006,0)), HYPERLINK("#",""), HYPERLINK(CONCATENATE("#Metadata!", ADDRESS(INDEX($H$2:$H$1001,MATCH(ROWS($F$2:F794),$F$2:$F$1001,0),0), INDEX($M$1004,1,MATCH(COLUMNS($M$1006:M1006),$M$1006,0)))),"Fix")))</f>
        <v>0</v>
      </c>
      <c r="F794">
        <v>0</v>
      </c>
      <c r="G794">
        <v>0</v>
      </c>
      <c r="H794">
        <v>0</v>
      </c>
      <c r="I794">
        <f>IF(J794,TRUE,AND(M794))</f>
        <v>0</v>
      </c>
      <c r="J794">
        <f>COUNTBLANK(Metadata!B794)=COLUMNS(Metadata!B794)</f>
        <v>0</v>
      </c>
      <c r="K794">
        <v>0</v>
      </c>
      <c r="M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</row>
    <row r="795" spans="1:13">
      <c r="A795" s="3">
        <f>IF(B795=" "," ",HYPERLINK(CONCATENATE("#metadata!",ADDRESS(INDEX($H$2:$H$1001,MATCH(ROWS($F$2:F795),$F$2:$F$1001,0),0),2)),INDEX($K$2:$K$1001,MATCH(ROWS($F$2:F795),$F$2:$F$1001,0),0)))</f>
        <v>0</v>
      </c>
      <c r="B795" s="4">
        <f>IF(OR(INDEX($G$2:$G$1001,MATCH(ROWS($F$2:F795),$F$2:$F$1001,0),1)&gt;=100000,INDEX($M$1005,1,MATCH(COLUMNS($M$1006:M1006),$M$1006,0))&gt;=100000), " ",IF(INDEX($M$2:$M$1001,MATCH(ROWS($F$2:F795),$F$2:$F$1001,0),MATCH(COLUMNS($M$1006:M1006),$M$1006,0)), HYPERLINK("#",""), HYPERLINK(CONCATENATE("#Metadata!", ADDRESS(INDEX($H$2:$H$1001,MATCH(ROWS($F$2:F795),$F$2:$F$1001,0),0), INDEX($M$1004,1,MATCH(COLUMNS($M$1006:M1006),$M$1006,0)))),"Fix")))</f>
        <v>0</v>
      </c>
      <c r="F795">
        <v>0</v>
      </c>
      <c r="G795">
        <v>0</v>
      </c>
      <c r="H795">
        <v>0</v>
      </c>
      <c r="I795">
        <f>IF(J795,TRUE,AND(M795))</f>
        <v>0</v>
      </c>
      <c r="J795">
        <f>COUNTBLANK(Metadata!B795)=COLUMNS(Metadata!B795)</f>
        <v>0</v>
      </c>
      <c r="K795">
        <v>0</v>
      </c>
      <c r="M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</row>
    <row r="796" spans="1:13">
      <c r="A796" s="3">
        <f>IF(B796=" "," ",HYPERLINK(CONCATENATE("#metadata!",ADDRESS(INDEX($H$2:$H$1001,MATCH(ROWS($F$2:F796),$F$2:$F$1001,0),0),2)),INDEX($K$2:$K$1001,MATCH(ROWS($F$2:F796),$F$2:$F$1001,0),0)))</f>
        <v>0</v>
      </c>
      <c r="B796" s="4">
        <f>IF(OR(INDEX($G$2:$G$1001,MATCH(ROWS($F$2:F796),$F$2:$F$1001,0),1)&gt;=100000,INDEX($M$1005,1,MATCH(COLUMNS($M$1006:M1006),$M$1006,0))&gt;=100000), " ",IF(INDEX($M$2:$M$1001,MATCH(ROWS($F$2:F796),$F$2:$F$1001,0),MATCH(COLUMNS($M$1006:M1006),$M$1006,0)), HYPERLINK("#",""), HYPERLINK(CONCATENATE("#Metadata!", ADDRESS(INDEX($H$2:$H$1001,MATCH(ROWS($F$2:F796),$F$2:$F$1001,0),0), INDEX($M$1004,1,MATCH(COLUMNS($M$1006:M1006),$M$1006,0)))),"Fix")))</f>
        <v>0</v>
      </c>
      <c r="F796">
        <v>0</v>
      </c>
      <c r="G796">
        <v>0</v>
      </c>
      <c r="H796">
        <v>0</v>
      </c>
      <c r="I796">
        <f>IF(J796,TRUE,AND(M796))</f>
        <v>0</v>
      </c>
      <c r="J796">
        <f>COUNTBLANK(Metadata!B796)=COLUMNS(Metadata!B796)</f>
        <v>0</v>
      </c>
      <c r="K796">
        <v>0</v>
      </c>
      <c r="M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</row>
    <row r="797" spans="1:13">
      <c r="A797" s="3">
        <f>IF(B797=" "," ",HYPERLINK(CONCATENATE("#metadata!",ADDRESS(INDEX($H$2:$H$1001,MATCH(ROWS($F$2:F797),$F$2:$F$1001,0),0),2)),INDEX($K$2:$K$1001,MATCH(ROWS($F$2:F797),$F$2:$F$1001,0),0)))</f>
        <v>0</v>
      </c>
      <c r="B797" s="4">
        <f>IF(OR(INDEX($G$2:$G$1001,MATCH(ROWS($F$2:F797),$F$2:$F$1001,0),1)&gt;=100000,INDEX($M$1005,1,MATCH(COLUMNS($M$1006:M1006),$M$1006,0))&gt;=100000), " ",IF(INDEX($M$2:$M$1001,MATCH(ROWS($F$2:F797),$F$2:$F$1001,0),MATCH(COLUMNS($M$1006:M1006),$M$1006,0)), HYPERLINK("#",""), HYPERLINK(CONCATENATE("#Metadata!", ADDRESS(INDEX($H$2:$H$1001,MATCH(ROWS($F$2:F797),$F$2:$F$1001,0),0), INDEX($M$1004,1,MATCH(COLUMNS($M$1006:M1006),$M$1006,0)))),"Fix")))</f>
        <v>0</v>
      </c>
      <c r="F797">
        <v>0</v>
      </c>
      <c r="G797">
        <v>0</v>
      </c>
      <c r="H797">
        <v>0</v>
      </c>
      <c r="I797">
        <f>IF(J797,TRUE,AND(M797))</f>
        <v>0</v>
      </c>
      <c r="J797">
        <f>COUNTBLANK(Metadata!B797)=COLUMNS(Metadata!B797)</f>
        <v>0</v>
      </c>
      <c r="K797">
        <v>0</v>
      </c>
      <c r="M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</row>
    <row r="798" spans="1:13">
      <c r="A798" s="3">
        <f>IF(B798=" "," ",HYPERLINK(CONCATENATE("#metadata!",ADDRESS(INDEX($H$2:$H$1001,MATCH(ROWS($F$2:F798),$F$2:$F$1001,0),0),2)),INDEX($K$2:$K$1001,MATCH(ROWS($F$2:F798),$F$2:$F$1001,0),0)))</f>
        <v>0</v>
      </c>
      <c r="B798" s="4">
        <f>IF(OR(INDEX($G$2:$G$1001,MATCH(ROWS($F$2:F798),$F$2:$F$1001,0),1)&gt;=100000,INDEX($M$1005,1,MATCH(COLUMNS($M$1006:M1006),$M$1006,0))&gt;=100000), " ",IF(INDEX($M$2:$M$1001,MATCH(ROWS($F$2:F798),$F$2:$F$1001,0),MATCH(COLUMNS($M$1006:M1006),$M$1006,0)), HYPERLINK("#",""), HYPERLINK(CONCATENATE("#Metadata!", ADDRESS(INDEX($H$2:$H$1001,MATCH(ROWS($F$2:F798),$F$2:$F$1001,0),0), INDEX($M$1004,1,MATCH(COLUMNS($M$1006:M1006),$M$1006,0)))),"Fix")))</f>
        <v>0</v>
      </c>
      <c r="F798">
        <v>0</v>
      </c>
      <c r="G798">
        <v>0</v>
      </c>
      <c r="H798">
        <v>0</v>
      </c>
      <c r="I798">
        <f>IF(J798,TRUE,AND(M798))</f>
        <v>0</v>
      </c>
      <c r="J798">
        <f>COUNTBLANK(Metadata!B798)=COLUMNS(Metadata!B798)</f>
        <v>0</v>
      </c>
      <c r="K798">
        <v>0</v>
      </c>
      <c r="M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</row>
    <row r="799" spans="1:13">
      <c r="A799" s="3">
        <f>IF(B799=" "," ",HYPERLINK(CONCATENATE("#metadata!",ADDRESS(INDEX($H$2:$H$1001,MATCH(ROWS($F$2:F799),$F$2:$F$1001,0),0),2)),INDEX($K$2:$K$1001,MATCH(ROWS($F$2:F799),$F$2:$F$1001,0),0)))</f>
        <v>0</v>
      </c>
      <c r="B799" s="4">
        <f>IF(OR(INDEX($G$2:$G$1001,MATCH(ROWS($F$2:F799),$F$2:$F$1001,0),1)&gt;=100000,INDEX($M$1005,1,MATCH(COLUMNS($M$1006:M1006),$M$1006,0))&gt;=100000), " ",IF(INDEX($M$2:$M$1001,MATCH(ROWS($F$2:F799),$F$2:$F$1001,0),MATCH(COLUMNS($M$1006:M1006),$M$1006,0)), HYPERLINK("#",""), HYPERLINK(CONCATENATE("#Metadata!", ADDRESS(INDEX($H$2:$H$1001,MATCH(ROWS($F$2:F799),$F$2:$F$1001,0),0), INDEX($M$1004,1,MATCH(COLUMNS($M$1006:M1006),$M$1006,0)))),"Fix")))</f>
        <v>0</v>
      </c>
      <c r="F799">
        <v>0</v>
      </c>
      <c r="G799">
        <v>0</v>
      </c>
      <c r="H799">
        <v>0</v>
      </c>
      <c r="I799">
        <f>IF(J799,TRUE,AND(M799))</f>
        <v>0</v>
      </c>
      <c r="J799">
        <f>COUNTBLANK(Metadata!B799)=COLUMNS(Metadata!B799)</f>
        <v>0</v>
      </c>
      <c r="K799">
        <v>0</v>
      </c>
      <c r="M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</row>
    <row r="800" spans="1:13">
      <c r="A800" s="3">
        <f>IF(B800=" "," ",HYPERLINK(CONCATENATE("#metadata!",ADDRESS(INDEX($H$2:$H$1001,MATCH(ROWS($F$2:F800),$F$2:$F$1001,0),0),2)),INDEX($K$2:$K$1001,MATCH(ROWS($F$2:F800),$F$2:$F$1001,0),0)))</f>
        <v>0</v>
      </c>
      <c r="B800" s="4">
        <f>IF(OR(INDEX($G$2:$G$1001,MATCH(ROWS($F$2:F800),$F$2:$F$1001,0),1)&gt;=100000,INDEX($M$1005,1,MATCH(COLUMNS($M$1006:M1006),$M$1006,0))&gt;=100000), " ",IF(INDEX($M$2:$M$1001,MATCH(ROWS($F$2:F800),$F$2:$F$1001,0),MATCH(COLUMNS($M$1006:M1006),$M$1006,0)), HYPERLINK("#",""), HYPERLINK(CONCATENATE("#Metadata!", ADDRESS(INDEX($H$2:$H$1001,MATCH(ROWS($F$2:F800),$F$2:$F$1001,0),0), INDEX($M$1004,1,MATCH(COLUMNS($M$1006:M1006),$M$1006,0)))),"Fix")))</f>
        <v>0</v>
      </c>
      <c r="F800">
        <v>0</v>
      </c>
      <c r="G800">
        <v>0</v>
      </c>
      <c r="H800">
        <v>0</v>
      </c>
      <c r="I800">
        <f>IF(J800,TRUE,AND(M800))</f>
        <v>0</v>
      </c>
      <c r="J800">
        <f>COUNTBLANK(Metadata!B800)=COLUMNS(Metadata!B800)</f>
        <v>0</v>
      </c>
      <c r="K800">
        <v>0</v>
      </c>
      <c r="M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</row>
    <row r="801" spans="1:13">
      <c r="A801" s="3">
        <f>IF(B801=" "," ",HYPERLINK(CONCATENATE("#metadata!",ADDRESS(INDEX($H$2:$H$1001,MATCH(ROWS($F$2:F801),$F$2:$F$1001,0),0),2)),INDEX($K$2:$K$1001,MATCH(ROWS($F$2:F801),$F$2:$F$1001,0),0)))</f>
        <v>0</v>
      </c>
      <c r="B801" s="4">
        <f>IF(OR(INDEX($G$2:$G$1001,MATCH(ROWS($F$2:F801),$F$2:$F$1001,0),1)&gt;=100000,INDEX($M$1005,1,MATCH(COLUMNS($M$1006:M1006),$M$1006,0))&gt;=100000), " ",IF(INDEX($M$2:$M$1001,MATCH(ROWS($F$2:F801),$F$2:$F$1001,0),MATCH(COLUMNS($M$1006:M1006),$M$1006,0)), HYPERLINK("#",""), HYPERLINK(CONCATENATE("#Metadata!", ADDRESS(INDEX($H$2:$H$1001,MATCH(ROWS($F$2:F801),$F$2:$F$1001,0),0), INDEX($M$1004,1,MATCH(COLUMNS($M$1006:M1006),$M$1006,0)))),"Fix")))</f>
        <v>0</v>
      </c>
      <c r="F801">
        <v>0</v>
      </c>
      <c r="G801">
        <v>0</v>
      </c>
      <c r="H801">
        <v>0</v>
      </c>
      <c r="I801">
        <f>IF(J801,TRUE,AND(M801))</f>
        <v>0</v>
      </c>
      <c r="J801">
        <f>COUNTBLANK(Metadata!B801)=COLUMNS(Metadata!B801)</f>
        <v>0</v>
      </c>
      <c r="K801">
        <v>0</v>
      </c>
      <c r="M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</row>
    <row r="802" spans="1:13">
      <c r="A802" s="3">
        <f>IF(B802=" "," ",HYPERLINK(CONCATENATE("#metadata!",ADDRESS(INDEX($H$2:$H$1001,MATCH(ROWS($F$2:F802),$F$2:$F$1001,0),0),2)),INDEX($K$2:$K$1001,MATCH(ROWS($F$2:F802),$F$2:$F$1001,0),0)))</f>
        <v>0</v>
      </c>
      <c r="B802" s="4">
        <f>IF(OR(INDEX($G$2:$G$1001,MATCH(ROWS($F$2:F802),$F$2:$F$1001,0),1)&gt;=100000,INDEX($M$1005,1,MATCH(COLUMNS($M$1006:M1006),$M$1006,0))&gt;=100000), " ",IF(INDEX($M$2:$M$1001,MATCH(ROWS($F$2:F802),$F$2:$F$1001,0),MATCH(COLUMNS($M$1006:M1006),$M$1006,0)), HYPERLINK("#",""), HYPERLINK(CONCATENATE("#Metadata!", ADDRESS(INDEX($H$2:$H$1001,MATCH(ROWS($F$2:F802),$F$2:$F$1001,0),0), INDEX($M$1004,1,MATCH(COLUMNS($M$1006:M1006),$M$1006,0)))),"Fix")))</f>
        <v>0</v>
      </c>
      <c r="F802">
        <v>0</v>
      </c>
      <c r="G802">
        <v>0</v>
      </c>
      <c r="H802">
        <v>0</v>
      </c>
      <c r="I802">
        <f>IF(J802,TRUE,AND(M802))</f>
        <v>0</v>
      </c>
      <c r="J802">
        <f>COUNTBLANK(Metadata!B802)=COLUMNS(Metadata!B802)</f>
        <v>0</v>
      </c>
      <c r="K802">
        <v>0</v>
      </c>
      <c r="M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</row>
    <row r="803" spans="1:13">
      <c r="A803" s="3">
        <f>IF(B803=" "," ",HYPERLINK(CONCATENATE("#metadata!",ADDRESS(INDEX($H$2:$H$1001,MATCH(ROWS($F$2:F803),$F$2:$F$1001,0),0),2)),INDEX($K$2:$K$1001,MATCH(ROWS($F$2:F803),$F$2:$F$1001,0),0)))</f>
        <v>0</v>
      </c>
      <c r="B803" s="4">
        <f>IF(OR(INDEX($G$2:$G$1001,MATCH(ROWS($F$2:F803),$F$2:$F$1001,0),1)&gt;=100000,INDEX($M$1005,1,MATCH(COLUMNS($M$1006:M1006),$M$1006,0))&gt;=100000), " ",IF(INDEX($M$2:$M$1001,MATCH(ROWS($F$2:F803),$F$2:$F$1001,0),MATCH(COLUMNS($M$1006:M1006),$M$1006,0)), HYPERLINK("#",""), HYPERLINK(CONCATENATE("#Metadata!", ADDRESS(INDEX($H$2:$H$1001,MATCH(ROWS($F$2:F803),$F$2:$F$1001,0),0), INDEX($M$1004,1,MATCH(COLUMNS($M$1006:M1006),$M$1006,0)))),"Fix")))</f>
        <v>0</v>
      </c>
      <c r="F803">
        <v>0</v>
      </c>
      <c r="G803">
        <v>0</v>
      </c>
      <c r="H803">
        <v>0</v>
      </c>
      <c r="I803">
        <f>IF(J803,TRUE,AND(M803))</f>
        <v>0</v>
      </c>
      <c r="J803">
        <f>COUNTBLANK(Metadata!B803)=COLUMNS(Metadata!B803)</f>
        <v>0</v>
      </c>
      <c r="K803">
        <v>0</v>
      </c>
      <c r="M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</row>
    <row r="804" spans="1:13">
      <c r="A804" s="3">
        <f>IF(B804=" "," ",HYPERLINK(CONCATENATE("#metadata!",ADDRESS(INDEX($H$2:$H$1001,MATCH(ROWS($F$2:F804),$F$2:$F$1001,0),0),2)),INDEX($K$2:$K$1001,MATCH(ROWS($F$2:F804),$F$2:$F$1001,0),0)))</f>
        <v>0</v>
      </c>
      <c r="B804" s="4">
        <f>IF(OR(INDEX($G$2:$G$1001,MATCH(ROWS($F$2:F804),$F$2:$F$1001,0),1)&gt;=100000,INDEX($M$1005,1,MATCH(COLUMNS($M$1006:M1006),$M$1006,0))&gt;=100000), " ",IF(INDEX($M$2:$M$1001,MATCH(ROWS($F$2:F804),$F$2:$F$1001,0),MATCH(COLUMNS($M$1006:M1006),$M$1006,0)), HYPERLINK("#",""), HYPERLINK(CONCATENATE("#Metadata!", ADDRESS(INDEX($H$2:$H$1001,MATCH(ROWS($F$2:F804),$F$2:$F$1001,0),0), INDEX($M$1004,1,MATCH(COLUMNS($M$1006:M1006),$M$1006,0)))),"Fix")))</f>
        <v>0</v>
      </c>
      <c r="F804">
        <v>0</v>
      </c>
      <c r="G804">
        <v>0</v>
      </c>
      <c r="H804">
        <v>0</v>
      </c>
      <c r="I804">
        <f>IF(J804,TRUE,AND(M804))</f>
        <v>0</v>
      </c>
      <c r="J804">
        <f>COUNTBLANK(Metadata!B804)=COLUMNS(Metadata!B804)</f>
        <v>0</v>
      </c>
      <c r="K804">
        <v>0</v>
      </c>
      <c r="M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</row>
    <row r="805" spans="1:13">
      <c r="A805" s="3">
        <f>IF(B805=" "," ",HYPERLINK(CONCATENATE("#metadata!",ADDRESS(INDEX($H$2:$H$1001,MATCH(ROWS($F$2:F805),$F$2:$F$1001,0),0),2)),INDEX($K$2:$K$1001,MATCH(ROWS($F$2:F805),$F$2:$F$1001,0),0)))</f>
        <v>0</v>
      </c>
      <c r="B805" s="4">
        <f>IF(OR(INDEX($G$2:$G$1001,MATCH(ROWS($F$2:F805),$F$2:$F$1001,0),1)&gt;=100000,INDEX($M$1005,1,MATCH(COLUMNS($M$1006:M1006),$M$1006,0))&gt;=100000), " ",IF(INDEX($M$2:$M$1001,MATCH(ROWS($F$2:F805),$F$2:$F$1001,0),MATCH(COLUMNS($M$1006:M1006),$M$1006,0)), HYPERLINK("#",""), HYPERLINK(CONCATENATE("#Metadata!", ADDRESS(INDEX($H$2:$H$1001,MATCH(ROWS($F$2:F805),$F$2:$F$1001,0),0), INDEX($M$1004,1,MATCH(COLUMNS($M$1006:M1006),$M$1006,0)))),"Fix")))</f>
        <v>0</v>
      </c>
      <c r="F805">
        <v>0</v>
      </c>
      <c r="G805">
        <v>0</v>
      </c>
      <c r="H805">
        <v>0</v>
      </c>
      <c r="I805">
        <f>IF(J805,TRUE,AND(M805))</f>
        <v>0</v>
      </c>
      <c r="J805">
        <f>COUNTBLANK(Metadata!B805)=COLUMNS(Metadata!B805)</f>
        <v>0</v>
      </c>
      <c r="K805">
        <v>0</v>
      </c>
      <c r="M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</row>
    <row r="806" spans="1:13">
      <c r="A806" s="3">
        <f>IF(B806=" "," ",HYPERLINK(CONCATENATE("#metadata!",ADDRESS(INDEX($H$2:$H$1001,MATCH(ROWS($F$2:F806),$F$2:$F$1001,0),0),2)),INDEX($K$2:$K$1001,MATCH(ROWS($F$2:F806),$F$2:$F$1001,0),0)))</f>
        <v>0</v>
      </c>
      <c r="B806" s="4">
        <f>IF(OR(INDEX($G$2:$G$1001,MATCH(ROWS($F$2:F806),$F$2:$F$1001,0),1)&gt;=100000,INDEX($M$1005,1,MATCH(COLUMNS($M$1006:M1006),$M$1006,0))&gt;=100000), " ",IF(INDEX($M$2:$M$1001,MATCH(ROWS($F$2:F806),$F$2:$F$1001,0),MATCH(COLUMNS($M$1006:M1006),$M$1006,0)), HYPERLINK("#",""), HYPERLINK(CONCATENATE("#Metadata!", ADDRESS(INDEX($H$2:$H$1001,MATCH(ROWS($F$2:F806),$F$2:$F$1001,0),0), INDEX($M$1004,1,MATCH(COLUMNS($M$1006:M1006),$M$1006,0)))),"Fix")))</f>
        <v>0</v>
      </c>
      <c r="F806">
        <v>0</v>
      </c>
      <c r="G806">
        <v>0</v>
      </c>
      <c r="H806">
        <v>0</v>
      </c>
      <c r="I806">
        <f>IF(J806,TRUE,AND(M806))</f>
        <v>0</v>
      </c>
      <c r="J806">
        <f>COUNTBLANK(Metadata!B806)=COLUMNS(Metadata!B806)</f>
        <v>0</v>
      </c>
      <c r="K806">
        <v>0</v>
      </c>
      <c r="M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</row>
    <row r="807" spans="1:13">
      <c r="A807" s="3">
        <f>IF(B807=" "," ",HYPERLINK(CONCATENATE("#metadata!",ADDRESS(INDEX($H$2:$H$1001,MATCH(ROWS($F$2:F807),$F$2:$F$1001,0),0),2)),INDEX($K$2:$K$1001,MATCH(ROWS($F$2:F807),$F$2:$F$1001,0),0)))</f>
        <v>0</v>
      </c>
      <c r="B807" s="4">
        <f>IF(OR(INDEX($G$2:$G$1001,MATCH(ROWS($F$2:F807),$F$2:$F$1001,0),1)&gt;=100000,INDEX($M$1005,1,MATCH(COLUMNS($M$1006:M1006),$M$1006,0))&gt;=100000), " ",IF(INDEX($M$2:$M$1001,MATCH(ROWS($F$2:F807),$F$2:$F$1001,0),MATCH(COLUMNS($M$1006:M1006),$M$1006,0)), HYPERLINK("#",""), HYPERLINK(CONCATENATE("#Metadata!", ADDRESS(INDEX($H$2:$H$1001,MATCH(ROWS($F$2:F807),$F$2:$F$1001,0),0), INDEX($M$1004,1,MATCH(COLUMNS($M$1006:M1006),$M$1006,0)))),"Fix")))</f>
        <v>0</v>
      </c>
      <c r="F807">
        <v>0</v>
      </c>
      <c r="G807">
        <v>0</v>
      </c>
      <c r="H807">
        <v>0</v>
      </c>
      <c r="I807">
        <f>IF(J807,TRUE,AND(M807))</f>
        <v>0</v>
      </c>
      <c r="J807">
        <f>COUNTBLANK(Metadata!B807)=COLUMNS(Metadata!B807)</f>
        <v>0</v>
      </c>
      <c r="K807">
        <v>0</v>
      </c>
      <c r="M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</row>
    <row r="808" spans="1:13">
      <c r="A808" s="3">
        <f>IF(B808=" "," ",HYPERLINK(CONCATENATE("#metadata!",ADDRESS(INDEX($H$2:$H$1001,MATCH(ROWS($F$2:F808),$F$2:$F$1001,0),0),2)),INDEX($K$2:$K$1001,MATCH(ROWS($F$2:F808),$F$2:$F$1001,0),0)))</f>
        <v>0</v>
      </c>
      <c r="B808" s="4">
        <f>IF(OR(INDEX($G$2:$G$1001,MATCH(ROWS($F$2:F808),$F$2:$F$1001,0),1)&gt;=100000,INDEX($M$1005,1,MATCH(COLUMNS($M$1006:M1006),$M$1006,0))&gt;=100000), " ",IF(INDEX($M$2:$M$1001,MATCH(ROWS($F$2:F808),$F$2:$F$1001,0),MATCH(COLUMNS($M$1006:M1006),$M$1006,0)), HYPERLINK("#",""), HYPERLINK(CONCATENATE("#Metadata!", ADDRESS(INDEX($H$2:$H$1001,MATCH(ROWS($F$2:F808),$F$2:$F$1001,0),0), INDEX($M$1004,1,MATCH(COLUMNS($M$1006:M1006),$M$1006,0)))),"Fix")))</f>
        <v>0</v>
      </c>
      <c r="F808">
        <v>0</v>
      </c>
      <c r="G808">
        <v>0</v>
      </c>
      <c r="H808">
        <v>0</v>
      </c>
      <c r="I808">
        <f>IF(J808,TRUE,AND(M808))</f>
        <v>0</v>
      </c>
      <c r="J808">
        <f>COUNTBLANK(Metadata!B808)=COLUMNS(Metadata!B808)</f>
        <v>0</v>
      </c>
      <c r="K808">
        <v>0</v>
      </c>
      <c r="M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</row>
    <row r="809" spans="1:13">
      <c r="A809" s="3">
        <f>IF(B809=" "," ",HYPERLINK(CONCATENATE("#metadata!",ADDRESS(INDEX($H$2:$H$1001,MATCH(ROWS($F$2:F809),$F$2:$F$1001,0),0),2)),INDEX($K$2:$K$1001,MATCH(ROWS($F$2:F809),$F$2:$F$1001,0),0)))</f>
        <v>0</v>
      </c>
      <c r="B809" s="4">
        <f>IF(OR(INDEX($G$2:$G$1001,MATCH(ROWS($F$2:F809),$F$2:$F$1001,0),1)&gt;=100000,INDEX($M$1005,1,MATCH(COLUMNS($M$1006:M1006),$M$1006,0))&gt;=100000), " ",IF(INDEX($M$2:$M$1001,MATCH(ROWS($F$2:F809),$F$2:$F$1001,0),MATCH(COLUMNS($M$1006:M1006),$M$1006,0)), HYPERLINK("#",""), HYPERLINK(CONCATENATE("#Metadata!", ADDRESS(INDEX($H$2:$H$1001,MATCH(ROWS($F$2:F809),$F$2:$F$1001,0),0), INDEX($M$1004,1,MATCH(COLUMNS($M$1006:M1006),$M$1006,0)))),"Fix")))</f>
        <v>0</v>
      </c>
      <c r="F809">
        <v>0</v>
      </c>
      <c r="G809">
        <v>0</v>
      </c>
      <c r="H809">
        <v>0</v>
      </c>
      <c r="I809">
        <f>IF(J809,TRUE,AND(M809))</f>
        <v>0</v>
      </c>
      <c r="J809">
        <f>COUNTBLANK(Metadata!B809)=COLUMNS(Metadata!B809)</f>
        <v>0</v>
      </c>
      <c r="K809">
        <v>0</v>
      </c>
      <c r="M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</row>
    <row r="810" spans="1:13">
      <c r="A810" s="3">
        <f>IF(B810=" "," ",HYPERLINK(CONCATENATE("#metadata!",ADDRESS(INDEX($H$2:$H$1001,MATCH(ROWS($F$2:F810),$F$2:$F$1001,0),0),2)),INDEX($K$2:$K$1001,MATCH(ROWS($F$2:F810),$F$2:$F$1001,0),0)))</f>
        <v>0</v>
      </c>
      <c r="B810" s="4">
        <f>IF(OR(INDEX($G$2:$G$1001,MATCH(ROWS($F$2:F810),$F$2:$F$1001,0),1)&gt;=100000,INDEX($M$1005,1,MATCH(COLUMNS($M$1006:M1006),$M$1006,0))&gt;=100000), " ",IF(INDEX($M$2:$M$1001,MATCH(ROWS($F$2:F810),$F$2:$F$1001,0),MATCH(COLUMNS($M$1006:M1006),$M$1006,0)), HYPERLINK("#",""), HYPERLINK(CONCATENATE("#Metadata!", ADDRESS(INDEX($H$2:$H$1001,MATCH(ROWS($F$2:F810),$F$2:$F$1001,0),0), INDEX($M$1004,1,MATCH(COLUMNS($M$1006:M1006),$M$1006,0)))),"Fix")))</f>
        <v>0</v>
      </c>
      <c r="F810">
        <v>0</v>
      </c>
      <c r="G810">
        <v>0</v>
      </c>
      <c r="H810">
        <v>0</v>
      </c>
      <c r="I810">
        <f>IF(J810,TRUE,AND(M810))</f>
        <v>0</v>
      </c>
      <c r="J810">
        <f>COUNTBLANK(Metadata!B810)=COLUMNS(Metadata!B810)</f>
        <v>0</v>
      </c>
      <c r="K810">
        <v>0</v>
      </c>
      <c r="M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</row>
    <row r="811" spans="1:13">
      <c r="A811" s="3">
        <f>IF(B811=" "," ",HYPERLINK(CONCATENATE("#metadata!",ADDRESS(INDEX($H$2:$H$1001,MATCH(ROWS($F$2:F811),$F$2:$F$1001,0),0),2)),INDEX($K$2:$K$1001,MATCH(ROWS($F$2:F811),$F$2:$F$1001,0),0)))</f>
        <v>0</v>
      </c>
      <c r="B811" s="4">
        <f>IF(OR(INDEX($G$2:$G$1001,MATCH(ROWS($F$2:F811),$F$2:$F$1001,0),1)&gt;=100000,INDEX($M$1005,1,MATCH(COLUMNS($M$1006:M1006),$M$1006,0))&gt;=100000), " ",IF(INDEX($M$2:$M$1001,MATCH(ROWS($F$2:F811),$F$2:$F$1001,0),MATCH(COLUMNS($M$1006:M1006),$M$1006,0)), HYPERLINK("#",""), HYPERLINK(CONCATENATE("#Metadata!", ADDRESS(INDEX($H$2:$H$1001,MATCH(ROWS($F$2:F811),$F$2:$F$1001,0),0), INDEX($M$1004,1,MATCH(COLUMNS($M$1006:M1006),$M$1006,0)))),"Fix")))</f>
        <v>0</v>
      </c>
      <c r="F811">
        <v>0</v>
      </c>
      <c r="G811">
        <v>0</v>
      </c>
      <c r="H811">
        <v>0</v>
      </c>
      <c r="I811">
        <f>IF(J811,TRUE,AND(M811))</f>
        <v>0</v>
      </c>
      <c r="J811">
        <f>COUNTBLANK(Metadata!B811)=COLUMNS(Metadata!B811)</f>
        <v>0</v>
      </c>
      <c r="K811">
        <v>0</v>
      </c>
      <c r="M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</row>
    <row r="812" spans="1:13">
      <c r="A812" s="3">
        <f>IF(B812=" "," ",HYPERLINK(CONCATENATE("#metadata!",ADDRESS(INDEX($H$2:$H$1001,MATCH(ROWS($F$2:F812),$F$2:$F$1001,0),0),2)),INDEX($K$2:$K$1001,MATCH(ROWS($F$2:F812),$F$2:$F$1001,0),0)))</f>
        <v>0</v>
      </c>
      <c r="B812" s="4">
        <f>IF(OR(INDEX($G$2:$G$1001,MATCH(ROWS($F$2:F812),$F$2:$F$1001,0),1)&gt;=100000,INDEX($M$1005,1,MATCH(COLUMNS($M$1006:M1006),$M$1006,0))&gt;=100000), " ",IF(INDEX($M$2:$M$1001,MATCH(ROWS($F$2:F812),$F$2:$F$1001,0),MATCH(COLUMNS($M$1006:M1006),$M$1006,0)), HYPERLINK("#",""), HYPERLINK(CONCATENATE("#Metadata!", ADDRESS(INDEX($H$2:$H$1001,MATCH(ROWS($F$2:F812),$F$2:$F$1001,0),0), INDEX($M$1004,1,MATCH(COLUMNS($M$1006:M1006),$M$1006,0)))),"Fix")))</f>
        <v>0</v>
      </c>
      <c r="F812">
        <v>0</v>
      </c>
      <c r="G812">
        <v>0</v>
      </c>
      <c r="H812">
        <v>0</v>
      </c>
      <c r="I812">
        <f>IF(J812,TRUE,AND(M812))</f>
        <v>0</v>
      </c>
      <c r="J812">
        <f>COUNTBLANK(Metadata!B812)=COLUMNS(Metadata!B812)</f>
        <v>0</v>
      </c>
      <c r="K812">
        <v>0</v>
      </c>
      <c r="M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</row>
    <row r="813" spans="1:13">
      <c r="A813" s="3">
        <f>IF(B813=" "," ",HYPERLINK(CONCATENATE("#metadata!",ADDRESS(INDEX($H$2:$H$1001,MATCH(ROWS($F$2:F813),$F$2:$F$1001,0),0),2)),INDEX($K$2:$K$1001,MATCH(ROWS($F$2:F813),$F$2:$F$1001,0),0)))</f>
        <v>0</v>
      </c>
      <c r="B813" s="4">
        <f>IF(OR(INDEX($G$2:$G$1001,MATCH(ROWS($F$2:F813),$F$2:$F$1001,0),1)&gt;=100000,INDEX($M$1005,1,MATCH(COLUMNS($M$1006:M1006),$M$1006,0))&gt;=100000), " ",IF(INDEX($M$2:$M$1001,MATCH(ROWS($F$2:F813),$F$2:$F$1001,0),MATCH(COLUMNS($M$1006:M1006),$M$1006,0)), HYPERLINK("#",""), HYPERLINK(CONCATENATE("#Metadata!", ADDRESS(INDEX($H$2:$H$1001,MATCH(ROWS($F$2:F813),$F$2:$F$1001,0),0), INDEX($M$1004,1,MATCH(COLUMNS($M$1006:M1006),$M$1006,0)))),"Fix")))</f>
        <v>0</v>
      </c>
      <c r="F813">
        <v>0</v>
      </c>
      <c r="G813">
        <v>0</v>
      </c>
      <c r="H813">
        <v>0</v>
      </c>
      <c r="I813">
        <f>IF(J813,TRUE,AND(M813))</f>
        <v>0</v>
      </c>
      <c r="J813">
        <f>COUNTBLANK(Metadata!B813)=COLUMNS(Metadata!B813)</f>
        <v>0</v>
      </c>
      <c r="K813">
        <v>0</v>
      </c>
      <c r="M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</row>
    <row r="814" spans="1:13">
      <c r="A814" s="3">
        <f>IF(B814=" "," ",HYPERLINK(CONCATENATE("#metadata!",ADDRESS(INDEX($H$2:$H$1001,MATCH(ROWS($F$2:F814),$F$2:$F$1001,0),0),2)),INDEX($K$2:$K$1001,MATCH(ROWS($F$2:F814),$F$2:$F$1001,0),0)))</f>
        <v>0</v>
      </c>
      <c r="B814" s="4">
        <f>IF(OR(INDEX($G$2:$G$1001,MATCH(ROWS($F$2:F814),$F$2:$F$1001,0),1)&gt;=100000,INDEX($M$1005,1,MATCH(COLUMNS($M$1006:M1006),$M$1006,0))&gt;=100000), " ",IF(INDEX($M$2:$M$1001,MATCH(ROWS($F$2:F814),$F$2:$F$1001,0),MATCH(COLUMNS($M$1006:M1006),$M$1006,0)), HYPERLINK("#",""), HYPERLINK(CONCATENATE("#Metadata!", ADDRESS(INDEX($H$2:$H$1001,MATCH(ROWS($F$2:F814),$F$2:$F$1001,0),0), INDEX($M$1004,1,MATCH(COLUMNS($M$1006:M1006),$M$1006,0)))),"Fix")))</f>
        <v>0</v>
      </c>
      <c r="F814">
        <v>0</v>
      </c>
      <c r="G814">
        <v>0</v>
      </c>
      <c r="H814">
        <v>0</v>
      </c>
      <c r="I814">
        <f>IF(J814,TRUE,AND(M814))</f>
        <v>0</v>
      </c>
      <c r="J814">
        <f>COUNTBLANK(Metadata!B814)=COLUMNS(Metadata!B814)</f>
        <v>0</v>
      </c>
      <c r="K814">
        <v>0</v>
      </c>
      <c r="M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</row>
    <row r="815" spans="1:13">
      <c r="A815" s="3">
        <f>IF(B815=" "," ",HYPERLINK(CONCATENATE("#metadata!",ADDRESS(INDEX($H$2:$H$1001,MATCH(ROWS($F$2:F815),$F$2:$F$1001,0),0),2)),INDEX($K$2:$K$1001,MATCH(ROWS($F$2:F815),$F$2:$F$1001,0),0)))</f>
        <v>0</v>
      </c>
      <c r="B815" s="4">
        <f>IF(OR(INDEX($G$2:$G$1001,MATCH(ROWS($F$2:F815),$F$2:$F$1001,0),1)&gt;=100000,INDEX($M$1005,1,MATCH(COLUMNS($M$1006:M1006),$M$1006,0))&gt;=100000), " ",IF(INDEX($M$2:$M$1001,MATCH(ROWS($F$2:F815),$F$2:$F$1001,0),MATCH(COLUMNS($M$1006:M1006),$M$1006,0)), HYPERLINK("#",""), HYPERLINK(CONCATENATE("#Metadata!", ADDRESS(INDEX($H$2:$H$1001,MATCH(ROWS($F$2:F815),$F$2:$F$1001,0),0), INDEX($M$1004,1,MATCH(COLUMNS($M$1006:M1006),$M$1006,0)))),"Fix")))</f>
        <v>0</v>
      </c>
      <c r="F815">
        <v>0</v>
      </c>
      <c r="G815">
        <v>0</v>
      </c>
      <c r="H815">
        <v>0</v>
      </c>
      <c r="I815">
        <f>IF(J815,TRUE,AND(M815))</f>
        <v>0</v>
      </c>
      <c r="J815">
        <f>COUNTBLANK(Metadata!B815)=COLUMNS(Metadata!B815)</f>
        <v>0</v>
      </c>
      <c r="K815">
        <v>0</v>
      </c>
      <c r="M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</row>
    <row r="816" spans="1:13">
      <c r="A816" s="3">
        <f>IF(B816=" "," ",HYPERLINK(CONCATENATE("#metadata!",ADDRESS(INDEX($H$2:$H$1001,MATCH(ROWS($F$2:F816),$F$2:$F$1001,0),0),2)),INDEX($K$2:$K$1001,MATCH(ROWS($F$2:F816),$F$2:$F$1001,0),0)))</f>
        <v>0</v>
      </c>
      <c r="B816" s="4">
        <f>IF(OR(INDEX($G$2:$G$1001,MATCH(ROWS($F$2:F816),$F$2:$F$1001,0),1)&gt;=100000,INDEX($M$1005,1,MATCH(COLUMNS($M$1006:M1006),$M$1006,0))&gt;=100000), " ",IF(INDEX($M$2:$M$1001,MATCH(ROWS($F$2:F816),$F$2:$F$1001,0),MATCH(COLUMNS($M$1006:M1006),$M$1006,0)), HYPERLINK("#",""), HYPERLINK(CONCATENATE("#Metadata!", ADDRESS(INDEX($H$2:$H$1001,MATCH(ROWS($F$2:F816),$F$2:$F$1001,0),0), INDEX($M$1004,1,MATCH(COLUMNS($M$1006:M1006),$M$1006,0)))),"Fix")))</f>
        <v>0</v>
      </c>
      <c r="F816">
        <v>0</v>
      </c>
      <c r="G816">
        <v>0</v>
      </c>
      <c r="H816">
        <v>0</v>
      </c>
      <c r="I816">
        <f>IF(J816,TRUE,AND(M816))</f>
        <v>0</v>
      </c>
      <c r="J816">
        <f>COUNTBLANK(Metadata!B816)=COLUMNS(Metadata!B816)</f>
        <v>0</v>
      </c>
      <c r="K816">
        <v>0</v>
      </c>
      <c r="M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</row>
    <row r="817" spans="1:13">
      <c r="A817" s="3">
        <f>IF(B817=" "," ",HYPERLINK(CONCATENATE("#metadata!",ADDRESS(INDEX($H$2:$H$1001,MATCH(ROWS($F$2:F817),$F$2:$F$1001,0),0),2)),INDEX($K$2:$K$1001,MATCH(ROWS($F$2:F817),$F$2:$F$1001,0),0)))</f>
        <v>0</v>
      </c>
      <c r="B817" s="4">
        <f>IF(OR(INDEX($G$2:$G$1001,MATCH(ROWS($F$2:F817),$F$2:$F$1001,0),1)&gt;=100000,INDEX($M$1005,1,MATCH(COLUMNS($M$1006:M1006),$M$1006,0))&gt;=100000), " ",IF(INDEX($M$2:$M$1001,MATCH(ROWS($F$2:F817),$F$2:$F$1001,0),MATCH(COLUMNS($M$1006:M1006),$M$1006,0)), HYPERLINK("#",""), HYPERLINK(CONCATENATE("#Metadata!", ADDRESS(INDEX($H$2:$H$1001,MATCH(ROWS($F$2:F817),$F$2:$F$1001,0),0), INDEX($M$1004,1,MATCH(COLUMNS($M$1006:M1006),$M$1006,0)))),"Fix")))</f>
        <v>0</v>
      </c>
      <c r="F817">
        <v>0</v>
      </c>
      <c r="G817">
        <v>0</v>
      </c>
      <c r="H817">
        <v>0</v>
      </c>
      <c r="I817">
        <f>IF(J817,TRUE,AND(M817))</f>
        <v>0</v>
      </c>
      <c r="J817">
        <f>COUNTBLANK(Metadata!B817)=COLUMNS(Metadata!B817)</f>
        <v>0</v>
      </c>
      <c r="K817">
        <v>0</v>
      </c>
      <c r="M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</row>
    <row r="818" spans="1:13">
      <c r="A818" s="3">
        <f>IF(B818=" "," ",HYPERLINK(CONCATENATE("#metadata!",ADDRESS(INDEX($H$2:$H$1001,MATCH(ROWS($F$2:F818),$F$2:$F$1001,0),0),2)),INDEX($K$2:$K$1001,MATCH(ROWS($F$2:F818),$F$2:$F$1001,0),0)))</f>
        <v>0</v>
      </c>
      <c r="B818" s="4">
        <f>IF(OR(INDEX($G$2:$G$1001,MATCH(ROWS($F$2:F818),$F$2:$F$1001,0),1)&gt;=100000,INDEX($M$1005,1,MATCH(COLUMNS($M$1006:M1006),$M$1006,0))&gt;=100000), " ",IF(INDEX($M$2:$M$1001,MATCH(ROWS($F$2:F818),$F$2:$F$1001,0),MATCH(COLUMNS($M$1006:M1006),$M$1006,0)), HYPERLINK("#",""), HYPERLINK(CONCATENATE("#Metadata!", ADDRESS(INDEX($H$2:$H$1001,MATCH(ROWS($F$2:F818),$F$2:$F$1001,0),0), INDEX($M$1004,1,MATCH(COLUMNS($M$1006:M1006),$M$1006,0)))),"Fix")))</f>
        <v>0</v>
      </c>
      <c r="F818">
        <v>0</v>
      </c>
      <c r="G818">
        <v>0</v>
      </c>
      <c r="H818">
        <v>0</v>
      </c>
      <c r="I818">
        <f>IF(J818,TRUE,AND(M818))</f>
        <v>0</v>
      </c>
      <c r="J818">
        <f>COUNTBLANK(Metadata!B818)=COLUMNS(Metadata!B818)</f>
        <v>0</v>
      </c>
      <c r="K818">
        <v>0</v>
      </c>
      <c r="M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</row>
    <row r="819" spans="1:13">
      <c r="A819" s="3">
        <f>IF(B819=" "," ",HYPERLINK(CONCATENATE("#metadata!",ADDRESS(INDEX($H$2:$H$1001,MATCH(ROWS($F$2:F819),$F$2:$F$1001,0),0),2)),INDEX($K$2:$K$1001,MATCH(ROWS($F$2:F819),$F$2:$F$1001,0),0)))</f>
        <v>0</v>
      </c>
      <c r="B819" s="4">
        <f>IF(OR(INDEX($G$2:$G$1001,MATCH(ROWS($F$2:F819),$F$2:$F$1001,0),1)&gt;=100000,INDEX($M$1005,1,MATCH(COLUMNS($M$1006:M1006),$M$1006,0))&gt;=100000), " ",IF(INDEX($M$2:$M$1001,MATCH(ROWS($F$2:F819),$F$2:$F$1001,0),MATCH(COLUMNS($M$1006:M1006),$M$1006,0)), HYPERLINK("#",""), HYPERLINK(CONCATENATE("#Metadata!", ADDRESS(INDEX($H$2:$H$1001,MATCH(ROWS($F$2:F819),$F$2:$F$1001,0),0), INDEX($M$1004,1,MATCH(COLUMNS($M$1006:M1006),$M$1006,0)))),"Fix")))</f>
        <v>0</v>
      </c>
      <c r="F819">
        <v>0</v>
      </c>
      <c r="G819">
        <v>0</v>
      </c>
      <c r="H819">
        <v>0</v>
      </c>
      <c r="I819">
        <f>IF(J819,TRUE,AND(M819))</f>
        <v>0</v>
      </c>
      <c r="J819">
        <f>COUNTBLANK(Metadata!B819)=COLUMNS(Metadata!B819)</f>
        <v>0</v>
      </c>
      <c r="K819">
        <v>0</v>
      </c>
      <c r="M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</row>
    <row r="820" spans="1:13">
      <c r="A820" s="3">
        <f>IF(B820=" "," ",HYPERLINK(CONCATENATE("#metadata!",ADDRESS(INDEX($H$2:$H$1001,MATCH(ROWS($F$2:F820),$F$2:$F$1001,0),0),2)),INDEX($K$2:$K$1001,MATCH(ROWS($F$2:F820),$F$2:$F$1001,0),0)))</f>
        <v>0</v>
      </c>
      <c r="B820" s="4">
        <f>IF(OR(INDEX($G$2:$G$1001,MATCH(ROWS($F$2:F820),$F$2:$F$1001,0),1)&gt;=100000,INDEX($M$1005,1,MATCH(COLUMNS($M$1006:M1006),$M$1006,0))&gt;=100000), " ",IF(INDEX($M$2:$M$1001,MATCH(ROWS($F$2:F820),$F$2:$F$1001,0),MATCH(COLUMNS($M$1006:M1006),$M$1006,0)), HYPERLINK("#",""), HYPERLINK(CONCATENATE("#Metadata!", ADDRESS(INDEX($H$2:$H$1001,MATCH(ROWS($F$2:F820),$F$2:$F$1001,0),0), INDEX($M$1004,1,MATCH(COLUMNS($M$1006:M1006),$M$1006,0)))),"Fix")))</f>
        <v>0</v>
      </c>
      <c r="F820">
        <v>0</v>
      </c>
      <c r="G820">
        <v>0</v>
      </c>
      <c r="H820">
        <v>0</v>
      </c>
      <c r="I820">
        <f>IF(J820,TRUE,AND(M820))</f>
        <v>0</v>
      </c>
      <c r="J820">
        <f>COUNTBLANK(Metadata!B820)=COLUMNS(Metadata!B820)</f>
        <v>0</v>
      </c>
      <c r="K820">
        <v>0</v>
      </c>
      <c r="M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</row>
    <row r="821" spans="1:13">
      <c r="A821" s="3">
        <f>IF(B821=" "," ",HYPERLINK(CONCATENATE("#metadata!",ADDRESS(INDEX($H$2:$H$1001,MATCH(ROWS($F$2:F821),$F$2:$F$1001,0),0),2)),INDEX($K$2:$K$1001,MATCH(ROWS($F$2:F821),$F$2:$F$1001,0),0)))</f>
        <v>0</v>
      </c>
      <c r="B821" s="4">
        <f>IF(OR(INDEX($G$2:$G$1001,MATCH(ROWS($F$2:F821),$F$2:$F$1001,0),1)&gt;=100000,INDEX($M$1005,1,MATCH(COLUMNS($M$1006:M1006),$M$1006,0))&gt;=100000), " ",IF(INDEX($M$2:$M$1001,MATCH(ROWS($F$2:F821),$F$2:$F$1001,0),MATCH(COLUMNS($M$1006:M1006),$M$1006,0)), HYPERLINK("#",""), HYPERLINK(CONCATENATE("#Metadata!", ADDRESS(INDEX($H$2:$H$1001,MATCH(ROWS($F$2:F821),$F$2:$F$1001,0),0), INDEX($M$1004,1,MATCH(COLUMNS($M$1006:M1006),$M$1006,0)))),"Fix")))</f>
        <v>0</v>
      </c>
      <c r="F821">
        <v>0</v>
      </c>
      <c r="G821">
        <v>0</v>
      </c>
      <c r="H821">
        <v>0</v>
      </c>
      <c r="I821">
        <f>IF(J821,TRUE,AND(M821))</f>
        <v>0</v>
      </c>
      <c r="J821">
        <f>COUNTBLANK(Metadata!B821)=COLUMNS(Metadata!B821)</f>
        <v>0</v>
      </c>
      <c r="K821">
        <v>0</v>
      </c>
      <c r="M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</row>
    <row r="822" spans="1:13">
      <c r="A822" s="3">
        <f>IF(B822=" "," ",HYPERLINK(CONCATENATE("#metadata!",ADDRESS(INDEX($H$2:$H$1001,MATCH(ROWS($F$2:F822),$F$2:$F$1001,0),0),2)),INDEX($K$2:$K$1001,MATCH(ROWS($F$2:F822),$F$2:$F$1001,0),0)))</f>
        <v>0</v>
      </c>
      <c r="B822" s="4">
        <f>IF(OR(INDEX($G$2:$G$1001,MATCH(ROWS($F$2:F822),$F$2:$F$1001,0),1)&gt;=100000,INDEX($M$1005,1,MATCH(COLUMNS($M$1006:M1006),$M$1006,0))&gt;=100000), " ",IF(INDEX($M$2:$M$1001,MATCH(ROWS($F$2:F822),$F$2:$F$1001,0),MATCH(COLUMNS($M$1006:M1006),$M$1006,0)), HYPERLINK("#",""), HYPERLINK(CONCATENATE("#Metadata!", ADDRESS(INDEX($H$2:$H$1001,MATCH(ROWS($F$2:F822),$F$2:$F$1001,0),0), INDEX($M$1004,1,MATCH(COLUMNS($M$1006:M1006),$M$1006,0)))),"Fix")))</f>
        <v>0</v>
      </c>
      <c r="F822">
        <v>0</v>
      </c>
      <c r="G822">
        <v>0</v>
      </c>
      <c r="H822">
        <v>0</v>
      </c>
      <c r="I822">
        <f>IF(J822,TRUE,AND(M822))</f>
        <v>0</v>
      </c>
      <c r="J822">
        <f>COUNTBLANK(Metadata!B822)=COLUMNS(Metadata!B822)</f>
        <v>0</v>
      </c>
      <c r="K822">
        <v>0</v>
      </c>
      <c r="M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</row>
    <row r="823" spans="1:13">
      <c r="A823" s="3">
        <f>IF(B823=" "," ",HYPERLINK(CONCATENATE("#metadata!",ADDRESS(INDEX($H$2:$H$1001,MATCH(ROWS($F$2:F823),$F$2:$F$1001,0),0),2)),INDEX($K$2:$K$1001,MATCH(ROWS($F$2:F823),$F$2:$F$1001,0),0)))</f>
        <v>0</v>
      </c>
      <c r="B823" s="4">
        <f>IF(OR(INDEX($G$2:$G$1001,MATCH(ROWS($F$2:F823),$F$2:$F$1001,0),1)&gt;=100000,INDEX($M$1005,1,MATCH(COLUMNS($M$1006:M1006),$M$1006,0))&gt;=100000), " ",IF(INDEX($M$2:$M$1001,MATCH(ROWS($F$2:F823),$F$2:$F$1001,0),MATCH(COLUMNS($M$1006:M1006),$M$1006,0)), HYPERLINK("#",""), HYPERLINK(CONCATENATE("#Metadata!", ADDRESS(INDEX($H$2:$H$1001,MATCH(ROWS($F$2:F823),$F$2:$F$1001,0),0), INDEX($M$1004,1,MATCH(COLUMNS($M$1006:M1006),$M$1006,0)))),"Fix")))</f>
        <v>0</v>
      </c>
      <c r="F823">
        <v>0</v>
      </c>
      <c r="G823">
        <v>0</v>
      </c>
      <c r="H823">
        <v>0</v>
      </c>
      <c r="I823">
        <f>IF(J823,TRUE,AND(M823))</f>
        <v>0</v>
      </c>
      <c r="J823">
        <f>COUNTBLANK(Metadata!B823)=COLUMNS(Metadata!B823)</f>
        <v>0</v>
      </c>
      <c r="K823">
        <v>0</v>
      </c>
      <c r="M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</row>
    <row r="824" spans="1:13">
      <c r="A824" s="3">
        <f>IF(B824=" "," ",HYPERLINK(CONCATENATE("#metadata!",ADDRESS(INDEX($H$2:$H$1001,MATCH(ROWS($F$2:F824),$F$2:$F$1001,0),0),2)),INDEX($K$2:$K$1001,MATCH(ROWS($F$2:F824),$F$2:$F$1001,0),0)))</f>
        <v>0</v>
      </c>
      <c r="B824" s="4">
        <f>IF(OR(INDEX($G$2:$G$1001,MATCH(ROWS($F$2:F824),$F$2:$F$1001,0),1)&gt;=100000,INDEX($M$1005,1,MATCH(COLUMNS($M$1006:M1006),$M$1006,0))&gt;=100000), " ",IF(INDEX($M$2:$M$1001,MATCH(ROWS($F$2:F824),$F$2:$F$1001,0),MATCH(COLUMNS($M$1006:M1006),$M$1006,0)), HYPERLINK("#",""), HYPERLINK(CONCATENATE("#Metadata!", ADDRESS(INDEX($H$2:$H$1001,MATCH(ROWS($F$2:F824),$F$2:$F$1001,0),0), INDEX($M$1004,1,MATCH(COLUMNS($M$1006:M1006),$M$1006,0)))),"Fix")))</f>
        <v>0</v>
      </c>
      <c r="F824">
        <v>0</v>
      </c>
      <c r="G824">
        <v>0</v>
      </c>
      <c r="H824">
        <v>0</v>
      </c>
      <c r="I824">
        <f>IF(J824,TRUE,AND(M824))</f>
        <v>0</v>
      </c>
      <c r="J824">
        <f>COUNTBLANK(Metadata!B824)=COLUMNS(Metadata!B824)</f>
        <v>0</v>
      </c>
      <c r="K824">
        <v>0</v>
      </c>
      <c r="M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</row>
    <row r="825" spans="1:13">
      <c r="A825" s="3">
        <f>IF(B825=" "," ",HYPERLINK(CONCATENATE("#metadata!",ADDRESS(INDEX($H$2:$H$1001,MATCH(ROWS($F$2:F825),$F$2:$F$1001,0),0),2)),INDEX($K$2:$K$1001,MATCH(ROWS($F$2:F825),$F$2:$F$1001,0),0)))</f>
        <v>0</v>
      </c>
      <c r="B825" s="4">
        <f>IF(OR(INDEX($G$2:$G$1001,MATCH(ROWS($F$2:F825),$F$2:$F$1001,0),1)&gt;=100000,INDEX($M$1005,1,MATCH(COLUMNS($M$1006:M1006),$M$1006,0))&gt;=100000), " ",IF(INDEX($M$2:$M$1001,MATCH(ROWS($F$2:F825),$F$2:$F$1001,0),MATCH(COLUMNS($M$1006:M1006),$M$1006,0)), HYPERLINK("#",""), HYPERLINK(CONCATENATE("#Metadata!", ADDRESS(INDEX($H$2:$H$1001,MATCH(ROWS($F$2:F825),$F$2:$F$1001,0),0), INDEX($M$1004,1,MATCH(COLUMNS($M$1006:M1006),$M$1006,0)))),"Fix")))</f>
        <v>0</v>
      </c>
      <c r="F825">
        <v>0</v>
      </c>
      <c r="G825">
        <v>0</v>
      </c>
      <c r="H825">
        <v>0</v>
      </c>
      <c r="I825">
        <f>IF(J825,TRUE,AND(M825))</f>
        <v>0</v>
      </c>
      <c r="J825">
        <f>COUNTBLANK(Metadata!B825)=COLUMNS(Metadata!B825)</f>
        <v>0</v>
      </c>
      <c r="K825">
        <v>0</v>
      </c>
      <c r="M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</row>
    <row r="826" spans="1:13">
      <c r="A826" s="3">
        <f>IF(B826=" "," ",HYPERLINK(CONCATENATE("#metadata!",ADDRESS(INDEX($H$2:$H$1001,MATCH(ROWS($F$2:F826),$F$2:$F$1001,0),0),2)),INDEX($K$2:$K$1001,MATCH(ROWS($F$2:F826),$F$2:$F$1001,0),0)))</f>
        <v>0</v>
      </c>
      <c r="B826" s="4">
        <f>IF(OR(INDEX($G$2:$G$1001,MATCH(ROWS($F$2:F826),$F$2:$F$1001,0),1)&gt;=100000,INDEX($M$1005,1,MATCH(COLUMNS($M$1006:M1006),$M$1006,0))&gt;=100000), " ",IF(INDEX($M$2:$M$1001,MATCH(ROWS($F$2:F826),$F$2:$F$1001,0),MATCH(COLUMNS($M$1006:M1006),$M$1006,0)), HYPERLINK("#",""), HYPERLINK(CONCATENATE("#Metadata!", ADDRESS(INDEX($H$2:$H$1001,MATCH(ROWS($F$2:F826),$F$2:$F$1001,0),0), INDEX($M$1004,1,MATCH(COLUMNS($M$1006:M1006),$M$1006,0)))),"Fix")))</f>
        <v>0</v>
      </c>
      <c r="F826">
        <v>0</v>
      </c>
      <c r="G826">
        <v>0</v>
      </c>
      <c r="H826">
        <v>0</v>
      </c>
      <c r="I826">
        <f>IF(J826,TRUE,AND(M826))</f>
        <v>0</v>
      </c>
      <c r="J826">
        <f>COUNTBLANK(Metadata!B826)=COLUMNS(Metadata!B826)</f>
        <v>0</v>
      </c>
      <c r="K826">
        <v>0</v>
      </c>
      <c r="M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</row>
    <row r="827" spans="1:13">
      <c r="A827" s="3">
        <f>IF(B827=" "," ",HYPERLINK(CONCATENATE("#metadata!",ADDRESS(INDEX($H$2:$H$1001,MATCH(ROWS($F$2:F827),$F$2:$F$1001,0),0),2)),INDEX($K$2:$K$1001,MATCH(ROWS($F$2:F827),$F$2:$F$1001,0),0)))</f>
        <v>0</v>
      </c>
      <c r="B827" s="4">
        <f>IF(OR(INDEX($G$2:$G$1001,MATCH(ROWS($F$2:F827),$F$2:$F$1001,0),1)&gt;=100000,INDEX($M$1005,1,MATCH(COLUMNS($M$1006:M1006),$M$1006,0))&gt;=100000), " ",IF(INDEX($M$2:$M$1001,MATCH(ROWS($F$2:F827),$F$2:$F$1001,0),MATCH(COLUMNS($M$1006:M1006),$M$1006,0)), HYPERLINK("#",""), HYPERLINK(CONCATENATE("#Metadata!", ADDRESS(INDEX($H$2:$H$1001,MATCH(ROWS($F$2:F827),$F$2:$F$1001,0),0), INDEX($M$1004,1,MATCH(COLUMNS($M$1006:M1006),$M$1006,0)))),"Fix")))</f>
        <v>0</v>
      </c>
      <c r="F827">
        <v>0</v>
      </c>
      <c r="G827">
        <v>0</v>
      </c>
      <c r="H827">
        <v>0</v>
      </c>
      <c r="I827">
        <f>IF(J827,TRUE,AND(M827))</f>
        <v>0</v>
      </c>
      <c r="J827">
        <f>COUNTBLANK(Metadata!B827)=COLUMNS(Metadata!B827)</f>
        <v>0</v>
      </c>
      <c r="K827">
        <v>0</v>
      </c>
      <c r="M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</row>
    <row r="828" spans="1:13">
      <c r="A828" s="3">
        <f>IF(B828=" "," ",HYPERLINK(CONCATENATE("#metadata!",ADDRESS(INDEX($H$2:$H$1001,MATCH(ROWS($F$2:F828),$F$2:$F$1001,0),0),2)),INDEX($K$2:$K$1001,MATCH(ROWS($F$2:F828),$F$2:$F$1001,0),0)))</f>
        <v>0</v>
      </c>
      <c r="B828" s="4">
        <f>IF(OR(INDEX($G$2:$G$1001,MATCH(ROWS($F$2:F828),$F$2:$F$1001,0),1)&gt;=100000,INDEX($M$1005,1,MATCH(COLUMNS($M$1006:M1006),$M$1006,0))&gt;=100000), " ",IF(INDEX($M$2:$M$1001,MATCH(ROWS($F$2:F828),$F$2:$F$1001,0),MATCH(COLUMNS($M$1006:M1006),$M$1006,0)), HYPERLINK("#",""), HYPERLINK(CONCATENATE("#Metadata!", ADDRESS(INDEX($H$2:$H$1001,MATCH(ROWS($F$2:F828),$F$2:$F$1001,0),0), INDEX($M$1004,1,MATCH(COLUMNS($M$1006:M1006),$M$1006,0)))),"Fix")))</f>
        <v>0</v>
      </c>
      <c r="F828">
        <v>0</v>
      </c>
      <c r="G828">
        <v>0</v>
      </c>
      <c r="H828">
        <v>0</v>
      </c>
      <c r="I828">
        <f>IF(J828,TRUE,AND(M828))</f>
        <v>0</v>
      </c>
      <c r="J828">
        <f>COUNTBLANK(Metadata!B828)=COLUMNS(Metadata!B828)</f>
        <v>0</v>
      </c>
      <c r="K828">
        <v>0</v>
      </c>
      <c r="M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</row>
    <row r="829" spans="1:13">
      <c r="A829" s="3">
        <f>IF(B829=" "," ",HYPERLINK(CONCATENATE("#metadata!",ADDRESS(INDEX($H$2:$H$1001,MATCH(ROWS($F$2:F829),$F$2:$F$1001,0),0),2)),INDEX($K$2:$K$1001,MATCH(ROWS($F$2:F829),$F$2:$F$1001,0),0)))</f>
        <v>0</v>
      </c>
      <c r="B829" s="4">
        <f>IF(OR(INDEX($G$2:$G$1001,MATCH(ROWS($F$2:F829),$F$2:$F$1001,0),1)&gt;=100000,INDEX($M$1005,1,MATCH(COLUMNS($M$1006:M1006),$M$1006,0))&gt;=100000), " ",IF(INDEX($M$2:$M$1001,MATCH(ROWS($F$2:F829),$F$2:$F$1001,0),MATCH(COLUMNS($M$1006:M1006),$M$1006,0)), HYPERLINK("#",""), HYPERLINK(CONCATENATE("#Metadata!", ADDRESS(INDEX($H$2:$H$1001,MATCH(ROWS($F$2:F829),$F$2:$F$1001,0),0), INDEX($M$1004,1,MATCH(COLUMNS($M$1006:M1006),$M$1006,0)))),"Fix")))</f>
        <v>0</v>
      </c>
      <c r="F829">
        <v>0</v>
      </c>
      <c r="G829">
        <v>0</v>
      </c>
      <c r="H829">
        <v>0</v>
      </c>
      <c r="I829">
        <f>IF(J829,TRUE,AND(M829))</f>
        <v>0</v>
      </c>
      <c r="J829">
        <f>COUNTBLANK(Metadata!B829)=COLUMNS(Metadata!B829)</f>
        <v>0</v>
      </c>
      <c r="K829">
        <v>0</v>
      </c>
      <c r="M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</row>
    <row r="830" spans="1:13">
      <c r="A830" s="3">
        <f>IF(B830=" "," ",HYPERLINK(CONCATENATE("#metadata!",ADDRESS(INDEX($H$2:$H$1001,MATCH(ROWS($F$2:F830),$F$2:$F$1001,0),0),2)),INDEX($K$2:$K$1001,MATCH(ROWS($F$2:F830),$F$2:$F$1001,0),0)))</f>
        <v>0</v>
      </c>
      <c r="B830" s="4">
        <f>IF(OR(INDEX($G$2:$G$1001,MATCH(ROWS($F$2:F830),$F$2:$F$1001,0),1)&gt;=100000,INDEX($M$1005,1,MATCH(COLUMNS($M$1006:M1006),$M$1006,0))&gt;=100000), " ",IF(INDEX($M$2:$M$1001,MATCH(ROWS($F$2:F830),$F$2:$F$1001,0),MATCH(COLUMNS($M$1006:M1006),$M$1006,0)), HYPERLINK("#",""), HYPERLINK(CONCATENATE("#Metadata!", ADDRESS(INDEX($H$2:$H$1001,MATCH(ROWS($F$2:F830),$F$2:$F$1001,0),0), INDEX($M$1004,1,MATCH(COLUMNS($M$1006:M1006),$M$1006,0)))),"Fix")))</f>
        <v>0</v>
      </c>
      <c r="F830">
        <v>0</v>
      </c>
      <c r="G830">
        <v>0</v>
      </c>
      <c r="H830">
        <v>0</v>
      </c>
      <c r="I830">
        <f>IF(J830,TRUE,AND(M830))</f>
        <v>0</v>
      </c>
      <c r="J830">
        <f>COUNTBLANK(Metadata!B830)=COLUMNS(Metadata!B830)</f>
        <v>0</v>
      </c>
      <c r="K830">
        <v>0</v>
      </c>
      <c r="M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</row>
    <row r="831" spans="1:13">
      <c r="A831" s="3">
        <f>IF(B831=" "," ",HYPERLINK(CONCATENATE("#metadata!",ADDRESS(INDEX($H$2:$H$1001,MATCH(ROWS($F$2:F831),$F$2:$F$1001,0),0),2)),INDEX($K$2:$K$1001,MATCH(ROWS($F$2:F831),$F$2:$F$1001,0),0)))</f>
        <v>0</v>
      </c>
      <c r="B831" s="4">
        <f>IF(OR(INDEX($G$2:$G$1001,MATCH(ROWS($F$2:F831),$F$2:$F$1001,0),1)&gt;=100000,INDEX($M$1005,1,MATCH(COLUMNS($M$1006:M1006),$M$1006,0))&gt;=100000), " ",IF(INDEX($M$2:$M$1001,MATCH(ROWS($F$2:F831),$F$2:$F$1001,0),MATCH(COLUMNS($M$1006:M1006),$M$1006,0)), HYPERLINK("#",""), HYPERLINK(CONCATENATE("#Metadata!", ADDRESS(INDEX($H$2:$H$1001,MATCH(ROWS($F$2:F831),$F$2:$F$1001,0),0), INDEX($M$1004,1,MATCH(COLUMNS($M$1006:M1006),$M$1006,0)))),"Fix")))</f>
        <v>0</v>
      </c>
      <c r="F831">
        <v>0</v>
      </c>
      <c r="G831">
        <v>0</v>
      </c>
      <c r="H831">
        <v>0</v>
      </c>
      <c r="I831">
        <f>IF(J831,TRUE,AND(M831))</f>
        <v>0</v>
      </c>
      <c r="J831">
        <f>COUNTBLANK(Metadata!B831)=COLUMNS(Metadata!B831)</f>
        <v>0</v>
      </c>
      <c r="K831">
        <v>0</v>
      </c>
      <c r="M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</row>
    <row r="832" spans="1:13">
      <c r="A832" s="3">
        <f>IF(B832=" "," ",HYPERLINK(CONCATENATE("#metadata!",ADDRESS(INDEX($H$2:$H$1001,MATCH(ROWS($F$2:F832),$F$2:$F$1001,0),0),2)),INDEX($K$2:$K$1001,MATCH(ROWS($F$2:F832),$F$2:$F$1001,0),0)))</f>
        <v>0</v>
      </c>
      <c r="B832" s="4">
        <f>IF(OR(INDEX($G$2:$G$1001,MATCH(ROWS($F$2:F832),$F$2:$F$1001,0),1)&gt;=100000,INDEX($M$1005,1,MATCH(COLUMNS($M$1006:M1006),$M$1006,0))&gt;=100000), " ",IF(INDEX($M$2:$M$1001,MATCH(ROWS($F$2:F832),$F$2:$F$1001,0),MATCH(COLUMNS($M$1006:M1006),$M$1006,0)), HYPERLINK("#",""), HYPERLINK(CONCATENATE("#Metadata!", ADDRESS(INDEX($H$2:$H$1001,MATCH(ROWS($F$2:F832),$F$2:$F$1001,0),0), INDEX($M$1004,1,MATCH(COLUMNS($M$1006:M1006),$M$1006,0)))),"Fix")))</f>
        <v>0</v>
      </c>
      <c r="F832">
        <v>0</v>
      </c>
      <c r="G832">
        <v>0</v>
      </c>
      <c r="H832">
        <v>0</v>
      </c>
      <c r="I832">
        <f>IF(J832,TRUE,AND(M832))</f>
        <v>0</v>
      </c>
      <c r="J832">
        <f>COUNTBLANK(Metadata!B832)=COLUMNS(Metadata!B832)</f>
        <v>0</v>
      </c>
      <c r="K832">
        <v>0</v>
      </c>
      <c r="M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</row>
    <row r="833" spans="1:13">
      <c r="A833" s="3">
        <f>IF(B833=" "," ",HYPERLINK(CONCATENATE("#metadata!",ADDRESS(INDEX($H$2:$H$1001,MATCH(ROWS($F$2:F833),$F$2:$F$1001,0),0),2)),INDEX($K$2:$K$1001,MATCH(ROWS($F$2:F833),$F$2:$F$1001,0),0)))</f>
        <v>0</v>
      </c>
      <c r="B833" s="4">
        <f>IF(OR(INDEX($G$2:$G$1001,MATCH(ROWS($F$2:F833),$F$2:$F$1001,0),1)&gt;=100000,INDEX($M$1005,1,MATCH(COLUMNS($M$1006:M1006),$M$1006,0))&gt;=100000), " ",IF(INDEX($M$2:$M$1001,MATCH(ROWS($F$2:F833),$F$2:$F$1001,0),MATCH(COLUMNS($M$1006:M1006),$M$1006,0)), HYPERLINK("#",""), HYPERLINK(CONCATENATE("#Metadata!", ADDRESS(INDEX($H$2:$H$1001,MATCH(ROWS($F$2:F833),$F$2:$F$1001,0),0), INDEX($M$1004,1,MATCH(COLUMNS($M$1006:M1006),$M$1006,0)))),"Fix")))</f>
        <v>0</v>
      </c>
      <c r="F833">
        <v>0</v>
      </c>
      <c r="G833">
        <v>0</v>
      </c>
      <c r="H833">
        <v>0</v>
      </c>
      <c r="I833">
        <f>IF(J833,TRUE,AND(M833))</f>
        <v>0</v>
      </c>
      <c r="J833">
        <f>COUNTBLANK(Metadata!B833)=COLUMNS(Metadata!B833)</f>
        <v>0</v>
      </c>
      <c r="K833">
        <v>0</v>
      </c>
      <c r="M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</row>
    <row r="834" spans="1:13">
      <c r="A834" s="3">
        <f>IF(B834=" "," ",HYPERLINK(CONCATENATE("#metadata!",ADDRESS(INDEX($H$2:$H$1001,MATCH(ROWS($F$2:F834),$F$2:$F$1001,0),0),2)),INDEX($K$2:$K$1001,MATCH(ROWS($F$2:F834),$F$2:$F$1001,0),0)))</f>
        <v>0</v>
      </c>
      <c r="B834" s="4">
        <f>IF(OR(INDEX($G$2:$G$1001,MATCH(ROWS($F$2:F834),$F$2:$F$1001,0),1)&gt;=100000,INDEX($M$1005,1,MATCH(COLUMNS($M$1006:M1006),$M$1006,0))&gt;=100000), " ",IF(INDEX($M$2:$M$1001,MATCH(ROWS($F$2:F834),$F$2:$F$1001,0),MATCH(COLUMNS($M$1006:M1006),$M$1006,0)), HYPERLINK("#",""), HYPERLINK(CONCATENATE("#Metadata!", ADDRESS(INDEX($H$2:$H$1001,MATCH(ROWS($F$2:F834),$F$2:$F$1001,0),0), INDEX($M$1004,1,MATCH(COLUMNS($M$1006:M1006),$M$1006,0)))),"Fix")))</f>
        <v>0</v>
      </c>
      <c r="F834">
        <v>0</v>
      </c>
      <c r="G834">
        <v>0</v>
      </c>
      <c r="H834">
        <v>0</v>
      </c>
      <c r="I834">
        <f>IF(J834,TRUE,AND(M834))</f>
        <v>0</v>
      </c>
      <c r="J834">
        <f>COUNTBLANK(Metadata!B834)=COLUMNS(Metadata!B834)</f>
        <v>0</v>
      </c>
      <c r="K834">
        <v>0</v>
      </c>
      <c r="M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</row>
    <row r="835" spans="1:13">
      <c r="A835" s="3">
        <f>IF(B835=" "," ",HYPERLINK(CONCATENATE("#metadata!",ADDRESS(INDEX($H$2:$H$1001,MATCH(ROWS($F$2:F835),$F$2:$F$1001,0),0),2)),INDEX($K$2:$K$1001,MATCH(ROWS($F$2:F835),$F$2:$F$1001,0),0)))</f>
        <v>0</v>
      </c>
      <c r="B835" s="4">
        <f>IF(OR(INDEX($G$2:$G$1001,MATCH(ROWS($F$2:F835),$F$2:$F$1001,0),1)&gt;=100000,INDEX($M$1005,1,MATCH(COLUMNS($M$1006:M1006),$M$1006,0))&gt;=100000), " ",IF(INDEX($M$2:$M$1001,MATCH(ROWS($F$2:F835),$F$2:$F$1001,0),MATCH(COLUMNS($M$1006:M1006),$M$1006,0)), HYPERLINK("#",""), HYPERLINK(CONCATENATE("#Metadata!", ADDRESS(INDEX($H$2:$H$1001,MATCH(ROWS($F$2:F835),$F$2:$F$1001,0),0), INDEX($M$1004,1,MATCH(COLUMNS($M$1006:M1006),$M$1006,0)))),"Fix")))</f>
        <v>0</v>
      </c>
      <c r="F835">
        <v>0</v>
      </c>
      <c r="G835">
        <v>0</v>
      </c>
      <c r="H835">
        <v>0</v>
      </c>
      <c r="I835">
        <f>IF(J835,TRUE,AND(M835))</f>
        <v>0</v>
      </c>
      <c r="J835">
        <f>COUNTBLANK(Metadata!B835)=COLUMNS(Metadata!B835)</f>
        <v>0</v>
      </c>
      <c r="K835">
        <v>0</v>
      </c>
      <c r="M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</row>
    <row r="836" spans="1:13">
      <c r="A836" s="3">
        <f>IF(B836=" "," ",HYPERLINK(CONCATENATE("#metadata!",ADDRESS(INDEX($H$2:$H$1001,MATCH(ROWS($F$2:F836),$F$2:$F$1001,0),0),2)),INDEX($K$2:$K$1001,MATCH(ROWS($F$2:F836),$F$2:$F$1001,0),0)))</f>
        <v>0</v>
      </c>
      <c r="B836" s="4">
        <f>IF(OR(INDEX($G$2:$G$1001,MATCH(ROWS($F$2:F836),$F$2:$F$1001,0),1)&gt;=100000,INDEX($M$1005,1,MATCH(COLUMNS($M$1006:M1006),$M$1006,0))&gt;=100000), " ",IF(INDEX($M$2:$M$1001,MATCH(ROWS($F$2:F836),$F$2:$F$1001,0),MATCH(COLUMNS($M$1006:M1006),$M$1006,0)), HYPERLINK("#",""), HYPERLINK(CONCATENATE("#Metadata!", ADDRESS(INDEX($H$2:$H$1001,MATCH(ROWS($F$2:F836),$F$2:$F$1001,0),0), INDEX($M$1004,1,MATCH(COLUMNS($M$1006:M1006),$M$1006,0)))),"Fix")))</f>
        <v>0</v>
      </c>
      <c r="F836">
        <v>0</v>
      </c>
      <c r="G836">
        <v>0</v>
      </c>
      <c r="H836">
        <v>0</v>
      </c>
      <c r="I836">
        <f>IF(J836,TRUE,AND(M836))</f>
        <v>0</v>
      </c>
      <c r="J836">
        <f>COUNTBLANK(Metadata!B836)=COLUMNS(Metadata!B836)</f>
        <v>0</v>
      </c>
      <c r="K836">
        <v>0</v>
      </c>
      <c r="M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</row>
    <row r="837" spans="1:13">
      <c r="A837" s="3">
        <f>IF(B837=" "," ",HYPERLINK(CONCATENATE("#metadata!",ADDRESS(INDEX($H$2:$H$1001,MATCH(ROWS($F$2:F837),$F$2:$F$1001,0),0),2)),INDEX($K$2:$K$1001,MATCH(ROWS($F$2:F837),$F$2:$F$1001,0),0)))</f>
        <v>0</v>
      </c>
      <c r="B837" s="4">
        <f>IF(OR(INDEX($G$2:$G$1001,MATCH(ROWS($F$2:F837),$F$2:$F$1001,0),1)&gt;=100000,INDEX($M$1005,1,MATCH(COLUMNS($M$1006:M1006),$M$1006,0))&gt;=100000), " ",IF(INDEX($M$2:$M$1001,MATCH(ROWS($F$2:F837),$F$2:$F$1001,0),MATCH(COLUMNS($M$1006:M1006),$M$1006,0)), HYPERLINK("#",""), HYPERLINK(CONCATENATE("#Metadata!", ADDRESS(INDEX($H$2:$H$1001,MATCH(ROWS($F$2:F837),$F$2:$F$1001,0),0), INDEX($M$1004,1,MATCH(COLUMNS($M$1006:M1006),$M$1006,0)))),"Fix")))</f>
        <v>0</v>
      </c>
      <c r="F837">
        <v>0</v>
      </c>
      <c r="G837">
        <v>0</v>
      </c>
      <c r="H837">
        <v>0</v>
      </c>
      <c r="I837">
        <f>IF(J837,TRUE,AND(M837))</f>
        <v>0</v>
      </c>
      <c r="J837">
        <f>COUNTBLANK(Metadata!B837)=COLUMNS(Metadata!B837)</f>
        <v>0</v>
      </c>
      <c r="K837">
        <v>0</v>
      </c>
      <c r="M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</row>
    <row r="838" spans="1:13">
      <c r="A838" s="3">
        <f>IF(B838=" "," ",HYPERLINK(CONCATENATE("#metadata!",ADDRESS(INDEX($H$2:$H$1001,MATCH(ROWS($F$2:F838),$F$2:$F$1001,0),0),2)),INDEX($K$2:$K$1001,MATCH(ROWS($F$2:F838),$F$2:$F$1001,0),0)))</f>
        <v>0</v>
      </c>
      <c r="B838" s="4">
        <f>IF(OR(INDEX($G$2:$G$1001,MATCH(ROWS($F$2:F838),$F$2:$F$1001,0),1)&gt;=100000,INDEX($M$1005,1,MATCH(COLUMNS($M$1006:M1006),$M$1006,0))&gt;=100000), " ",IF(INDEX($M$2:$M$1001,MATCH(ROWS($F$2:F838),$F$2:$F$1001,0),MATCH(COLUMNS($M$1006:M1006),$M$1006,0)), HYPERLINK("#",""), HYPERLINK(CONCATENATE("#Metadata!", ADDRESS(INDEX($H$2:$H$1001,MATCH(ROWS($F$2:F838),$F$2:$F$1001,0),0), INDEX($M$1004,1,MATCH(COLUMNS($M$1006:M1006),$M$1006,0)))),"Fix")))</f>
        <v>0</v>
      </c>
      <c r="F838">
        <v>0</v>
      </c>
      <c r="G838">
        <v>0</v>
      </c>
      <c r="H838">
        <v>0</v>
      </c>
      <c r="I838">
        <f>IF(J838,TRUE,AND(M838))</f>
        <v>0</v>
      </c>
      <c r="J838">
        <f>COUNTBLANK(Metadata!B838)=COLUMNS(Metadata!B838)</f>
        <v>0</v>
      </c>
      <c r="K838">
        <v>0</v>
      </c>
      <c r="M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</row>
    <row r="839" spans="1:13">
      <c r="A839" s="3">
        <f>IF(B839=" "," ",HYPERLINK(CONCATENATE("#metadata!",ADDRESS(INDEX($H$2:$H$1001,MATCH(ROWS($F$2:F839),$F$2:$F$1001,0),0),2)),INDEX($K$2:$K$1001,MATCH(ROWS($F$2:F839),$F$2:$F$1001,0),0)))</f>
        <v>0</v>
      </c>
      <c r="B839" s="4">
        <f>IF(OR(INDEX($G$2:$G$1001,MATCH(ROWS($F$2:F839),$F$2:$F$1001,0),1)&gt;=100000,INDEX($M$1005,1,MATCH(COLUMNS($M$1006:M1006),$M$1006,0))&gt;=100000), " ",IF(INDEX($M$2:$M$1001,MATCH(ROWS($F$2:F839),$F$2:$F$1001,0),MATCH(COLUMNS($M$1006:M1006),$M$1006,0)), HYPERLINK("#",""), HYPERLINK(CONCATENATE("#Metadata!", ADDRESS(INDEX($H$2:$H$1001,MATCH(ROWS($F$2:F839),$F$2:$F$1001,0),0), INDEX($M$1004,1,MATCH(COLUMNS($M$1006:M1006),$M$1006,0)))),"Fix")))</f>
        <v>0</v>
      </c>
      <c r="F839">
        <v>0</v>
      </c>
      <c r="G839">
        <v>0</v>
      </c>
      <c r="H839">
        <v>0</v>
      </c>
      <c r="I839">
        <f>IF(J839,TRUE,AND(M839))</f>
        <v>0</v>
      </c>
      <c r="J839">
        <f>COUNTBLANK(Metadata!B839)=COLUMNS(Metadata!B839)</f>
        <v>0</v>
      </c>
      <c r="K839">
        <v>0</v>
      </c>
      <c r="M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</row>
    <row r="840" spans="1:13">
      <c r="A840" s="3">
        <f>IF(B840=" "," ",HYPERLINK(CONCATENATE("#metadata!",ADDRESS(INDEX($H$2:$H$1001,MATCH(ROWS($F$2:F840),$F$2:$F$1001,0),0),2)),INDEX($K$2:$K$1001,MATCH(ROWS($F$2:F840),$F$2:$F$1001,0),0)))</f>
        <v>0</v>
      </c>
      <c r="B840" s="4">
        <f>IF(OR(INDEX($G$2:$G$1001,MATCH(ROWS($F$2:F840),$F$2:$F$1001,0),1)&gt;=100000,INDEX($M$1005,1,MATCH(COLUMNS($M$1006:M1006),$M$1006,0))&gt;=100000), " ",IF(INDEX($M$2:$M$1001,MATCH(ROWS($F$2:F840),$F$2:$F$1001,0),MATCH(COLUMNS($M$1006:M1006),$M$1006,0)), HYPERLINK("#",""), HYPERLINK(CONCATENATE("#Metadata!", ADDRESS(INDEX($H$2:$H$1001,MATCH(ROWS($F$2:F840),$F$2:$F$1001,0),0), INDEX($M$1004,1,MATCH(COLUMNS($M$1006:M1006),$M$1006,0)))),"Fix")))</f>
        <v>0</v>
      </c>
      <c r="F840">
        <v>0</v>
      </c>
      <c r="G840">
        <v>0</v>
      </c>
      <c r="H840">
        <v>0</v>
      </c>
      <c r="I840">
        <f>IF(J840,TRUE,AND(M840))</f>
        <v>0</v>
      </c>
      <c r="J840">
        <f>COUNTBLANK(Metadata!B840)=COLUMNS(Metadata!B840)</f>
        <v>0</v>
      </c>
      <c r="K840">
        <v>0</v>
      </c>
      <c r="M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</row>
    <row r="841" spans="1:13">
      <c r="A841" s="3">
        <f>IF(B841=" "," ",HYPERLINK(CONCATENATE("#metadata!",ADDRESS(INDEX($H$2:$H$1001,MATCH(ROWS($F$2:F841),$F$2:$F$1001,0),0),2)),INDEX($K$2:$K$1001,MATCH(ROWS($F$2:F841),$F$2:$F$1001,0),0)))</f>
        <v>0</v>
      </c>
      <c r="B841" s="4">
        <f>IF(OR(INDEX($G$2:$G$1001,MATCH(ROWS($F$2:F841),$F$2:$F$1001,0),1)&gt;=100000,INDEX($M$1005,1,MATCH(COLUMNS($M$1006:M1006),$M$1006,0))&gt;=100000), " ",IF(INDEX($M$2:$M$1001,MATCH(ROWS($F$2:F841),$F$2:$F$1001,0),MATCH(COLUMNS($M$1006:M1006),$M$1006,0)), HYPERLINK("#",""), HYPERLINK(CONCATENATE("#Metadata!", ADDRESS(INDEX($H$2:$H$1001,MATCH(ROWS($F$2:F841),$F$2:$F$1001,0),0), INDEX($M$1004,1,MATCH(COLUMNS($M$1006:M1006),$M$1006,0)))),"Fix")))</f>
        <v>0</v>
      </c>
      <c r="F841">
        <v>0</v>
      </c>
      <c r="G841">
        <v>0</v>
      </c>
      <c r="H841">
        <v>0</v>
      </c>
      <c r="I841">
        <f>IF(J841,TRUE,AND(M841))</f>
        <v>0</v>
      </c>
      <c r="J841">
        <f>COUNTBLANK(Metadata!B841)=COLUMNS(Metadata!B841)</f>
        <v>0</v>
      </c>
      <c r="K841">
        <v>0</v>
      </c>
      <c r="M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</row>
    <row r="842" spans="1:13">
      <c r="A842" s="3">
        <f>IF(B842=" "," ",HYPERLINK(CONCATENATE("#metadata!",ADDRESS(INDEX($H$2:$H$1001,MATCH(ROWS($F$2:F842),$F$2:$F$1001,0),0),2)),INDEX($K$2:$K$1001,MATCH(ROWS($F$2:F842),$F$2:$F$1001,0),0)))</f>
        <v>0</v>
      </c>
      <c r="B842" s="4">
        <f>IF(OR(INDEX($G$2:$G$1001,MATCH(ROWS($F$2:F842),$F$2:$F$1001,0),1)&gt;=100000,INDEX($M$1005,1,MATCH(COLUMNS($M$1006:M1006),$M$1006,0))&gt;=100000), " ",IF(INDEX($M$2:$M$1001,MATCH(ROWS($F$2:F842),$F$2:$F$1001,0),MATCH(COLUMNS($M$1006:M1006),$M$1006,0)), HYPERLINK("#",""), HYPERLINK(CONCATENATE("#Metadata!", ADDRESS(INDEX($H$2:$H$1001,MATCH(ROWS($F$2:F842),$F$2:$F$1001,0),0), INDEX($M$1004,1,MATCH(COLUMNS($M$1006:M1006),$M$1006,0)))),"Fix")))</f>
        <v>0</v>
      </c>
      <c r="F842">
        <v>0</v>
      </c>
      <c r="G842">
        <v>0</v>
      </c>
      <c r="H842">
        <v>0</v>
      </c>
      <c r="I842">
        <f>IF(J842,TRUE,AND(M842))</f>
        <v>0</v>
      </c>
      <c r="J842">
        <f>COUNTBLANK(Metadata!B842)=COLUMNS(Metadata!B842)</f>
        <v>0</v>
      </c>
      <c r="K842">
        <v>0</v>
      </c>
      <c r="M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</row>
    <row r="843" spans="1:13">
      <c r="A843" s="3">
        <f>IF(B843=" "," ",HYPERLINK(CONCATENATE("#metadata!",ADDRESS(INDEX($H$2:$H$1001,MATCH(ROWS($F$2:F843),$F$2:$F$1001,0),0),2)),INDEX($K$2:$K$1001,MATCH(ROWS($F$2:F843),$F$2:$F$1001,0),0)))</f>
        <v>0</v>
      </c>
      <c r="B843" s="4">
        <f>IF(OR(INDEX($G$2:$G$1001,MATCH(ROWS($F$2:F843),$F$2:$F$1001,0),1)&gt;=100000,INDEX($M$1005,1,MATCH(COLUMNS($M$1006:M1006),$M$1006,0))&gt;=100000), " ",IF(INDEX($M$2:$M$1001,MATCH(ROWS($F$2:F843),$F$2:$F$1001,0),MATCH(COLUMNS($M$1006:M1006),$M$1006,0)), HYPERLINK("#",""), HYPERLINK(CONCATENATE("#Metadata!", ADDRESS(INDEX($H$2:$H$1001,MATCH(ROWS($F$2:F843),$F$2:$F$1001,0),0), INDEX($M$1004,1,MATCH(COLUMNS($M$1006:M1006),$M$1006,0)))),"Fix")))</f>
        <v>0</v>
      </c>
      <c r="F843">
        <v>0</v>
      </c>
      <c r="G843">
        <v>0</v>
      </c>
      <c r="H843">
        <v>0</v>
      </c>
      <c r="I843">
        <f>IF(J843,TRUE,AND(M843))</f>
        <v>0</v>
      </c>
      <c r="J843">
        <f>COUNTBLANK(Metadata!B843)=COLUMNS(Metadata!B843)</f>
        <v>0</v>
      </c>
      <c r="K843">
        <v>0</v>
      </c>
      <c r="M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</row>
    <row r="844" spans="1:13">
      <c r="A844" s="3">
        <f>IF(B844=" "," ",HYPERLINK(CONCATENATE("#metadata!",ADDRESS(INDEX($H$2:$H$1001,MATCH(ROWS($F$2:F844),$F$2:$F$1001,0),0),2)),INDEX($K$2:$K$1001,MATCH(ROWS($F$2:F844),$F$2:$F$1001,0),0)))</f>
        <v>0</v>
      </c>
      <c r="B844" s="4">
        <f>IF(OR(INDEX($G$2:$G$1001,MATCH(ROWS($F$2:F844),$F$2:$F$1001,0),1)&gt;=100000,INDEX($M$1005,1,MATCH(COLUMNS($M$1006:M1006),$M$1006,0))&gt;=100000), " ",IF(INDEX($M$2:$M$1001,MATCH(ROWS($F$2:F844),$F$2:$F$1001,0),MATCH(COLUMNS($M$1006:M1006),$M$1006,0)), HYPERLINK("#",""), HYPERLINK(CONCATENATE("#Metadata!", ADDRESS(INDEX($H$2:$H$1001,MATCH(ROWS($F$2:F844),$F$2:$F$1001,0),0), INDEX($M$1004,1,MATCH(COLUMNS($M$1006:M1006),$M$1006,0)))),"Fix")))</f>
        <v>0</v>
      </c>
      <c r="F844">
        <v>0</v>
      </c>
      <c r="G844">
        <v>0</v>
      </c>
      <c r="H844">
        <v>0</v>
      </c>
      <c r="I844">
        <f>IF(J844,TRUE,AND(M844))</f>
        <v>0</v>
      </c>
      <c r="J844">
        <f>COUNTBLANK(Metadata!B844)=COLUMNS(Metadata!B844)</f>
        <v>0</v>
      </c>
      <c r="K844">
        <v>0</v>
      </c>
      <c r="M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</row>
    <row r="845" spans="1:13">
      <c r="A845" s="3">
        <f>IF(B845=" "," ",HYPERLINK(CONCATENATE("#metadata!",ADDRESS(INDEX($H$2:$H$1001,MATCH(ROWS($F$2:F845),$F$2:$F$1001,0),0),2)),INDEX($K$2:$K$1001,MATCH(ROWS($F$2:F845),$F$2:$F$1001,0),0)))</f>
        <v>0</v>
      </c>
      <c r="B845" s="4">
        <f>IF(OR(INDEX($G$2:$G$1001,MATCH(ROWS($F$2:F845),$F$2:$F$1001,0),1)&gt;=100000,INDEX($M$1005,1,MATCH(COLUMNS($M$1006:M1006),$M$1006,0))&gt;=100000), " ",IF(INDEX($M$2:$M$1001,MATCH(ROWS($F$2:F845),$F$2:$F$1001,0),MATCH(COLUMNS($M$1006:M1006),$M$1006,0)), HYPERLINK("#",""), HYPERLINK(CONCATENATE("#Metadata!", ADDRESS(INDEX($H$2:$H$1001,MATCH(ROWS($F$2:F845),$F$2:$F$1001,0),0), INDEX($M$1004,1,MATCH(COLUMNS($M$1006:M1006),$M$1006,0)))),"Fix")))</f>
        <v>0</v>
      </c>
      <c r="F845">
        <v>0</v>
      </c>
      <c r="G845">
        <v>0</v>
      </c>
      <c r="H845">
        <v>0</v>
      </c>
      <c r="I845">
        <f>IF(J845,TRUE,AND(M845))</f>
        <v>0</v>
      </c>
      <c r="J845">
        <f>COUNTBLANK(Metadata!B845)=COLUMNS(Metadata!B845)</f>
        <v>0</v>
      </c>
      <c r="K845">
        <v>0</v>
      </c>
      <c r="M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</row>
    <row r="846" spans="1:13">
      <c r="A846" s="3">
        <f>IF(B846=" "," ",HYPERLINK(CONCATENATE("#metadata!",ADDRESS(INDEX($H$2:$H$1001,MATCH(ROWS($F$2:F846),$F$2:$F$1001,0),0),2)),INDEX($K$2:$K$1001,MATCH(ROWS($F$2:F846),$F$2:$F$1001,0),0)))</f>
        <v>0</v>
      </c>
      <c r="B846" s="4">
        <f>IF(OR(INDEX($G$2:$G$1001,MATCH(ROWS($F$2:F846),$F$2:$F$1001,0),1)&gt;=100000,INDEX($M$1005,1,MATCH(COLUMNS($M$1006:M1006),$M$1006,0))&gt;=100000), " ",IF(INDEX($M$2:$M$1001,MATCH(ROWS($F$2:F846),$F$2:$F$1001,0),MATCH(COLUMNS($M$1006:M1006),$M$1006,0)), HYPERLINK("#",""), HYPERLINK(CONCATENATE("#Metadata!", ADDRESS(INDEX($H$2:$H$1001,MATCH(ROWS($F$2:F846),$F$2:$F$1001,0),0), INDEX($M$1004,1,MATCH(COLUMNS($M$1006:M1006),$M$1006,0)))),"Fix")))</f>
        <v>0</v>
      </c>
      <c r="F846">
        <v>0</v>
      </c>
      <c r="G846">
        <v>0</v>
      </c>
      <c r="H846">
        <v>0</v>
      </c>
      <c r="I846">
        <f>IF(J846,TRUE,AND(M846))</f>
        <v>0</v>
      </c>
      <c r="J846">
        <f>COUNTBLANK(Metadata!B846)=COLUMNS(Metadata!B846)</f>
        <v>0</v>
      </c>
      <c r="K846">
        <v>0</v>
      </c>
      <c r="M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</row>
    <row r="847" spans="1:13">
      <c r="A847" s="3">
        <f>IF(B847=" "," ",HYPERLINK(CONCATENATE("#metadata!",ADDRESS(INDEX($H$2:$H$1001,MATCH(ROWS($F$2:F847),$F$2:$F$1001,0),0),2)),INDEX($K$2:$K$1001,MATCH(ROWS($F$2:F847),$F$2:$F$1001,0),0)))</f>
        <v>0</v>
      </c>
      <c r="B847" s="4">
        <f>IF(OR(INDEX($G$2:$G$1001,MATCH(ROWS($F$2:F847),$F$2:$F$1001,0),1)&gt;=100000,INDEX($M$1005,1,MATCH(COLUMNS($M$1006:M1006),$M$1006,0))&gt;=100000), " ",IF(INDEX($M$2:$M$1001,MATCH(ROWS($F$2:F847),$F$2:$F$1001,0),MATCH(COLUMNS($M$1006:M1006),$M$1006,0)), HYPERLINK("#",""), HYPERLINK(CONCATENATE("#Metadata!", ADDRESS(INDEX($H$2:$H$1001,MATCH(ROWS($F$2:F847),$F$2:$F$1001,0),0), INDEX($M$1004,1,MATCH(COLUMNS($M$1006:M1006),$M$1006,0)))),"Fix")))</f>
        <v>0</v>
      </c>
      <c r="F847">
        <v>0</v>
      </c>
      <c r="G847">
        <v>0</v>
      </c>
      <c r="H847">
        <v>0</v>
      </c>
      <c r="I847">
        <f>IF(J847,TRUE,AND(M847))</f>
        <v>0</v>
      </c>
      <c r="J847">
        <f>COUNTBLANK(Metadata!B847)=COLUMNS(Metadata!B847)</f>
        <v>0</v>
      </c>
      <c r="K847">
        <v>0</v>
      </c>
      <c r="M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</row>
    <row r="848" spans="1:13">
      <c r="A848" s="3">
        <f>IF(B848=" "," ",HYPERLINK(CONCATENATE("#metadata!",ADDRESS(INDEX($H$2:$H$1001,MATCH(ROWS($F$2:F848),$F$2:$F$1001,0),0),2)),INDEX($K$2:$K$1001,MATCH(ROWS($F$2:F848),$F$2:$F$1001,0),0)))</f>
        <v>0</v>
      </c>
      <c r="B848" s="4">
        <f>IF(OR(INDEX($G$2:$G$1001,MATCH(ROWS($F$2:F848),$F$2:$F$1001,0),1)&gt;=100000,INDEX($M$1005,1,MATCH(COLUMNS($M$1006:M1006),$M$1006,0))&gt;=100000), " ",IF(INDEX($M$2:$M$1001,MATCH(ROWS($F$2:F848),$F$2:$F$1001,0),MATCH(COLUMNS($M$1006:M1006),$M$1006,0)), HYPERLINK("#",""), HYPERLINK(CONCATENATE("#Metadata!", ADDRESS(INDEX($H$2:$H$1001,MATCH(ROWS($F$2:F848),$F$2:$F$1001,0),0), INDEX($M$1004,1,MATCH(COLUMNS($M$1006:M1006),$M$1006,0)))),"Fix")))</f>
        <v>0</v>
      </c>
      <c r="F848">
        <v>0</v>
      </c>
      <c r="G848">
        <v>0</v>
      </c>
      <c r="H848">
        <v>0</v>
      </c>
      <c r="I848">
        <f>IF(J848,TRUE,AND(M848))</f>
        <v>0</v>
      </c>
      <c r="J848">
        <f>COUNTBLANK(Metadata!B848)=COLUMNS(Metadata!B848)</f>
        <v>0</v>
      </c>
      <c r="K848">
        <v>0</v>
      </c>
      <c r="M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</row>
    <row r="849" spans="1:13">
      <c r="A849" s="3">
        <f>IF(B849=" "," ",HYPERLINK(CONCATENATE("#metadata!",ADDRESS(INDEX($H$2:$H$1001,MATCH(ROWS($F$2:F849),$F$2:$F$1001,0),0),2)),INDEX($K$2:$K$1001,MATCH(ROWS($F$2:F849),$F$2:$F$1001,0),0)))</f>
        <v>0</v>
      </c>
      <c r="B849" s="4">
        <f>IF(OR(INDEX($G$2:$G$1001,MATCH(ROWS($F$2:F849),$F$2:$F$1001,0),1)&gt;=100000,INDEX($M$1005,1,MATCH(COLUMNS($M$1006:M1006),$M$1006,0))&gt;=100000), " ",IF(INDEX($M$2:$M$1001,MATCH(ROWS($F$2:F849),$F$2:$F$1001,0),MATCH(COLUMNS($M$1006:M1006),$M$1006,0)), HYPERLINK("#",""), HYPERLINK(CONCATENATE("#Metadata!", ADDRESS(INDEX($H$2:$H$1001,MATCH(ROWS($F$2:F849),$F$2:$F$1001,0),0), INDEX($M$1004,1,MATCH(COLUMNS($M$1006:M1006),$M$1006,0)))),"Fix")))</f>
        <v>0</v>
      </c>
      <c r="F849">
        <v>0</v>
      </c>
      <c r="G849">
        <v>0</v>
      </c>
      <c r="H849">
        <v>0</v>
      </c>
      <c r="I849">
        <f>IF(J849,TRUE,AND(M849))</f>
        <v>0</v>
      </c>
      <c r="J849">
        <f>COUNTBLANK(Metadata!B849)=COLUMNS(Metadata!B849)</f>
        <v>0</v>
      </c>
      <c r="K849">
        <v>0</v>
      </c>
      <c r="M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</row>
    <row r="850" spans="1:13">
      <c r="A850" s="3">
        <f>IF(B850=" "," ",HYPERLINK(CONCATENATE("#metadata!",ADDRESS(INDEX($H$2:$H$1001,MATCH(ROWS($F$2:F850),$F$2:$F$1001,0),0),2)),INDEX($K$2:$K$1001,MATCH(ROWS($F$2:F850),$F$2:$F$1001,0),0)))</f>
        <v>0</v>
      </c>
      <c r="B850" s="4">
        <f>IF(OR(INDEX($G$2:$G$1001,MATCH(ROWS($F$2:F850),$F$2:$F$1001,0),1)&gt;=100000,INDEX($M$1005,1,MATCH(COLUMNS($M$1006:M1006),$M$1006,0))&gt;=100000), " ",IF(INDEX($M$2:$M$1001,MATCH(ROWS($F$2:F850),$F$2:$F$1001,0),MATCH(COLUMNS($M$1006:M1006),$M$1006,0)), HYPERLINK("#",""), HYPERLINK(CONCATENATE("#Metadata!", ADDRESS(INDEX($H$2:$H$1001,MATCH(ROWS($F$2:F850),$F$2:$F$1001,0),0), INDEX($M$1004,1,MATCH(COLUMNS($M$1006:M1006),$M$1006,0)))),"Fix")))</f>
        <v>0</v>
      </c>
      <c r="F850">
        <v>0</v>
      </c>
      <c r="G850">
        <v>0</v>
      </c>
      <c r="H850">
        <v>0</v>
      </c>
      <c r="I850">
        <f>IF(J850,TRUE,AND(M850))</f>
        <v>0</v>
      </c>
      <c r="J850">
        <f>COUNTBLANK(Metadata!B850)=COLUMNS(Metadata!B850)</f>
        <v>0</v>
      </c>
      <c r="K850">
        <v>0</v>
      </c>
      <c r="M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</row>
    <row r="851" spans="1:13">
      <c r="A851" s="3">
        <f>IF(B851=" "," ",HYPERLINK(CONCATENATE("#metadata!",ADDRESS(INDEX($H$2:$H$1001,MATCH(ROWS($F$2:F851),$F$2:$F$1001,0),0),2)),INDEX($K$2:$K$1001,MATCH(ROWS($F$2:F851),$F$2:$F$1001,0),0)))</f>
        <v>0</v>
      </c>
      <c r="B851" s="4">
        <f>IF(OR(INDEX($G$2:$G$1001,MATCH(ROWS($F$2:F851),$F$2:$F$1001,0),1)&gt;=100000,INDEX($M$1005,1,MATCH(COLUMNS($M$1006:M1006),$M$1006,0))&gt;=100000), " ",IF(INDEX($M$2:$M$1001,MATCH(ROWS($F$2:F851),$F$2:$F$1001,0),MATCH(COLUMNS($M$1006:M1006),$M$1006,0)), HYPERLINK("#",""), HYPERLINK(CONCATENATE("#Metadata!", ADDRESS(INDEX($H$2:$H$1001,MATCH(ROWS($F$2:F851),$F$2:$F$1001,0),0), INDEX($M$1004,1,MATCH(COLUMNS($M$1006:M1006),$M$1006,0)))),"Fix")))</f>
        <v>0</v>
      </c>
      <c r="F851">
        <v>0</v>
      </c>
      <c r="G851">
        <v>0</v>
      </c>
      <c r="H851">
        <v>0</v>
      </c>
      <c r="I851">
        <f>IF(J851,TRUE,AND(M851))</f>
        <v>0</v>
      </c>
      <c r="J851">
        <f>COUNTBLANK(Metadata!B851)=COLUMNS(Metadata!B851)</f>
        <v>0</v>
      </c>
      <c r="K851">
        <v>0</v>
      </c>
      <c r="M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</row>
    <row r="852" spans="1:13">
      <c r="A852" s="3">
        <f>IF(B852=" "," ",HYPERLINK(CONCATENATE("#metadata!",ADDRESS(INDEX($H$2:$H$1001,MATCH(ROWS($F$2:F852),$F$2:$F$1001,0),0),2)),INDEX($K$2:$K$1001,MATCH(ROWS($F$2:F852),$F$2:$F$1001,0),0)))</f>
        <v>0</v>
      </c>
      <c r="B852" s="4">
        <f>IF(OR(INDEX($G$2:$G$1001,MATCH(ROWS($F$2:F852),$F$2:$F$1001,0),1)&gt;=100000,INDEX($M$1005,1,MATCH(COLUMNS($M$1006:M1006),$M$1006,0))&gt;=100000), " ",IF(INDEX($M$2:$M$1001,MATCH(ROWS($F$2:F852),$F$2:$F$1001,0),MATCH(COLUMNS($M$1006:M1006),$M$1006,0)), HYPERLINK("#",""), HYPERLINK(CONCATENATE("#Metadata!", ADDRESS(INDEX($H$2:$H$1001,MATCH(ROWS($F$2:F852),$F$2:$F$1001,0),0), INDEX($M$1004,1,MATCH(COLUMNS($M$1006:M1006),$M$1006,0)))),"Fix")))</f>
        <v>0</v>
      </c>
      <c r="F852">
        <v>0</v>
      </c>
      <c r="G852">
        <v>0</v>
      </c>
      <c r="H852">
        <v>0</v>
      </c>
      <c r="I852">
        <f>IF(J852,TRUE,AND(M852))</f>
        <v>0</v>
      </c>
      <c r="J852">
        <f>COUNTBLANK(Metadata!B852)=COLUMNS(Metadata!B852)</f>
        <v>0</v>
      </c>
      <c r="K852">
        <v>0</v>
      </c>
      <c r="M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</row>
    <row r="853" spans="1:13">
      <c r="A853" s="3">
        <f>IF(B853=" "," ",HYPERLINK(CONCATENATE("#metadata!",ADDRESS(INDEX($H$2:$H$1001,MATCH(ROWS($F$2:F853),$F$2:$F$1001,0),0),2)),INDEX($K$2:$K$1001,MATCH(ROWS($F$2:F853),$F$2:$F$1001,0),0)))</f>
        <v>0</v>
      </c>
      <c r="B853" s="4">
        <f>IF(OR(INDEX($G$2:$G$1001,MATCH(ROWS($F$2:F853),$F$2:$F$1001,0),1)&gt;=100000,INDEX($M$1005,1,MATCH(COLUMNS($M$1006:M1006),$M$1006,0))&gt;=100000), " ",IF(INDEX($M$2:$M$1001,MATCH(ROWS($F$2:F853),$F$2:$F$1001,0),MATCH(COLUMNS($M$1006:M1006),$M$1006,0)), HYPERLINK("#",""), HYPERLINK(CONCATENATE("#Metadata!", ADDRESS(INDEX($H$2:$H$1001,MATCH(ROWS($F$2:F853),$F$2:$F$1001,0),0), INDEX($M$1004,1,MATCH(COLUMNS($M$1006:M1006),$M$1006,0)))),"Fix")))</f>
        <v>0</v>
      </c>
      <c r="F853">
        <v>0</v>
      </c>
      <c r="G853">
        <v>0</v>
      </c>
      <c r="H853">
        <v>0</v>
      </c>
      <c r="I853">
        <f>IF(J853,TRUE,AND(M853))</f>
        <v>0</v>
      </c>
      <c r="J853">
        <f>COUNTBLANK(Metadata!B853)=COLUMNS(Metadata!B853)</f>
        <v>0</v>
      </c>
      <c r="K853">
        <v>0</v>
      </c>
      <c r="M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</row>
    <row r="854" spans="1:13">
      <c r="A854" s="3">
        <f>IF(B854=" "," ",HYPERLINK(CONCATENATE("#metadata!",ADDRESS(INDEX($H$2:$H$1001,MATCH(ROWS($F$2:F854),$F$2:$F$1001,0),0),2)),INDEX($K$2:$K$1001,MATCH(ROWS($F$2:F854),$F$2:$F$1001,0),0)))</f>
        <v>0</v>
      </c>
      <c r="B854" s="4">
        <f>IF(OR(INDEX($G$2:$G$1001,MATCH(ROWS($F$2:F854),$F$2:$F$1001,0),1)&gt;=100000,INDEX($M$1005,1,MATCH(COLUMNS($M$1006:M1006),$M$1006,0))&gt;=100000), " ",IF(INDEX($M$2:$M$1001,MATCH(ROWS($F$2:F854),$F$2:$F$1001,0),MATCH(COLUMNS($M$1006:M1006),$M$1006,0)), HYPERLINK("#",""), HYPERLINK(CONCATENATE("#Metadata!", ADDRESS(INDEX($H$2:$H$1001,MATCH(ROWS($F$2:F854),$F$2:$F$1001,0),0), INDEX($M$1004,1,MATCH(COLUMNS($M$1006:M1006),$M$1006,0)))),"Fix")))</f>
        <v>0</v>
      </c>
      <c r="F854">
        <v>0</v>
      </c>
      <c r="G854">
        <v>0</v>
      </c>
      <c r="H854">
        <v>0</v>
      </c>
      <c r="I854">
        <f>IF(J854,TRUE,AND(M854))</f>
        <v>0</v>
      </c>
      <c r="J854">
        <f>COUNTBLANK(Metadata!B854)=COLUMNS(Metadata!B854)</f>
        <v>0</v>
      </c>
      <c r="K854">
        <v>0</v>
      </c>
      <c r="M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</row>
    <row r="855" spans="1:13">
      <c r="A855" s="3">
        <f>IF(B855=" "," ",HYPERLINK(CONCATENATE("#metadata!",ADDRESS(INDEX($H$2:$H$1001,MATCH(ROWS($F$2:F855),$F$2:$F$1001,0),0),2)),INDEX($K$2:$K$1001,MATCH(ROWS($F$2:F855),$F$2:$F$1001,0),0)))</f>
        <v>0</v>
      </c>
      <c r="B855" s="4">
        <f>IF(OR(INDEX($G$2:$G$1001,MATCH(ROWS($F$2:F855),$F$2:$F$1001,0),1)&gt;=100000,INDEX($M$1005,1,MATCH(COLUMNS($M$1006:M1006),$M$1006,0))&gt;=100000), " ",IF(INDEX($M$2:$M$1001,MATCH(ROWS($F$2:F855),$F$2:$F$1001,0),MATCH(COLUMNS($M$1006:M1006),$M$1006,0)), HYPERLINK("#",""), HYPERLINK(CONCATENATE("#Metadata!", ADDRESS(INDEX($H$2:$H$1001,MATCH(ROWS($F$2:F855),$F$2:$F$1001,0),0), INDEX($M$1004,1,MATCH(COLUMNS($M$1006:M1006),$M$1006,0)))),"Fix")))</f>
        <v>0</v>
      </c>
      <c r="F855">
        <v>0</v>
      </c>
      <c r="G855">
        <v>0</v>
      </c>
      <c r="H855">
        <v>0</v>
      </c>
      <c r="I855">
        <f>IF(J855,TRUE,AND(M855))</f>
        <v>0</v>
      </c>
      <c r="J855">
        <f>COUNTBLANK(Metadata!B855)=COLUMNS(Metadata!B855)</f>
        <v>0</v>
      </c>
      <c r="K855">
        <v>0</v>
      </c>
      <c r="M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</row>
    <row r="856" spans="1:13">
      <c r="A856" s="3">
        <f>IF(B856=" "," ",HYPERLINK(CONCATENATE("#metadata!",ADDRESS(INDEX($H$2:$H$1001,MATCH(ROWS($F$2:F856),$F$2:$F$1001,0),0),2)),INDEX($K$2:$K$1001,MATCH(ROWS($F$2:F856),$F$2:$F$1001,0),0)))</f>
        <v>0</v>
      </c>
      <c r="B856" s="4">
        <f>IF(OR(INDEX($G$2:$G$1001,MATCH(ROWS($F$2:F856),$F$2:$F$1001,0),1)&gt;=100000,INDEX($M$1005,1,MATCH(COLUMNS($M$1006:M1006),$M$1006,0))&gt;=100000), " ",IF(INDEX($M$2:$M$1001,MATCH(ROWS($F$2:F856),$F$2:$F$1001,0),MATCH(COLUMNS($M$1006:M1006),$M$1006,0)), HYPERLINK("#",""), HYPERLINK(CONCATENATE("#Metadata!", ADDRESS(INDEX($H$2:$H$1001,MATCH(ROWS($F$2:F856),$F$2:$F$1001,0),0), INDEX($M$1004,1,MATCH(COLUMNS($M$1006:M1006),$M$1006,0)))),"Fix")))</f>
        <v>0</v>
      </c>
      <c r="F856">
        <v>0</v>
      </c>
      <c r="G856">
        <v>0</v>
      </c>
      <c r="H856">
        <v>0</v>
      </c>
      <c r="I856">
        <f>IF(J856,TRUE,AND(M856))</f>
        <v>0</v>
      </c>
      <c r="J856">
        <f>COUNTBLANK(Metadata!B856)=COLUMNS(Metadata!B856)</f>
        <v>0</v>
      </c>
      <c r="K856">
        <v>0</v>
      </c>
      <c r="M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</row>
    <row r="857" spans="1:13">
      <c r="A857" s="3">
        <f>IF(B857=" "," ",HYPERLINK(CONCATENATE("#metadata!",ADDRESS(INDEX($H$2:$H$1001,MATCH(ROWS($F$2:F857),$F$2:$F$1001,0),0),2)),INDEX($K$2:$K$1001,MATCH(ROWS($F$2:F857),$F$2:$F$1001,0),0)))</f>
        <v>0</v>
      </c>
      <c r="B857" s="4">
        <f>IF(OR(INDEX($G$2:$G$1001,MATCH(ROWS($F$2:F857),$F$2:$F$1001,0),1)&gt;=100000,INDEX($M$1005,1,MATCH(COLUMNS($M$1006:M1006),$M$1006,0))&gt;=100000), " ",IF(INDEX($M$2:$M$1001,MATCH(ROWS($F$2:F857),$F$2:$F$1001,0),MATCH(COLUMNS($M$1006:M1006),$M$1006,0)), HYPERLINK("#",""), HYPERLINK(CONCATENATE("#Metadata!", ADDRESS(INDEX($H$2:$H$1001,MATCH(ROWS($F$2:F857),$F$2:$F$1001,0),0), INDEX($M$1004,1,MATCH(COLUMNS($M$1006:M1006),$M$1006,0)))),"Fix")))</f>
        <v>0</v>
      </c>
      <c r="F857">
        <v>0</v>
      </c>
      <c r="G857">
        <v>0</v>
      </c>
      <c r="H857">
        <v>0</v>
      </c>
      <c r="I857">
        <f>IF(J857,TRUE,AND(M857))</f>
        <v>0</v>
      </c>
      <c r="J857">
        <f>COUNTBLANK(Metadata!B857)=COLUMNS(Metadata!B857)</f>
        <v>0</v>
      </c>
      <c r="K857">
        <v>0</v>
      </c>
      <c r="M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</row>
    <row r="858" spans="1:13">
      <c r="A858" s="3">
        <f>IF(B858=" "," ",HYPERLINK(CONCATENATE("#metadata!",ADDRESS(INDEX($H$2:$H$1001,MATCH(ROWS($F$2:F858),$F$2:$F$1001,0),0),2)),INDEX($K$2:$K$1001,MATCH(ROWS($F$2:F858),$F$2:$F$1001,0),0)))</f>
        <v>0</v>
      </c>
      <c r="B858" s="4">
        <f>IF(OR(INDEX($G$2:$G$1001,MATCH(ROWS($F$2:F858),$F$2:$F$1001,0),1)&gt;=100000,INDEX($M$1005,1,MATCH(COLUMNS($M$1006:M1006),$M$1006,0))&gt;=100000), " ",IF(INDEX($M$2:$M$1001,MATCH(ROWS($F$2:F858),$F$2:$F$1001,0),MATCH(COLUMNS($M$1006:M1006),$M$1006,0)), HYPERLINK("#",""), HYPERLINK(CONCATENATE("#Metadata!", ADDRESS(INDEX($H$2:$H$1001,MATCH(ROWS($F$2:F858),$F$2:$F$1001,0),0), INDEX($M$1004,1,MATCH(COLUMNS($M$1006:M1006),$M$1006,0)))),"Fix")))</f>
        <v>0</v>
      </c>
      <c r="F858">
        <v>0</v>
      </c>
      <c r="G858">
        <v>0</v>
      </c>
      <c r="H858">
        <v>0</v>
      </c>
      <c r="I858">
        <f>IF(J858,TRUE,AND(M858))</f>
        <v>0</v>
      </c>
      <c r="J858">
        <f>COUNTBLANK(Metadata!B858)=COLUMNS(Metadata!B858)</f>
        <v>0</v>
      </c>
      <c r="K858">
        <v>0</v>
      </c>
      <c r="M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</row>
    <row r="859" spans="1:13">
      <c r="A859" s="3">
        <f>IF(B859=" "," ",HYPERLINK(CONCATENATE("#metadata!",ADDRESS(INDEX($H$2:$H$1001,MATCH(ROWS($F$2:F859),$F$2:$F$1001,0),0),2)),INDEX($K$2:$K$1001,MATCH(ROWS($F$2:F859),$F$2:$F$1001,0),0)))</f>
        <v>0</v>
      </c>
      <c r="B859" s="4">
        <f>IF(OR(INDEX($G$2:$G$1001,MATCH(ROWS($F$2:F859),$F$2:$F$1001,0),1)&gt;=100000,INDEX($M$1005,1,MATCH(COLUMNS($M$1006:M1006),$M$1006,0))&gt;=100000), " ",IF(INDEX($M$2:$M$1001,MATCH(ROWS($F$2:F859),$F$2:$F$1001,0),MATCH(COLUMNS($M$1006:M1006),$M$1006,0)), HYPERLINK("#",""), HYPERLINK(CONCATENATE("#Metadata!", ADDRESS(INDEX($H$2:$H$1001,MATCH(ROWS($F$2:F859),$F$2:$F$1001,0),0), INDEX($M$1004,1,MATCH(COLUMNS($M$1006:M1006),$M$1006,0)))),"Fix")))</f>
        <v>0</v>
      </c>
      <c r="F859">
        <v>0</v>
      </c>
      <c r="G859">
        <v>0</v>
      </c>
      <c r="H859">
        <v>0</v>
      </c>
      <c r="I859">
        <f>IF(J859,TRUE,AND(M859))</f>
        <v>0</v>
      </c>
      <c r="J859">
        <f>COUNTBLANK(Metadata!B859)=COLUMNS(Metadata!B859)</f>
        <v>0</v>
      </c>
      <c r="K859">
        <v>0</v>
      </c>
      <c r="M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</row>
    <row r="860" spans="1:13">
      <c r="A860" s="3">
        <f>IF(B860=" "," ",HYPERLINK(CONCATENATE("#metadata!",ADDRESS(INDEX($H$2:$H$1001,MATCH(ROWS($F$2:F860),$F$2:$F$1001,0),0),2)),INDEX($K$2:$K$1001,MATCH(ROWS($F$2:F860),$F$2:$F$1001,0),0)))</f>
        <v>0</v>
      </c>
      <c r="B860" s="4">
        <f>IF(OR(INDEX($G$2:$G$1001,MATCH(ROWS($F$2:F860),$F$2:$F$1001,0),1)&gt;=100000,INDEX($M$1005,1,MATCH(COLUMNS($M$1006:M1006),$M$1006,0))&gt;=100000), " ",IF(INDEX($M$2:$M$1001,MATCH(ROWS($F$2:F860),$F$2:$F$1001,0),MATCH(COLUMNS($M$1006:M1006),$M$1006,0)), HYPERLINK("#",""), HYPERLINK(CONCATENATE("#Metadata!", ADDRESS(INDEX($H$2:$H$1001,MATCH(ROWS($F$2:F860),$F$2:$F$1001,0),0), INDEX($M$1004,1,MATCH(COLUMNS($M$1006:M1006),$M$1006,0)))),"Fix")))</f>
        <v>0</v>
      </c>
      <c r="F860">
        <v>0</v>
      </c>
      <c r="G860">
        <v>0</v>
      </c>
      <c r="H860">
        <v>0</v>
      </c>
      <c r="I860">
        <f>IF(J860,TRUE,AND(M860))</f>
        <v>0</v>
      </c>
      <c r="J860">
        <f>COUNTBLANK(Metadata!B860)=COLUMNS(Metadata!B860)</f>
        <v>0</v>
      </c>
      <c r="K860">
        <v>0</v>
      </c>
      <c r="M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</row>
    <row r="861" spans="1:13">
      <c r="A861" s="3">
        <f>IF(B861=" "," ",HYPERLINK(CONCATENATE("#metadata!",ADDRESS(INDEX($H$2:$H$1001,MATCH(ROWS($F$2:F861),$F$2:$F$1001,0),0),2)),INDEX($K$2:$K$1001,MATCH(ROWS($F$2:F861),$F$2:$F$1001,0),0)))</f>
        <v>0</v>
      </c>
      <c r="B861" s="4">
        <f>IF(OR(INDEX($G$2:$G$1001,MATCH(ROWS($F$2:F861),$F$2:$F$1001,0),1)&gt;=100000,INDEX($M$1005,1,MATCH(COLUMNS($M$1006:M1006),$M$1006,0))&gt;=100000), " ",IF(INDEX($M$2:$M$1001,MATCH(ROWS($F$2:F861),$F$2:$F$1001,0),MATCH(COLUMNS($M$1006:M1006),$M$1006,0)), HYPERLINK("#",""), HYPERLINK(CONCATENATE("#Metadata!", ADDRESS(INDEX($H$2:$H$1001,MATCH(ROWS($F$2:F861),$F$2:$F$1001,0),0), INDEX($M$1004,1,MATCH(COLUMNS($M$1006:M1006),$M$1006,0)))),"Fix")))</f>
        <v>0</v>
      </c>
      <c r="F861">
        <v>0</v>
      </c>
      <c r="G861">
        <v>0</v>
      </c>
      <c r="H861">
        <v>0</v>
      </c>
      <c r="I861">
        <f>IF(J861,TRUE,AND(M861))</f>
        <v>0</v>
      </c>
      <c r="J861">
        <f>COUNTBLANK(Metadata!B861)=COLUMNS(Metadata!B861)</f>
        <v>0</v>
      </c>
      <c r="K861">
        <v>0</v>
      </c>
      <c r="M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</row>
    <row r="862" spans="1:13">
      <c r="A862" s="3">
        <f>IF(B862=" "," ",HYPERLINK(CONCATENATE("#metadata!",ADDRESS(INDEX($H$2:$H$1001,MATCH(ROWS($F$2:F862),$F$2:$F$1001,0),0),2)),INDEX($K$2:$K$1001,MATCH(ROWS($F$2:F862),$F$2:$F$1001,0),0)))</f>
        <v>0</v>
      </c>
      <c r="B862" s="4">
        <f>IF(OR(INDEX($G$2:$G$1001,MATCH(ROWS($F$2:F862),$F$2:$F$1001,0),1)&gt;=100000,INDEX($M$1005,1,MATCH(COLUMNS($M$1006:M1006),$M$1006,0))&gt;=100000), " ",IF(INDEX($M$2:$M$1001,MATCH(ROWS($F$2:F862),$F$2:$F$1001,0),MATCH(COLUMNS($M$1006:M1006),$M$1006,0)), HYPERLINK("#",""), HYPERLINK(CONCATENATE("#Metadata!", ADDRESS(INDEX($H$2:$H$1001,MATCH(ROWS($F$2:F862),$F$2:$F$1001,0),0), INDEX($M$1004,1,MATCH(COLUMNS($M$1006:M1006),$M$1006,0)))),"Fix")))</f>
        <v>0</v>
      </c>
      <c r="F862">
        <v>0</v>
      </c>
      <c r="G862">
        <v>0</v>
      </c>
      <c r="H862">
        <v>0</v>
      </c>
      <c r="I862">
        <f>IF(J862,TRUE,AND(M862))</f>
        <v>0</v>
      </c>
      <c r="J862">
        <f>COUNTBLANK(Metadata!B862)=COLUMNS(Metadata!B862)</f>
        <v>0</v>
      </c>
      <c r="K862">
        <v>0</v>
      </c>
      <c r="M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</row>
    <row r="863" spans="1:13">
      <c r="A863" s="3">
        <f>IF(B863=" "," ",HYPERLINK(CONCATENATE("#metadata!",ADDRESS(INDEX($H$2:$H$1001,MATCH(ROWS($F$2:F863),$F$2:$F$1001,0),0),2)),INDEX($K$2:$K$1001,MATCH(ROWS($F$2:F863),$F$2:$F$1001,0),0)))</f>
        <v>0</v>
      </c>
      <c r="B863" s="4">
        <f>IF(OR(INDEX($G$2:$G$1001,MATCH(ROWS($F$2:F863),$F$2:$F$1001,0),1)&gt;=100000,INDEX($M$1005,1,MATCH(COLUMNS($M$1006:M1006),$M$1006,0))&gt;=100000), " ",IF(INDEX($M$2:$M$1001,MATCH(ROWS($F$2:F863),$F$2:$F$1001,0),MATCH(COLUMNS($M$1006:M1006),$M$1006,0)), HYPERLINK("#",""), HYPERLINK(CONCATENATE("#Metadata!", ADDRESS(INDEX($H$2:$H$1001,MATCH(ROWS($F$2:F863),$F$2:$F$1001,0),0), INDEX($M$1004,1,MATCH(COLUMNS($M$1006:M1006),$M$1006,0)))),"Fix")))</f>
        <v>0</v>
      </c>
      <c r="F863">
        <v>0</v>
      </c>
      <c r="G863">
        <v>0</v>
      </c>
      <c r="H863">
        <v>0</v>
      </c>
      <c r="I863">
        <f>IF(J863,TRUE,AND(M863))</f>
        <v>0</v>
      </c>
      <c r="J863">
        <f>COUNTBLANK(Metadata!B863)=COLUMNS(Metadata!B863)</f>
        <v>0</v>
      </c>
      <c r="K863">
        <v>0</v>
      </c>
      <c r="M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</row>
    <row r="864" spans="1:13">
      <c r="A864" s="3">
        <f>IF(B864=" "," ",HYPERLINK(CONCATENATE("#metadata!",ADDRESS(INDEX($H$2:$H$1001,MATCH(ROWS($F$2:F864),$F$2:$F$1001,0),0),2)),INDEX($K$2:$K$1001,MATCH(ROWS($F$2:F864),$F$2:$F$1001,0),0)))</f>
        <v>0</v>
      </c>
      <c r="B864" s="4">
        <f>IF(OR(INDEX($G$2:$G$1001,MATCH(ROWS($F$2:F864),$F$2:$F$1001,0),1)&gt;=100000,INDEX($M$1005,1,MATCH(COLUMNS($M$1006:M1006),$M$1006,0))&gt;=100000), " ",IF(INDEX($M$2:$M$1001,MATCH(ROWS($F$2:F864),$F$2:$F$1001,0),MATCH(COLUMNS($M$1006:M1006),$M$1006,0)), HYPERLINK("#",""), HYPERLINK(CONCATENATE("#Metadata!", ADDRESS(INDEX($H$2:$H$1001,MATCH(ROWS($F$2:F864),$F$2:$F$1001,0),0), INDEX($M$1004,1,MATCH(COLUMNS($M$1006:M1006),$M$1006,0)))),"Fix")))</f>
        <v>0</v>
      </c>
      <c r="F864">
        <v>0</v>
      </c>
      <c r="G864">
        <v>0</v>
      </c>
      <c r="H864">
        <v>0</v>
      </c>
      <c r="I864">
        <f>IF(J864,TRUE,AND(M864))</f>
        <v>0</v>
      </c>
      <c r="J864">
        <f>COUNTBLANK(Metadata!B864)=COLUMNS(Metadata!B864)</f>
        <v>0</v>
      </c>
      <c r="K864">
        <v>0</v>
      </c>
      <c r="M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</row>
    <row r="865" spans="1:13">
      <c r="A865" s="3">
        <f>IF(B865=" "," ",HYPERLINK(CONCATENATE("#metadata!",ADDRESS(INDEX($H$2:$H$1001,MATCH(ROWS($F$2:F865),$F$2:$F$1001,0),0),2)),INDEX($K$2:$K$1001,MATCH(ROWS($F$2:F865),$F$2:$F$1001,0),0)))</f>
        <v>0</v>
      </c>
      <c r="B865" s="4">
        <f>IF(OR(INDEX($G$2:$G$1001,MATCH(ROWS($F$2:F865),$F$2:$F$1001,0),1)&gt;=100000,INDEX($M$1005,1,MATCH(COLUMNS($M$1006:M1006),$M$1006,0))&gt;=100000), " ",IF(INDEX($M$2:$M$1001,MATCH(ROWS($F$2:F865),$F$2:$F$1001,0),MATCH(COLUMNS($M$1006:M1006),$M$1006,0)), HYPERLINK("#",""), HYPERLINK(CONCATENATE("#Metadata!", ADDRESS(INDEX($H$2:$H$1001,MATCH(ROWS($F$2:F865),$F$2:$F$1001,0),0), INDEX($M$1004,1,MATCH(COLUMNS($M$1006:M1006),$M$1006,0)))),"Fix")))</f>
        <v>0</v>
      </c>
      <c r="F865">
        <v>0</v>
      </c>
      <c r="G865">
        <v>0</v>
      </c>
      <c r="H865">
        <v>0</v>
      </c>
      <c r="I865">
        <f>IF(J865,TRUE,AND(M865))</f>
        <v>0</v>
      </c>
      <c r="J865">
        <f>COUNTBLANK(Metadata!B865)=COLUMNS(Metadata!B865)</f>
        <v>0</v>
      </c>
      <c r="K865">
        <v>0</v>
      </c>
      <c r="M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</row>
    <row r="866" spans="1:13">
      <c r="A866" s="3">
        <f>IF(B866=" "," ",HYPERLINK(CONCATENATE("#metadata!",ADDRESS(INDEX($H$2:$H$1001,MATCH(ROWS($F$2:F866),$F$2:$F$1001,0),0),2)),INDEX($K$2:$K$1001,MATCH(ROWS($F$2:F866),$F$2:$F$1001,0),0)))</f>
        <v>0</v>
      </c>
      <c r="B866" s="4">
        <f>IF(OR(INDEX($G$2:$G$1001,MATCH(ROWS($F$2:F866),$F$2:$F$1001,0),1)&gt;=100000,INDEX($M$1005,1,MATCH(COLUMNS($M$1006:M1006),$M$1006,0))&gt;=100000), " ",IF(INDEX($M$2:$M$1001,MATCH(ROWS($F$2:F866),$F$2:$F$1001,0),MATCH(COLUMNS($M$1006:M1006),$M$1006,0)), HYPERLINK("#",""), HYPERLINK(CONCATENATE("#Metadata!", ADDRESS(INDEX($H$2:$H$1001,MATCH(ROWS($F$2:F866),$F$2:$F$1001,0),0), INDEX($M$1004,1,MATCH(COLUMNS($M$1006:M1006),$M$1006,0)))),"Fix")))</f>
        <v>0</v>
      </c>
      <c r="F866">
        <v>0</v>
      </c>
      <c r="G866">
        <v>0</v>
      </c>
      <c r="H866">
        <v>0</v>
      </c>
      <c r="I866">
        <f>IF(J866,TRUE,AND(M866))</f>
        <v>0</v>
      </c>
      <c r="J866">
        <f>COUNTBLANK(Metadata!B866)=COLUMNS(Metadata!B866)</f>
        <v>0</v>
      </c>
      <c r="K866">
        <v>0</v>
      </c>
      <c r="M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</row>
    <row r="867" spans="1:13">
      <c r="A867" s="3">
        <f>IF(B867=" "," ",HYPERLINK(CONCATENATE("#metadata!",ADDRESS(INDEX($H$2:$H$1001,MATCH(ROWS($F$2:F867),$F$2:$F$1001,0),0),2)),INDEX($K$2:$K$1001,MATCH(ROWS($F$2:F867),$F$2:$F$1001,0),0)))</f>
        <v>0</v>
      </c>
      <c r="B867" s="4">
        <f>IF(OR(INDEX($G$2:$G$1001,MATCH(ROWS($F$2:F867),$F$2:$F$1001,0),1)&gt;=100000,INDEX($M$1005,1,MATCH(COLUMNS($M$1006:M1006),$M$1006,0))&gt;=100000), " ",IF(INDEX($M$2:$M$1001,MATCH(ROWS($F$2:F867),$F$2:$F$1001,0),MATCH(COLUMNS($M$1006:M1006),$M$1006,0)), HYPERLINK("#",""), HYPERLINK(CONCATENATE("#Metadata!", ADDRESS(INDEX($H$2:$H$1001,MATCH(ROWS($F$2:F867),$F$2:$F$1001,0),0), INDEX($M$1004,1,MATCH(COLUMNS($M$1006:M1006),$M$1006,0)))),"Fix")))</f>
        <v>0</v>
      </c>
      <c r="F867">
        <v>0</v>
      </c>
      <c r="G867">
        <v>0</v>
      </c>
      <c r="H867">
        <v>0</v>
      </c>
      <c r="I867">
        <f>IF(J867,TRUE,AND(M867))</f>
        <v>0</v>
      </c>
      <c r="J867">
        <f>COUNTBLANK(Metadata!B867)=COLUMNS(Metadata!B867)</f>
        <v>0</v>
      </c>
      <c r="K867">
        <v>0</v>
      </c>
      <c r="M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</row>
    <row r="868" spans="1:13">
      <c r="A868" s="3">
        <f>IF(B868=" "," ",HYPERLINK(CONCATENATE("#metadata!",ADDRESS(INDEX($H$2:$H$1001,MATCH(ROWS($F$2:F868),$F$2:$F$1001,0),0),2)),INDEX($K$2:$K$1001,MATCH(ROWS($F$2:F868),$F$2:$F$1001,0),0)))</f>
        <v>0</v>
      </c>
      <c r="B868" s="4">
        <f>IF(OR(INDEX($G$2:$G$1001,MATCH(ROWS($F$2:F868),$F$2:$F$1001,0),1)&gt;=100000,INDEX($M$1005,1,MATCH(COLUMNS($M$1006:M1006),$M$1006,0))&gt;=100000), " ",IF(INDEX($M$2:$M$1001,MATCH(ROWS($F$2:F868),$F$2:$F$1001,0),MATCH(COLUMNS($M$1006:M1006),$M$1006,0)), HYPERLINK("#",""), HYPERLINK(CONCATENATE("#Metadata!", ADDRESS(INDEX($H$2:$H$1001,MATCH(ROWS($F$2:F868),$F$2:$F$1001,0),0), INDEX($M$1004,1,MATCH(COLUMNS($M$1006:M1006),$M$1006,0)))),"Fix")))</f>
        <v>0</v>
      </c>
      <c r="F868">
        <v>0</v>
      </c>
      <c r="G868">
        <v>0</v>
      </c>
      <c r="H868">
        <v>0</v>
      </c>
      <c r="I868">
        <f>IF(J868,TRUE,AND(M868))</f>
        <v>0</v>
      </c>
      <c r="J868">
        <f>COUNTBLANK(Metadata!B868)=COLUMNS(Metadata!B868)</f>
        <v>0</v>
      </c>
      <c r="K868">
        <v>0</v>
      </c>
      <c r="M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</row>
    <row r="869" spans="1:13">
      <c r="A869" s="3">
        <f>IF(B869=" "," ",HYPERLINK(CONCATENATE("#metadata!",ADDRESS(INDEX($H$2:$H$1001,MATCH(ROWS($F$2:F869),$F$2:$F$1001,0),0),2)),INDEX($K$2:$K$1001,MATCH(ROWS($F$2:F869),$F$2:$F$1001,0),0)))</f>
        <v>0</v>
      </c>
      <c r="B869" s="4">
        <f>IF(OR(INDEX($G$2:$G$1001,MATCH(ROWS($F$2:F869),$F$2:$F$1001,0),1)&gt;=100000,INDEX($M$1005,1,MATCH(COLUMNS($M$1006:M1006),$M$1006,0))&gt;=100000), " ",IF(INDEX($M$2:$M$1001,MATCH(ROWS($F$2:F869),$F$2:$F$1001,0),MATCH(COLUMNS($M$1006:M1006),$M$1006,0)), HYPERLINK("#",""), HYPERLINK(CONCATENATE("#Metadata!", ADDRESS(INDEX($H$2:$H$1001,MATCH(ROWS($F$2:F869),$F$2:$F$1001,0),0), INDEX($M$1004,1,MATCH(COLUMNS($M$1006:M1006),$M$1006,0)))),"Fix")))</f>
        <v>0</v>
      </c>
      <c r="F869">
        <v>0</v>
      </c>
      <c r="G869">
        <v>0</v>
      </c>
      <c r="H869">
        <v>0</v>
      </c>
      <c r="I869">
        <f>IF(J869,TRUE,AND(M869))</f>
        <v>0</v>
      </c>
      <c r="J869">
        <f>COUNTBLANK(Metadata!B869)=COLUMNS(Metadata!B869)</f>
        <v>0</v>
      </c>
      <c r="K869">
        <v>0</v>
      </c>
      <c r="M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</row>
    <row r="870" spans="1:13">
      <c r="A870" s="3">
        <f>IF(B870=" "," ",HYPERLINK(CONCATENATE("#metadata!",ADDRESS(INDEX($H$2:$H$1001,MATCH(ROWS($F$2:F870),$F$2:$F$1001,0),0),2)),INDEX($K$2:$K$1001,MATCH(ROWS($F$2:F870),$F$2:$F$1001,0),0)))</f>
        <v>0</v>
      </c>
      <c r="B870" s="4">
        <f>IF(OR(INDEX($G$2:$G$1001,MATCH(ROWS($F$2:F870),$F$2:$F$1001,0),1)&gt;=100000,INDEX($M$1005,1,MATCH(COLUMNS($M$1006:M1006),$M$1006,0))&gt;=100000), " ",IF(INDEX($M$2:$M$1001,MATCH(ROWS($F$2:F870),$F$2:$F$1001,0),MATCH(COLUMNS($M$1006:M1006),$M$1006,0)), HYPERLINK("#",""), HYPERLINK(CONCATENATE("#Metadata!", ADDRESS(INDEX($H$2:$H$1001,MATCH(ROWS($F$2:F870),$F$2:$F$1001,0),0), INDEX($M$1004,1,MATCH(COLUMNS($M$1006:M1006),$M$1006,0)))),"Fix")))</f>
        <v>0</v>
      </c>
      <c r="F870">
        <v>0</v>
      </c>
      <c r="G870">
        <v>0</v>
      </c>
      <c r="H870">
        <v>0</v>
      </c>
      <c r="I870">
        <f>IF(J870,TRUE,AND(M870))</f>
        <v>0</v>
      </c>
      <c r="J870">
        <f>COUNTBLANK(Metadata!B870)=COLUMNS(Metadata!B870)</f>
        <v>0</v>
      </c>
      <c r="K870">
        <v>0</v>
      </c>
      <c r="M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</row>
    <row r="871" spans="1:13">
      <c r="A871" s="3">
        <f>IF(B871=" "," ",HYPERLINK(CONCATENATE("#metadata!",ADDRESS(INDEX($H$2:$H$1001,MATCH(ROWS($F$2:F871),$F$2:$F$1001,0),0),2)),INDEX($K$2:$K$1001,MATCH(ROWS($F$2:F871),$F$2:$F$1001,0),0)))</f>
        <v>0</v>
      </c>
      <c r="B871" s="4">
        <f>IF(OR(INDEX($G$2:$G$1001,MATCH(ROWS($F$2:F871),$F$2:$F$1001,0),1)&gt;=100000,INDEX($M$1005,1,MATCH(COLUMNS($M$1006:M1006),$M$1006,0))&gt;=100000), " ",IF(INDEX($M$2:$M$1001,MATCH(ROWS($F$2:F871),$F$2:$F$1001,0),MATCH(COLUMNS($M$1006:M1006),$M$1006,0)), HYPERLINK("#",""), HYPERLINK(CONCATENATE("#Metadata!", ADDRESS(INDEX($H$2:$H$1001,MATCH(ROWS($F$2:F871),$F$2:$F$1001,0),0), INDEX($M$1004,1,MATCH(COLUMNS($M$1006:M1006),$M$1006,0)))),"Fix")))</f>
        <v>0</v>
      </c>
      <c r="F871">
        <v>0</v>
      </c>
      <c r="G871">
        <v>0</v>
      </c>
      <c r="H871">
        <v>0</v>
      </c>
      <c r="I871">
        <f>IF(J871,TRUE,AND(M871))</f>
        <v>0</v>
      </c>
      <c r="J871">
        <f>COUNTBLANK(Metadata!B871)=COLUMNS(Metadata!B871)</f>
        <v>0</v>
      </c>
      <c r="K871">
        <v>0</v>
      </c>
      <c r="M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</row>
    <row r="872" spans="1:13">
      <c r="A872" s="3">
        <f>IF(B872=" "," ",HYPERLINK(CONCATENATE("#metadata!",ADDRESS(INDEX($H$2:$H$1001,MATCH(ROWS($F$2:F872),$F$2:$F$1001,0),0),2)),INDEX($K$2:$K$1001,MATCH(ROWS($F$2:F872),$F$2:$F$1001,0),0)))</f>
        <v>0</v>
      </c>
      <c r="B872" s="4">
        <f>IF(OR(INDEX($G$2:$G$1001,MATCH(ROWS($F$2:F872),$F$2:$F$1001,0),1)&gt;=100000,INDEX($M$1005,1,MATCH(COLUMNS($M$1006:M1006),$M$1006,0))&gt;=100000), " ",IF(INDEX($M$2:$M$1001,MATCH(ROWS($F$2:F872),$F$2:$F$1001,0),MATCH(COLUMNS($M$1006:M1006),$M$1006,0)), HYPERLINK("#",""), HYPERLINK(CONCATENATE("#Metadata!", ADDRESS(INDEX($H$2:$H$1001,MATCH(ROWS($F$2:F872),$F$2:$F$1001,0),0), INDEX($M$1004,1,MATCH(COLUMNS($M$1006:M1006),$M$1006,0)))),"Fix")))</f>
        <v>0</v>
      </c>
      <c r="F872">
        <v>0</v>
      </c>
      <c r="G872">
        <v>0</v>
      </c>
      <c r="H872">
        <v>0</v>
      </c>
      <c r="I872">
        <f>IF(J872,TRUE,AND(M872))</f>
        <v>0</v>
      </c>
      <c r="J872">
        <f>COUNTBLANK(Metadata!B872)=COLUMNS(Metadata!B872)</f>
        <v>0</v>
      </c>
      <c r="K872">
        <v>0</v>
      </c>
      <c r="M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</row>
    <row r="873" spans="1:13">
      <c r="A873" s="3">
        <f>IF(B873=" "," ",HYPERLINK(CONCATENATE("#metadata!",ADDRESS(INDEX($H$2:$H$1001,MATCH(ROWS($F$2:F873),$F$2:$F$1001,0),0),2)),INDEX($K$2:$K$1001,MATCH(ROWS($F$2:F873),$F$2:$F$1001,0),0)))</f>
        <v>0</v>
      </c>
      <c r="B873" s="4">
        <f>IF(OR(INDEX($G$2:$G$1001,MATCH(ROWS($F$2:F873),$F$2:$F$1001,0),1)&gt;=100000,INDEX($M$1005,1,MATCH(COLUMNS($M$1006:M1006),$M$1006,0))&gt;=100000), " ",IF(INDEX($M$2:$M$1001,MATCH(ROWS($F$2:F873),$F$2:$F$1001,0),MATCH(COLUMNS($M$1006:M1006),$M$1006,0)), HYPERLINK("#",""), HYPERLINK(CONCATENATE("#Metadata!", ADDRESS(INDEX($H$2:$H$1001,MATCH(ROWS($F$2:F873),$F$2:$F$1001,0),0), INDEX($M$1004,1,MATCH(COLUMNS($M$1006:M1006),$M$1006,0)))),"Fix")))</f>
        <v>0</v>
      </c>
      <c r="F873">
        <v>0</v>
      </c>
      <c r="G873">
        <v>0</v>
      </c>
      <c r="H873">
        <v>0</v>
      </c>
      <c r="I873">
        <f>IF(J873,TRUE,AND(M873))</f>
        <v>0</v>
      </c>
      <c r="J873">
        <f>COUNTBLANK(Metadata!B873)=COLUMNS(Metadata!B873)</f>
        <v>0</v>
      </c>
      <c r="K873">
        <v>0</v>
      </c>
      <c r="M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</row>
    <row r="874" spans="1:13">
      <c r="A874" s="3">
        <f>IF(B874=" "," ",HYPERLINK(CONCATENATE("#metadata!",ADDRESS(INDEX($H$2:$H$1001,MATCH(ROWS($F$2:F874),$F$2:$F$1001,0),0),2)),INDEX($K$2:$K$1001,MATCH(ROWS($F$2:F874),$F$2:$F$1001,0),0)))</f>
        <v>0</v>
      </c>
      <c r="B874" s="4">
        <f>IF(OR(INDEX($G$2:$G$1001,MATCH(ROWS($F$2:F874),$F$2:$F$1001,0),1)&gt;=100000,INDEX($M$1005,1,MATCH(COLUMNS($M$1006:M1006),$M$1006,0))&gt;=100000), " ",IF(INDEX($M$2:$M$1001,MATCH(ROWS($F$2:F874),$F$2:$F$1001,0),MATCH(COLUMNS($M$1006:M1006),$M$1006,0)), HYPERLINK("#",""), HYPERLINK(CONCATENATE("#Metadata!", ADDRESS(INDEX($H$2:$H$1001,MATCH(ROWS($F$2:F874),$F$2:$F$1001,0),0), INDEX($M$1004,1,MATCH(COLUMNS($M$1006:M1006),$M$1006,0)))),"Fix")))</f>
        <v>0</v>
      </c>
      <c r="F874">
        <v>0</v>
      </c>
      <c r="G874">
        <v>0</v>
      </c>
      <c r="H874">
        <v>0</v>
      </c>
      <c r="I874">
        <f>IF(J874,TRUE,AND(M874))</f>
        <v>0</v>
      </c>
      <c r="J874">
        <f>COUNTBLANK(Metadata!B874)=COLUMNS(Metadata!B874)</f>
        <v>0</v>
      </c>
      <c r="K874">
        <v>0</v>
      </c>
      <c r="M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</row>
    <row r="875" spans="1:13">
      <c r="A875" s="3">
        <f>IF(B875=" "," ",HYPERLINK(CONCATENATE("#metadata!",ADDRESS(INDEX($H$2:$H$1001,MATCH(ROWS($F$2:F875),$F$2:$F$1001,0),0),2)),INDEX($K$2:$K$1001,MATCH(ROWS($F$2:F875),$F$2:$F$1001,0),0)))</f>
        <v>0</v>
      </c>
      <c r="B875" s="4">
        <f>IF(OR(INDEX($G$2:$G$1001,MATCH(ROWS($F$2:F875),$F$2:$F$1001,0),1)&gt;=100000,INDEX($M$1005,1,MATCH(COLUMNS($M$1006:M1006),$M$1006,0))&gt;=100000), " ",IF(INDEX($M$2:$M$1001,MATCH(ROWS($F$2:F875),$F$2:$F$1001,0),MATCH(COLUMNS($M$1006:M1006),$M$1006,0)), HYPERLINK("#",""), HYPERLINK(CONCATENATE("#Metadata!", ADDRESS(INDEX($H$2:$H$1001,MATCH(ROWS($F$2:F875),$F$2:$F$1001,0),0), INDEX($M$1004,1,MATCH(COLUMNS($M$1006:M1006),$M$1006,0)))),"Fix")))</f>
        <v>0</v>
      </c>
      <c r="F875">
        <v>0</v>
      </c>
      <c r="G875">
        <v>0</v>
      </c>
      <c r="H875">
        <v>0</v>
      </c>
      <c r="I875">
        <f>IF(J875,TRUE,AND(M875))</f>
        <v>0</v>
      </c>
      <c r="J875">
        <f>COUNTBLANK(Metadata!B875)=COLUMNS(Metadata!B875)</f>
        <v>0</v>
      </c>
      <c r="K875">
        <v>0</v>
      </c>
      <c r="M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</row>
    <row r="876" spans="1:13">
      <c r="A876" s="3">
        <f>IF(B876=" "," ",HYPERLINK(CONCATENATE("#metadata!",ADDRESS(INDEX($H$2:$H$1001,MATCH(ROWS($F$2:F876),$F$2:$F$1001,0),0),2)),INDEX($K$2:$K$1001,MATCH(ROWS($F$2:F876),$F$2:$F$1001,0),0)))</f>
        <v>0</v>
      </c>
      <c r="B876" s="4">
        <f>IF(OR(INDEX($G$2:$G$1001,MATCH(ROWS($F$2:F876),$F$2:$F$1001,0),1)&gt;=100000,INDEX($M$1005,1,MATCH(COLUMNS($M$1006:M1006),$M$1006,0))&gt;=100000), " ",IF(INDEX($M$2:$M$1001,MATCH(ROWS($F$2:F876),$F$2:$F$1001,0),MATCH(COLUMNS($M$1006:M1006),$M$1006,0)), HYPERLINK("#",""), HYPERLINK(CONCATENATE("#Metadata!", ADDRESS(INDEX($H$2:$H$1001,MATCH(ROWS($F$2:F876),$F$2:$F$1001,0),0), INDEX($M$1004,1,MATCH(COLUMNS($M$1006:M1006),$M$1006,0)))),"Fix")))</f>
        <v>0</v>
      </c>
      <c r="F876">
        <v>0</v>
      </c>
      <c r="G876">
        <v>0</v>
      </c>
      <c r="H876">
        <v>0</v>
      </c>
      <c r="I876">
        <f>IF(J876,TRUE,AND(M876))</f>
        <v>0</v>
      </c>
      <c r="J876">
        <f>COUNTBLANK(Metadata!B876)=COLUMNS(Metadata!B876)</f>
        <v>0</v>
      </c>
      <c r="K876">
        <v>0</v>
      </c>
      <c r="M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</row>
    <row r="877" spans="1:13">
      <c r="A877" s="3">
        <f>IF(B877=" "," ",HYPERLINK(CONCATENATE("#metadata!",ADDRESS(INDEX($H$2:$H$1001,MATCH(ROWS($F$2:F877),$F$2:$F$1001,0),0),2)),INDEX($K$2:$K$1001,MATCH(ROWS($F$2:F877),$F$2:$F$1001,0),0)))</f>
        <v>0</v>
      </c>
      <c r="B877" s="4">
        <f>IF(OR(INDEX($G$2:$G$1001,MATCH(ROWS($F$2:F877),$F$2:$F$1001,0),1)&gt;=100000,INDEX($M$1005,1,MATCH(COLUMNS($M$1006:M1006),$M$1006,0))&gt;=100000), " ",IF(INDEX($M$2:$M$1001,MATCH(ROWS($F$2:F877),$F$2:$F$1001,0),MATCH(COLUMNS($M$1006:M1006),$M$1006,0)), HYPERLINK("#",""), HYPERLINK(CONCATENATE("#Metadata!", ADDRESS(INDEX($H$2:$H$1001,MATCH(ROWS($F$2:F877),$F$2:$F$1001,0),0), INDEX($M$1004,1,MATCH(COLUMNS($M$1006:M1006),$M$1006,0)))),"Fix")))</f>
        <v>0</v>
      </c>
      <c r="F877">
        <v>0</v>
      </c>
      <c r="G877">
        <v>0</v>
      </c>
      <c r="H877">
        <v>0</v>
      </c>
      <c r="I877">
        <f>IF(J877,TRUE,AND(M877))</f>
        <v>0</v>
      </c>
      <c r="J877">
        <f>COUNTBLANK(Metadata!B877)=COLUMNS(Metadata!B877)</f>
        <v>0</v>
      </c>
      <c r="K877">
        <v>0</v>
      </c>
      <c r="M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</row>
    <row r="878" spans="1:13">
      <c r="A878" s="3">
        <f>IF(B878=" "," ",HYPERLINK(CONCATENATE("#metadata!",ADDRESS(INDEX($H$2:$H$1001,MATCH(ROWS($F$2:F878),$F$2:$F$1001,0),0),2)),INDEX($K$2:$K$1001,MATCH(ROWS($F$2:F878),$F$2:$F$1001,0),0)))</f>
        <v>0</v>
      </c>
      <c r="B878" s="4">
        <f>IF(OR(INDEX($G$2:$G$1001,MATCH(ROWS($F$2:F878),$F$2:$F$1001,0),1)&gt;=100000,INDEX($M$1005,1,MATCH(COLUMNS($M$1006:M1006),$M$1006,0))&gt;=100000), " ",IF(INDEX($M$2:$M$1001,MATCH(ROWS($F$2:F878),$F$2:$F$1001,0),MATCH(COLUMNS($M$1006:M1006),$M$1006,0)), HYPERLINK("#",""), HYPERLINK(CONCATENATE("#Metadata!", ADDRESS(INDEX($H$2:$H$1001,MATCH(ROWS($F$2:F878),$F$2:$F$1001,0),0), INDEX($M$1004,1,MATCH(COLUMNS($M$1006:M1006),$M$1006,0)))),"Fix")))</f>
        <v>0</v>
      </c>
      <c r="F878">
        <v>0</v>
      </c>
      <c r="G878">
        <v>0</v>
      </c>
      <c r="H878">
        <v>0</v>
      </c>
      <c r="I878">
        <f>IF(J878,TRUE,AND(M878))</f>
        <v>0</v>
      </c>
      <c r="J878">
        <f>COUNTBLANK(Metadata!B878)=COLUMNS(Metadata!B878)</f>
        <v>0</v>
      </c>
      <c r="K878">
        <v>0</v>
      </c>
      <c r="M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</row>
    <row r="879" spans="1:13">
      <c r="A879" s="3">
        <f>IF(B879=" "," ",HYPERLINK(CONCATENATE("#metadata!",ADDRESS(INDEX($H$2:$H$1001,MATCH(ROWS($F$2:F879),$F$2:$F$1001,0),0),2)),INDEX($K$2:$K$1001,MATCH(ROWS($F$2:F879),$F$2:$F$1001,0),0)))</f>
        <v>0</v>
      </c>
      <c r="B879" s="4">
        <f>IF(OR(INDEX($G$2:$G$1001,MATCH(ROWS($F$2:F879),$F$2:$F$1001,0),1)&gt;=100000,INDEX($M$1005,1,MATCH(COLUMNS($M$1006:M1006),$M$1006,0))&gt;=100000), " ",IF(INDEX($M$2:$M$1001,MATCH(ROWS($F$2:F879),$F$2:$F$1001,0),MATCH(COLUMNS($M$1006:M1006),$M$1006,0)), HYPERLINK("#",""), HYPERLINK(CONCATENATE("#Metadata!", ADDRESS(INDEX($H$2:$H$1001,MATCH(ROWS($F$2:F879),$F$2:$F$1001,0),0), INDEX($M$1004,1,MATCH(COLUMNS($M$1006:M1006),$M$1006,0)))),"Fix")))</f>
        <v>0</v>
      </c>
      <c r="F879">
        <v>0</v>
      </c>
      <c r="G879">
        <v>0</v>
      </c>
      <c r="H879">
        <v>0</v>
      </c>
      <c r="I879">
        <f>IF(J879,TRUE,AND(M879))</f>
        <v>0</v>
      </c>
      <c r="J879">
        <f>COUNTBLANK(Metadata!B879)=COLUMNS(Metadata!B879)</f>
        <v>0</v>
      </c>
      <c r="K879">
        <v>0</v>
      </c>
      <c r="M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</row>
    <row r="880" spans="1:13">
      <c r="A880" s="3">
        <f>IF(B880=" "," ",HYPERLINK(CONCATENATE("#metadata!",ADDRESS(INDEX($H$2:$H$1001,MATCH(ROWS($F$2:F880),$F$2:$F$1001,0),0),2)),INDEX($K$2:$K$1001,MATCH(ROWS($F$2:F880),$F$2:$F$1001,0),0)))</f>
        <v>0</v>
      </c>
      <c r="B880" s="4">
        <f>IF(OR(INDEX($G$2:$G$1001,MATCH(ROWS($F$2:F880),$F$2:$F$1001,0),1)&gt;=100000,INDEX($M$1005,1,MATCH(COLUMNS($M$1006:M1006),$M$1006,0))&gt;=100000), " ",IF(INDEX($M$2:$M$1001,MATCH(ROWS($F$2:F880),$F$2:$F$1001,0),MATCH(COLUMNS($M$1006:M1006),$M$1006,0)), HYPERLINK("#",""), HYPERLINK(CONCATENATE("#Metadata!", ADDRESS(INDEX($H$2:$H$1001,MATCH(ROWS($F$2:F880),$F$2:$F$1001,0),0), INDEX($M$1004,1,MATCH(COLUMNS($M$1006:M1006),$M$1006,0)))),"Fix")))</f>
        <v>0</v>
      </c>
      <c r="F880">
        <v>0</v>
      </c>
      <c r="G880">
        <v>0</v>
      </c>
      <c r="H880">
        <v>0</v>
      </c>
      <c r="I880">
        <f>IF(J880,TRUE,AND(M880))</f>
        <v>0</v>
      </c>
      <c r="J880">
        <f>COUNTBLANK(Metadata!B880)=COLUMNS(Metadata!B880)</f>
        <v>0</v>
      </c>
      <c r="K880">
        <v>0</v>
      </c>
      <c r="M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</row>
    <row r="881" spans="1:13">
      <c r="A881" s="3">
        <f>IF(B881=" "," ",HYPERLINK(CONCATENATE("#metadata!",ADDRESS(INDEX($H$2:$H$1001,MATCH(ROWS($F$2:F881),$F$2:$F$1001,0),0),2)),INDEX($K$2:$K$1001,MATCH(ROWS($F$2:F881),$F$2:$F$1001,0),0)))</f>
        <v>0</v>
      </c>
      <c r="B881" s="4">
        <f>IF(OR(INDEX($G$2:$G$1001,MATCH(ROWS($F$2:F881),$F$2:$F$1001,0),1)&gt;=100000,INDEX($M$1005,1,MATCH(COLUMNS($M$1006:M1006),$M$1006,0))&gt;=100000), " ",IF(INDEX($M$2:$M$1001,MATCH(ROWS($F$2:F881),$F$2:$F$1001,0),MATCH(COLUMNS($M$1006:M1006),$M$1006,0)), HYPERLINK("#",""), HYPERLINK(CONCATENATE("#Metadata!", ADDRESS(INDEX($H$2:$H$1001,MATCH(ROWS($F$2:F881),$F$2:$F$1001,0),0), INDEX($M$1004,1,MATCH(COLUMNS($M$1006:M1006),$M$1006,0)))),"Fix")))</f>
        <v>0</v>
      </c>
      <c r="F881">
        <v>0</v>
      </c>
      <c r="G881">
        <v>0</v>
      </c>
      <c r="H881">
        <v>0</v>
      </c>
      <c r="I881">
        <f>IF(J881,TRUE,AND(M881))</f>
        <v>0</v>
      </c>
      <c r="J881">
        <f>COUNTBLANK(Metadata!B881)=COLUMNS(Metadata!B881)</f>
        <v>0</v>
      </c>
      <c r="K881">
        <v>0</v>
      </c>
      <c r="M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</row>
    <row r="882" spans="1:13">
      <c r="A882" s="3">
        <f>IF(B882=" "," ",HYPERLINK(CONCATENATE("#metadata!",ADDRESS(INDEX($H$2:$H$1001,MATCH(ROWS($F$2:F882),$F$2:$F$1001,0),0),2)),INDEX($K$2:$K$1001,MATCH(ROWS($F$2:F882),$F$2:$F$1001,0),0)))</f>
        <v>0</v>
      </c>
      <c r="B882" s="4">
        <f>IF(OR(INDEX($G$2:$G$1001,MATCH(ROWS($F$2:F882),$F$2:$F$1001,0),1)&gt;=100000,INDEX($M$1005,1,MATCH(COLUMNS($M$1006:M1006),$M$1006,0))&gt;=100000), " ",IF(INDEX($M$2:$M$1001,MATCH(ROWS($F$2:F882),$F$2:$F$1001,0),MATCH(COLUMNS($M$1006:M1006),$M$1006,0)), HYPERLINK("#",""), HYPERLINK(CONCATENATE("#Metadata!", ADDRESS(INDEX($H$2:$H$1001,MATCH(ROWS($F$2:F882),$F$2:$F$1001,0),0), INDEX($M$1004,1,MATCH(COLUMNS($M$1006:M1006),$M$1006,0)))),"Fix")))</f>
        <v>0</v>
      </c>
      <c r="F882">
        <v>0</v>
      </c>
      <c r="G882">
        <v>0</v>
      </c>
      <c r="H882">
        <v>0</v>
      </c>
      <c r="I882">
        <f>IF(J882,TRUE,AND(M882))</f>
        <v>0</v>
      </c>
      <c r="J882">
        <f>COUNTBLANK(Metadata!B882)=COLUMNS(Metadata!B882)</f>
        <v>0</v>
      </c>
      <c r="K882">
        <v>0</v>
      </c>
      <c r="M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</row>
    <row r="883" spans="1:13">
      <c r="A883" s="3">
        <f>IF(B883=" "," ",HYPERLINK(CONCATENATE("#metadata!",ADDRESS(INDEX($H$2:$H$1001,MATCH(ROWS($F$2:F883),$F$2:$F$1001,0),0),2)),INDEX($K$2:$K$1001,MATCH(ROWS($F$2:F883),$F$2:$F$1001,0),0)))</f>
        <v>0</v>
      </c>
      <c r="B883" s="4">
        <f>IF(OR(INDEX($G$2:$G$1001,MATCH(ROWS($F$2:F883),$F$2:$F$1001,0),1)&gt;=100000,INDEX($M$1005,1,MATCH(COLUMNS($M$1006:M1006),$M$1006,0))&gt;=100000), " ",IF(INDEX($M$2:$M$1001,MATCH(ROWS($F$2:F883),$F$2:$F$1001,0),MATCH(COLUMNS($M$1006:M1006),$M$1006,0)), HYPERLINK("#",""), HYPERLINK(CONCATENATE("#Metadata!", ADDRESS(INDEX($H$2:$H$1001,MATCH(ROWS($F$2:F883),$F$2:$F$1001,0),0), INDEX($M$1004,1,MATCH(COLUMNS($M$1006:M1006),$M$1006,0)))),"Fix")))</f>
        <v>0</v>
      </c>
      <c r="F883">
        <v>0</v>
      </c>
      <c r="G883">
        <v>0</v>
      </c>
      <c r="H883">
        <v>0</v>
      </c>
      <c r="I883">
        <f>IF(J883,TRUE,AND(M883))</f>
        <v>0</v>
      </c>
      <c r="J883">
        <f>COUNTBLANK(Metadata!B883)=COLUMNS(Metadata!B883)</f>
        <v>0</v>
      </c>
      <c r="K883">
        <v>0</v>
      </c>
      <c r="M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</row>
    <row r="884" spans="1:13">
      <c r="A884" s="3">
        <f>IF(B884=" "," ",HYPERLINK(CONCATENATE("#metadata!",ADDRESS(INDEX($H$2:$H$1001,MATCH(ROWS($F$2:F884),$F$2:$F$1001,0),0),2)),INDEX($K$2:$K$1001,MATCH(ROWS($F$2:F884),$F$2:$F$1001,0),0)))</f>
        <v>0</v>
      </c>
      <c r="B884" s="4">
        <f>IF(OR(INDEX($G$2:$G$1001,MATCH(ROWS($F$2:F884),$F$2:$F$1001,0),1)&gt;=100000,INDEX($M$1005,1,MATCH(COLUMNS($M$1006:M1006),$M$1006,0))&gt;=100000), " ",IF(INDEX($M$2:$M$1001,MATCH(ROWS($F$2:F884),$F$2:$F$1001,0),MATCH(COLUMNS($M$1006:M1006),$M$1006,0)), HYPERLINK("#",""), HYPERLINK(CONCATENATE("#Metadata!", ADDRESS(INDEX($H$2:$H$1001,MATCH(ROWS($F$2:F884),$F$2:$F$1001,0),0), INDEX($M$1004,1,MATCH(COLUMNS($M$1006:M1006),$M$1006,0)))),"Fix")))</f>
        <v>0</v>
      </c>
      <c r="F884">
        <v>0</v>
      </c>
      <c r="G884">
        <v>0</v>
      </c>
      <c r="H884">
        <v>0</v>
      </c>
      <c r="I884">
        <f>IF(J884,TRUE,AND(M884))</f>
        <v>0</v>
      </c>
      <c r="J884">
        <f>COUNTBLANK(Metadata!B884)=COLUMNS(Metadata!B884)</f>
        <v>0</v>
      </c>
      <c r="K884">
        <v>0</v>
      </c>
      <c r="M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</row>
    <row r="885" spans="1:13">
      <c r="A885" s="3">
        <f>IF(B885=" "," ",HYPERLINK(CONCATENATE("#metadata!",ADDRESS(INDEX($H$2:$H$1001,MATCH(ROWS($F$2:F885),$F$2:$F$1001,0),0),2)),INDEX($K$2:$K$1001,MATCH(ROWS($F$2:F885),$F$2:$F$1001,0),0)))</f>
        <v>0</v>
      </c>
      <c r="B885" s="4">
        <f>IF(OR(INDEX($G$2:$G$1001,MATCH(ROWS($F$2:F885),$F$2:$F$1001,0),1)&gt;=100000,INDEX($M$1005,1,MATCH(COLUMNS($M$1006:M1006),$M$1006,0))&gt;=100000), " ",IF(INDEX($M$2:$M$1001,MATCH(ROWS($F$2:F885),$F$2:$F$1001,0),MATCH(COLUMNS($M$1006:M1006),$M$1006,0)), HYPERLINK("#",""), HYPERLINK(CONCATENATE("#Metadata!", ADDRESS(INDEX($H$2:$H$1001,MATCH(ROWS($F$2:F885),$F$2:$F$1001,0),0), INDEX($M$1004,1,MATCH(COLUMNS($M$1006:M1006),$M$1006,0)))),"Fix")))</f>
        <v>0</v>
      </c>
      <c r="F885">
        <v>0</v>
      </c>
      <c r="G885">
        <v>0</v>
      </c>
      <c r="H885">
        <v>0</v>
      </c>
      <c r="I885">
        <f>IF(J885,TRUE,AND(M885))</f>
        <v>0</v>
      </c>
      <c r="J885">
        <f>COUNTBLANK(Metadata!B885)=COLUMNS(Metadata!B885)</f>
        <v>0</v>
      </c>
      <c r="K885">
        <v>0</v>
      </c>
      <c r="M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</row>
    <row r="886" spans="1:13">
      <c r="A886" s="3">
        <f>IF(B886=" "," ",HYPERLINK(CONCATENATE("#metadata!",ADDRESS(INDEX($H$2:$H$1001,MATCH(ROWS($F$2:F886),$F$2:$F$1001,0),0),2)),INDEX($K$2:$K$1001,MATCH(ROWS($F$2:F886),$F$2:$F$1001,0),0)))</f>
        <v>0</v>
      </c>
      <c r="B886" s="4">
        <f>IF(OR(INDEX($G$2:$G$1001,MATCH(ROWS($F$2:F886),$F$2:$F$1001,0),1)&gt;=100000,INDEX($M$1005,1,MATCH(COLUMNS($M$1006:M1006),$M$1006,0))&gt;=100000), " ",IF(INDEX($M$2:$M$1001,MATCH(ROWS($F$2:F886),$F$2:$F$1001,0),MATCH(COLUMNS($M$1006:M1006),$M$1006,0)), HYPERLINK("#",""), HYPERLINK(CONCATENATE("#Metadata!", ADDRESS(INDEX($H$2:$H$1001,MATCH(ROWS($F$2:F886),$F$2:$F$1001,0),0), INDEX($M$1004,1,MATCH(COLUMNS($M$1006:M1006),$M$1006,0)))),"Fix")))</f>
        <v>0</v>
      </c>
      <c r="F886">
        <v>0</v>
      </c>
      <c r="G886">
        <v>0</v>
      </c>
      <c r="H886">
        <v>0</v>
      </c>
      <c r="I886">
        <f>IF(J886,TRUE,AND(M886))</f>
        <v>0</v>
      </c>
      <c r="J886">
        <f>COUNTBLANK(Metadata!B886)=COLUMNS(Metadata!B886)</f>
        <v>0</v>
      </c>
      <c r="K886">
        <v>0</v>
      </c>
      <c r="M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</row>
    <row r="887" spans="1:13">
      <c r="A887" s="3">
        <f>IF(B887=" "," ",HYPERLINK(CONCATENATE("#metadata!",ADDRESS(INDEX($H$2:$H$1001,MATCH(ROWS($F$2:F887),$F$2:$F$1001,0),0),2)),INDEX($K$2:$K$1001,MATCH(ROWS($F$2:F887),$F$2:$F$1001,0),0)))</f>
        <v>0</v>
      </c>
      <c r="B887" s="4">
        <f>IF(OR(INDEX($G$2:$G$1001,MATCH(ROWS($F$2:F887),$F$2:$F$1001,0),1)&gt;=100000,INDEX($M$1005,1,MATCH(COLUMNS($M$1006:M1006),$M$1006,0))&gt;=100000), " ",IF(INDEX($M$2:$M$1001,MATCH(ROWS($F$2:F887),$F$2:$F$1001,0),MATCH(COLUMNS($M$1006:M1006),$M$1006,0)), HYPERLINK("#",""), HYPERLINK(CONCATENATE("#Metadata!", ADDRESS(INDEX($H$2:$H$1001,MATCH(ROWS($F$2:F887),$F$2:$F$1001,0),0), INDEX($M$1004,1,MATCH(COLUMNS($M$1006:M1006),$M$1006,0)))),"Fix")))</f>
        <v>0</v>
      </c>
      <c r="F887">
        <v>0</v>
      </c>
      <c r="G887">
        <v>0</v>
      </c>
      <c r="H887">
        <v>0</v>
      </c>
      <c r="I887">
        <f>IF(J887,TRUE,AND(M887))</f>
        <v>0</v>
      </c>
      <c r="J887">
        <f>COUNTBLANK(Metadata!B887)=COLUMNS(Metadata!B887)</f>
        <v>0</v>
      </c>
      <c r="K887">
        <v>0</v>
      </c>
      <c r="M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</row>
    <row r="888" spans="1:13">
      <c r="A888" s="3">
        <f>IF(B888=" "," ",HYPERLINK(CONCATENATE("#metadata!",ADDRESS(INDEX($H$2:$H$1001,MATCH(ROWS($F$2:F888),$F$2:$F$1001,0),0),2)),INDEX($K$2:$K$1001,MATCH(ROWS($F$2:F888),$F$2:$F$1001,0),0)))</f>
        <v>0</v>
      </c>
      <c r="B888" s="4">
        <f>IF(OR(INDEX($G$2:$G$1001,MATCH(ROWS($F$2:F888),$F$2:$F$1001,0),1)&gt;=100000,INDEX($M$1005,1,MATCH(COLUMNS($M$1006:M1006),$M$1006,0))&gt;=100000), " ",IF(INDEX($M$2:$M$1001,MATCH(ROWS($F$2:F888),$F$2:$F$1001,0),MATCH(COLUMNS($M$1006:M1006),$M$1006,0)), HYPERLINK("#",""), HYPERLINK(CONCATENATE("#Metadata!", ADDRESS(INDEX($H$2:$H$1001,MATCH(ROWS($F$2:F888),$F$2:$F$1001,0),0), INDEX($M$1004,1,MATCH(COLUMNS($M$1006:M1006),$M$1006,0)))),"Fix")))</f>
        <v>0</v>
      </c>
      <c r="F888">
        <v>0</v>
      </c>
      <c r="G888">
        <v>0</v>
      </c>
      <c r="H888">
        <v>0</v>
      </c>
      <c r="I888">
        <f>IF(J888,TRUE,AND(M888))</f>
        <v>0</v>
      </c>
      <c r="J888">
        <f>COUNTBLANK(Metadata!B888)=COLUMNS(Metadata!B888)</f>
        <v>0</v>
      </c>
      <c r="K888">
        <v>0</v>
      </c>
      <c r="M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</row>
    <row r="889" spans="1:13">
      <c r="A889" s="3">
        <f>IF(B889=" "," ",HYPERLINK(CONCATENATE("#metadata!",ADDRESS(INDEX($H$2:$H$1001,MATCH(ROWS($F$2:F889),$F$2:$F$1001,0),0),2)),INDEX($K$2:$K$1001,MATCH(ROWS($F$2:F889),$F$2:$F$1001,0),0)))</f>
        <v>0</v>
      </c>
      <c r="B889" s="4">
        <f>IF(OR(INDEX($G$2:$G$1001,MATCH(ROWS($F$2:F889),$F$2:$F$1001,0),1)&gt;=100000,INDEX($M$1005,1,MATCH(COLUMNS($M$1006:M1006),$M$1006,0))&gt;=100000), " ",IF(INDEX($M$2:$M$1001,MATCH(ROWS($F$2:F889),$F$2:$F$1001,0),MATCH(COLUMNS($M$1006:M1006),$M$1006,0)), HYPERLINK("#",""), HYPERLINK(CONCATENATE("#Metadata!", ADDRESS(INDEX($H$2:$H$1001,MATCH(ROWS($F$2:F889),$F$2:$F$1001,0),0), INDEX($M$1004,1,MATCH(COLUMNS($M$1006:M1006),$M$1006,0)))),"Fix")))</f>
        <v>0</v>
      </c>
      <c r="F889">
        <v>0</v>
      </c>
      <c r="G889">
        <v>0</v>
      </c>
      <c r="H889">
        <v>0</v>
      </c>
      <c r="I889">
        <f>IF(J889,TRUE,AND(M889))</f>
        <v>0</v>
      </c>
      <c r="J889">
        <f>COUNTBLANK(Metadata!B889)=COLUMNS(Metadata!B889)</f>
        <v>0</v>
      </c>
      <c r="K889">
        <v>0</v>
      </c>
      <c r="M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</row>
    <row r="890" spans="1:13">
      <c r="A890" s="3">
        <f>IF(B890=" "," ",HYPERLINK(CONCATENATE("#metadata!",ADDRESS(INDEX($H$2:$H$1001,MATCH(ROWS($F$2:F890),$F$2:$F$1001,0),0),2)),INDEX($K$2:$K$1001,MATCH(ROWS($F$2:F890),$F$2:$F$1001,0),0)))</f>
        <v>0</v>
      </c>
      <c r="B890" s="4">
        <f>IF(OR(INDEX($G$2:$G$1001,MATCH(ROWS($F$2:F890),$F$2:$F$1001,0),1)&gt;=100000,INDEX($M$1005,1,MATCH(COLUMNS($M$1006:M1006),$M$1006,0))&gt;=100000), " ",IF(INDEX($M$2:$M$1001,MATCH(ROWS($F$2:F890),$F$2:$F$1001,0),MATCH(COLUMNS($M$1006:M1006),$M$1006,0)), HYPERLINK("#",""), HYPERLINK(CONCATENATE("#Metadata!", ADDRESS(INDEX($H$2:$H$1001,MATCH(ROWS($F$2:F890),$F$2:$F$1001,0),0), INDEX($M$1004,1,MATCH(COLUMNS($M$1006:M1006),$M$1006,0)))),"Fix")))</f>
        <v>0</v>
      </c>
      <c r="F890">
        <v>0</v>
      </c>
      <c r="G890">
        <v>0</v>
      </c>
      <c r="H890">
        <v>0</v>
      </c>
      <c r="I890">
        <f>IF(J890,TRUE,AND(M890))</f>
        <v>0</v>
      </c>
      <c r="J890">
        <f>COUNTBLANK(Metadata!B890)=COLUMNS(Metadata!B890)</f>
        <v>0</v>
      </c>
      <c r="K890">
        <v>0</v>
      </c>
      <c r="M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</row>
    <row r="891" spans="1:13">
      <c r="A891" s="3">
        <f>IF(B891=" "," ",HYPERLINK(CONCATENATE("#metadata!",ADDRESS(INDEX($H$2:$H$1001,MATCH(ROWS($F$2:F891),$F$2:$F$1001,0),0),2)),INDEX($K$2:$K$1001,MATCH(ROWS($F$2:F891),$F$2:$F$1001,0),0)))</f>
        <v>0</v>
      </c>
      <c r="B891" s="4">
        <f>IF(OR(INDEX($G$2:$G$1001,MATCH(ROWS($F$2:F891),$F$2:$F$1001,0),1)&gt;=100000,INDEX($M$1005,1,MATCH(COLUMNS($M$1006:M1006),$M$1006,0))&gt;=100000), " ",IF(INDEX($M$2:$M$1001,MATCH(ROWS($F$2:F891),$F$2:$F$1001,0),MATCH(COLUMNS($M$1006:M1006),$M$1006,0)), HYPERLINK("#",""), HYPERLINK(CONCATENATE("#Metadata!", ADDRESS(INDEX($H$2:$H$1001,MATCH(ROWS($F$2:F891),$F$2:$F$1001,0),0), INDEX($M$1004,1,MATCH(COLUMNS($M$1006:M1006),$M$1006,0)))),"Fix")))</f>
        <v>0</v>
      </c>
      <c r="F891">
        <v>0</v>
      </c>
      <c r="G891">
        <v>0</v>
      </c>
      <c r="H891">
        <v>0</v>
      </c>
      <c r="I891">
        <f>IF(J891,TRUE,AND(M891))</f>
        <v>0</v>
      </c>
      <c r="J891">
        <f>COUNTBLANK(Metadata!B891)=COLUMNS(Metadata!B891)</f>
        <v>0</v>
      </c>
      <c r="K891">
        <v>0</v>
      </c>
      <c r="M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</row>
    <row r="892" spans="1:13">
      <c r="A892" s="3">
        <f>IF(B892=" "," ",HYPERLINK(CONCATENATE("#metadata!",ADDRESS(INDEX($H$2:$H$1001,MATCH(ROWS($F$2:F892),$F$2:$F$1001,0),0),2)),INDEX($K$2:$K$1001,MATCH(ROWS($F$2:F892),$F$2:$F$1001,0),0)))</f>
        <v>0</v>
      </c>
      <c r="B892" s="4">
        <f>IF(OR(INDEX($G$2:$G$1001,MATCH(ROWS($F$2:F892),$F$2:$F$1001,0),1)&gt;=100000,INDEX($M$1005,1,MATCH(COLUMNS($M$1006:M1006),$M$1006,0))&gt;=100000), " ",IF(INDEX($M$2:$M$1001,MATCH(ROWS($F$2:F892),$F$2:$F$1001,0),MATCH(COLUMNS($M$1006:M1006),$M$1006,0)), HYPERLINK("#",""), HYPERLINK(CONCATENATE("#Metadata!", ADDRESS(INDEX($H$2:$H$1001,MATCH(ROWS($F$2:F892),$F$2:$F$1001,0),0), INDEX($M$1004,1,MATCH(COLUMNS($M$1006:M1006),$M$1006,0)))),"Fix")))</f>
        <v>0</v>
      </c>
      <c r="F892">
        <v>0</v>
      </c>
      <c r="G892">
        <v>0</v>
      </c>
      <c r="H892">
        <v>0</v>
      </c>
      <c r="I892">
        <f>IF(J892,TRUE,AND(M892))</f>
        <v>0</v>
      </c>
      <c r="J892">
        <f>COUNTBLANK(Metadata!B892)=COLUMNS(Metadata!B892)</f>
        <v>0</v>
      </c>
      <c r="K892">
        <v>0</v>
      </c>
      <c r="M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</row>
    <row r="893" spans="1:13">
      <c r="A893" s="3">
        <f>IF(B893=" "," ",HYPERLINK(CONCATENATE("#metadata!",ADDRESS(INDEX($H$2:$H$1001,MATCH(ROWS($F$2:F893),$F$2:$F$1001,0),0),2)),INDEX($K$2:$K$1001,MATCH(ROWS($F$2:F893),$F$2:$F$1001,0),0)))</f>
        <v>0</v>
      </c>
      <c r="B893" s="4">
        <f>IF(OR(INDEX($G$2:$G$1001,MATCH(ROWS($F$2:F893),$F$2:$F$1001,0),1)&gt;=100000,INDEX($M$1005,1,MATCH(COLUMNS($M$1006:M1006),$M$1006,0))&gt;=100000), " ",IF(INDEX($M$2:$M$1001,MATCH(ROWS($F$2:F893),$F$2:$F$1001,0),MATCH(COLUMNS($M$1006:M1006),$M$1006,0)), HYPERLINK("#",""), HYPERLINK(CONCATENATE("#Metadata!", ADDRESS(INDEX($H$2:$H$1001,MATCH(ROWS($F$2:F893),$F$2:$F$1001,0),0), INDEX($M$1004,1,MATCH(COLUMNS($M$1006:M1006),$M$1006,0)))),"Fix")))</f>
        <v>0</v>
      </c>
      <c r="F893">
        <v>0</v>
      </c>
      <c r="G893">
        <v>0</v>
      </c>
      <c r="H893">
        <v>0</v>
      </c>
      <c r="I893">
        <f>IF(J893,TRUE,AND(M893))</f>
        <v>0</v>
      </c>
      <c r="J893">
        <f>COUNTBLANK(Metadata!B893)=COLUMNS(Metadata!B893)</f>
        <v>0</v>
      </c>
      <c r="K893">
        <v>0</v>
      </c>
      <c r="M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</row>
    <row r="894" spans="1:13">
      <c r="A894" s="3">
        <f>IF(B894=" "," ",HYPERLINK(CONCATENATE("#metadata!",ADDRESS(INDEX($H$2:$H$1001,MATCH(ROWS($F$2:F894),$F$2:$F$1001,0),0),2)),INDEX($K$2:$K$1001,MATCH(ROWS($F$2:F894),$F$2:$F$1001,0),0)))</f>
        <v>0</v>
      </c>
      <c r="B894" s="4">
        <f>IF(OR(INDEX($G$2:$G$1001,MATCH(ROWS($F$2:F894),$F$2:$F$1001,0),1)&gt;=100000,INDEX($M$1005,1,MATCH(COLUMNS($M$1006:M1006),$M$1006,0))&gt;=100000), " ",IF(INDEX($M$2:$M$1001,MATCH(ROWS($F$2:F894),$F$2:$F$1001,0),MATCH(COLUMNS($M$1006:M1006),$M$1006,0)), HYPERLINK("#",""), HYPERLINK(CONCATENATE("#Metadata!", ADDRESS(INDEX($H$2:$H$1001,MATCH(ROWS($F$2:F894),$F$2:$F$1001,0),0), INDEX($M$1004,1,MATCH(COLUMNS($M$1006:M1006),$M$1006,0)))),"Fix")))</f>
        <v>0</v>
      </c>
      <c r="F894">
        <v>0</v>
      </c>
      <c r="G894">
        <v>0</v>
      </c>
      <c r="H894">
        <v>0</v>
      </c>
      <c r="I894">
        <f>IF(J894,TRUE,AND(M894))</f>
        <v>0</v>
      </c>
      <c r="J894">
        <f>COUNTBLANK(Metadata!B894)=COLUMNS(Metadata!B894)</f>
        <v>0</v>
      </c>
      <c r="K894">
        <v>0</v>
      </c>
      <c r="M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</row>
    <row r="895" spans="1:13">
      <c r="A895" s="3">
        <f>IF(B895=" "," ",HYPERLINK(CONCATENATE("#metadata!",ADDRESS(INDEX($H$2:$H$1001,MATCH(ROWS($F$2:F895),$F$2:$F$1001,0),0),2)),INDEX($K$2:$K$1001,MATCH(ROWS($F$2:F895),$F$2:$F$1001,0),0)))</f>
        <v>0</v>
      </c>
      <c r="B895" s="4">
        <f>IF(OR(INDEX($G$2:$G$1001,MATCH(ROWS($F$2:F895),$F$2:$F$1001,0),1)&gt;=100000,INDEX($M$1005,1,MATCH(COLUMNS($M$1006:M1006),$M$1006,0))&gt;=100000), " ",IF(INDEX($M$2:$M$1001,MATCH(ROWS($F$2:F895),$F$2:$F$1001,0),MATCH(COLUMNS($M$1006:M1006),$M$1006,0)), HYPERLINK("#",""), HYPERLINK(CONCATENATE("#Metadata!", ADDRESS(INDEX($H$2:$H$1001,MATCH(ROWS($F$2:F895),$F$2:$F$1001,0),0), INDEX($M$1004,1,MATCH(COLUMNS($M$1006:M1006),$M$1006,0)))),"Fix")))</f>
        <v>0</v>
      </c>
      <c r="F895">
        <v>0</v>
      </c>
      <c r="G895">
        <v>0</v>
      </c>
      <c r="H895">
        <v>0</v>
      </c>
      <c r="I895">
        <f>IF(J895,TRUE,AND(M895))</f>
        <v>0</v>
      </c>
      <c r="J895">
        <f>COUNTBLANK(Metadata!B895)=COLUMNS(Metadata!B895)</f>
        <v>0</v>
      </c>
      <c r="K895">
        <v>0</v>
      </c>
      <c r="M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</row>
    <row r="896" spans="1:13">
      <c r="A896" s="3">
        <f>IF(B896=" "," ",HYPERLINK(CONCATENATE("#metadata!",ADDRESS(INDEX($H$2:$H$1001,MATCH(ROWS($F$2:F896),$F$2:$F$1001,0),0),2)),INDEX($K$2:$K$1001,MATCH(ROWS($F$2:F896),$F$2:$F$1001,0),0)))</f>
        <v>0</v>
      </c>
      <c r="B896" s="4">
        <f>IF(OR(INDEX($G$2:$G$1001,MATCH(ROWS($F$2:F896),$F$2:$F$1001,0),1)&gt;=100000,INDEX($M$1005,1,MATCH(COLUMNS($M$1006:M1006),$M$1006,0))&gt;=100000), " ",IF(INDEX($M$2:$M$1001,MATCH(ROWS($F$2:F896),$F$2:$F$1001,0),MATCH(COLUMNS($M$1006:M1006),$M$1006,0)), HYPERLINK("#",""), HYPERLINK(CONCATENATE("#Metadata!", ADDRESS(INDEX($H$2:$H$1001,MATCH(ROWS($F$2:F896),$F$2:$F$1001,0),0), INDEX($M$1004,1,MATCH(COLUMNS($M$1006:M1006),$M$1006,0)))),"Fix")))</f>
        <v>0</v>
      </c>
      <c r="F896">
        <v>0</v>
      </c>
      <c r="G896">
        <v>0</v>
      </c>
      <c r="H896">
        <v>0</v>
      </c>
      <c r="I896">
        <f>IF(J896,TRUE,AND(M896))</f>
        <v>0</v>
      </c>
      <c r="J896">
        <f>COUNTBLANK(Metadata!B896)=COLUMNS(Metadata!B896)</f>
        <v>0</v>
      </c>
      <c r="K896">
        <v>0</v>
      </c>
      <c r="M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</row>
    <row r="897" spans="1:13">
      <c r="A897" s="3">
        <f>IF(B897=" "," ",HYPERLINK(CONCATENATE("#metadata!",ADDRESS(INDEX($H$2:$H$1001,MATCH(ROWS($F$2:F897),$F$2:$F$1001,0),0),2)),INDEX($K$2:$K$1001,MATCH(ROWS($F$2:F897),$F$2:$F$1001,0),0)))</f>
        <v>0</v>
      </c>
      <c r="B897" s="4">
        <f>IF(OR(INDEX($G$2:$G$1001,MATCH(ROWS($F$2:F897),$F$2:$F$1001,0),1)&gt;=100000,INDEX($M$1005,1,MATCH(COLUMNS($M$1006:M1006),$M$1006,0))&gt;=100000), " ",IF(INDEX($M$2:$M$1001,MATCH(ROWS($F$2:F897),$F$2:$F$1001,0),MATCH(COLUMNS($M$1006:M1006),$M$1006,0)), HYPERLINK("#",""), HYPERLINK(CONCATENATE("#Metadata!", ADDRESS(INDEX($H$2:$H$1001,MATCH(ROWS($F$2:F897),$F$2:$F$1001,0),0), INDEX($M$1004,1,MATCH(COLUMNS($M$1006:M1006),$M$1006,0)))),"Fix")))</f>
        <v>0</v>
      </c>
      <c r="F897">
        <v>0</v>
      </c>
      <c r="G897">
        <v>0</v>
      </c>
      <c r="H897">
        <v>0</v>
      </c>
      <c r="I897">
        <f>IF(J897,TRUE,AND(M897))</f>
        <v>0</v>
      </c>
      <c r="J897">
        <f>COUNTBLANK(Metadata!B897)=COLUMNS(Metadata!B897)</f>
        <v>0</v>
      </c>
      <c r="K897">
        <v>0</v>
      </c>
      <c r="M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</row>
    <row r="898" spans="1:13">
      <c r="A898" s="3">
        <f>IF(B898=" "," ",HYPERLINK(CONCATENATE("#metadata!",ADDRESS(INDEX($H$2:$H$1001,MATCH(ROWS($F$2:F898),$F$2:$F$1001,0),0),2)),INDEX($K$2:$K$1001,MATCH(ROWS($F$2:F898),$F$2:$F$1001,0),0)))</f>
        <v>0</v>
      </c>
      <c r="B898" s="4">
        <f>IF(OR(INDEX($G$2:$G$1001,MATCH(ROWS($F$2:F898),$F$2:$F$1001,0),1)&gt;=100000,INDEX($M$1005,1,MATCH(COLUMNS($M$1006:M1006),$M$1006,0))&gt;=100000), " ",IF(INDEX($M$2:$M$1001,MATCH(ROWS($F$2:F898),$F$2:$F$1001,0),MATCH(COLUMNS($M$1006:M1006),$M$1006,0)), HYPERLINK("#",""), HYPERLINK(CONCATENATE("#Metadata!", ADDRESS(INDEX($H$2:$H$1001,MATCH(ROWS($F$2:F898),$F$2:$F$1001,0),0), INDEX($M$1004,1,MATCH(COLUMNS($M$1006:M1006),$M$1006,0)))),"Fix")))</f>
        <v>0</v>
      </c>
      <c r="F898">
        <v>0</v>
      </c>
      <c r="G898">
        <v>0</v>
      </c>
      <c r="H898">
        <v>0</v>
      </c>
      <c r="I898">
        <f>IF(J898,TRUE,AND(M898))</f>
        <v>0</v>
      </c>
      <c r="J898">
        <f>COUNTBLANK(Metadata!B898)=COLUMNS(Metadata!B898)</f>
        <v>0</v>
      </c>
      <c r="K898">
        <v>0</v>
      </c>
      <c r="M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</row>
    <row r="899" spans="1:13">
      <c r="A899" s="3">
        <f>IF(B899=" "," ",HYPERLINK(CONCATENATE("#metadata!",ADDRESS(INDEX($H$2:$H$1001,MATCH(ROWS($F$2:F899),$F$2:$F$1001,0),0),2)),INDEX($K$2:$K$1001,MATCH(ROWS($F$2:F899),$F$2:$F$1001,0),0)))</f>
        <v>0</v>
      </c>
      <c r="B899" s="4">
        <f>IF(OR(INDEX($G$2:$G$1001,MATCH(ROWS($F$2:F899),$F$2:$F$1001,0),1)&gt;=100000,INDEX($M$1005,1,MATCH(COLUMNS($M$1006:M1006),$M$1006,0))&gt;=100000), " ",IF(INDEX($M$2:$M$1001,MATCH(ROWS($F$2:F899),$F$2:$F$1001,0),MATCH(COLUMNS($M$1006:M1006),$M$1006,0)), HYPERLINK("#",""), HYPERLINK(CONCATENATE("#Metadata!", ADDRESS(INDEX($H$2:$H$1001,MATCH(ROWS($F$2:F899),$F$2:$F$1001,0),0), INDEX($M$1004,1,MATCH(COLUMNS($M$1006:M1006),$M$1006,0)))),"Fix")))</f>
        <v>0</v>
      </c>
      <c r="F899">
        <v>0</v>
      </c>
      <c r="G899">
        <v>0</v>
      </c>
      <c r="H899">
        <v>0</v>
      </c>
      <c r="I899">
        <f>IF(J899,TRUE,AND(M899))</f>
        <v>0</v>
      </c>
      <c r="J899">
        <f>COUNTBLANK(Metadata!B899)=COLUMNS(Metadata!B899)</f>
        <v>0</v>
      </c>
      <c r="K899">
        <v>0</v>
      </c>
      <c r="M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</row>
    <row r="900" spans="1:13">
      <c r="A900" s="3">
        <f>IF(B900=" "," ",HYPERLINK(CONCATENATE("#metadata!",ADDRESS(INDEX($H$2:$H$1001,MATCH(ROWS($F$2:F900),$F$2:$F$1001,0),0),2)),INDEX($K$2:$K$1001,MATCH(ROWS($F$2:F900),$F$2:$F$1001,0),0)))</f>
        <v>0</v>
      </c>
      <c r="B900" s="4">
        <f>IF(OR(INDEX($G$2:$G$1001,MATCH(ROWS($F$2:F900),$F$2:$F$1001,0),1)&gt;=100000,INDEX($M$1005,1,MATCH(COLUMNS($M$1006:M1006),$M$1006,0))&gt;=100000), " ",IF(INDEX($M$2:$M$1001,MATCH(ROWS($F$2:F900),$F$2:$F$1001,0),MATCH(COLUMNS($M$1006:M1006),$M$1006,0)), HYPERLINK("#",""), HYPERLINK(CONCATENATE("#Metadata!", ADDRESS(INDEX($H$2:$H$1001,MATCH(ROWS($F$2:F900),$F$2:$F$1001,0),0), INDEX($M$1004,1,MATCH(COLUMNS($M$1006:M1006),$M$1006,0)))),"Fix")))</f>
        <v>0</v>
      </c>
      <c r="F900">
        <v>0</v>
      </c>
      <c r="G900">
        <v>0</v>
      </c>
      <c r="H900">
        <v>0</v>
      </c>
      <c r="I900">
        <f>IF(J900,TRUE,AND(M900))</f>
        <v>0</v>
      </c>
      <c r="J900">
        <f>COUNTBLANK(Metadata!B900)=COLUMNS(Metadata!B900)</f>
        <v>0</v>
      </c>
      <c r="K900">
        <v>0</v>
      </c>
      <c r="M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</row>
    <row r="901" spans="1:13">
      <c r="A901" s="3">
        <f>IF(B901=" "," ",HYPERLINK(CONCATENATE("#metadata!",ADDRESS(INDEX($H$2:$H$1001,MATCH(ROWS($F$2:F901),$F$2:$F$1001,0),0),2)),INDEX($K$2:$K$1001,MATCH(ROWS($F$2:F901),$F$2:$F$1001,0),0)))</f>
        <v>0</v>
      </c>
      <c r="B901" s="4">
        <f>IF(OR(INDEX($G$2:$G$1001,MATCH(ROWS($F$2:F901),$F$2:$F$1001,0),1)&gt;=100000,INDEX($M$1005,1,MATCH(COLUMNS($M$1006:M1006),$M$1006,0))&gt;=100000), " ",IF(INDEX($M$2:$M$1001,MATCH(ROWS($F$2:F901),$F$2:$F$1001,0),MATCH(COLUMNS($M$1006:M1006),$M$1006,0)), HYPERLINK("#",""), HYPERLINK(CONCATENATE("#Metadata!", ADDRESS(INDEX($H$2:$H$1001,MATCH(ROWS($F$2:F901),$F$2:$F$1001,0),0), INDEX($M$1004,1,MATCH(COLUMNS($M$1006:M1006),$M$1006,0)))),"Fix")))</f>
        <v>0</v>
      </c>
      <c r="F901">
        <v>0</v>
      </c>
      <c r="G901">
        <v>0</v>
      </c>
      <c r="H901">
        <v>0</v>
      </c>
      <c r="I901">
        <f>IF(J901,TRUE,AND(M901))</f>
        <v>0</v>
      </c>
      <c r="J901">
        <f>COUNTBLANK(Metadata!B901)=COLUMNS(Metadata!B901)</f>
        <v>0</v>
      </c>
      <c r="K901">
        <v>0</v>
      </c>
      <c r="M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</row>
    <row r="902" spans="1:13">
      <c r="A902" s="3">
        <f>IF(B902=" "," ",HYPERLINK(CONCATENATE("#metadata!",ADDRESS(INDEX($H$2:$H$1001,MATCH(ROWS($F$2:F902),$F$2:$F$1001,0),0),2)),INDEX($K$2:$K$1001,MATCH(ROWS($F$2:F902),$F$2:$F$1001,0),0)))</f>
        <v>0</v>
      </c>
      <c r="B902" s="4">
        <f>IF(OR(INDEX($G$2:$G$1001,MATCH(ROWS($F$2:F902),$F$2:$F$1001,0),1)&gt;=100000,INDEX($M$1005,1,MATCH(COLUMNS($M$1006:M1006),$M$1006,0))&gt;=100000), " ",IF(INDEX($M$2:$M$1001,MATCH(ROWS($F$2:F902),$F$2:$F$1001,0),MATCH(COLUMNS($M$1006:M1006),$M$1006,0)), HYPERLINK("#",""), HYPERLINK(CONCATENATE("#Metadata!", ADDRESS(INDEX($H$2:$H$1001,MATCH(ROWS($F$2:F902),$F$2:$F$1001,0),0), INDEX($M$1004,1,MATCH(COLUMNS($M$1006:M1006),$M$1006,0)))),"Fix")))</f>
        <v>0</v>
      </c>
      <c r="F902">
        <v>0</v>
      </c>
      <c r="G902">
        <v>0</v>
      </c>
      <c r="H902">
        <v>0</v>
      </c>
      <c r="I902">
        <f>IF(J902,TRUE,AND(M902))</f>
        <v>0</v>
      </c>
      <c r="J902">
        <f>COUNTBLANK(Metadata!B902)=COLUMNS(Metadata!B902)</f>
        <v>0</v>
      </c>
      <c r="K902">
        <v>0</v>
      </c>
      <c r="M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</row>
    <row r="903" spans="1:13">
      <c r="A903" s="3">
        <f>IF(B903=" "," ",HYPERLINK(CONCATENATE("#metadata!",ADDRESS(INDEX($H$2:$H$1001,MATCH(ROWS($F$2:F903),$F$2:$F$1001,0),0),2)),INDEX($K$2:$K$1001,MATCH(ROWS($F$2:F903),$F$2:$F$1001,0),0)))</f>
        <v>0</v>
      </c>
      <c r="B903" s="4">
        <f>IF(OR(INDEX($G$2:$G$1001,MATCH(ROWS($F$2:F903),$F$2:$F$1001,0),1)&gt;=100000,INDEX($M$1005,1,MATCH(COLUMNS($M$1006:M1006),$M$1006,0))&gt;=100000), " ",IF(INDEX($M$2:$M$1001,MATCH(ROWS($F$2:F903),$F$2:$F$1001,0),MATCH(COLUMNS($M$1006:M1006),$M$1006,0)), HYPERLINK("#",""), HYPERLINK(CONCATENATE("#Metadata!", ADDRESS(INDEX($H$2:$H$1001,MATCH(ROWS($F$2:F903),$F$2:$F$1001,0),0), INDEX($M$1004,1,MATCH(COLUMNS($M$1006:M1006),$M$1006,0)))),"Fix")))</f>
        <v>0</v>
      </c>
      <c r="F903">
        <v>0</v>
      </c>
      <c r="G903">
        <v>0</v>
      </c>
      <c r="H903">
        <v>0</v>
      </c>
      <c r="I903">
        <f>IF(J903,TRUE,AND(M903))</f>
        <v>0</v>
      </c>
      <c r="J903">
        <f>COUNTBLANK(Metadata!B903)=COLUMNS(Metadata!B903)</f>
        <v>0</v>
      </c>
      <c r="K903">
        <v>0</v>
      </c>
      <c r="M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</row>
    <row r="904" spans="1:13">
      <c r="A904" s="3">
        <f>IF(B904=" "," ",HYPERLINK(CONCATENATE("#metadata!",ADDRESS(INDEX($H$2:$H$1001,MATCH(ROWS($F$2:F904),$F$2:$F$1001,0),0),2)),INDEX($K$2:$K$1001,MATCH(ROWS($F$2:F904),$F$2:$F$1001,0),0)))</f>
        <v>0</v>
      </c>
      <c r="B904" s="4">
        <f>IF(OR(INDEX($G$2:$G$1001,MATCH(ROWS($F$2:F904),$F$2:$F$1001,0),1)&gt;=100000,INDEX($M$1005,1,MATCH(COLUMNS($M$1006:M1006),$M$1006,0))&gt;=100000), " ",IF(INDEX($M$2:$M$1001,MATCH(ROWS($F$2:F904),$F$2:$F$1001,0),MATCH(COLUMNS($M$1006:M1006),$M$1006,0)), HYPERLINK("#",""), HYPERLINK(CONCATENATE("#Metadata!", ADDRESS(INDEX($H$2:$H$1001,MATCH(ROWS($F$2:F904),$F$2:$F$1001,0),0), INDEX($M$1004,1,MATCH(COLUMNS($M$1006:M1006),$M$1006,0)))),"Fix")))</f>
        <v>0</v>
      </c>
      <c r="F904">
        <v>0</v>
      </c>
      <c r="G904">
        <v>0</v>
      </c>
      <c r="H904">
        <v>0</v>
      </c>
      <c r="I904">
        <f>IF(J904,TRUE,AND(M904))</f>
        <v>0</v>
      </c>
      <c r="J904">
        <f>COUNTBLANK(Metadata!B904)=COLUMNS(Metadata!B904)</f>
        <v>0</v>
      </c>
      <c r="K904">
        <v>0</v>
      </c>
      <c r="M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</row>
    <row r="905" spans="1:13">
      <c r="A905" s="3">
        <f>IF(B905=" "," ",HYPERLINK(CONCATENATE("#metadata!",ADDRESS(INDEX($H$2:$H$1001,MATCH(ROWS($F$2:F905),$F$2:$F$1001,0),0),2)),INDEX($K$2:$K$1001,MATCH(ROWS($F$2:F905),$F$2:$F$1001,0),0)))</f>
        <v>0</v>
      </c>
      <c r="B905" s="4">
        <f>IF(OR(INDEX($G$2:$G$1001,MATCH(ROWS($F$2:F905),$F$2:$F$1001,0),1)&gt;=100000,INDEX($M$1005,1,MATCH(COLUMNS($M$1006:M1006),$M$1006,0))&gt;=100000), " ",IF(INDEX($M$2:$M$1001,MATCH(ROWS($F$2:F905),$F$2:$F$1001,0),MATCH(COLUMNS($M$1006:M1006),$M$1006,0)), HYPERLINK("#",""), HYPERLINK(CONCATENATE("#Metadata!", ADDRESS(INDEX($H$2:$H$1001,MATCH(ROWS($F$2:F905),$F$2:$F$1001,0),0), INDEX($M$1004,1,MATCH(COLUMNS($M$1006:M1006),$M$1006,0)))),"Fix")))</f>
        <v>0</v>
      </c>
      <c r="F905">
        <v>0</v>
      </c>
      <c r="G905">
        <v>0</v>
      </c>
      <c r="H905">
        <v>0</v>
      </c>
      <c r="I905">
        <f>IF(J905,TRUE,AND(M905))</f>
        <v>0</v>
      </c>
      <c r="J905">
        <f>COUNTBLANK(Metadata!B905)=COLUMNS(Metadata!B905)</f>
        <v>0</v>
      </c>
      <c r="K905">
        <v>0</v>
      </c>
      <c r="M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</row>
    <row r="906" spans="1:13">
      <c r="A906" s="3">
        <f>IF(B906=" "," ",HYPERLINK(CONCATENATE("#metadata!",ADDRESS(INDEX($H$2:$H$1001,MATCH(ROWS($F$2:F906),$F$2:$F$1001,0),0),2)),INDEX($K$2:$K$1001,MATCH(ROWS($F$2:F906),$F$2:$F$1001,0),0)))</f>
        <v>0</v>
      </c>
      <c r="B906" s="4">
        <f>IF(OR(INDEX($G$2:$G$1001,MATCH(ROWS($F$2:F906),$F$2:$F$1001,0),1)&gt;=100000,INDEX($M$1005,1,MATCH(COLUMNS($M$1006:M1006),$M$1006,0))&gt;=100000), " ",IF(INDEX($M$2:$M$1001,MATCH(ROWS($F$2:F906),$F$2:$F$1001,0),MATCH(COLUMNS($M$1006:M1006),$M$1006,0)), HYPERLINK("#",""), HYPERLINK(CONCATENATE("#Metadata!", ADDRESS(INDEX($H$2:$H$1001,MATCH(ROWS($F$2:F906),$F$2:$F$1001,0),0), INDEX($M$1004,1,MATCH(COLUMNS($M$1006:M1006),$M$1006,0)))),"Fix")))</f>
        <v>0</v>
      </c>
      <c r="F906">
        <v>0</v>
      </c>
      <c r="G906">
        <v>0</v>
      </c>
      <c r="H906">
        <v>0</v>
      </c>
      <c r="I906">
        <f>IF(J906,TRUE,AND(M906))</f>
        <v>0</v>
      </c>
      <c r="J906">
        <f>COUNTBLANK(Metadata!B906)=COLUMNS(Metadata!B906)</f>
        <v>0</v>
      </c>
      <c r="K906">
        <v>0</v>
      </c>
      <c r="M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</row>
    <row r="907" spans="1:13">
      <c r="A907" s="3">
        <f>IF(B907=" "," ",HYPERLINK(CONCATENATE("#metadata!",ADDRESS(INDEX($H$2:$H$1001,MATCH(ROWS($F$2:F907),$F$2:$F$1001,0),0),2)),INDEX($K$2:$K$1001,MATCH(ROWS($F$2:F907),$F$2:$F$1001,0),0)))</f>
        <v>0</v>
      </c>
      <c r="B907" s="4">
        <f>IF(OR(INDEX($G$2:$G$1001,MATCH(ROWS($F$2:F907),$F$2:$F$1001,0),1)&gt;=100000,INDEX($M$1005,1,MATCH(COLUMNS($M$1006:M1006),$M$1006,0))&gt;=100000), " ",IF(INDEX($M$2:$M$1001,MATCH(ROWS($F$2:F907),$F$2:$F$1001,0),MATCH(COLUMNS($M$1006:M1006),$M$1006,0)), HYPERLINK("#",""), HYPERLINK(CONCATENATE("#Metadata!", ADDRESS(INDEX($H$2:$H$1001,MATCH(ROWS($F$2:F907),$F$2:$F$1001,0),0), INDEX($M$1004,1,MATCH(COLUMNS($M$1006:M1006),$M$1006,0)))),"Fix")))</f>
        <v>0</v>
      </c>
      <c r="F907">
        <v>0</v>
      </c>
      <c r="G907">
        <v>0</v>
      </c>
      <c r="H907">
        <v>0</v>
      </c>
      <c r="I907">
        <f>IF(J907,TRUE,AND(M907))</f>
        <v>0</v>
      </c>
      <c r="J907">
        <f>COUNTBLANK(Metadata!B907)=COLUMNS(Metadata!B907)</f>
        <v>0</v>
      </c>
      <c r="K907">
        <v>0</v>
      </c>
      <c r="M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</row>
    <row r="908" spans="1:13">
      <c r="A908" s="3">
        <f>IF(B908=" "," ",HYPERLINK(CONCATENATE("#metadata!",ADDRESS(INDEX($H$2:$H$1001,MATCH(ROWS($F$2:F908),$F$2:$F$1001,0),0),2)),INDEX($K$2:$K$1001,MATCH(ROWS($F$2:F908),$F$2:$F$1001,0),0)))</f>
        <v>0</v>
      </c>
      <c r="B908" s="4">
        <f>IF(OR(INDEX($G$2:$G$1001,MATCH(ROWS($F$2:F908),$F$2:$F$1001,0),1)&gt;=100000,INDEX($M$1005,1,MATCH(COLUMNS($M$1006:M1006),$M$1006,0))&gt;=100000), " ",IF(INDEX($M$2:$M$1001,MATCH(ROWS($F$2:F908),$F$2:$F$1001,0),MATCH(COLUMNS($M$1006:M1006),$M$1006,0)), HYPERLINK("#",""), HYPERLINK(CONCATENATE("#Metadata!", ADDRESS(INDEX($H$2:$H$1001,MATCH(ROWS($F$2:F908),$F$2:$F$1001,0),0), INDEX($M$1004,1,MATCH(COLUMNS($M$1006:M1006),$M$1006,0)))),"Fix")))</f>
        <v>0</v>
      </c>
      <c r="F908">
        <v>0</v>
      </c>
      <c r="G908">
        <v>0</v>
      </c>
      <c r="H908">
        <v>0</v>
      </c>
      <c r="I908">
        <f>IF(J908,TRUE,AND(M908))</f>
        <v>0</v>
      </c>
      <c r="J908">
        <f>COUNTBLANK(Metadata!B908)=COLUMNS(Metadata!B908)</f>
        <v>0</v>
      </c>
      <c r="K908">
        <v>0</v>
      </c>
      <c r="M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</row>
    <row r="909" spans="1:13">
      <c r="A909" s="3">
        <f>IF(B909=" "," ",HYPERLINK(CONCATENATE("#metadata!",ADDRESS(INDEX($H$2:$H$1001,MATCH(ROWS($F$2:F909),$F$2:$F$1001,0),0),2)),INDEX($K$2:$K$1001,MATCH(ROWS($F$2:F909),$F$2:$F$1001,0),0)))</f>
        <v>0</v>
      </c>
      <c r="B909" s="4">
        <f>IF(OR(INDEX($G$2:$G$1001,MATCH(ROWS($F$2:F909),$F$2:$F$1001,0),1)&gt;=100000,INDEX($M$1005,1,MATCH(COLUMNS($M$1006:M1006),$M$1006,0))&gt;=100000), " ",IF(INDEX($M$2:$M$1001,MATCH(ROWS($F$2:F909),$F$2:$F$1001,0),MATCH(COLUMNS($M$1006:M1006),$M$1006,0)), HYPERLINK("#",""), HYPERLINK(CONCATENATE("#Metadata!", ADDRESS(INDEX($H$2:$H$1001,MATCH(ROWS($F$2:F909),$F$2:$F$1001,0),0), INDEX($M$1004,1,MATCH(COLUMNS($M$1006:M1006),$M$1006,0)))),"Fix")))</f>
        <v>0</v>
      </c>
      <c r="F909">
        <v>0</v>
      </c>
      <c r="G909">
        <v>0</v>
      </c>
      <c r="H909">
        <v>0</v>
      </c>
      <c r="I909">
        <f>IF(J909,TRUE,AND(M909))</f>
        <v>0</v>
      </c>
      <c r="J909">
        <f>COUNTBLANK(Metadata!B909)=COLUMNS(Metadata!B909)</f>
        <v>0</v>
      </c>
      <c r="K909">
        <v>0</v>
      </c>
      <c r="M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</row>
    <row r="910" spans="1:13">
      <c r="A910" s="3">
        <f>IF(B910=" "," ",HYPERLINK(CONCATENATE("#metadata!",ADDRESS(INDEX($H$2:$H$1001,MATCH(ROWS($F$2:F910),$F$2:$F$1001,0),0),2)),INDEX($K$2:$K$1001,MATCH(ROWS($F$2:F910),$F$2:$F$1001,0),0)))</f>
        <v>0</v>
      </c>
      <c r="B910" s="4">
        <f>IF(OR(INDEX($G$2:$G$1001,MATCH(ROWS($F$2:F910),$F$2:$F$1001,0),1)&gt;=100000,INDEX($M$1005,1,MATCH(COLUMNS($M$1006:M1006),$M$1006,0))&gt;=100000), " ",IF(INDEX($M$2:$M$1001,MATCH(ROWS($F$2:F910),$F$2:$F$1001,0),MATCH(COLUMNS($M$1006:M1006),$M$1006,0)), HYPERLINK("#",""), HYPERLINK(CONCATENATE("#Metadata!", ADDRESS(INDEX($H$2:$H$1001,MATCH(ROWS($F$2:F910),$F$2:$F$1001,0),0), INDEX($M$1004,1,MATCH(COLUMNS($M$1006:M1006),$M$1006,0)))),"Fix")))</f>
        <v>0</v>
      </c>
      <c r="F910">
        <v>0</v>
      </c>
      <c r="G910">
        <v>0</v>
      </c>
      <c r="H910">
        <v>0</v>
      </c>
      <c r="I910">
        <f>IF(J910,TRUE,AND(M910))</f>
        <v>0</v>
      </c>
      <c r="J910">
        <f>COUNTBLANK(Metadata!B910)=COLUMNS(Metadata!B910)</f>
        <v>0</v>
      </c>
      <c r="K910">
        <v>0</v>
      </c>
      <c r="M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</row>
    <row r="911" spans="1:13">
      <c r="A911" s="3">
        <f>IF(B911=" "," ",HYPERLINK(CONCATENATE("#metadata!",ADDRESS(INDEX($H$2:$H$1001,MATCH(ROWS($F$2:F911),$F$2:$F$1001,0),0),2)),INDEX($K$2:$K$1001,MATCH(ROWS($F$2:F911),$F$2:$F$1001,0),0)))</f>
        <v>0</v>
      </c>
      <c r="B911" s="4">
        <f>IF(OR(INDEX($G$2:$G$1001,MATCH(ROWS($F$2:F911),$F$2:$F$1001,0),1)&gt;=100000,INDEX($M$1005,1,MATCH(COLUMNS($M$1006:M1006),$M$1006,0))&gt;=100000), " ",IF(INDEX($M$2:$M$1001,MATCH(ROWS($F$2:F911),$F$2:$F$1001,0),MATCH(COLUMNS($M$1006:M1006),$M$1006,0)), HYPERLINK("#",""), HYPERLINK(CONCATENATE("#Metadata!", ADDRESS(INDEX($H$2:$H$1001,MATCH(ROWS($F$2:F911),$F$2:$F$1001,0),0), INDEX($M$1004,1,MATCH(COLUMNS($M$1006:M1006),$M$1006,0)))),"Fix")))</f>
        <v>0</v>
      </c>
      <c r="F911">
        <v>0</v>
      </c>
      <c r="G911">
        <v>0</v>
      </c>
      <c r="H911">
        <v>0</v>
      </c>
      <c r="I911">
        <f>IF(J911,TRUE,AND(M911))</f>
        <v>0</v>
      </c>
      <c r="J911">
        <f>COUNTBLANK(Metadata!B911)=COLUMNS(Metadata!B911)</f>
        <v>0</v>
      </c>
      <c r="K911">
        <v>0</v>
      </c>
      <c r="M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</row>
    <row r="912" spans="1:13">
      <c r="A912" s="3">
        <f>IF(B912=" "," ",HYPERLINK(CONCATENATE("#metadata!",ADDRESS(INDEX($H$2:$H$1001,MATCH(ROWS($F$2:F912),$F$2:$F$1001,0),0),2)),INDEX($K$2:$K$1001,MATCH(ROWS($F$2:F912),$F$2:$F$1001,0),0)))</f>
        <v>0</v>
      </c>
      <c r="B912" s="4">
        <f>IF(OR(INDEX($G$2:$G$1001,MATCH(ROWS($F$2:F912),$F$2:$F$1001,0),1)&gt;=100000,INDEX($M$1005,1,MATCH(COLUMNS($M$1006:M1006),$M$1006,0))&gt;=100000), " ",IF(INDEX($M$2:$M$1001,MATCH(ROWS($F$2:F912),$F$2:$F$1001,0),MATCH(COLUMNS($M$1006:M1006),$M$1006,0)), HYPERLINK("#",""), HYPERLINK(CONCATENATE("#Metadata!", ADDRESS(INDEX($H$2:$H$1001,MATCH(ROWS($F$2:F912),$F$2:$F$1001,0),0), INDEX($M$1004,1,MATCH(COLUMNS($M$1006:M1006),$M$1006,0)))),"Fix")))</f>
        <v>0</v>
      </c>
      <c r="F912">
        <v>0</v>
      </c>
      <c r="G912">
        <v>0</v>
      </c>
      <c r="H912">
        <v>0</v>
      </c>
      <c r="I912">
        <f>IF(J912,TRUE,AND(M912))</f>
        <v>0</v>
      </c>
      <c r="J912">
        <f>COUNTBLANK(Metadata!B912)=COLUMNS(Metadata!B912)</f>
        <v>0</v>
      </c>
      <c r="K912">
        <v>0</v>
      </c>
      <c r="M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</row>
    <row r="913" spans="1:13">
      <c r="A913" s="3">
        <f>IF(B913=" "," ",HYPERLINK(CONCATENATE("#metadata!",ADDRESS(INDEX($H$2:$H$1001,MATCH(ROWS($F$2:F913),$F$2:$F$1001,0),0),2)),INDEX($K$2:$K$1001,MATCH(ROWS($F$2:F913),$F$2:$F$1001,0),0)))</f>
        <v>0</v>
      </c>
      <c r="B913" s="4">
        <f>IF(OR(INDEX($G$2:$G$1001,MATCH(ROWS($F$2:F913),$F$2:$F$1001,0),1)&gt;=100000,INDEX($M$1005,1,MATCH(COLUMNS($M$1006:M1006),$M$1006,0))&gt;=100000), " ",IF(INDEX($M$2:$M$1001,MATCH(ROWS($F$2:F913),$F$2:$F$1001,0),MATCH(COLUMNS($M$1006:M1006),$M$1006,0)), HYPERLINK("#",""), HYPERLINK(CONCATENATE("#Metadata!", ADDRESS(INDEX($H$2:$H$1001,MATCH(ROWS($F$2:F913),$F$2:$F$1001,0),0), INDEX($M$1004,1,MATCH(COLUMNS($M$1006:M1006),$M$1006,0)))),"Fix")))</f>
        <v>0</v>
      </c>
      <c r="F913">
        <v>0</v>
      </c>
      <c r="G913">
        <v>0</v>
      </c>
      <c r="H913">
        <v>0</v>
      </c>
      <c r="I913">
        <f>IF(J913,TRUE,AND(M913))</f>
        <v>0</v>
      </c>
      <c r="J913">
        <f>COUNTBLANK(Metadata!B913)=COLUMNS(Metadata!B913)</f>
        <v>0</v>
      </c>
      <c r="K913">
        <v>0</v>
      </c>
      <c r="M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</row>
    <row r="914" spans="1:13">
      <c r="A914" s="3">
        <f>IF(B914=" "," ",HYPERLINK(CONCATENATE("#metadata!",ADDRESS(INDEX($H$2:$H$1001,MATCH(ROWS($F$2:F914),$F$2:$F$1001,0),0),2)),INDEX($K$2:$K$1001,MATCH(ROWS($F$2:F914),$F$2:$F$1001,0),0)))</f>
        <v>0</v>
      </c>
      <c r="B914" s="4">
        <f>IF(OR(INDEX($G$2:$G$1001,MATCH(ROWS($F$2:F914),$F$2:$F$1001,0),1)&gt;=100000,INDEX($M$1005,1,MATCH(COLUMNS($M$1006:M1006),$M$1006,0))&gt;=100000), " ",IF(INDEX($M$2:$M$1001,MATCH(ROWS($F$2:F914),$F$2:$F$1001,0),MATCH(COLUMNS($M$1006:M1006),$M$1006,0)), HYPERLINK("#",""), HYPERLINK(CONCATENATE("#Metadata!", ADDRESS(INDEX($H$2:$H$1001,MATCH(ROWS($F$2:F914),$F$2:$F$1001,0),0), INDEX($M$1004,1,MATCH(COLUMNS($M$1006:M1006),$M$1006,0)))),"Fix")))</f>
        <v>0</v>
      </c>
      <c r="F914">
        <v>0</v>
      </c>
      <c r="G914">
        <v>0</v>
      </c>
      <c r="H914">
        <v>0</v>
      </c>
      <c r="I914">
        <f>IF(J914,TRUE,AND(M914))</f>
        <v>0</v>
      </c>
      <c r="J914">
        <f>COUNTBLANK(Metadata!B914)=COLUMNS(Metadata!B914)</f>
        <v>0</v>
      </c>
      <c r="K914">
        <v>0</v>
      </c>
      <c r="M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</row>
    <row r="915" spans="1:13">
      <c r="A915" s="3">
        <f>IF(B915=" "," ",HYPERLINK(CONCATENATE("#metadata!",ADDRESS(INDEX($H$2:$H$1001,MATCH(ROWS($F$2:F915),$F$2:$F$1001,0),0),2)),INDEX($K$2:$K$1001,MATCH(ROWS($F$2:F915),$F$2:$F$1001,0),0)))</f>
        <v>0</v>
      </c>
      <c r="B915" s="4">
        <f>IF(OR(INDEX($G$2:$G$1001,MATCH(ROWS($F$2:F915),$F$2:$F$1001,0),1)&gt;=100000,INDEX($M$1005,1,MATCH(COLUMNS($M$1006:M1006),$M$1006,0))&gt;=100000), " ",IF(INDEX($M$2:$M$1001,MATCH(ROWS($F$2:F915),$F$2:$F$1001,0),MATCH(COLUMNS($M$1006:M1006),$M$1006,0)), HYPERLINK("#",""), HYPERLINK(CONCATENATE("#Metadata!", ADDRESS(INDEX($H$2:$H$1001,MATCH(ROWS($F$2:F915),$F$2:$F$1001,0),0), INDEX($M$1004,1,MATCH(COLUMNS($M$1006:M1006),$M$1006,0)))),"Fix")))</f>
        <v>0</v>
      </c>
      <c r="F915">
        <v>0</v>
      </c>
      <c r="G915">
        <v>0</v>
      </c>
      <c r="H915">
        <v>0</v>
      </c>
      <c r="I915">
        <f>IF(J915,TRUE,AND(M915))</f>
        <v>0</v>
      </c>
      <c r="J915">
        <f>COUNTBLANK(Metadata!B915)=COLUMNS(Metadata!B915)</f>
        <v>0</v>
      </c>
      <c r="K915">
        <v>0</v>
      </c>
      <c r="M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</row>
    <row r="916" spans="1:13">
      <c r="A916" s="3">
        <f>IF(B916=" "," ",HYPERLINK(CONCATENATE("#metadata!",ADDRESS(INDEX($H$2:$H$1001,MATCH(ROWS($F$2:F916),$F$2:$F$1001,0),0),2)),INDEX($K$2:$K$1001,MATCH(ROWS($F$2:F916),$F$2:$F$1001,0),0)))</f>
        <v>0</v>
      </c>
      <c r="B916" s="4">
        <f>IF(OR(INDEX($G$2:$G$1001,MATCH(ROWS($F$2:F916),$F$2:$F$1001,0),1)&gt;=100000,INDEX($M$1005,1,MATCH(COLUMNS($M$1006:M1006),$M$1006,0))&gt;=100000), " ",IF(INDEX($M$2:$M$1001,MATCH(ROWS($F$2:F916),$F$2:$F$1001,0),MATCH(COLUMNS($M$1006:M1006),$M$1006,0)), HYPERLINK("#",""), HYPERLINK(CONCATENATE("#Metadata!", ADDRESS(INDEX($H$2:$H$1001,MATCH(ROWS($F$2:F916),$F$2:$F$1001,0),0), INDEX($M$1004,1,MATCH(COLUMNS($M$1006:M1006),$M$1006,0)))),"Fix")))</f>
        <v>0</v>
      </c>
      <c r="F916">
        <v>0</v>
      </c>
      <c r="G916">
        <v>0</v>
      </c>
      <c r="H916">
        <v>0</v>
      </c>
      <c r="I916">
        <f>IF(J916,TRUE,AND(M916))</f>
        <v>0</v>
      </c>
      <c r="J916">
        <f>COUNTBLANK(Metadata!B916)=COLUMNS(Metadata!B916)</f>
        <v>0</v>
      </c>
      <c r="K916">
        <v>0</v>
      </c>
      <c r="M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</row>
    <row r="917" spans="1:13">
      <c r="A917" s="3">
        <f>IF(B917=" "," ",HYPERLINK(CONCATENATE("#metadata!",ADDRESS(INDEX($H$2:$H$1001,MATCH(ROWS($F$2:F917),$F$2:$F$1001,0),0),2)),INDEX($K$2:$K$1001,MATCH(ROWS($F$2:F917),$F$2:$F$1001,0),0)))</f>
        <v>0</v>
      </c>
      <c r="B917" s="4">
        <f>IF(OR(INDEX($G$2:$G$1001,MATCH(ROWS($F$2:F917),$F$2:$F$1001,0),1)&gt;=100000,INDEX($M$1005,1,MATCH(COLUMNS($M$1006:M1006),$M$1006,0))&gt;=100000), " ",IF(INDEX($M$2:$M$1001,MATCH(ROWS($F$2:F917),$F$2:$F$1001,0),MATCH(COLUMNS($M$1006:M1006),$M$1006,0)), HYPERLINK("#",""), HYPERLINK(CONCATENATE("#Metadata!", ADDRESS(INDEX($H$2:$H$1001,MATCH(ROWS($F$2:F917),$F$2:$F$1001,0),0), INDEX($M$1004,1,MATCH(COLUMNS($M$1006:M1006),$M$1006,0)))),"Fix")))</f>
        <v>0</v>
      </c>
      <c r="F917">
        <v>0</v>
      </c>
      <c r="G917">
        <v>0</v>
      </c>
      <c r="H917">
        <v>0</v>
      </c>
      <c r="I917">
        <f>IF(J917,TRUE,AND(M917))</f>
        <v>0</v>
      </c>
      <c r="J917">
        <f>COUNTBLANK(Metadata!B917)=COLUMNS(Metadata!B917)</f>
        <v>0</v>
      </c>
      <c r="K917">
        <v>0</v>
      </c>
      <c r="M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</row>
    <row r="918" spans="1:13">
      <c r="A918" s="3">
        <f>IF(B918=" "," ",HYPERLINK(CONCATENATE("#metadata!",ADDRESS(INDEX($H$2:$H$1001,MATCH(ROWS($F$2:F918),$F$2:$F$1001,0),0),2)),INDEX($K$2:$K$1001,MATCH(ROWS($F$2:F918),$F$2:$F$1001,0),0)))</f>
        <v>0</v>
      </c>
      <c r="B918" s="4">
        <f>IF(OR(INDEX($G$2:$G$1001,MATCH(ROWS($F$2:F918),$F$2:$F$1001,0),1)&gt;=100000,INDEX($M$1005,1,MATCH(COLUMNS($M$1006:M1006),$M$1006,0))&gt;=100000), " ",IF(INDEX($M$2:$M$1001,MATCH(ROWS($F$2:F918),$F$2:$F$1001,0),MATCH(COLUMNS($M$1006:M1006),$M$1006,0)), HYPERLINK("#",""), HYPERLINK(CONCATENATE("#Metadata!", ADDRESS(INDEX($H$2:$H$1001,MATCH(ROWS($F$2:F918),$F$2:$F$1001,0),0), INDEX($M$1004,1,MATCH(COLUMNS($M$1006:M1006),$M$1006,0)))),"Fix")))</f>
        <v>0</v>
      </c>
      <c r="F918">
        <v>0</v>
      </c>
      <c r="G918">
        <v>0</v>
      </c>
      <c r="H918">
        <v>0</v>
      </c>
      <c r="I918">
        <f>IF(J918,TRUE,AND(M918))</f>
        <v>0</v>
      </c>
      <c r="J918">
        <f>COUNTBLANK(Metadata!B918)=COLUMNS(Metadata!B918)</f>
        <v>0</v>
      </c>
      <c r="K918">
        <v>0</v>
      </c>
      <c r="M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</row>
    <row r="919" spans="1:13">
      <c r="A919" s="3">
        <f>IF(B919=" "," ",HYPERLINK(CONCATENATE("#metadata!",ADDRESS(INDEX($H$2:$H$1001,MATCH(ROWS($F$2:F919),$F$2:$F$1001,0),0),2)),INDEX($K$2:$K$1001,MATCH(ROWS($F$2:F919),$F$2:$F$1001,0),0)))</f>
        <v>0</v>
      </c>
      <c r="B919" s="4">
        <f>IF(OR(INDEX($G$2:$G$1001,MATCH(ROWS($F$2:F919),$F$2:$F$1001,0),1)&gt;=100000,INDEX($M$1005,1,MATCH(COLUMNS($M$1006:M1006),$M$1006,0))&gt;=100000), " ",IF(INDEX($M$2:$M$1001,MATCH(ROWS($F$2:F919),$F$2:$F$1001,0),MATCH(COLUMNS($M$1006:M1006),$M$1006,0)), HYPERLINK("#",""), HYPERLINK(CONCATENATE("#Metadata!", ADDRESS(INDEX($H$2:$H$1001,MATCH(ROWS($F$2:F919),$F$2:$F$1001,0),0), INDEX($M$1004,1,MATCH(COLUMNS($M$1006:M1006),$M$1006,0)))),"Fix")))</f>
        <v>0</v>
      </c>
      <c r="F919">
        <v>0</v>
      </c>
      <c r="G919">
        <v>0</v>
      </c>
      <c r="H919">
        <v>0</v>
      </c>
      <c r="I919">
        <f>IF(J919,TRUE,AND(M919))</f>
        <v>0</v>
      </c>
      <c r="J919">
        <f>COUNTBLANK(Metadata!B919)=COLUMNS(Metadata!B919)</f>
        <v>0</v>
      </c>
      <c r="K919">
        <v>0</v>
      </c>
      <c r="M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</row>
    <row r="920" spans="1:13">
      <c r="A920" s="3">
        <f>IF(B920=" "," ",HYPERLINK(CONCATENATE("#metadata!",ADDRESS(INDEX($H$2:$H$1001,MATCH(ROWS($F$2:F920),$F$2:$F$1001,0),0),2)),INDEX($K$2:$K$1001,MATCH(ROWS($F$2:F920),$F$2:$F$1001,0),0)))</f>
        <v>0</v>
      </c>
      <c r="B920" s="4">
        <f>IF(OR(INDEX($G$2:$G$1001,MATCH(ROWS($F$2:F920),$F$2:$F$1001,0),1)&gt;=100000,INDEX($M$1005,1,MATCH(COLUMNS($M$1006:M1006),$M$1006,0))&gt;=100000), " ",IF(INDEX($M$2:$M$1001,MATCH(ROWS($F$2:F920),$F$2:$F$1001,0),MATCH(COLUMNS($M$1006:M1006),$M$1006,0)), HYPERLINK("#",""), HYPERLINK(CONCATENATE("#Metadata!", ADDRESS(INDEX($H$2:$H$1001,MATCH(ROWS($F$2:F920),$F$2:$F$1001,0),0), INDEX($M$1004,1,MATCH(COLUMNS($M$1006:M1006),$M$1006,0)))),"Fix")))</f>
        <v>0</v>
      </c>
      <c r="F920">
        <v>0</v>
      </c>
      <c r="G920">
        <v>0</v>
      </c>
      <c r="H920">
        <v>0</v>
      </c>
      <c r="I920">
        <f>IF(J920,TRUE,AND(M920))</f>
        <v>0</v>
      </c>
      <c r="J920">
        <f>COUNTBLANK(Metadata!B920)=COLUMNS(Metadata!B920)</f>
        <v>0</v>
      </c>
      <c r="K920">
        <v>0</v>
      </c>
      <c r="M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</row>
    <row r="921" spans="1:13">
      <c r="A921" s="3">
        <f>IF(B921=" "," ",HYPERLINK(CONCATENATE("#metadata!",ADDRESS(INDEX($H$2:$H$1001,MATCH(ROWS($F$2:F921),$F$2:$F$1001,0),0),2)),INDEX($K$2:$K$1001,MATCH(ROWS($F$2:F921),$F$2:$F$1001,0),0)))</f>
        <v>0</v>
      </c>
      <c r="B921" s="4">
        <f>IF(OR(INDEX($G$2:$G$1001,MATCH(ROWS($F$2:F921),$F$2:$F$1001,0),1)&gt;=100000,INDEX($M$1005,1,MATCH(COLUMNS($M$1006:M1006),$M$1006,0))&gt;=100000), " ",IF(INDEX($M$2:$M$1001,MATCH(ROWS($F$2:F921),$F$2:$F$1001,0),MATCH(COLUMNS($M$1006:M1006),$M$1006,0)), HYPERLINK("#",""), HYPERLINK(CONCATENATE("#Metadata!", ADDRESS(INDEX($H$2:$H$1001,MATCH(ROWS($F$2:F921),$F$2:$F$1001,0),0), INDEX($M$1004,1,MATCH(COLUMNS($M$1006:M1006),$M$1006,0)))),"Fix")))</f>
        <v>0</v>
      </c>
      <c r="F921">
        <v>0</v>
      </c>
      <c r="G921">
        <v>0</v>
      </c>
      <c r="H921">
        <v>0</v>
      </c>
      <c r="I921">
        <f>IF(J921,TRUE,AND(M921))</f>
        <v>0</v>
      </c>
      <c r="J921">
        <f>COUNTBLANK(Metadata!B921)=COLUMNS(Metadata!B921)</f>
        <v>0</v>
      </c>
      <c r="K921">
        <v>0</v>
      </c>
      <c r="M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</row>
    <row r="922" spans="1:13">
      <c r="A922" s="3">
        <f>IF(B922=" "," ",HYPERLINK(CONCATENATE("#metadata!",ADDRESS(INDEX($H$2:$H$1001,MATCH(ROWS($F$2:F922),$F$2:$F$1001,0),0),2)),INDEX($K$2:$K$1001,MATCH(ROWS($F$2:F922),$F$2:$F$1001,0),0)))</f>
        <v>0</v>
      </c>
      <c r="B922" s="4">
        <f>IF(OR(INDEX($G$2:$G$1001,MATCH(ROWS($F$2:F922),$F$2:$F$1001,0),1)&gt;=100000,INDEX($M$1005,1,MATCH(COLUMNS($M$1006:M1006),$M$1006,0))&gt;=100000), " ",IF(INDEX($M$2:$M$1001,MATCH(ROWS($F$2:F922),$F$2:$F$1001,0),MATCH(COLUMNS($M$1006:M1006),$M$1006,0)), HYPERLINK("#",""), HYPERLINK(CONCATENATE("#Metadata!", ADDRESS(INDEX($H$2:$H$1001,MATCH(ROWS($F$2:F922),$F$2:$F$1001,0),0), INDEX($M$1004,1,MATCH(COLUMNS($M$1006:M1006),$M$1006,0)))),"Fix")))</f>
        <v>0</v>
      </c>
      <c r="F922">
        <v>0</v>
      </c>
      <c r="G922">
        <v>0</v>
      </c>
      <c r="H922">
        <v>0</v>
      </c>
      <c r="I922">
        <f>IF(J922,TRUE,AND(M922))</f>
        <v>0</v>
      </c>
      <c r="J922">
        <f>COUNTBLANK(Metadata!B922)=COLUMNS(Metadata!B922)</f>
        <v>0</v>
      </c>
      <c r="K922">
        <v>0</v>
      </c>
      <c r="M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</row>
    <row r="923" spans="1:13">
      <c r="A923" s="3">
        <f>IF(B923=" "," ",HYPERLINK(CONCATENATE("#metadata!",ADDRESS(INDEX($H$2:$H$1001,MATCH(ROWS($F$2:F923),$F$2:$F$1001,0),0),2)),INDEX($K$2:$K$1001,MATCH(ROWS($F$2:F923),$F$2:$F$1001,0),0)))</f>
        <v>0</v>
      </c>
      <c r="B923" s="4">
        <f>IF(OR(INDEX($G$2:$G$1001,MATCH(ROWS($F$2:F923),$F$2:$F$1001,0),1)&gt;=100000,INDEX($M$1005,1,MATCH(COLUMNS($M$1006:M1006),$M$1006,0))&gt;=100000), " ",IF(INDEX($M$2:$M$1001,MATCH(ROWS($F$2:F923),$F$2:$F$1001,0),MATCH(COLUMNS($M$1006:M1006),$M$1006,0)), HYPERLINK("#",""), HYPERLINK(CONCATENATE("#Metadata!", ADDRESS(INDEX($H$2:$H$1001,MATCH(ROWS($F$2:F923),$F$2:$F$1001,0),0), INDEX($M$1004,1,MATCH(COLUMNS($M$1006:M1006),$M$1006,0)))),"Fix")))</f>
        <v>0</v>
      </c>
      <c r="F923">
        <v>0</v>
      </c>
      <c r="G923">
        <v>0</v>
      </c>
      <c r="H923">
        <v>0</v>
      </c>
      <c r="I923">
        <f>IF(J923,TRUE,AND(M923))</f>
        <v>0</v>
      </c>
      <c r="J923">
        <f>COUNTBLANK(Metadata!B923)=COLUMNS(Metadata!B923)</f>
        <v>0</v>
      </c>
      <c r="K923">
        <v>0</v>
      </c>
      <c r="M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</row>
    <row r="924" spans="1:13">
      <c r="A924" s="3">
        <f>IF(B924=" "," ",HYPERLINK(CONCATENATE("#metadata!",ADDRESS(INDEX($H$2:$H$1001,MATCH(ROWS($F$2:F924),$F$2:$F$1001,0),0),2)),INDEX($K$2:$K$1001,MATCH(ROWS($F$2:F924),$F$2:$F$1001,0),0)))</f>
        <v>0</v>
      </c>
      <c r="B924" s="4">
        <f>IF(OR(INDEX($G$2:$G$1001,MATCH(ROWS($F$2:F924),$F$2:$F$1001,0),1)&gt;=100000,INDEX($M$1005,1,MATCH(COLUMNS($M$1006:M1006),$M$1006,0))&gt;=100000), " ",IF(INDEX($M$2:$M$1001,MATCH(ROWS($F$2:F924),$F$2:$F$1001,0),MATCH(COLUMNS($M$1006:M1006),$M$1006,0)), HYPERLINK("#",""), HYPERLINK(CONCATENATE("#Metadata!", ADDRESS(INDEX($H$2:$H$1001,MATCH(ROWS($F$2:F924),$F$2:$F$1001,0),0), INDEX($M$1004,1,MATCH(COLUMNS($M$1006:M1006),$M$1006,0)))),"Fix")))</f>
        <v>0</v>
      </c>
      <c r="F924">
        <v>0</v>
      </c>
      <c r="G924">
        <v>0</v>
      </c>
      <c r="H924">
        <v>0</v>
      </c>
      <c r="I924">
        <f>IF(J924,TRUE,AND(M924))</f>
        <v>0</v>
      </c>
      <c r="J924">
        <f>COUNTBLANK(Metadata!B924)=COLUMNS(Metadata!B924)</f>
        <v>0</v>
      </c>
      <c r="K924">
        <v>0</v>
      </c>
      <c r="M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</row>
    <row r="925" spans="1:13">
      <c r="A925" s="3">
        <f>IF(B925=" "," ",HYPERLINK(CONCATENATE("#metadata!",ADDRESS(INDEX($H$2:$H$1001,MATCH(ROWS($F$2:F925),$F$2:$F$1001,0),0),2)),INDEX($K$2:$K$1001,MATCH(ROWS($F$2:F925),$F$2:$F$1001,0),0)))</f>
        <v>0</v>
      </c>
      <c r="B925" s="4">
        <f>IF(OR(INDEX($G$2:$G$1001,MATCH(ROWS($F$2:F925),$F$2:$F$1001,0),1)&gt;=100000,INDEX($M$1005,1,MATCH(COLUMNS($M$1006:M1006),$M$1006,0))&gt;=100000), " ",IF(INDEX($M$2:$M$1001,MATCH(ROWS($F$2:F925),$F$2:$F$1001,0),MATCH(COLUMNS($M$1006:M1006),$M$1006,0)), HYPERLINK("#",""), HYPERLINK(CONCATENATE("#Metadata!", ADDRESS(INDEX($H$2:$H$1001,MATCH(ROWS($F$2:F925),$F$2:$F$1001,0),0), INDEX($M$1004,1,MATCH(COLUMNS($M$1006:M1006),$M$1006,0)))),"Fix")))</f>
        <v>0</v>
      </c>
      <c r="F925">
        <v>0</v>
      </c>
      <c r="G925">
        <v>0</v>
      </c>
      <c r="H925">
        <v>0</v>
      </c>
      <c r="I925">
        <f>IF(J925,TRUE,AND(M925))</f>
        <v>0</v>
      </c>
      <c r="J925">
        <f>COUNTBLANK(Metadata!B925)=COLUMNS(Metadata!B925)</f>
        <v>0</v>
      </c>
      <c r="K925">
        <v>0</v>
      </c>
      <c r="M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</row>
    <row r="926" spans="1:13">
      <c r="A926" s="3">
        <f>IF(B926=" "," ",HYPERLINK(CONCATENATE("#metadata!",ADDRESS(INDEX($H$2:$H$1001,MATCH(ROWS($F$2:F926),$F$2:$F$1001,0),0),2)),INDEX($K$2:$K$1001,MATCH(ROWS($F$2:F926),$F$2:$F$1001,0),0)))</f>
        <v>0</v>
      </c>
      <c r="B926" s="4">
        <f>IF(OR(INDEX($G$2:$G$1001,MATCH(ROWS($F$2:F926),$F$2:$F$1001,0),1)&gt;=100000,INDEX($M$1005,1,MATCH(COLUMNS($M$1006:M1006),$M$1006,0))&gt;=100000), " ",IF(INDEX($M$2:$M$1001,MATCH(ROWS($F$2:F926),$F$2:$F$1001,0),MATCH(COLUMNS($M$1006:M1006),$M$1006,0)), HYPERLINK("#",""), HYPERLINK(CONCATENATE("#Metadata!", ADDRESS(INDEX($H$2:$H$1001,MATCH(ROWS($F$2:F926),$F$2:$F$1001,0),0), INDEX($M$1004,1,MATCH(COLUMNS($M$1006:M1006),$M$1006,0)))),"Fix")))</f>
        <v>0</v>
      </c>
      <c r="F926">
        <v>0</v>
      </c>
      <c r="G926">
        <v>0</v>
      </c>
      <c r="H926">
        <v>0</v>
      </c>
      <c r="I926">
        <f>IF(J926,TRUE,AND(M926))</f>
        <v>0</v>
      </c>
      <c r="J926">
        <f>COUNTBLANK(Metadata!B926)=COLUMNS(Metadata!B926)</f>
        <v>0</v>
      </c>
      <c r="K926">
        <v>0</v>
      </c>
      <c r="M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</row>
    <row r="927" spans="1:13">
      <c r="A927" s="3">
        <f>IF(B927=" "," ",HYPERLINK(CONCATENATE("#metadata!",ADDRESS(INDEX($H$2:$H$1001,MATCH(ROWS($F$2:F927),$F$2:$F$1001,0),0),2)),INDEX($K$2:$K$1001,MATCH(ROWS($F$2:F927),$F$2:$F$1001,0),0)))</f>
        <v>0</v>
      </c>
      <c r="B927" s="4">
        <f>IF(OR(INDEX($G$2:$G$1001,MATCH(ROWS($F$2:F927),$F$2:$F$1001,0),1)&gt;=100000,INDEX($M$1005,1,MATCH(COLUMNS($M$1006:M1006),$M$1006,0))&gt;=100000), " ",IF(INDEX($M$2:$M$1001,MATCH(ROWS($F$2:F927),$F$2:$F$1001,0),MATCH(COLUMNS($M$1006:M1006),$M$1006,0)), HYPERLINK("#",""), HYPERLINK(CONCATENATE("#Metadata!", ADDRESS(INDEX($H$2:$H$1001,MATCH(ROWS($F$2:F927),$F$2:$F$1001,0),0), INDEX($M$1004,1,MATCH(COLUMNS($M$1006:M1006),$M$1006,0)))),"Fix")))</f>
        <v>0</v>
      </c>
      <c r="F927">
        <v>0</v>
      </c>
      <c r="G927">
        <v>0</v>
      </c>
      <c r="H927">
        <v>0</v>
      </c>
      <c r="I927">
        <f>IF(J927,TRUE,AND(M927))</f>
        <v>0</v>
      </c>
      <c r="J927">
        <f>COUNTBLANK(Metadata!B927)=COLUMNS(Metadata!B927)</f>
        <v>0</v>
      </c>
      <c r="K927">
        <v>0</v>
      </c>
      <c r="M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</row>
    <row r="928" spans="1:13">
      <c r="A928" s="3">
        <f>IF(B928=" "," ",HYPERLINK(CONCATENATE("#metadata!",ADDRESS(INDEX($H$2:$H$1001,MATCH(ROWS($F$2:F928),$F$2:$F$1001,0),0),2)),INDEX($K$2:$K$1001,MATCH(ROWS($F$2:F928),$F$2:$F$1001,0),0)))</f>
        <v>0</v>
      </c>
      <c r="B928" s="4">
        <f>IF(OR(INDEX($G$2:$G$1001,MATCH(ROWS($F$2:F928),$F$2:$F$1001,0),1)&gt;=100000,INDEX($M$1005,1,MATCH(COLUMNS($M$1006:M1006),$M$1006,0))&gt;=100000), " ",IF(INDEX($M$2:$M$1001,MATCH(ROWS($F$2:F928),$F$2:$F$1001,0),MATCH(COLUMNS($M$1006:M1006),$M$1006,0)), HYPERLINK("#",""), HYPERLINK(CONCATENATE("#Metadata!", ADDRESS(INDEX($H$2:$H$1001,MATCH(ROWS($F$2:F928),$F$2:$F$1001,0),0), INDEX($M$1004,1,MATCH(COLUMNS($M$1006:M1006),$M$1006,0)))),"Fix")))</f>
        <v>0</v>
      </c>
      <c r="F928">
        <v>0</v>
      </c>
      <c r="G928">
        <v>0</v>
      </c>
      <c r="H928">
        <v>0</v>
      </c>
      <c r="I928">
        <f>IF(J928,TRUE,AND(M928))</f>
        <v>0</v>
      </c>
      <c r="J928">
        <f>COUNTBLANK(Metadata!B928)=COLUMNS(Metadata!B928)</f>
        <v>0</v>
      </c>
      <c r="K928">
        <v>0</v>
      </c>
      <c r="M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</row>
    <row r="929" spans="1:13">
      <c r="A929" s="3">
        <f>IF(B929=" "," ",HYPERLINK(CONCATENATE("#metadata!",ADDRESS(INDEX($H$2:$H$1001,MATCH(ROWS($F$2:F929),$F$2:$F$1001,0),0),2)),INDEX($K$2:$K$1001,MATCH(ROWS($F$2:F929),$F$2:$F$1001,0),0)))</f>
        <v>0</v>
      </c>
      <c r="B929" s="4">
        <f>IF(OR(INDEX($G$2:$G$1001,MATCH(ROWS($F$2:F929),$F$2:$F$1001,0),1)&gt;=100000,INDEX($M$1005,1,MATCH(COLUMNS($M$1006:M1006),$M$1006,0))&gt;=100000), " ",IF(INDEX($M$2:$M$1001,MATCH(ROWS($F$2:F929),$F$2:$F$1001,0),MATCH(COLUMNS($M$1006:M1006),$M$1006,0)), HYPERLINK("#",""), HYPERLINK(CONCATENATE("#Metadata!", ADDRESS(INDEX($H$2:$H$1001,MATCH(ROWS($F$2:F929),$F$2:$F$1001,0),0), INDEX($M$1004,1,MATCH(COLUMNS($M$1006:M1006),$M$1006,0)))),"Fix")))</f>
        <v>0</v>
      </c>
      <c r="F929">
        <v>0</v>
      </c>
      <c r="G929">
        <v>0</v>
      </c>
      <c r="H929">
        <v>0</v>
      </c>
      <c r="I929">
        <f>IF(J929,TRUE,AND(M929))</f>
        <v>0</v>
      </c>
      <c r="J929">
        <f>COUNTBLANK(Metadata!B929)=COLUMNS(Metadata!B929)</f>
        <v>0</v>
      </c>
      <c r="K929">
        <v>0</v>
      </c>
      <c r="M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</row>
    <row r="930" spans="1:13">
      <c r="A930" s="3">
        <f>IF(B930=" "," ",HYPERLINK(CONCATENATE("#metadata!",ADDRESS(INDEX($H$2:$H$1001,MATCH(ROWS($F$2:F930),$F$2:$F$1001,0),0),2)),INDEX($K$2:$K$1001,MATCH(ROWS($F$2:F930),$F$2:$F$1001,0),0)))</f>
        <v>0</v>
      </c>
      <c r="B930" s="4">
        <f>IF(OR(INDEX($G$2:$G$1001,MATCH(ROWS($F$2:F930),$F$2:$F$1001,0),1)&gt;=100000,INDEX($M$1005,1,MATCH(COLUMNS($M$1006:M1006),$M$1006,0))&gt;=100000), " ",IF(INDEX($M$2:$M$1001,MATCH(ROWS($F$2:F930),$F$2:$F$1001,0),MATCH(COLUMNS($M$1006:M1006),$M$1006,0)), HYPERLINK("#",""), HYPERLINK(CONCATENATE("#Metadata!", ADDRESS(INDEX($H$2:$H$1001,MATCH(ROWS($F$2:F930),$F$2:$F$1001,0),0), INDEX($M$1004,1,MATCH(COLUMNS($M$1006:M1006),$M$1006,0)))),"Fix")))</f>
        <v>0</v>
      </c>
      <c r="F930">
        <v>0</v>
      </c>
      <c r="G930">
        <v>0</v>
      </c>
      <c r="H930">
        <v>0</v>
      </c>
      <c r="I930">
        <f>IF(J930,TRUE,AND(M930))</f>
        <v>0</v>
      </c>
      <c r="J930">
        <f>COUNTBLANK(Metadata!B930)=COLUMNS(Metadata!B930)</f>
        <v>0</v>
      </c>
      <c r="K930">
        <v>0</v>
      </c>
      <c r="M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</row>
    <row r="931" spans="1:13">
      <c r="A931" s="3">
        <f>IF(B931=" "," ",HYPERLINK(CONCATENATE("#metadata!",ADDRESS(INDEX($H$2:$H$1001,MATCH(ROWS($F$2:F931),$F$2:$F$1001,0),0),2)),INDEX($K$2:$K$1001,MATCH(ROWS($F$2:F931),$F$2:$F$1001,0),0)))</f>
        <v>0</v>
      </c>
      <c r="B931" s="4">
        <f>IF(OR(INDEX($G$2:$G$1001,MATCH(ROWS($F$2:F931),$F$2:$F$1001,0),1)&gt;=100000,INDEX($M$1005,1,MATCH(COLUMNS($M$1006:M1006),$M$1006,0))&gt;=100000), " ",IF(INDEX($M$2:$M$1001,MATCH(ROWS($F$2:F931),$F$2:$F$1001,0),MATCH(COLUMNS($M$1006:M1006),$M$1006,0)), HYPERLINK("#",""), HYPERLINK(CONCATENATE("#Metadata!", ADDRESS(INDEX($H$2:$H$1001,MATCH(ROWS($F$2:F931),$F$2:$F$1001,0),0), INDEX($M$1004,1,MATCH(COLUMNS($M$1006:M1006),$M$1006,0)))),"Fix")))</f>
        <v>0</v>
      </c>
      <c r="F931">
        <v>0</v>
      </c>
      <c r="G931">
        <v>0</v>
      </c>
      <c r="H931">
        <v>0</v>
      </c>
      <c r="I931">
        <f>IF(J931,TRUE,AND(M931))</f>
        <v>0</v>
      </c>
      <c r="J931">
        <f>COUNTBLANK(Metadata!B931)=COLUMNS(Metadata!B931)</f>
        <v>0</v>
      </c>
      <c r="K931">
        <v>0</v>
      </c>
      <c r="M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</row>
    <row r="932" spans="1:13">
      <c r="A932" s="3">
        <f>IF(B932=" "," ",HYPERLINK(CONCATENATE("#metadata!",ADDRESS(INDEX($H$2:$H$1001,MATCH(ROWS($F$2:F932),$F$2:$F$1001,0),0),2)),INDEX($K$2:$K$1001,MATCH(ROWS($F$2:F932),$F$2:$F$1001,0),0)))</f>
        <v>0</v>
      </c>
      <c r="B932" s="4">
        <f>IF(OR(INDEX($G$2:$G$1001,MATCH(ROWS($F$2:F932),$F$2:$F$1001,0),1)&gt;=100000,INDEX($M$1005,1,MATCH(COLUMNS($M$1006:M1006),$M$1006,0))&gt;=100000), " ",IF(INDEX($M$2:$M$1001,MATCH(ROWS($F$2:F932),$F$2:$F$1001,0),MATCH(COLUMNS($M$1006:M1006),$M$1006,0)), HYPERLINK("#",""), HYPERLINK(CONCATENATE("#Metadata!", ADDRESS(INDEX($H$2:$H$1001,MATCH(ROWS($F$2:F932),$F$2:$F$1001,0),0), INDEX($M$1004,1,MATCH(COLUMNS($M$1006:M1006),$M$1006,0)))),"Fix")))</f>
        <v>0</v>
      </c>
      <c r="F932">
        <v>0</v>
      </c>
      <c r="G932">
        <v>0</v>
      </c>
      <c r="H932">
        <v>0</v>
      </c>
      <c r="I932">
        <f>IF(J932,TRUE,AND(M932))</f>
        <v>0</v>
      </c>
      <c r="J932">
        <f>COUNTBLANK(Metadata!B932)=COLUMNS(Metadata!B932)</f>
        <v>0</v>
      </c>
      <c r="K932">
        <v>0</v>
      </c>
      <c r="M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</row>
    <row r="933" spans="1:13">
      <c r="A933" s="3">
        <f>IF(B933=" "," ",HYPERLINK(CONCATENATE("#metadata!",ADDRESS(INDEX($H$2:$H$1001,MATCH(ROWS($F$2:F933),$F$2:$F$1001,0),0),2)),INDEX($K$2:$K$1001,MATCH(ROWS($F$2:F933),$F$2:$F$1001,0),0)))</f>
        <v>0</v>
      </c>
      <c r="B933" s="4">
        <f>IF(OR(INDEX($G$2:$G$1001,MATCH(ROWS($F$2:F933),$F$2:$F$1001,0),1)&gt;=100000,INDEX($M$1005,1,MATCH(COLUMNS($M$1006:M1006),$M$1006,0))&gt;=100000), " ",IF(INDEX($M$2:$M$1001,MATCH(ROWS($F$2:F933),$F$2:$F$1001,0),MATCH(COLUMNS($M$1006:M1006),$M$1006,0)), HYPERLINK("#",""), HYPERLINK(CONCATENATE("#Metadata!", ADDRESS(INDEX($H$2:$H$1001,MATCH(ROWS($F$2:F933),$F$2:$F$1001,0),0), INDEX($M$1004,1,MATCH(COLUMNS($M$1006:M1006),$M$1006,0)))),"Fix")))</f>
        <v>0</v>
      </c>
      <c r="F933">
        <v>0</v>
      </c>
      <c r="G933">
        <v>0</v>
      </c>
      <c r="H933">
        <v>0</v>
      </c>
      <c r="I933">
        <f>IF(J933,TRUE,AND(M933))</f>
        <v>0</v>
      </c>
      <c r="J933">
        <f>COUNTBLANK(Metadata!B933)=COLUMNS(Metadata!B933)</f>
        <v>0</v>
      </c>
      <c r="K933">
        <v>0</v>
      </c>
      <c r="M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</row>
    <row r="934" spans="1:13">
      <c r="A934" s="3">
        <f>IF(B934=" "," ",HYPERLINK(CONCATENATE("#metadata!",ADDRESS(INDEX($H$2:$H$1001,MATCH(ROWS($F$2:F934),$F$2:$F$1001,0),0),2)),INDEX($K$2:$K$1001,MATCH(ROWS($F$2:F934),$F$2:$F$1001,0),0)))</f>
        <v>0</v>
      </c>
      <c r="B934" s="4">
        <f>IF(OR(INDEX($G$2:$G$1001,MATCH(ROWS($F$2:F934),$F$2:$F$1001,0),1)&gt;=100000,INDEX($M$1005,1,MATCH(COLUMNS($M$1006:M1006),$M$1006,0))&gt;=100000), " ",IF(INDEX($M$2:$M$1001,MATCH(ROWS($F$2:F934),$F$2:$F$1001,0),MATCH(COLUMNS($M$1006:M1006),$M$1006,0)), HYPERLINK("#",""), HYPERLINK(CONCATENATE("#Metadata!", ADDRESS(INDEX($H$2:$H$1001,MATCH(ROWS($F$2:F934),$F$2:$F$1001,0),0), INDEX($M$1004,1,MATCH(COLUMNS($M$1006:M1006),$M$1006,0)))),"Fix")))</f>
        <v>0</v>
      </c>
      <c r="F934">
        <v>0</v>
      </c>
      <c r="G934">
        <v>0</v>
      </c>
      <c r="H934">
        <v>0</v>
      </c>
      <c r="I934">
        <f>IF(J934,TRUE,AND(M934))</f>
        <v>0</v>
      </c>
      <c r="J934">
        <f>COUNTBLANK(Metadata!B934)=COLUMNS(Metadata!B934)</f>
        <v>0</v>
      </c>
      <c r="K934">
        <v>0</v>
      </c>
      <c r="M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</row>
    <row r="935" spans="1:13">
      <c r="A935" s="3">
        <f>IF(B935=" "," ",HYPERLINK(CONCATENATE("#metadata!",ADDRESS(INDEX($H$2:$H$1001,MATCH(ROWS($F$2:F935),$F$2:$F$1001,0),0),2)),INDEX($K$2:$K$1001,MATCH(ROWS($F$2:F935),$F$2:$F$1001,0),0)))</f>
        <v>0</v>
      </c>
      <c r="B935" s="4">
        <f>IF(OR(INDEX($G$2:$G$1001,MATCH(ROWS($F$2:F935),$F$2:$F$1001,0),1)&gt;=100000,INDEX($M$1005,1,MATCH(COLUMNS($M$1006:M1006),$M$1006,0))&gt;=100000), " ",IF(INDEX($M$2:$M$1001,MATCH(ROWS($F$2:F935),$F$2:$F$1001,0),MATCH(COLUMNS($M$1006:M1006),$M$1006,0)), HYPERLINK("#",""), HYPERLINK(CONCATENATE("#Metadata!", ADDRESS(INDEX($H$2:$H$1001,MATCH(ROWS($F$2:F935),$F$2:$F$1001,0),0), INDEX($M$1004,1,MATCH(COLUMNS($M$1006:M1006),$M$1006,0)))),"Fix")))</f>
        <v>0</v>
      </c>
      <c r="F935">
        <v>0</v>
      </c>
      <c r="G935">
        <v>0</v>
      </c>
      <c r="H935">
        <v>0</v>
      </c>
      <c r="I935">
        <f>IF(J935,TRUE,AND(M935))</f>
        <v>0</v>
      </c>
      <c r="J935">
        <f>COUNTBLANK(Metadata!B935)=COLUMNS(Metadata!B935)</f>
        <v>0</v>
      </c>
      <c r="K935">
        <v>0</v>
      </c>
      <c r="M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</row>
    <row r="936" spans="1:13">
      <c r="A936" s="3">
        <f>IF(B936=" "," ",HYPERLINK(CONCATENATE("#metadata!",ADDRESS(INDEX($H$2:$H$1001,MATCH(ROWS($F$2:F936),$F$2:$F$1001,0),0),2)),INDEX($K$2:$K$1001,MATCH(ROWS($F$2:F936),$F$2:$F$1001,0),0)))</f>
        <v>0</v>
      </c>
      <c r="B936" s="4">
        <f>IF(OR(INDEX($G$2:$G$1001,MATCH(ROWS($F$2:F936),$F$2:$F$1001,0),1)&gt;=100000,INDEX($M$1005,1,MATCH(COLUMNS($M$1006:M1006),$M$1006,0))&gt;=100000), " ",IF(INDEX($M$2:$M$1001,MATCH(ROWS($F$2:F936),$F$2:$F$1001,0),MATCH(COLUMNS($M$1006:M1006),$M$1006,0)), HYPERLINK("#",""), HYPERLINK(CONCATENATE("#Metadata!", ADDRESS(INDEX($H$2:$H$1001,MATCH(ROWS($F$2:F936),$F$2:$F$1001,0),0), INDEX($M$1004,1,MATCH(COLUMNS($M$1006:M1006),$M$1006,0)))),"Fix")))</f>
        <v>0</v>
      </c>
      <c r="F936">
        <v>0</v>
      </c>
      <c r="G936">
        <v>0</v>
      </c>
      <c r="H936">
        <v>0</v>
      </c>
      <c r="I936">
        <f>IF(J936,TRUE,AND(M936))</f>
        <v>0</v>
      </c>
      <c r="J936">
        <f>COUNTBLANK(Metadata!B936)=COLUMNS(Metadata!B936)</f>
        <v>0</v>
      </c>
      <c r="K936">
        <v>0</v>
      </c>
      <c r="M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</row>
    <row r="937" spans="1:13">
      <c r="A937" s="3">
        <f>IF(B937=" "," ",HYPERLINK(CONCATENATE("#metadata!",ADDRESS(INDEX($H$2:$H$1001,MATCH(ROWS($F$2:F937),$F$2:$F$1001,0),0),2)),INDEX($K$2:$K$1001,MATCH(ROWS($F$2:F937),$F$2:$F$1001,0),0)))</f>
        <v>0</v>
      </c>
      <c r="B937" s="4">
        <f>IF(OR(INDEX($G$2:$G$1001,MATCH(ROWS($F$2:F937),$F$2:$F$1001,0),1)&gt;=100000,INDEX($M$1005,1,MATCH(COLUMNS($M$1006:M1006),$M$1006,0))&gt;=100000), " ",IF(INDEX($M$2:$M$1001,MATCH(ROWS($F$2:F937),$F$2:$F$1001,0),MATCH(COLUMNS($M$1006:M1006),$M$1006,0)), HYPERLINK("#",""), HYPERLINK(CONCATENATE("#Metadata!", ADDRESS(INDEX($H$2:$H$1001,MATCH(ROWS($F$2:F937),$F$2:$F$1001,0),0), INDEX($M$1004,1,MATCH(COLUMNS($M$1006:M1006),$M$1006,0)))),"Fix")))</f>
        <v>0</v>
      </c>
      <c r="F937">
        <v>0</v>
      </c>
      <c r="G937">
        <v>0</v>
      </c>
      <c r="H937">
        <v>0</v>
      </c>
      <c r="I937">
        <f>IF(J937,TRUE,AND(M937))</f>
        <v>0</v>
      </c>
      <c r="J937">
        <f>COUNTBLANK(Metadata!B937)=COLUMNS(Metadata!B937)</f>
        <v>0</v>
      </c>
      <c r="K937">
        <v>0</v>
      </c>
      <c r="M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</row>
    <row r="938" spans="1:13">
      <c r="A938" s="3">
        <f>IF(B938=" "," ",HYPERLINK(CONCATENATE("#metadata!",ADDRESS(INDEX($H$2:$H$1001,MATCH(ROWS($F$2:F938),$F$2:$F$1001,0),0),2)),INDEX($K$2:$K$1001,MATCH(ROWS($F$2:F938),$F$2:$F$1001,0),0)))</f>
        <v>0</v>
      </c>
      <c r="B938" s="4">
        <f>IF(OR(INDEX($G$2:$G$1001,MATCH(ROWS($F$2:F938),$F$2:$F$1001,0),1)&gt;=100000,INDEX($M$1005,1,MATCH(COLUMNS($M$1006:M1006),$M$1006,0))&gt;=100000), " ",IF(INDEX($M$2:$M$1001,MATCH(ROWS($F$2:F938),$F$2:$F$1001,0),MATCH(COLUMNS($M$1006:M1006),$M$1006,0)), HYPERLINK("#",""), HYPERLINK(CONCATENATE("#Metadata!", ADDRESS(INDEX($H$2:$H$1001,MATCH(ROWS($F$2:F938),$F$2:$F$1001,0),0), INDEX($M$1004,1,MATCH(COLUMNS($M$1006:M1006),$M$1006,0)))),"Fix")))</f>
        <v>0</v>
      </c>
      <c r="F938">
        <v>0</v>
      </c>
      <c r="G938">
        <v>0</v>
      </c>
      <c r="H938">
        <v>0</v>
      </c>
      <c r="I938">
        <f>IF(J938,TRUE,AND(M938))</f>
        <v>0</v>
      </c>
      <c r="J938">
        <f>COUNTBLANK(Metadata!B938)=COLUMNS(Metadata!B938)</f>
        <v>0</v>
      </c>
      <c r="K938">
        <v>0</v>
      </c>
      <c r="M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</row>
    <row r="939" spans="1:13">
      <c r="A939" s="3">
        <f>IF(B939=" "," ",HYPERLINK(CONCATENATE("#metadata!",ADDRESS(INDEX($H$2:$H$1001,MATCH(ROWS($F$2:F939),$F$2:$F$1001,0),0),2)),INDEX($K$2:$K$1001,MATCH(ROWS($F$2:F939),$F$2:$F$1001,0),0)))</f>
        <v>0</v>
      </c>
      <c r="B939" s="4">
        <f>IF(OR(INDEX($G$2:$G$1001,MATCH(ROWS($F$2:F939),$F$2:$F$1001,0),1)&gt;=100000,INDEX($M$1005,1,MATCH(COLUMNS($M$1006:M1006),$M$1006,0))&gt;=100000), " ",IF(INDEX($M$2:$M$1001,MATCH(ROWS($F$2:F939),$F$2:$F$1001,0),MATCH(COLUMNS($M$1006:M1006),$M$1006,0)), HYPERLINK("#",""), HYPERLINK(CONCATENATE("#Metadata!", ADDRESS(INDEX($H$2:$H$1001,MATCH(ROWS($F$2:F939),$F$2:$F$1001,0),0), INDEX($M$1004,1,MATCH(COLUMNS($M$1006:M1006),$M$1006,0)))),"Fix")))</f>
        <v>0</v>
      </c>
      <c r="F939">
        <v>0</v>
      </c>
      <c r="G939">
        <v>0</v>
      </c>
      <c r="H939">
        <v>0</v>
      </c>
      <c r="I939">
        <f>IF(J939,TRUE,AND(M939))</f>
        <v>0</v>
      </c>
      <c r="J939">
        <f>COUNTBLANK(Metadata!B939)=COLUMNS(Metadata!B939)</f>
        <v>0</v>
      </c>
      <c r="K939">
        <v>0</v>
      </c>
      <c r="M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</row>
    <row r="940" spans="1:13">
      <c r="A940" s="3">
        <f>IF(B940=" "," ",HYPERLINK(CONCATENATE("#metadata!",ADDRESS(INDEX($H$2:$H$1001,MATCH(ROWS($F$2:F940),$F$2:$F$1001,0),0),2)),INDEX($K$2:$K$1001,MATCH(ROWS($F$2:F940),$F$2:$F$1001,0),0)))</f>
        <v>0</v>
      </c>
      <c r="B940" s="4">
        <f>IF(OR(INDEX($G$2:$G$1001,MATCH(ROWS($F$2:F940),$F$2:$F$1001,0),1)&gt;=100000,INDEX($M$1005,1,MATCH(COLUMNS($M$1006:M1006),$M$1006,0))&gt;=100000), " ",IF(INDEX($M$2:$M$1001,MATCH(ROWS($F$2:F940),$F$2:$F$1001,0),MATCH(COLUMNS($M$1006:M1006),$M$1006,0)), HYPERLINK("#",""), HYPERLINK(CONCATENATE("#Metadata!", ADDRESS(INDEX($H$2:$H$1001,MATCH(ROWS($F$2:F940),$F$2:$F$1001,0),0), INDEX($M$1004,1,MATCH(COLUMNS($M$1006:M1006),$M$1006,0)))),"Fix")))</f>
        <v>0</v>
      </c>
      <c r="F940">
        <v>0</v>
      </c>
      <c r="G940">
        <v>0</v>
      </c>
      <c r="H940">
        <v>0</v>
      </c>
      <c r="I940">
        <f>IF(J940,TRUE,AND(M940))</f>
        <v>0</v>
      </c>
      <c r="J940">
        <f>COUNTBLANK(Metadata!B940)=COLUMNS(Metadata!B940)</f>
        <v>0</v>
      </c>
      <c r="K940">
        <v>0</v>
      </c>
      <c r="M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</row>
    <row r="941" spans="1:13">
      <c r="A941" s="3">
        <f>IF(B941=" "," ",HYPERLINK(CONCATENATE("#metadata!",ADDRESS(INDEX($H$2:$H$1001,MATCH(ROWS($F$2:F941),$F$2:$F$1001,0),0),2)),INDEX($K$2:$K$1001,MATCH(ROWS($F$2:F941),$F$2:$F$1001,0),0)))</f>
        <v>0</v>
      </c>
      <c r="B941" s="4">
        <f>IF(OR(INDEX($G$2:$G$1001,MATCH(ROWS($F$2:F941),$F$2:$F$1001,0),1)&gt;=100000,INDEX($M$1005,1,MATCH(COLUMNS($M$1006:M1006),$M$1006,0))&gt;=100000), " ",IF(INDEX($M$2:$M$1001,MATCH(ROWS($F$2:F941),$F$2:$F$1001,0),MATCH(COLUMNS($M$1006:M1006),$M$1006,0)), HYPERLINK("#",""), HYPERLINK(CONCATENATE("#Metadata!", ADDRESS(INDEX($H$2:$H$1001,MATCH(ROWS($F$2:F941),$F$2:$F$1001,0),0), INDEX($M$1004,1,MATCH(COLUMNS($M$1006:M1006),$M$1006,0)))),"Fix")))</f>
        <v>0</v>
      </c>
      <c r="F941">
        <v>0</v>
      </c>
      <c r="G941">
        <v>0</v>
      </c>
      <c r="H941">
        <v>0</v>
      </c>
      <c r="I941">
        <f>IF(J941,TRUE,AND(M941))</f>
        <v>0</v>
      </c>
      <c r="J941">
        <f>COUNTBLANK(Metadata!B941)=COLUMNS(Metadata!B941)</f>
        <v>0</v>
      </c>
      <c r="K941">
        <v>0</v>
      </c>
      <c r="M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</row>
    <row r="942" spans="1:13">
      <c r="A942" s="3">
        <f>IF(B942=" "," ",HYPERLINK(CONCATENATE("#metadata!",ADDRESS(INDEX($H$2:$H$1001,MATCH(ROWS($F$2:F942),$F$2:$F$1001,0),0),2)),INDEX($K$2:$K$1001,MATCH(ROWS($F$2:F942),$F$2:$F$1001,0),0)))</f>
        <v>0</v>
      </c>
      <c r="B942" s="4">
        <f>IF(OR(INDEX($G$2:$G$1001,MATCH(ROWS($F$2:F942),$F$2:$F$1001,0),1)&gt;=100000,INDEX($M$1005,1,MATCH(COLUMNS($M$1006:M1006),$M$1006,0))&gt;=100000), " ",IF(INDEX($M$2:$M$1001,MATCH(ROWS($F$2:F942),$F$2:$F$1001,0),MATCH(COLUMNS($M$1006:M1006),$M$1006,0)), HYPERLINK("#",""), HYPERLINK(CONCATENATE("#Metadata!", ADDRESS(INDEX($H$2:$H$1001,MATCH(ROWS($F$2:F942),$F$2:$F$1001,0),0), INDEX($M$1004,1,MATCH(COLUMNS($M$1006:M1006),$M$1006,0)))),"Fix")))</f>
        <v>0</v>
      </c>
      <c r="F942">
        <v>0</v>
      </c>
      <c r="G942">
        <v>0</v>
      </c>
      <c r="H942">
        <v>0</v>
      </c>
      <c r="I942">
        <f>IF(J942,TRUE,AND(M942))</f>
        <v>0</v>
      </c>
      <c r="J942">
        <f>COUNTBLANK(Metadata!B942)=COLUMNS(Metadata!B942)</f>
        <v>0</v>
      </c>
      <c r="K942">
        <v>0</v>
      </c>
      <c r="M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</row>
    <row r="943" spans="1:13">
      <c r="A943" s="3">
        <f>IF(B943=" "," ",HYPERLINK(CONCATENATE("#metadata!",ADDRESS(INDEX($H$2:$H$1001,MATCH(ROWS($F$2:F943),$F$2:$F$1001,0),0),2)),INDEX($K$2:$K$1001,MATCH(ROWS($F$2:F943),$F$2:$F$1001,0),0)))</f>
        <v>0</v>
      </c>
      <c r="B943" s="4">
        <f>IF(OR(INDEX($G$2:$G$1001,MATCH(ROWS($F$2:F943),$F$2:$F$1001,0),1)&gt;=100000,INDEX($M$1005,1,MATCH(COLUMNS($M$1006:M1006),$M$1006,0))&gt;=100000), " ",IF(INDEX($M$2:$M$1001,MATCH(ROWS($F$2:F943),$F$2:$F$1001,0),MATCH(COLUMNS($M$1006:M1006),$M$1006,0)), HYPERLINK("#",""), HYPERLINK(CONCATENATE("#Metadata!", ADDRESS(INDEX($H$2:$H$1001,MATCH(ROWS($F$2:F943),$F$2:$F$1001,0),0), INDEX($M$1004,1,MATCH(COLUMNS($M$1006:M1006),$M$1006,0)))),"Fix")))</f>
        <v>0</v>
      </c>
      <c r="F943">
        <v>0</v>
      </c>
      <c r="G943">
        <v>0</v>
      </c>
      <c r="H943">
        <v>0</v>
      </c>
      <c r="I943">
        <f>IF(J943,TRUE,AND(M943))</f>
        <v>0</v>
      </c>
      <c r="J943">
        <f>COUNTBLANK(Metadata!B943)=COLUMNS(Metadata!B943)</f>
        <v>0</v>
      </c>
      <c r="K943">
        <v>0</v>
      </c>
      <c r="M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</row>
    <row r="944" spans="1:13">
      <c r="A944" s="3">
        <f>IF(B944=" "," ",HYPERLINK(CONCATENATE("#metadata!",ADDRESS(INDEX($H$2:$H$1001,MATCH(ROWS($F$2:F944),$F$2:$F$1001,0),0),2)),INDEX($K$2:$K$1001,MATCH(ROWS($F$2:F944),$F$2:$F$1001,0),0)))</f>
        <v>0</v>
      </c>
      <c r="B944" s="4">
        <f>IF(OR(INDEX($G$2:$G$1001,MATCH(ROWS($F$2:F944),$F$2:$F$1001,0),1)&gt;=100000,INDEX($M$1005,1,MATCH(COLUMNS($M$1006:M1006),$M$1006,0))&gt;=100000), " ",IF(INDEX($M$2:$M$1001,MATCH(ROWS($F$2:F944),$F$2:$F$1001,0),MATCH(COLUMNS($M$1006:M1006),$M$1006,0)), HYPERLINK("#",""), HYPERLINK(CONCATENATE("#Metadata!", ADDRESS(INDEX($H$2:$H$1001,MATCH(ROWS($F$2:F944),$F$2:$F$1001,0),0), INDEX($M$1004,1,MATCH(COLUMNS($M$1006:M1006),$M$1006,0)))),"Fix")))</f>
        <v>0</v>
      </c>
      <c r="F944">
        <v>0</v>
      </c>
      <c r="G944">
        <v>0</v>
      </c>
      <c r="H944">
        <v>0</v>
      </c>
      <c r="I944">
        <f>IF(J944,TRUE,AND(M944))</f>
        <v>0</v>
      </c>
      <c r="J944">
        <f>COUNTBLANK(Metadata!B944)=COLUMNS(Metadata!B944)</f>
        <v>0</v>
      </c>
      <c r="K944">
        <v>0</v>
      </c>
      <c r="M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</row>
    <row r="945" spans="1:13">
      <c r="A945" s="3">
        <f>IF(B945=" "," ",HYPERLINK(CONCATENATE("#metadata!",ADDRESS(INDEX($H$2:$H$1001,MATCH(ROWS($F$2:F945),$F$2:$F$1001,0),0),2)),INDEX($K$2:$K$1001,MATCH(ROWS($F$2:F945),$F$2:$F$1001,0),0)))</f>
        <v>0</v>
      </c>
      <c r="B945" s="4">
        <f>IF(OR(INDEX($G$2:$G$1001,MATCH(ROWS($F$2:F945),$F$2:$F$1001,0),1)&gt;=100000,INDEX($M$1005,1,MATCH(COLUMNS($M$1006:M1006),$M$1006,0))&gt;=100000), " ",IF(INDEX($M$2:$M$1001,MATCH(ROWS($F$2:F945),$F$2:$F$1001,0),MATCH(COLUMNS($M$1006:M1006),$M$1006,0)), HYPERLINK("#",""), HYPERLINK(CONCATENATE("#Metadata!", ADDRESS(INDEX($H$2:$H$1001,MATCH(ROWS($F$2:F945),$F$2:$F$1001,0),0), INDEX($M$1004,1,MATCH(COLUMNS($M$1006:M1006),$M$1006,0)))),"Fix")))</f>
        <v>0</v>
      </c>
      <c r="F945">
        <v>0</v>
      </c>
      <c r="G945">
        <v>0</v>
      </c>
      <c r="H945">
        <v>0</v>
      </c>
      <c r="I945">
        <f>IF(J945,TRUE,AND(M945))</f>
        <v>0</v>
      </c>
      <c r="J945">
        <f>COUNTBLANK(Metadata!B945)=COLUMNS(Metadata!B945)</f>
        <v>0</v>
      </c>
      <c r="K945">
        <v>0</v>
      </c>
      <c r="M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</row>
    <row r="946" spans="1:13">
      <c r="A946" s="3">
        <f>IF(B946=" "," ",HYPERLINK(CONCATENATE("#metadata!",ADDRESS(INDEX($H$2:$H$1001,MATCH(ROWS($F$2:F946),$F$2:$F$1001,0),0),2)),INDEX($K$2:$K$1001,MATCH(ROWS($F$2:F946),$F$2:$F$1001,0),0)))</f>
        <v>0</v>
      </c>
      <c r="B946" s="4">
        <f>IF(OR(INDEX($G$2:$G$1001,MATCH(ROWS($F$2:F946),$F$2:$F$1001,0),1)&gt;=100000,INDEX($M$1005,1,MATCH(COLUMNS($M$1006:M1006),$M$1006,0))&gt;=100000), " ",IF(INDEX($M$2:$M$1001,MATCH(ROWS($F$2:F946),$F$2:$F$1001,0),MATCH(COLUMNS($M$1006:M1006),$M$1006,0)), HYPERLINK("#",""), HYPERLINK(CONCATENATE("#Metadata!", ADDRESS(INDEX($H$2:$H$1001,MATCH(ROWS($F$2:F946),$F$2:$F$1001,0),0), INDEX($M$1004,1,MATCH(COLUMNS($M$1006:M1006),$M$1006,0)))),"Fix")))</f>
        <v>0</v>
      </c>
      <c r="F946">
        <v>0</v>
      </c>
      <c r="G946">
        <v>0</v>
      </c>
      <c r="H946">
        <v>0</v>
      </c>
      <c r="I946">
        <f>IF(J946,TRUE,AND(M946))</f>
        <v>0</v>
      </c>
      <c r="J946">
        <f>COUNTBLANK(Metadata!B946)=COLUMNS(Metadata!B946)</f>
        <v>0</v>
      </c>
      <c r="K946">
        <v>0</v>
      </c>
      <c r="M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</row>
    <row r="947" spans="1:13">
      <c r="A947" s="3">
        <f>IF(B947=" "," ",HYPERLINK(CONCATENATE("#metadata!",ADDRESS(INDEX($H$2:$H$1001,MATCH(ROWS($F$2:F947),$F$2:$F$1001,0),0),2)),INDEX($K$2:$K$1001,MATCH(ROWS($F$2:F947),$F$2:$F$1001,0),0)))</f>
        <v>0</v>
      </c>
      <c r="B947" s="4">
        <f>IF(OR(INDEX($G$2:$G$1001,MATCH(ROWS($F$2:F947),$F$2:$F$1001,0),1)&gt;=100000,INDEX($M$1005,1,MATCH(COLUMNS($M$1006:M1006),$M$1006,0))&gt;=100000), " ",IF(INDEX($M$2:$M$1001,MATCH(ROWS($F$2:F947),$F$2:$F$1001,0),MATCH(COLUMNS($M$1006:M1006),$M$1006,0)), HYPERLINK("#",""), HYPERLINK(CONCATENATE("#Metadata!", ADDRESS(INDEX($H$2:$H$1001,MATCH(ROWS($F$2:F947),$F$2:$F$1001,0),0), INDEX($M$1004,1,MATCH(COLUMNS($M$1006:M1006),$M$1006,0)))),"Fix")))</f>
        <v>0</v>
      </c>
      <c r="F947">
        <v>0</v>
      </c>
      <c r="G947">
        <v>0</v>
      </c>
      <c r="H947">
        <v>0</v>
      </c>
      <c r="I947">
        <f>IF(J947,TRUE,AND(M947))</f>
        <v>0</v>
      </c>
      <c r="J947">
        <f>COUNTBLANK(Metadata!B947)=COLUMNS(Metadata!B947)</f>
        <v>0</v>
      </c>
      <c r="K947">
        <v>0</v>
      </c>
      <c r="M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</row>
    <row r="948" spans="1:13">
      <c r="A948" s="3">
        <f>IF(B948=" "," ",HYPERLINK(CONCATENATE("#metadata!",ADDRESS(INDEX($H$2:$H$1001,MATCH(ROWS($F$2:F948),$F$2:$F$1001,0),0),2)),INDEX($K$2:$K$1001,MATCH(ROWS($F$2:F948),$F$2:$F$1001,0),0)))</f>
        <v>0</v>
      </c>
      <c r="B948" s="4">
        <f>IF(OR(INDEX($G$2:$G$1001,MATCH(ROWS($F$2:F948),$F$2:$F$1001,0),1)&gt;=100000,INDEX($M$1005,1,MATCH(COLUMNS($M$1006:M1006),$M$1006,0))&gt;=100000), " ",IF(INDEX($M$2:$M$1001,MATCH(ROWS($F$2:F948),$F$2:$F$1001,0),MATCH(COLUMNS($M$1006:M1006),$M$1006,0)), HYPERLINK("#",""), HYPERLINK(CONCATENATE("#Metadata!", ADDRESS(INDEX($H$2:$H$1001,MATCH(ROWS($F$2:F948),$F$2:$F$1001,0),0), INDEX($M$1004,1,MATCH(COLUMNS($M$1006:M1006),$M$1006,0)))),"Fix")))</f>
        <v>0</v>
      </c>
      <c r="F948">
        <v>0</v>
      </c>
      <c r="G948">
        <v>0</v>
      </c>
      <c r="H948">
        <v>0</v>
      </c>
      <c r="I948">
        <f>IF(J948,TRUE,AND(M948))</f>
        <v>0</v>
      </c>
      <c r="J948">
        <f>COUNTBLANK(Metadata!B948)=COLUMNS(Metadata!B948)</f>
        <v>0</v>
      </c>
      <c r="K948">
        <v>0</v>
      </c>
      <c r="M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</row>
    <row r="949" spans="1:13">
      <c r="A949" s="3">
        <f>IF(B949=" "," ",HYPERLINK(CONCATENATE("#metadata!",ADDRESS(INDEX($H$2:$H$1001,MATCH(ROWS($F$2:F949),$F$2:$F$1001,0),0),2)),INDEX($K$2:$K$1001,MATCH(ROWS($F$2:F949),$F$2:$F$1001,0),0)))</f>
        <v>0</v>
      </c>
      <c r="B949" s="4">
        <f>IF(OR(INDEX($G$2:$G$1001,MATCH(ROWS($F$2:F949),$F$2:$F$1001,0),1)&gt;=100000,INDEX($M$1005,1,MATCH(COLUMNS($M$1006:M1006),$M$1006,0))&gt;=100000), " ",IF(INDEX($M$2:$M$1001,MATCH(ROWS($F$2:F949),$F$2:$F$1001,0),MATCH(COLUMNS($M$1006:M1006),$M$1006,0)), HYPERLINK("#",""), HYPERLINK(CONCATENATE("#Metadata!", ADDRESS(INDEX($H$2:$H$1001,MATCH(ROWS($F$2:F949),$F$2:$F$1001,0),0), INDEX($M$1004,1,MATCH(COLUMNS($M$1006:M1006),$M$1006,0)))),"Fix")))</f>
        <v>0</v>
      </c>
      <c r="F949">
        <v>0</v>
      </c>
      <c r="G949">
        <v>0</v>
      </c>
      <c r="H949">
        <v>0</v>
      </c>
      <c r="I949">
        <f>IF(J949,TRUE,AND(M949))</f>
        <v>0</v>
      </c>
      <c r="J949">
        <f>COUNTBLANK(Metadata!B949)=COLUMNS(Metadata!B949)</f>
        <v>0</v>
      </c>
      <c r="K949">
        <v>0</v>
      </c>
      <c r="M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</row>
    <row r="950" spans="1:13">
      <c r="A950" s="3">
        <f>IF(B950=" "," ",HYPERLINK(CONCATENATE("#metadata!",ADDRESS(INDEX($H$2:$H$1001,MATCH(ROWS($F$2:F950),$F$2:$F$1001,0),0),2)),INDEX($K$2:$K$1001,MATCH(ROWS($F$2:F950),$F$2:$F$1001,0),0)))</f>
        <v>0</v>
      </c>
      <c r="B950" s="4">
        <f>IF(OR(INDEX($G$2:$G$1001,MATCH(ROWS($F$2:F950),$F$2:$F$1001,0),1)&gt;=100000,INDEX($M$1005,1,MATCH(COLUMNS($M$1006:M1006),$M$1006,0))&gt;=100000), " ",IF(INDEX($M$2:$M$1001,MATCH(ROWS($F$2:F950),$F$2:$F$1001,0),MATCH(COLUMNS($M$1006:M1006),$M$1006,0)), HYPERLINK("#",""), HYPERLINK(CONCATENATE("#Metadata!", ADDRESS(INDEX($H$2:$H$1001,MATCH(ROWS($F$2:F950),$F$2:$F$1001,0),0), INDEX($M$1004,1,MATCH(COLUMNS($M$1006:M1006),$M$1006,0)))),"Fix")))</f>
        <v>0</v>
      </c>
      <c r="F950">
        <v>0</v>
      </c>
      <c r="G950">
        <v>0</v>
      </c>
      <c r="H950">
        <v>0</v>
      </c>
      <c r="I950">
        <f>IF(J950,TRUE,AND(M950))</f>
        <v>0</v>
      </c>
      <c r="J950">
        <f>COUNTBLANK(Metadata!B950)=COLUMNS(Metadata!B950)</f>
        <v>0</v>
      </c>
      <c r="K950">
        <v>0</v>
      </c>
      <c r="M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</row>
    <row r="951" spans="1:13">
      <c r="A951" s="3">
        <f>IF(B951=" "," ",HYPERLINK(CONCATENATE("#metadata!",ADDRESS(INDEX($H$2:$H$1001,MATCH(ROWS($F$2:F951),$F$2:$F$1001,0),0),2)),INDEX($K$2:$K$1001,MATCH(ROWS($F$2:F951),$F$2:$F$1001,0),0)))</f>
        <v>0</v>
      </c>
      <c r="B951" s="4">
        <f>IF(OR(INDEX($G$2:$G$1001,MATCH(ROWS($F$2:F951),$F$2:$F$1001,0),1)&gt;=100000,INDEX($M$1005,1,MATCH(COLUMNS($M$1006:M1006),$M$1006,0))&gt;=100000), " ",IF(INDEX($M$2:$M$1001,MATCH(ROWS($F$2:F951),$F$2:$F$1001,0),MATCH(COLUMNS($M$1006:M1006),$M$1006,0)), HYPERLINK("#",""), HYPERLINK(CONCATENATE("#Metadata!", ADDRESS(INDEX($H$2:$H$1001,MATCH(ROWS($F$2:F951),$F$2:$F$1001,0),0), INDEX($M$1004,1,MATCH(COLUMNS($M$1006:M1006),$M$1006,0)))),"Fix")))</f>
        <v>0</v>
      </c>
      <c r="F951">
        <v>0</v>
      </c>
      <c r="G951">
        <v>0</v>
      </c>
      <c r="H951">
        <v>0</v>
      </c>
      <c r="I951">
        <f>IF(J951,TRUE,AND(M951))</f>
        <v>0</v>
      </c>
      <c r="J951">
        <f>COUNTBLANK(Metadata!B951)=COLUMNS(Metadata!B951)</f>
        <v>0</v>
      </c>
      <c r="K951">
        <v>0</v>
      </c>
      <c r="M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</row>
    <row r="952" spans="1:13">
      <c r="A952" s="3">
        <f>IF(B952=" "," ",HYPERLINK(CONCATENATE("#metadata!",ADDRESS(INDEX($H$2:$H$1001,MATCH(ROWS($F$2:F952),$F$2:$F$1001,0),0),2)),INDEX($K$2:$K$1001,MATCH(ROWS($F$2:F952),$F$2:$F$1001,0),0)))</f>
        <v>0</v>
      </c>
      <c r="B952" s="4">
        <f>IF(OR(INDEX($G$2:$G$1001,MATCH(ROWS($F$2:F952),$F$2:$F$1001,0),1)&gt;=100000,INDEX($M$1005,1,MATCH(COLUMNS($M$1006:M1006),$M$1006,0))&gt;=100000), " ",IF(INDEX($M$2:$M$1001,MATCH(ROWS($F$2:F952),$F$2:$F$1001,0),MATCH(COLUMNS($M$1006:M1006),$M$1006,0)), HYPERLINK("#",""), HYPERLINK(CONCATENATE("#Metadata!", ADDRESS(INDEX($H$2:$H$1001,MATCH(ROWS($F$2:F952),$F$2:$F$1001,0),0), INDEX($M$1004,1,MATCH(COLUMNS($M$1006:M1006),$M$1006,0)))),"Fix")))</f>
        <v>0</v>
      </c>
      <c r="F952">
        <v>0</v>
      </c>
      <c r="G952">
        <v>0</v>
      </c>
      <c r="H952">
        <v>0</v>
      </c>
      <c r="I952">
        <f>IF(J952,TRUE,AND(M952))</f>
        <v>0</v>
      </c>
      <c r="J952">
        <f>COUNTBLANK(Metadata!B952)=COLUMNS(Metadata!B952)</f>
        <v>0</v>
      </c>
      <c r="K952">
        <v>0</v>
      </c>
      <c r="M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</row>
    <row r="953" spans="1:13">
      <c r="A953" s="3">
        <f>IF(B953=" "," ",HYPERLINK(CONCATENATE("#metadata!",ADDRESS(INDEX($H$2:$H$1001,MATCH(ROWS($F$2:F953),$F$2:$F$1001,0),0),2)),INDEX($K$2:$K$1001,MATCH(ROWS($F$2:F953),$F$2:$F$1001,0),0)))</f>
        <v>0</v>
      </c>
      <c r="B953" s="4">
        <f>IF(OR(INDEX($G$2:$G$1001,MATCH(ROWS($F$2:F953),$F$2:$F$1001,0),1)&gt;=100000,INDEX($M$1005,1,MATCH(COLUMNS($M$1006:M1006),$M$1006,0))&gt;=100000), " ",IF(INDEX($M$2:$M$1001,MATCH(ROWS($F$2:F953),$F$2:$F$1001,0),MATCH(COLUMNS($M$1006:M1006),$M$1006,0)), HYPERLINK("#",""), HYPERLINK(CONCATENATE("#Metadata!", ADDRESS(INDEX($H$2:$H$1001,MATCH(ROWS($F$2:F953),$F$2:$F$1001,0),0), INDEX($M$1004,1,MATCH(COLUMNS($M$1006:M1006),$M$1006,0)))),"Fix")))</f>
        <v>0</v>
      </c>
      <c r="F953">
        <v>0</v>
      </c>
      <c r="G953">
        <v>0</v>
      </c>
      <c r="H953">
        <v>0</v>
      </c>
      <c r="I953">
        <f>IF(J953,TRUE,AND(M953))</f>
        <v>0</v>
      </c>
      <c r="J953">
        <f>COUNTBLANK(Metadata!B953)=COLUMNS(Metadata!B953)</f>
        <v>0</v>
      </c>
      <c r="K953">
        <v>0</v>
      </c>
      <c r="M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</row>
    <row r="954" spans="1:13">
      <c r="A954" s="3">
        <f>IF(B954=" "," ",HYPERLINK(CONCATENATE("#metadata!",ADDRESS(INDEX($H$2:$H$1001,MATCH(ROWS($F$2:F954),$F$2:$F$1001,0),0),2)),INDEX($K$2:$K$1001,MATCH(ROWS($F$2:F954),$F$2:$F$1001,0),0)))</f>
        <v>0</v>
      </c>
      <c r="B954" s="4">
        <f>IF(OR(INDEX($G$2:$G$1001,MATCH(ROWS($F$2:F954),$F$2:$F$1001,0),1)&gt;=100000,INDEX($M$1005,1,MATCH(COLUMNS($M$1006:M1006),$M$1006,0))&gt;=100000), " ",IF(INDEX($M$2:$M$1001,MATCH(ROWS($F$2:F954),$F$2:$F$1001,0),MATCH(COLUMNS($M$1006:M1006),$M$1006,0)), HYPERLINK("#",""), HYPERLINK(CONCATENATE("#Metadata!", ADDRESS(INDEX($H$2:$H$1001,MATCH(ROWS($F$2:F954),$F$2:$F$1001,0),0), INDEX($M$1004,1,MATCH(COLUMNS($M$1006:M1006),$M$1006,0)))),"Fix")))</f>
        <v>0</v>
      </c>
      <c r="F954">
        <v>0</v>
      </c>
      <c r="G954">
        <v>0</v>
      </c>
      <c r="H954">
        <v>0</v>
      </c>
      <c r="I954">
        <f>IF(J954,TRUE,AND(M954))</f>
        <v>0</v>
      </c>
      <c r="J954">
        <f>COUNTBLANK(Metadata!B954)=COLUMNS(Metadata!B954)</f>
        <v>0</v>
      </c>
      <c r="K954">
        <v>0</v>
      </c>
      <c r="M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</row>
    <row r="955" spans="1:13">
      <c r="A955" s="3">
        <f>IF(B955=" "," ",HYPERLINK(CONCATENATE("#metadata!",ADDRESS(INDEX($H$2:$H$1001,MATCH(ROWS($F$2:F955),$F$2:$F$1001,0),0),2)),INDEX($K$2:$K$1001,MATCH(ROWS($F$2:F955),$F$2:$F$1001,0),0)))</f>
        <v>0</v>
      </c>
      <c r="B955" s="4">
        <f>IF(OR(INDEX($G$2:$G$1001,MATCH(ROWS($F$2:F955),$F$2:$F$1001,0),1)&gt;=100000,INDEX($M$1005,1,MATCH(COLUMNS($M$1006:M1006),$M$1006,0))&gt;=100000), " ",IF(INDEX($M$2:$M$1001,MATCH(ROWS($F$2:F955),$F$2:$F$1001,0),MATCH(COLUMNS($M$1006:M1006),$M$1006,0)), HYPERLINK("#",""), HYPERLINK(CONCATENATE("#Metadata!", ADDRESS(INDEX($H$2:$H$1001,MATCH(ROWS($F$2:F955),$F$2:$F$1001,0),0), INDEX($M$1004,1,MATCH(COLUMNS($M$1006:M1006),$M$1006,0)))),"Fix")))</f>
        <v>0</v>
      </c>
      <c r="F955">
        <v>0</v>
      </c>
      <c r="G955">
        <v>0</v>
      </c>
      <c r="H955">
        <v>0</v>
      </c>
      <c r="I955">
        <f>IF(J955,TRUE,AND(M955))</f>
        <v>0</v>
      </c>
      <c r="J955">
        <f>COUNTBLANK(Metadata!B955)=COLUMNS(Metadata!B955)</f>
        <v>0</v>
      </c>
      <c r="K955">
        <v>0</v>
      </c>
      <c r="M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</row>
    <row r="956" spans="1:13">
      <c r="A956" s="3">
        <f>IF(B956=" "," ",HYPERLINK(CONCATENATE("#metadata!",ADDRESS(INDEX($H$2:$H$1001,MATCH(ROWS($F$2:F956),$F$2:$F$1001,0),0),2)),INDEX($K$2:$K$1001,MATCH(ROWS($F$2:F956),$F$2:$F$1001,0),0)))</f>
        <v>0</v>
      </c>
      <c r="B956" s="4">
        <f>IF(OR(INDEX($G$2:$G$1001,MATCH(ROWS($F$2:F956),$F$2:$F$1001,0),1)&gt;=100000,INDEX($M$1005,1,MATCH(COLUMNS($M$1006:M1006),$M$1006,0))&gt;=100000), " ",IF(INDEX($M$2:$M$1001,MATCH(ROWS($F$2:F956),$F$2:$F$1001,0),MATCH(COLUMNS($M$1006:M1006),$M$1006,0)), HYPERLINK("#",""), HYPERLINK(CONCATENATE("#Metadata!", ADDRESS(INDEX($H$2:$H$1001,MATCH(ROWS($F$2:F956),$F$2:$F$1001,0),0), INDEX($M$1004,1,MATCH(COLUMNS($M$1006:M1006),$M$1006,0)))),"Fix")))</f>
        <v>0</v>
      </c>
      <c r="F956">
        <v>0</v>
      </c>
      <c r="G956">
        <v>0</v>
      </c>
      <c r="H956">
        <v>0</v>
      </c>
      <c r="I956">
        <f>IF(J956,TRUE,AND(M956))</f>
        <v>0</v>
      </c>
      <c r="J956">
        <f>COUNTBLANK(Metadata!B956)=COLUMNS(Metadata!B956)</f>
        <v>0</v>
      </c>
      <c r="K956">
        <v>0</v>
      </c>
      <c r="M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</row>
    <row r="957" spans="1:13">
      <c r="A957" s="3">
        <f>IF(B957=" "," ",HYPERLINK(CONCATENATE("#metadata!",ADDRESS(INDEX($H$2:$H$1001,MATCH(ROWS($F$2:F957),$F$2:$F$1001,0),0),2)),INDEX($K$2:$K$1001,MATCH(ROWS($F$2:F957),$F$2:$F$1001,0),0)))</f>
        <v>0</v>
      </c>
      <c r="B957" s="4">
        <f>IF(OR(INDEX($G$2:$G$1001,MATCH(ROWS($F$2:F957),$F$2:$F$1001,0),1)&gt;=100000,INDEX($M$1005,1,MATCH(COLUMNS($M$1006:M1006),$M$1006,0))&gt;=100000), " ",IF(INDEX($M$2:$M$1001,MATCH(ROWS($F$2:F957),$F$2:$F$1001,0),MATCH(COLUMNS($M$1006:M1006),$M$1006,0)), HYPERLINK("#",""), HYPERLINK(CONCATENATE("#Metadata!", ADDRESS(INDEX($H$2:$H$1001,MATCH(ROWS($F$2:F957),$F$2:$F$1001,0),0), INDEX($M$1004,1,MATCH(COLUMNS($M$1006:M1006),$M$1006,0)))),"Fix")))</f>
        <v>0</v>
      </c>
      <c r="F957">
        <v>0</v>
      </c>
      <c r="G957">
        <v>0</v>
      </c>
      <c r="H957">
        <v>0</v>
      </c>
      <c r="I957">
        <f>IF(J957,TRUE,AND(M957))</f>
        <v>0</v>
      </c>
      <c r="J957">
        <f>COUNTBLANK(Metadata!B957)=COLUMNS(Metadata!B957)</f>
        <v>0</v>
      </c>
      <c r="K957">
        <v>0</v>
      </c>
      <c r="M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</row>
    <row r="958" spans="1:13">
      <c r="A958" s="3">
        <f>IF(B958=" "," ",HYPERLINK(CONCATENATE("#metadata!",ADDRESS(INDEX($H$2:$H$1001,MATCH(ROWS($F$2:F958),$F$2:$F$1001,0),0),2)),INDEX($K$2:$K$1001,MATCH(ROWS($F$2:F958),$F$2:$F$1001,0),0)))</f>
        <v>0</v>
      </c>
      <c r="B958" s="4">
        <f>IF(OR(INDEX($G$2:$G$1001,MATCH(ROWS($F$2:F958),$F$2:$F$1001,0),1)&gt;=100000,INDEX($M$1005,1,MATCH(COLUMNS($M$1006:M1006),$M$1006,0))&gt;=100000), " ",IF(INDEX($M$2:$M$1001,MATCH(ROWS($F$2:F958),$F$2:$F$1001,0),MATCH(COLUMNS($M$1006:M1006),$M$1006,0)), HYPERLINK("#",""), HYPERLINK(CONCATENATE("#Metadata!", ADDRESS(INDEX($H$2:$H$1001,MATCH(ROWS($F$2:F958),$F$2:$F$1001,0),0), INDEX($M$1004,1,MATCH(COLUMNS($M$1006:M1006),$M$1006,0)))),"Fix")))</f>
        <v>0</v>
      </c>
      <c r="F958">
        <v>0</v>
      </c>
      <c r="G958">
        <v>0</v>
      </c>
      <c r="H958">
        <v>0</v>
      </c>
      <c r="I958">
        <f>IF(J958,TRUE,AND(M958))</f>
        <v>0</v>
      </c>
      <c r="J958">
        <f>COUNTBLANK(Metadata!B958)=COLUMNS(Metadata!B958)</f>
        <v>0</v>
      </c>
      <c r="K958">
        <v>0</v>
      </c>
      <c r="M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</row>
    <row r="959" spans="1:13">
      <c r="A959" s="3">
        <f>IF(B959=" "," ",HYPERLINK(CONCATENATE("#metadata!",ADDRESS(INDEX($H$2:$H$1001,MATCH(ROWS($F$2:F959),$F$2:$F$1001,0),0),2)),INDEX($K$2:$K$1001,MATCH(ROWS($F$2:F959),$F$2:$F$1001,0),0)))</f>
        <v>0</v>
      </c>
      <c r="B959" s="4">
        <f>IF(OR(INDEX($G$2:$G$1001,MATCH(ROWS($F$2:F959),$F$2:$F$1001,0),1)&gt;=100000,INDEX($M$1005,1,MATCH(COLUMNS($M$1006:M1006),$M$1006,0))&gt;=100000), " ",IF(INDEX($M$2:$M$1001,MATCH(ROWS($F$2:F959),$F$2:$F$1001,0),MATCH(COLUMNS($M$1006:M1006),$M$1006,0)), HYPERLINK("#",""), HYPERLINK(CONCATENATE("#Metadata!", ADDRESS(INDEX($H$2:$H$1001,MATCH(ROWS($F$2:F959),$F$2:$F$1001,0),0), INDEX($M$1004,1,MATCH(COLUMNS($M$1006:M1006),$M$1006,0)))),"Fix")))</f>
        <v>0</v>
      </c>
      <c r="F959">
        <v>0</v>
      </c>
      <c r="G959">
        <v>0</v>
      </c>
      <c r="H959">
        <v>0</v>
      </c>
      <c r="I959">
        <f>IF(J959,TRUE,AND(M959))</f>
        <v>0</v>
      </c>
      <c r="J959">
        <f>COUNTBLANK(Metadata!B959)=COLUMNS(Metadata!B959)</f>
        <v>0</v>
      </c>
      <c r="K959">
        <v>0</v>
      </c>
      <c r="M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</row>
    <row r="960" spans="1:13">
      <c r="A960" s="3">
        <f>IF(B960=" "," ",HYPERLINK(CONCATENATE("#metadata!",ADDRESS(INDEX($H$2:$H$1001,MATCH(ROWS($F$2:F960),$F$2:$F$1001,0),0),2)),INDEX($K$2:$K$1001,MATCH(ROWS($F$2:F960),$F$2:$F$1001,0),0)))</f>
        <v>0</v>
      </c>
      <c r="B960" s="4">
        <f>IF(OR(INDEX($G$2:$G$1001,MATCH(ROWS($F$2:F960),$F$2:$F$1001,0),1)&gt;=100000,INDEX($M$1005,1,MATCH(COLUMNS($M$1006:M1006),$M$1006,0))&gt;=100000), " ",IF(INDEX($M$2:$M$1001,MATCH(ROWS($F$2:F960),$F$2:$F$1001,0),MATCH(COLUMNS($M$1006:M1006),$M$1006,0)), HYPERLINK("#",""), HYPERLINK(CONCATENATE("#Metadata!", ADDRESS(INDEX($H$2:$H$1001,MATCH(ROWS($F$2:F960),$F$2:$F$1001,0),0), INDEX($M$1004,1,MATCH(COLUMNS($M$1006:M1006),$M$1006,0)))),"Fix")))</f>
        <v>0</v>
      </c>
      <c r="F960">
        <v>0</v>
      </c>
      <c r="G960">
        <v>0</v>
      </c>
      <c r="H960">
        <v>0</v>
      </c>
      <c r="I960">
        <f>IF(J960,TRUE,AND(M960))</f>
        <v>0</v>
      </c>
      <c r="J960">
        <f>COUNTBLANK(Metadata!B960)=COLUMNS(Metadata!B960)</f>
        <v>0</v>
      </c>
      <c r="K960">
        <v>0</v>
      </c>
      <c r="M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</row>
    <row r="961" spans="1:13">
      <c r="A961" s="3">
        <f>IF(B961=" "," ",HYPERLINK(CONCATENATE("#metadata!",ADDRESS(INDEX($H$2:$H$1001,MATCH(ROWS($F$2:F961),$F$2:$F$1001,0),0),2)),INDEX($K$2:$K$1001,MATCH(ROWS($F$2:F961),$F$2:$F$1001,0),0)))</f>
        <v>0</v>
      </c>
      <c r="B961" s="4">
        <f>IF(OR(INDEX($G$2:$G$1001,MATCH(ROWS($F$2:F961),$F$2:$F$1001,0),1)&gt;=100000,INDEX($M$1005,1,MATCH(COLUMNS($M$1006:M1006),$M$1006,0))&gt;=100000), " ",IF(INDEX($M$2:$M$1001,MATCH(ROWS($F$2:F961),$F$2:$F$1001,0),MATCH(COLUMNS($M$1006:M1006),$M$1006,0)), HYPERLINK("#",""), HYPERLINK(CONCATENATE("#Metadata!", ADDRESS(INDEX($H$2:$H$1001,MATCH(ROWS($F$2:F961),$F$2:$F$1001,0),0), INDEX($M$1004,1,MATCH(COLUMNS($M$1006:M1006),$M$1006,0)))),"Fix")))</f>
        <v>0</v>
      </c>
      <c r="F961">
        <v>0</v>
      </c>
      <c r="G961">
        <v>0</v>
      </c>
      <c r="H961">
        <v>0</v>
      </c>
      <c r="I961">
        <f>IF(J961,TRUE,AND(M961))</f>
        <v>0</v>
      </c>
      <c r="J961">
        <f>COUNTBLANK(Metadata!B961)=COLUMNS(Metadata!B961)</f>
        <v>0</v>
      </c>
      <c r="K961">
        <v>0</v>
      </c>
      <c r="M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</row>
    <row r="962" spans="1:13">
      <c r="A962" s="3">
        <f>IF(B962=" "," ",HYPERLINK(CONCATENATE("#metadata!",ADDRESS(INDEX($H$2:$H$1001,MATCH(ROWS($F$2:F962),$F$2:$F$1001,0),0),2)),INDEX($K$2:$K$1001,MATCH(ROWS($F$2:F962),$F$2:$F$1001,0),0)))</f>
        <v>0</v>
      </c>
      <c r="B962" s="4">
        <f>IF(OR(INDEX($G$2:$G$1001,MATCH(ROWS($F$2:F962),$F$2:$F$1001,0),1)&gt;=100000,INDEX($M$1005,1,MATCH(COLUMNS($M$1006:M1006),$M$1006,0))&gt;=100000), " ",IF(INDEX($M$2:$M$1001,MATCH(ROWS($F$2:F962),$F$2:$F$1001,0),MATCH(COLUMNS($M$1006:M1006),$M$1006,0)), HYPERLINK("#",""), HYPERLINK(CONCATENATE("#Metadata!", ADDRESS(INDEX($H$2:$H$1001,MATCH(ROWS($F$2:F962),$F$2:$F$1001,0),0), INDEX($M$1004,1,MATCH(COLUMNS($M$1006:M1006),$M$1006,0)))),"Fix")))</f>
        <v>0</v>
      </c>
      <c r="F962">
        <v>0</v>
      </c>
      <c r="G962">
        <v>0</v>
      </c>
      <c r="H962">
        <v>0</v>
      </c>
      <c r="I962">
        <f>IF(J962,TRUE,AND(M962))</f>
        <v>0</v>
      </c>
      <c r="J962">
        <f>COUNTBLANK(Metadata!B962)=COLUMNS(Metadata!B962)</f>
        <v>0</v>
      </c>
      <c r="K962">
        <v>0</v>
      </c>
      <c r="M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</row>
    <row r="963" spans="1:13">
      <c r="A963" s="3">
        <f>IF(B963=" "," ",HYPERLINK(CONCATENATE("#metadata!",ADDRESS(INDEX($H$2:$H$1001,MATCH(ROWS($F$2:F963),$F$2:$F$1001,0),0),2)),INDEX($K$2:$K$1001,MATCH(ROWS($F$2:F963),$F$2:$F$1001,0),0)))</f>
        <v>0</v>
      </c>
      <c r="B963" s="4">
        <f>IF(OR(INDEX($G$2:$G$1001,MATCH(ROWS($F$2:F963),$F$2:$F$1001,0),1)&gt;=100000,INDEX($M$1005,1,MATCH(COLUMNS($M$1006:M1006),$M$1006,0))&gt;=100000), " ",IF(INDEX($M$2:$M$1001,MATCH(ROWS($F$2:F963),$F$2:$F$1001,0),MATCH(COLUMNS($M$1006:M1006),$M$1006,0)), HYPERLINK("#",""), HYPERLINK(CONCATENATE("#Metadata!", ADDRESS(INDEX($H$2:$H$1001,MATCH(ROWS($F$2:F963),$F$2:$F$1001,0),0), INDEX($M$1004,1,MATCH(COLUMNS($M$1006:M1006),$M$1006,0)))),"Fix")))</f>
        <v>0</v>
      </c>
      <c r="F963">
        <v>0</v>
      </c>
      <c r="G963">
        <v>0</v>
      </c>
      <c r="H963">
        <v>0</v>
      </c>
      <c r="I963">
        <f>IF(J963,TRUE,AND(M963))</f>
        <v>0</v>
      </c>
      <c r="J963">
        <f>COUNTBLANK(Metadata!B963)=COLUMNS(Metadata!B963)</f>
        <v>0</v>
      </c>
      <c r="K963">
        <v>0</v>
      </c>
      <c r="M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</row>
    <row r="964" spans="1:13">
      <c r="A964" s="3">
        <f>IF(B964=" "," ",HYPERLINK(CONCATENATE("#metadata!",ADDRESS(INDEX($H$2:$H$1001,MATCH(ROWS($F$2:F964),$F$2:$F$1001,0),0),2)),INDEX($K$2:$K$1001,MATCH(ROWS($F$2:F964),$F$2:$F$1001,0),0)))</f>
        <v>0</v>
      </c>
      <c r="B964" s="4">
        <f>IF(OR(INDEX($G$2:$G$1001,MATCH(ROWS($F$2:F964),$F$2:$F$1001,0),1)&gt;=100000,INDEX($M$1005,1,MATCH(COLUMNS($M$1006:M1006),$M$1006,0))&gt;=100000), " ",IF(INDEX($M$2:$M$1001,MATCH(ROWS($F$2:F964),$F$2:$F$1001,0),MATCH(COLUMNS($M$1006:M1006),$M$1006,0)), HYPERLINK("#",""), HYPERLINK(CONCATENATE("#Metadata!", ADDRESS(INDEX($H$2:$H$1001,MATCH(ROWS($F$2:F964),$F$2:$F$1001,0),0), INDEX($M$1004,1,MATCH(COLUMNS($M$1006:M1006),$M$1006,0)))),"Fix")))</f>
        <v>0</v>
      </c>
      <c r="F964">
        <v>0</v>
      </c>
      <c r="G964">
        <v>0</v>
      </c>
      <c r="H964">
        <v>0</v>
      </c>
      <c r="I964">
        <f>IF(J964,TRUE,AND(M964))</f>
        <v>0</v>
      </c>
      <c r="J964">
        <f>COUNTBLANK(Metadata!B964)=COLUMNS(Metadata!B964)</f>
        <v>0</v>
      </c>
      <c r="K964">
        <v>0</v>
      </c>
      <c r="M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</row>
    <row r="965" spans="1:13">
      <c r="A965" s="3">
        <f>IF(B965=" "," ",HYPERLINK(CONCATENATE("#metadata!",ADDRESS(INDEX($H$2:$H$1001,MATCH(ROWS($F$2:F965),$F$2:$F$1001,0),0),2)),INDEX($K$2:$K$1001,MATCH(ROWS($F$2:F965),$F$2:$F$1001,0),0)))</f>
        <v>0</v>
      </c>
      <c r="B965" s="4">
        <f>IF(OR(INDEX($G$2:$G$1001,MATCH(ROWS($F$2:F965),$F$2:$F$1001,0),1)&gt;=100000,INDEX($M$1005,1,MATCH(COLUMNS($M$1006:M1006),$M$1006,0))&gt;=100000), " ",IF(INDEX($M$2:$M$1001,MATCH(ROWS($F$2:F965),$F$2:$F$1001,0),MATCH(COLUMNS($M$1006:M1006),$M$1006,0)), HYPERLINK("#",""), HYPERLINK(CONCATENATE("#Metadata!", ADDRESS(INDEX($H$2:$H$1001,MATCH(ROWS($F$2:F965),$F$2:$F$1001,0),0), INDEX($M$1004,1,MATCH(COLUMNS($M$1006:M1006),$M$1006,0)))),"Fix")))</f>
        <v>0</v>
      </c>
      <c r="F965">
        <v>0</v>
      </c>
      <c r="G965">
        <v>0</v>
      </c>
      <c r="H965">
        <v>0</v>
      </c>
      <c r="I965">
        <f>IF(J965,TRUE,AND(M965))</f>
        <v>0</v>
      </c>
      <c r="J965">
        <f>COUNTBLANK(Metadata!B965)=COLUMNS(Metadata!B965)</f>
        <v>0</v>
      </c>
      <c r="K965">
        <v>0</v>
      </c>
      <c r="M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</row>
    <row r="966" spans="1:13">
      <c r="A966" s="3">
        <f>IF(B966=" "," ",HYPERLINK(CONCATENATE("#metadata!",ADDRESS(INDEX($H$2:$H$1001,MATCH(ROWS($F$2:F966),$F$2:$F$1001,0),0),2)),INDEX($K$2:$K$1001,MATCH(ROWS($F$2:F966),$F$2:$F$1001,0),0)))</f>
        <v>0</v>
      </c>
      <c r="B966" s="4">
        <f>IF(OR(INDEX($G$2:$G$1001,MATCH(ROWS($F$2:F966),$F$2:$F$1001,0),1)&gt;=100000,INDEX($M$1005,1,MATCH(COLUMNS($M$1006:M1006),$M$1006,0))&gt;=100000), " ",IF(INDEX($M$2:$M$1001,MATCH(ROWS($F$2:F966),$F$2:$F$1001,0),MATCH(COLUMNS($M$1006:M1006),$M$1006,0)), HYPERLINK("#",""), HYPERLINK(CONCATENATE("#Metadata!", ADDRESS(INDEX($H$2:$H$1001,MATCH(ROWS($F$2:F966),$F$2:$F$1001,0),0), INDEX($M$1004,1,MATCH(COLUMNS($M$1006:M1006),$M$1006,0)))),"Fix")))</f>
        <v>0</v>
      </c>
      <c r="F966">
        <v>0</v>
      </c>
      <c r="G966">
        <v>0</v>
      </c>
      <c r="H966">
        <v>0</v>
      </c>
      <c r="I966">
        <f>IF(J966,TRUE,AND(M966))</f>
        <v>0</v>
      </c>
      <c r="J966">
        <f>COUNTBLANK(Metadata!B966)=COLUMNS(Metadata!B966)</f>
        <v>0</v>
      </c>
      <c r="K966">
        <v>0</v>
      </c>
      <c r="M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</row>
    <row r="967" spans="1:13">
      <c r="A967" s="3">
        <f>IF(B967=" "," ",HYPERLINK(CONCATENATE("#metadata!",ADDRESS(INDEX($H$2:$H$1001,MATCH(ROWS($F$2:F967),$F$2:$F$1001,0),0),2)),INDEX($K$2:$K$1001,MATCH(ROWS($F$2:F967),$F$2:$F$1001,0),0)))</f>
        <v>0</v>
      </c>
      <c r="B967" s="4">
        <f>IF(OR(INDEX($G$2:$G$1001,MATCH(ROWS($F$2:F967),$F$2:$F$1001,0),1)&gt;=100000,INDEX($M$1005,1,MATCH(COLUMNS($M$1006:M1006),$M$1006,0))&gt;=100000), " ",IF(INDEX($M$2:$M$1001,MATCH(ROWS($F$2:F967),$F$2:$F$1001,0),MATCH(COLUMNS($M$1006:M1006),$M$1006,0)), HYPERLINK("#",""), HYPERLINK(CONCATENATE("#Metadata!", ADDRESS(INDEX($H$2:$H$1001,MATCH(ROWS($F$2:F967),$F$2:$F$1001,0),0), INDEX($M$1004,1,MATCH(COLUMNS($M$1006:M1006),$M$1006,0)))),"Fix")))</f>
        <v>0</v>
      </c>
      <c r="F967">
        <v>0</v>
      </c>
      <c r="G967">
        <v>0</v>
      </c>
      <c r="H967">
        <v>0</v>
      </c>
      <c r="I967">
        <f>IF(J967,TRUE,AND(M967))</f>
        <v>0</v>
      </c>
      <c r="J967">
        <f>COUNTBLANK(Metadata!B967)=COLUMNS(Metadata!B967)</f>
        <v>0</v>
      </c>
      <c r="K967">
        <v>0</v>
      </c>
      <c r="M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</row>
    <row r="968" spans="1:13">
      <c r="A968" s="3">
        <f>IF(B968=" "," ",HYPERLINK(CONCATENATE("#metadata!",ADDRESS(INDEX($H$2:$H$1001,MATCH(ROWS($F$2:F968),$F$2:$F$1001,0),0),2)),INDEX($K$2:$K$1001,MATCH(ROWS($F$2:F968),$F$2:$F$1001,0),0)))</f>
        <v>0</v>
      </c>
      <c r="B968" s="4">
        <f>IF(OR(INDEX($G$2:$G$1001,MATCH(ROWS($F$2:F968),$F$2:$F$1001,0),1)&gt;=100000,INDEX($M$1005,1,MATCH(COLUMNS($M$1006:M1006),$M$1006,0))&gt;=100000), " ",IF(INDEX($M$2:$M$1001,MATCH(ROWS($F$2:F968),$F$2:$F$1001,0),MATCH(COLUMNS($M$1006:M1006),$M$1006,0)), HYPERLINK("#",""), HYPERLINK(CONCATENATE("#Metadata!", ADDRESS(INDEX($H$2:$H$1001,MATCH(ROWS($F$2:F968),$F$2:$F$1001,0),0), INDEX($M$1004,1,MATCH(COLUMNS($M$1006:M1006),$M$1006,0)))),"Fix")))</f>
        <v>0</v>
      </c>
      <c r="F968">
        <v>0</v>
      </c>
      <c r="G968">
        <v>0</v>
      </c>
      <c r="H968">
        <v>0</v>
      </c>
      <c r="I968">
        <f>IF(J968,TRUE,AND(M968))</f>
        <v>0</v>
      </c>
      <c r="J968">
        <f>COUNTBLANK(Metadata!B968)=COLUMNS(Metadata!B968)</f>
        <v>0</v>
      </c>
      <c r="K968">
        <v>0</v>
      </c>
      <c r="M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</row>
    <row r="969" spans="1:13">
      <c r="A969" s="3">
        <f>IF(B969=" "," ",HYPERLINK(CONCATENATE("#metadata!",ADDRESS(INDEX($H$2:$H$1001,MATCH(ROWS($F$2:F969),$F$2:$F$1001,0),0),2)),INDEX($K$2:$K$1001,MATCH(ROWS($F$2:F969),$F$2:$F$1001,0),0)))</f>
        <v>0</v>
      </c>
      <c r="B969" s="4">
        <f>IF(OR(INDEX($G$2:$G$1001,MATCH(ROWS($F$2:F969),$F$2:$F$1001,0),1)&gt;=100000,INDEX($M$1005,1,MATCH(COLUMNS($M$1006:M1006),$M$1006,0))&gt;=100000), " ",IF(INDEX($M$2:$M$1001,MATCH(ROWS($F$2:F969),$F$2:$F$1001,0),MATCH(COLUMNS($M$1006:M1006),$M$1006,0)), HYPERLINK("#",""), HYPERLINK(CONCATENATE("#Metadata!", ADDRESS(INDEX($H$2:$H$1001,MATCH(ROWS($F$2:F969),$F$2:$F$1001,0),0), INDEX($M$1004,1,MATCH(COLUMNS($M$1006:M1006),$M$1006,0)))),"Fix")))</f>
        <v>0</v>
      </c>
      <c r="F969">
        <v>0</v>
      </c>
      <c r="G969">
        <v>0</v>
      </c>
      <c r="H969">
        <v>0</v>
      </c>
      <c r="I969">
        <f>IF(J969,TRUE,AND(M969))</f>
        <v>0</v>
      </c>
      <c r="J969">
        <f>COUNTBLANK(Metadata!B969)=COLUMNS(Metadata!B969)</f>
        <v>0</v>
      </c>
      <c r="K969">
        <v>0</v>
      </c>
      <c r="M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</row>
    <row r="970" spans="1:13">
      <c r="A970" s="3">
        <f>IF(B970=" "," ",HYPERLINK(CONCATENATE("#metadata!",ADDRESS(INDEX($H$2:$H$1001,MATCH(ROWS($F$2:F970),$F$2:$F$1001,0),0),2)),INDEX($K$2:$K$1001,MATCH(ROWS($F$2:F970),$F$2:$F$1001,0),0)))</f>
        <v>0</v>
      </c>
      <c r="B970" s="4">
        <f>IF(OR(INDEX($G$2:$G$1001,MATCH(ROWS($F$2:F970),$F$2:$F$1001,0),1)&gt;=100000,INDEX($M$1005,1,MATCH(COLUMNS($M$1006:M1006),$M$1006,0))&gt;=100000), " ",IF(INDEX($M$2:$M$1001,MATCH(ROWS($F$2:F970),$F$2:$F$1001,0),MATCH(COLUMNS($M$1006:M1006),$M$1006,0)), HYPERLINK("#",""), HYPERLINK(CONCATENATE("#Metadata!", ADDRESS(INDEX($H$2:$H$1001,MATCH(ROWS($F$2:F970),$F$2:$F$1001,0),0), INDEX($M$1004,1,MATCH(COLUMNS($M$1006:M1006),$M$1006,0)))),"Fix")))</f>
        <v>0</v>
      </c>
      <c r="F970">
        <v>0</v>
      </c>
      <c r="G970">
        <v>0</v>
      </c>
      <c r="H970">
        <v>0</v>
      </c>
      <c r="I970">
        <f>IF(J970,TRUE,AND(M970))</f>
        <v>0</v>
      </c>
      <c r="J970">
        <f>COUNTBLANK(Metadata!B970)=COLUMNS(Metadata!B970)</f>
        <v>0</v>
      </c>
      <c r="K970">
        <v>0</v>
      </c>
      <c r="M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</row>
    <row r="971" spans="1:13">
      <c r="A971" s="3">
        <f>IF(B971=" "," ",HYPERLINK(CONCATENATE("#metadata!",ADDRESS(INDEX($H$2:$H$1001,MATCH(ROWS($F$2:F971),$F$2:$F$1001,0),0),2)),INDEX($K$2:$K$1001,MATCH(ROWS($F$2:F971),$F$2:$F$1001,0),0)))</f>
        <v>0</v>
      </c>
      <c r="B971" s="4">
        <f>IF(OR(INDEX($G$2:$G$1001,MATCH(ROWS($F$2:F971),$F$2:$F$1001,0),1)&gt;=100000,INDEX($M$1005,1,MATCH(COLUMNS($M$1006:M1006),$M$1006,0))&gt;=100000), " ",IF(INDEX($M$2:$M$1001,MATCH(ROWS($F$2:F971),$F$2:$F$1001,0),MATCH(COLUMNS($M$1006:M1006),$M$1006,0)), HYPERLINK("#",""), HYPERLINK(CONCATENATE("#Metadata!", ADDRESS(INDEX($H$2:$H$1001,MATCH(ROWS($F$2:F971),$F$2:$F$1001,0),0), INDEX($M$1004,1,MATCH(COLUMNS($M$1006:M1006),$M$1006,0)))),"Fix")))</f>
        <v>0</v>
      </c>
      <c r="F971">
        <v>0</v>
      </c>
      <c r="G971">
        <v>0</v>
      </c>
      <c r="H971">
        <v>0</v>
      </c>
      <c r="I971">
        <f>IF(J971,TRUE,AND(M971))</f>
        <v>0</v>
      </c>
      <c r="J971">
        <f>COUNTBLANK(Metadata!B971)=COLUMNS(Metadata!B971)</f>
        <v>0</v>
      </c>
      <c r="K971">
        <v>0</v>
      </c>
      <c r="M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</row>
    <row r="972" spans="1:13">
      <c r="A972" s="3">
        <f>IF(B972=" "," ",HYPERLINK(CONCATENATE("#metadata!",ADDRESS(INDEX($H$2:$H$1001,MATCH(ROWS($F$2:F972),$F$2:$F$1001,0),0),2)),INDEX($K$2:$K$1001,MATCH(ROWS($F$2:F972),$F$2:$F$1001,0),0)))</f>
        <v>0</v>
      </c>
      <c r="B972" s="4">
        <f>IF(OR(INDEX($G$2:$G$1001,MATCH(ROWS($F$2:F972),$F$2:$F$1001,0),1)&gt;=100000,INDEX($M$1005,1,MATCH(COLUMNS($M$1006:M1006),$M$1006,0))&gt;=100000), " ",IF(INDEX($M$2:$M$1001,MATCH(ROWS($F$2:F972),$F$2:$F$1001,0),MATCH(COLUMNS($M$1006:M1006),$M$1006,0)), HYPERLINK("#",""), HYPERLINK(CONCATENATE("#Metadata!", ADDRESS(INDEX($H$2:$H$1001,MATCH(ROWS($F$2:F972),$F$2:$F$1001,0),0), INDEX($M$1004,1,MATCH(COLUMNS($M$1006:M1006),$M$1006,0)))),"Fix")))</f>
        <v>0</v>
      </c>
      <c r="F972">
        <v>0</v>
      </c>
      <c r="G972">
        <v>0</v>
      </c>
      <c r="H972">
        <v>0</v>
      </c>
      <c r="I972">
        <f>IF(J972,TRUE,AND(M972))</f>
        <v>0</v>
      </c>
      <c r="J972">
        <f>COUNTBLANK(Metadata!B972)=COLUMNS(Metadata!B972)</f>
        <v>0</v>
      </c>
      <c r="K972">
        <v>0</v>
      </c>
      <c r="M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</row>
    <row r="973" spans="1:13">
      <c r="A973" s="3">
        <f>IF(B973=" "," ",HYPERLINK(CONCATENATE("#metadata!",ADDRESS(INDEX($H$2:$H$1001,MATCH(ROWS($F$2:F973),$F$2:$F$1001,0),0),2)),INDEX($K$2:$K$1001,MATCH(ROWS($F$2:F973),$F$2:$F$1001,0),0)))</f>
        <v>0</v>
      </c>
      <c r="B973" s="4">
        <f>IF(OR(INDEX($G$2:$G$1001,MATCH(ROWS($F$2:F973),$F$2:$F$1001,0),1)&gt;=100000,INDEX($M$1005,1,MATCH(COLUMNS($M$1006:M1006),$M$1006,0))&gt;=100000), " ",IF(INDEX($M$2:$M$1001,MATCH(ROWS($F$2:F973),$F$2:$F$1001,0),MATCH(COLUMNS($M$1006:M1006),$M$1006,0)), HYPERLINK("#",""), HYPERLINK(CONCATENATE("#Metadata!", ADDRESS(INDEX($H$2:$H$1001,MATCH(ROWS($F$2:F973),$F$2:$F$1001,0),0), INDEX($M$1004,1,MATCH(COLUMNS($M$1006:M1006),$M$1006,0)))),"Fix")))</f>
        <v>0</v>
      </c>
      <c r="F973">
        <v>0</v>
      </c>
      <c r="G973">
        <v>0</v>
      </c>
      <c r="H973">
        <v>0</v>
      </c>
      <c r="I973">
        <f>IF(J973,TRUE,AND(M973))</f>
        <v>0</v>
      </c>
      <c r="J973">
        <f>COUNTBLANK(Metadata!B973)=COLUMNS(Metadata!B973)</f>
        <v>0</v>
      </c>
      <c r="K973">
        <v>0</v>
      </c>
      <c r="M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</row>
    <row r="974" spans="1:13">
      <c r="A974" s="3">
        <f>IF(B974=" "," ",HYPERLINK(CONCATENATE("#metadata!",ADDRESS(INDEX($H$2:$H$1001,MATCH(ROWS($F$2:F974),$F$2:$F$1001,0),0),2)),INDEX($K$2:$K$1001,MATCH(ROWS($F$2:F974),$F$2:$F$1001,0),0)))</f>
        <v>0</v>
      </c>
      <c r="B974" s="4">
        <f>IF(OR(INDEX($G$2:$G$1001,MATCH(ROWS($F$2:F974),$F$2:$F$1001,0),1)&gt;=100000,INDEX($M$1005,1,MATCH(COLUMNS($M$1006:M1006),$M$1006,0))&gt;=100000), " ",IF(INDEX($M$2:$M$1001,MATCH(ROWS($F$2:F974),$F$2:$F$1001,0),MATCH(COLUMNS($M$1006:M1006),$M$1006,0)), HYPERLINK("#",""), HYPERLINK(CONCATENATE("#Metadata!", ADDRESS(INDEX($H$2:$H$1001,MATCH(ROWS($F$2:F974),$F$2:$F$1001,0),0), INDEX($M$1004,1,MATCH(COLUMNS($M$1006:M1006),$M$1006,0)))),"Fix")))</f>
        <v>0</v>
      </c>
      <c r="F974">
        <v>0</v>
      </c>
      <c r="G974">
        <v>0</v>
      </c>
      <c r="H974">
        <v>0</v>
      </c>
      <c r="I974">
        <f>IF(J974,TRUE,AND(M974))</f>
        <v>0</v>
      </c>
      <c r="J974">
        <f>COUNTBLANK(Metadata!B974)=COLUMNS(Metadata!B974)</f>
        <v>0</v>
      </c>
      <c r="K974">
        <v>0</v>
      </c>
      <c r="M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</row>
    <row r="975" spans="1:13">
      <c r="A975" s="3">
        <f>IF(B975=" "," ",HYPERLINK(CONCATENATE("#metadata!",ADDRESS(INDEX($H$2:$H$1001,MATCH(ROWS($F$2:F975),$F$2:$F$1001,0),0),2)),INDEX($K$2:$K$1001,MATCH(ROWS($F$2:F975),$F$2:$F$1001,0),0)))</f>
        <v>0</v>
      </c>
      <c r="B975" s="4">
        <f>IF(OR(INDEX($G$2:$G$1001,MATCH(ROWS($F$2:F975),$F$2:$F$1001,0),1)&gt;=100000,INDEX($M$1005,1,MATCH(COLUMNS($M$1006:M1006),$M$1006,0))&gt;=100000), " ",IF(INDEX($M$2:$M$1001,MATCH(ROWS($F$2:F975),$F$2:$F$1001,0),MATCH(COLUMNS($M$1006:M1006),$M$1006,0)), HYPERLINK("#",""), HYPERLINK(CONCATENATE("#Metadata!", ADDRESS(INDEX($H$2:$H$1001,MATCH(ROWS($F$2:F975),$F$2:$F$1001,0),0), INDEX($M$1004,1,MATCH(COLUMNS($M$1006:M1006),$M$1006,0)))),"Fix")))</f>
        <v>0</v>
      </c>
      <c r="F975">
        <v>0</v>
      </c>
      <c r="G975">
        <v>0</v>
      </c>
      <c r="H975">
        <v>0</v>
      </c>
      <c r="I975">
        <f>IF(J975,TRUE,AND(M975))</f>
        <v>0</v>
      </c>
      <c r="J975">
        <f>COUNTBLANK(Metadata!B975)=COLUMNS(Metadata!B975)</f>
        <v>0</v>
      </c>
      <c r="K975">
        <v>0</v>
      </c>
      <c r="M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</row>
    <row r="976" spans="1:13">
      <c r="A976" s="3">
        <f>IF(B976=" "," ",HYPERLINK(CONCATENATE("#metadata!",ADDRESS(INDEX($H$2:$H$1001,MATCH(ROWS($F$2:F976),$F$2:$F$1001,0),0),2)),INDEX($K$2:$K$1001,MATCH(ROWS($F$2:F976),$F$2:$F$1001,0),0)))</f>
        <v>0</v>
      </c>
      <c r="B976" s="4">
        <f>IF(OR(INDEX($G$2:$G$1001,MATCH(ROWS($F$2:F976),$F$2:$F$1001,0),1)&gt;=100000,INDEX($M$1005,1,MATCH(COLUMNS($M$1006:M1006),$M$1006,0))&gt;=100000), " ",IF(INDEX($M$2:$M$1001,MATCH(ROWS($F$2:F976),$F$2:$F$1001,0),MATCH(COLUMNS($M$1006:M1006),$M$1006,0)), HYPERLINK("#",""), HYPERLINK(CONCATENATE("#Metadata!", ADDRESS(INDEX($H$2:$H$1001,MATCH(ROWS($F$2:F976),$F$2:$F$1001,0),0), INDEX($M$1004,1,MATCH(COLUMNS($M$1006:M1006),$M$1006,0)))),"Fix")))</f>
        <v>0</v>
      </c>
      <c r="F976">
        <v>0</v>
      </c>
      <c r="G976">
        <v>0</v>
      </c>
      <c r="H976">
        <v>0</v>
      </c>
      <c r="I976">
        <f>IF(J976,TRUE,AND(M976))</f>
        <v>0</v>
      </c>
      <c r="J976">
        <f>COUNTBLANK(Metadata!B976)=COLUMNS(Metadata!B976)</f>
        <v>0</v>
      </c>
      <c r="K976">
        <v>0</v>
      </c>
      <c r="M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</row>
    <row r="977" spans="1:13">
      <c r="A977" s="3">
        <f>IF(B977=" "," ",HYPERLINK(CONCATENATE("#metadata!",ADDRESS(INDEX($H$2:$H$1001,MATCH(ROWS($F$2:F977),$F$2:$F$1001,0),0),2)),INDEX($K$2:$K$1001,MATCH(ROWS($F$2:F977),$F$2:$F$1001,0),0)))</f>
        <v>0</v>
      </c>
      <c r="B977" s="4">
        <f>IF(OR(INDEX($G$2:$G$1001,MATCH(ROWS($F$2:F977),$F$2:$F$1001,0),1)&gt;=100000,INDEX($M$1005,1,MATCH(COLUMNS($M$1006:M1006),$M$1006,0))&gt;=100000), " ",IF(INDEX($M$2:$M$1001,MATCH(ROWS($F$2:F977),$F$2:$F$1001,0),MATCH(COLUMNS($M$1006:M1006),$M$1006,0)), HYPERLINK("#",""), HYPERLINK(CONCATENATE("#Metadata!", ADDRESS(INDEX($H$2:$H$1001,MATCH(ROWS($F$2:F977),$F$2:$F$1001,0),0), INDEX($M$1004,1,MATCH(COLUMNS($M$1006:M1006),$M$1006,0)))),"Fix")))</f>
        <v>0</v>
      </c>
      <c r="F977">
        <v>0</v>
      </c>
      <c r="G977">
        <v>0</v>
      </c>
      <c r="H977">
        <v>0</v>
      </c>
      <c r="I977">
        <f>IF(J977,TRUE,AND(M977))</f>
        <v>0</v>
      </c>
      <c r="J977">
        <f>COUNTBLANK(Metadata!B977)=COLUMNS(Metadata!B977)</f>
        <v>0</v>
      </c>
      <c r="K977">
        <v>0</v>
      </c>
      <c r="M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</row>
    <row r="978" spans="1:13">
      <c r="A978" s="3">
        <f>IF(B978=" "," ",HYPERLINK(CONCATENATE("#metadata!",ADDRESS(INDEX($H$2:$H$1001,MATCH(ROWS($F$2:F978),$F$2:$F$1001,0),0),2)),INDEX($K$2:$K$1001,MATCH(ROWS($F$2:F978),$F$2:$F$1001,0),0)))</f>
        <v>0</v>
      </c>
      <c r="B978" s="4">
        <f>IF(OR(INDEX($G$2:$G$1001,MATCH(ROWS($F$2:F978),$F$2:$F$1001,0),1)&gt;=100000,INDEX($M$1005,1,MATCH(COLUMNS($M$1006:M1006),$M$1006,0))&gt;=100000), " ",IF(INDEX($M$2:$M$1001,MATCH(ROWS($F$2:F978),$F$2:$F$1001,0),MATCH(COLUMNS($M$1006:M1006),$M$1006,0)), HYPERLINK("#",""), HYPERLINK(CONCATENATE("#Metadata!", ADDRESS(INDEX($H$2:$H$1001,MATCH(ROWS($F$2:F978),$F$2:$F$1001,0),0), INDEX($M$1004,1,MATCH(COLUMNS($M$1006:M1006),$M$1006,0)))),"Fix")))</f>
        <v>0</v>
      </c>
      <c r="F978">
        <v>0</v>
      </c>
      <c r="G978">
        <v>0</v>
      </c>
      <c r="H978">
        <v>0</v>
      </c>
      <c r="I978">
        <f>IF(J978,TRUE,AND(M978))</f>
        <v>0</v>
      </c>
      <c r="J978">
        <f>COUNTBLANK(Metadata!B978)=COLUMNS(Metadata!B978)</f>
        <v>0</v>
      </c>
      <c r="K978">
        <v>0</v>
      </c>
      <c r="M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</row>
    <row r="979" spans="1:13">
      <c r="A979" s="3">
        <f>IF(B979=" "," ",HYPERLINK(CONCATENATE("#metadata!",ADDRESS(INDEX($H$2:$H$1001,MATCH(ROWS($F$2:F979),$F$2:$F$1001,0),0),2)),INDEX($K$2:$K$1001,MATCH(ROWS($F$2:F979),$F$2:$F$1001,0),0)))</f>
        <v>0</v>
      </c>
      <c r="B979" s="4">
        <f>IF(OR(INDEX($G$2:$G$1001,MATCH(ROWS($F$2:F979),$F$2:$F$1001,0),1)&gt;=100000,INDEX($M$1005,1,MATCH(COLUMNS($M$1006:M1006),$M$1006,0))&gt;=100000), " ",IF(INDEX($M$2:$M$1001,MATCH(ROWS($F$2:F979),$F$2:$F$1001,0),MATCH(COLUMNS($M$1006:M1006),$M$1006,0)), HYPERLINK("#",""), HYPERLINK(CONCATENATE("#Metadata!", ADDRESS(INDEX($H$2:$H$1001,MATCH(ROWS($F$2:F979),$F$2:$F$1001,0),0), INDEX($M$1004,1,MATCH(COLUMNS($M$1006:M1006),$M$1006,0)))),"Fix")))</f>
        <v>0</v>
      </c>
      <c r="F979">
        <v>0</v>
      </c>
      <c r="G979">
        <v>0</v>
      </c>
      <c r="H979">
        <v>0</v>
      </c>
      <c r="I979">
        <f>IF(J979,TRUE,AND(M979))</f>
        <v>0</v>
      </c>
      <c r="J979">
        <f>COUNTBLANK(Metadata!B979)=COLUMNS(Metadata!B979)</f>
        <v>0</v>
      </c>
      <c r="K979">
        <v>0</v>
      </c>
      <c r="M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</row>
    <row r="980" spans="1:13">
      <c r="A980" s="3">
        <f>IF(B980=" "," ",HYPERLINK(CONCATENATE("#metadata!",ADDRESS(INDEX($H$2:$H$1001,MATCH(ROWS($F$2:F980),$F$2:$F$1001,0),0),2)),INDEX($K$2:$K$1001,MATCH(ROWS($F$2:F980),$F$2:$F$1001,0),0)))</f>
        <v>0</v>
      </c>
      <c r="B980" s="4">
        <f>IF(OR(INDEX($G$2:$G$1001,MATCH(ROWS($F$2:F980),$F$2:$F$1001,0),1)&gt;=100000,INDEX($M$1005,1,MATCH(COLUMNS($M$1006:M1006),$M$1006,0))&gt;=100000), " ",IF(INDEX($M$2:$M$1001,MATCH(ROWS($F$2:F980),$F$2:$F$1001,0),MATCH(COLUMNS($M$1006:M1006),$M$1006,0)), HYPERLINK("#",""), HYPERLINK(CONCATENATE("#Metadata!", ADDRESS(INDEX($H$2:$H$1001,MATCH(ROWS($F$2:F980),$F$2:$F$1001,0),0), INDEX($M$1004,1,MATCH(COLUMNS($M$1006:M1006),$M$1006,0)))),"Fix")))</f>
        <v>0</v>
      </c>
      <c r="F980">
        <v>0</v>
      </c>
      <c r="G980">
        <v>0</v>
      </c>
      <c r="H980">
        <v>0</v>
      </c>
      <c r="I980">
        <f>IF(J980,TRUE,AND(M980))</f>
        <v>0</v>
      </c>
      <c r="J980">
        <f>COUNTBLANK(Metadata!B980)=COLUMNS(Metadata!B980)</f>
        <v>0</v>
      </c>
      <c r="K980">
        <v>0</v>
      </c>
      <c r="M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</row>
    <row r="981" spans="1:13">
      <c r="A981" s="3">
        <f>IF(B981=" "," ",HYPERLINK(CONCATENATE("#metadata!",ADDRESS(INDEX($H$2:$H$1001,MATCH(ROWS($F$2:F981),$F$2:$F$1001,0),0),2)),INDEX($K$2:$K$1001,MATCH(ROWS($F$2:F981),$F$2:$F$1001,0),0)))</f>
        <v>0</v>
      </c>
      <c r="B981" s="4">
        <f>IF(OR(INDEX($G$2:$G$1001,MATCH(ROWS($F$2:F981),$F$2:$F$1001,0),1)&gt;=100000,INDEX($M$1005,1,MATCH(COLUMNS($M$1006:M1006),$M$1006,0))&gt;=100000), " ",IF(INDEX($M$2:$M$1001,MATCH(ROWS($F$2:F981),$F$2:$F$1001,0),MATCH(COLUMNS($M$1006:M1006),$M$1006,0)), HYPERLINK("#",""), HYPERLINK(CONCATENATE("#Metadata!", ADDRESS(INDEX($H$2:$H$1001,MATCH(ROWS($F$2:F981),$F$2:$F$1001,0),0), INDEX($M$1004,1,MATCH(COLUMNS($M$1006:M1006),$M$1006,0)))),"Fix")))</f>
        <v>0</v>
      </c>
      <c r="F981">
        <v>0</v>
      </c>
      <c r="G981">
        <v>0</v>
      </c>
      <c r="H981">
        <v>0</v>
      </c>
      <c r="I981">
        <f>IF(J981,TRUE,AND(M981))</f>
        <v>0</v>
      </c>
      <c r="J981">
        <f>COUNTBLANK(Metadata!B981)=COLUMNS(Metadata!B981)</f>
        <v>0</v>
      </c>
      <c r="K981">
        <v>0</v>
      </c>
      <c r="M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</row>
    <row r="982" spans="1:13">
      <c r="A982" s="3">
        <f>IF(B982=" "," ",HYPERLINK(CONCATENATE("#metadata!",ADDRESS(INDEX($H$2:$H$1001,MATCH(ROWS($F$2:F982),$F$2:$F$1001,0),0),2)),INDEX($K$2:$K$1001,MATCH(ROWS($F$2:F982),$F$2:$F$1001,0),0)))</f>
        <v>0</v>
      </c>
      <c r="B982" s="4">
        <f>IF(OR(INDEX($G$2:$G$1001,MATCH(ROWS($F$2:F982),$F$2:$F$1001,0),1)&gt;=100000,INDEX($M$1005,1,MATCH(COLUMNS($M$1006:M1006),$M$1006,0))&gt;=100000), " ",IF(INDEX($M$2:$M$1001,MATCH(ROWS($F$2:F982),$F$2:$F$1001,0),MATCH(COLUMNS($M$1006:M1006),$M$1006,0)), HYPERLINK("#",""), HYPERLINK(CONCATENATE("#Metadata!", ADDRESS(INDEX($H$2:$H$1001,MATCH(ROWS($F$2:F982),$F$2:$F$1001,0),0), INDEX($M$1004,1,MATCH(COLUMNS($M$1006:M1006),$M$1006,0)))),"Fix")))</f>
        <v>0</v>
      </c>
      <c r="F982">
        <v>0</v>
      </c>
      <c r="G982">
        <v>0</v>
      </c>
      <c r="H982">
        <v>0</v>
      </c>
      <c r="I982">
        <f>IF(J982,TRUE,AND(M982))</f>
        <v>0</v>
      </c>
      <c r="J982">
        <f>COUNTBLANK(Metadata!B982)=COLUMNS(Metadata!B982)</f>
        <v>0</v>
      </c>
      <c r="K982">
        <v>0</v>
      </c>
      <c r="M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</row>
    <row r="983" spans="1:13">
      <c r="A983" s="3">
        <f>IF(B983=" "," ",HYPERLINK(CONCATENATE("#metadata!",ADDRESS(INDEX($H$2:$H$1001,MATCH(ROWS($F$2:F983),$F$2:$F$1001,0),0),2)),INDEX($K$2:$K$1001,MATCH(ROWS($F$2:F983),$F$2:$F$1001,0),0)))</f>
        <v>0</v>
      </c>
      <c r="B983" s="4">
        <f>IF(OR(INDEX($G$2:$G$1001,MATCH(ROWS($F$2:F983),$F$2:$F$1001,0),1)&gt;=100000,INDEX($M$1005,1,MATCH(COLUMNS($M$1006:M1006),$M$1006,0))&gt;=100000), " ",IF(INDEX($M$2:$M$1001,MATCH(ROWS($F$2:F983),$F$2:$F$1001,0),MATCH(COLUMNS($M$1006:M1006),$M$1006,0)), HYPERLINK("#",""), HYPERLINK(CONCATENATE("#Metadata!", ADDRESS(INDEX($H$2:$H$1001,MATCH(ROWS($F$2:F983),$F$2:$F$1001,0),0), INDEX($M$1004,1,MATCH(COLUMNS($M$1006:M1006),$M$1006,0)))),"Fix")))</f>
        <v>0</v>
      </c>
      <c r="F983">
        <v>0</v>
      </c>
      <c r="G983">
        <v>0</v>
      </c>
      <c r="H983">
        <v>0</v>
      </c>
      <c r="I983">
        <f>IF(J983,TRUE,AND(M983))</f>
        <v>0</v>
      </c>
      <c r="J983">
        <f>COUNTBLANK(Metadata!B983)=COLUMNS(Metadata!B983)</f>
        <v>0</v>
      </c>
      <c r="K983">
        <v>0</v>
      </c>
      <c r="M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</row>
    <row r="984" spans="1:13">
      <c r="A984" s="3">
        <f>IF(B984=" "," ",HYPERLINK(CONCATENATE("#metadata!",ADDRESS(INDEX($H$2:$H$1001,MATCH(ROWS($F$2:F984),$F$2:$F$1001,0),0),2)),INDEX($K$2:$K$1001,MATCH(ROWS($F$2:F984),$F$2:$F$1001,0),0)))</f>
        <v>0</v>
      </c>
      <c r="B984" s="4">
        <f>IF(OR(INDEX($G$2:$G$1001,MATCH(ROWS($F$2:F984),$F$2:$F$1001,0),1)&gt;=100000,INDEX($M$1005,1,MATCH(COLUMNS($M$1006:M1006),$M$1006,0))&gt;=100000), " ",IF(INDEX($M$2:$M$1001,MATCH(ROWS($F$2:F984),$F$2:$F$1001,0),MATCH(COLUMNS($M$1006:M1006),$M$1006,0)), HYPERLINK("#",""), HYPERLINK(CONCATENATE("#Metadata!", ADDRESS(INDEX($H$2:$H$1001,MATCH(ROWS($F$2:F984),$F$2:$F$1001,0),0), INDEX($M$1004,1,MATCH(COLUMNS($M$1006:M1006),$M$1006,0)))),"Fix")))</f>
        <v>0</v>
      </c>
      <c r="F984">
        <v>0</v>
      </c>
      <c r="G984">
        <v>0</v>
      </c>
      <c r="H984">
        <v>0</v>
      </c>
      <c r="I984">
        <f>IF(J984,TRUE,AND(M984))</f>
        <v>0</v>
      </c>
      <c r="J984">
        <f>COUNTBLANK(Metadata!B984)=COLUMNS(Metadata!B984)</f>
        <v>0</v>
      </c>
      <c r="K984">
        <v>0</v>
      </c>
      <c r="M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</row>
    <row r="985" spans="1:13">
      <c r="A985" s="3">
        <f>IF(B985=" "," ",HYPERLINK(CONCATENATE("#metadata!",ADDRESS(INDEX($H$2:$H$1001,MATCH(ROWS($F$2:F985),$F$2:$F$1001,0),0),2)),INDEX($K$2:$K$1001,MATCH(ROWS($F$2:F985),$F$2:$F$1001,0),0)))</f>
        <v>0</v>
      </c>
      <c r="B985" s="4">
        <f>IF(OR(INDEX($G$2:$G$1001,MATCH(ROWS($F$2:F985),$F$2:$F$1001,0),1)&gt;=100000,INDEX($M$1005,1,MATCH(COLUMNS($M$1006:M1006),$M$1006,0))&gt;=100000), " ",IF(INDEX($M$2:$M$1001,MATCH(ROWS($F$2:F985),$F$2:$F$1001,0),MATCH(COLUMNS($M$1006:M1006),$M$1006,0)), HYPERLINK("#",""), HYPERLINK(CONCATENATE("#Metadata!", ADDRESS(INDEX($H$2:$H$1001,MATCH(ROWS($F$2:F985),$F$2:$F$1001,0),0), INDEX($M$1004,1,MATCH(COLUMNS($M$1006:M1006),$M$1006,0)))),"Fix")))</f>
        <v>0</v>
      </c>
      <c r="F985">
        <v>0</v>
      </c>
      <c r="G985">
        <v>0</v>
      </c>
      <c r="H985">
        <v>0</v>
      </c>
      <c r="I985">
        <f>IF(J985,TRUE,AND(M985))</f>
        <v>0</v>
      </c>
      <c r="J985">
        <f>COUNTBLANK(Metadata!B985)=COLUMNS(Metadata!B985)</f>
        <v>0</v>
      </c>
      <c r="K985">
        <v>0</v>
      </c>
      <c r="M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</row>
    <row r="986" spans="1:13">
      <c r="A986" s="3">
        <f>IF(B986=" "," ",HYPERLINK(CONCATENATE("#metadata!",ADDRESS(INDEX($H$2:$H$1001,MATCH(ROWS($F$2:F986),$F$2:$F$1001,0),0),2)),INDEX($K$2:$K$1001,MATCH(ROWS($F$2:F986),$F$2:$F$1001,0),0)))</f>
        <v>0</v>
      </c>
      <c r="B986" s="4">
        <f>IF(OR(INDEX($G$2:$G$1001,MATCH(ROWS($F$2:F986),$F$2:$F$1001,0),1)&gt;=100000,INDEX($M$1005,1,MATCH(COLUMNS($M$1006:M1006),$M$1006,0))&gt;=100000), " ",IF(INDEX($M$2:$M$1001,MATCH(ROWS($F$2:F986),$F$2:$F$1001,0),MATCH(COLUMNS($M$1006:M1006),$M$1006,0)), HYPERLINK("#",""), HYPERLINK(CONCATENATE("#Metadata!", ADDRESS(INDEX($H$2:$H$1001,MATCH(ROWS($F$2:F986),$F$2:$F$1001,0),0), INDEX($M$1004,1,MATCH(COLUMNS($M$1006:M1006),$M$1006,0)))),"Fix")))</f>
        <v>0</v>
      </c>
      <c r="F986">
        <v>0</v>
      </c>
      <c r="G986">
        <v>0</v>
      </c>
      <c r="H986">
        <v>0</v>
      </c>
      <c r="I986">
        <f>IF(J986,TRUE,AND(M986))</f>
        <v>0</v>
      </c>
      <c r="J986">
        <f>COUNTBLANK(Metadata!B986)=COLUMNS(Metadata!B986)</f>
        <v>0</v>
      </c>
      <c r="K986">
        <v>0</v>
      </c>
      <c r="M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</row>
    <row r="987" spans="1:13">
      <c r="A987" s="3">
        <f>IF(B987=" "," ",HYPERLINK(CONCATENATE("#metadata!",ADDRESS(INDEX($H$2:$H$1001,MATCH(ROWS($F$2:F987),$F$2:$F$1001,0),0),2)),INDEX($K$2:$K$1001,MATCH(ROWS($F$2:F987),$F$2:$F$1001,0),0)))</f>
        <v>0</v>
      </c>
      <c r="B987" s="4">
        <f>IF(OR(INDEX($G$2:$G$1001,MATCH(ROWS($F$2:F987),$F$2:$F$1001,0),1)&gt;=100000,INDEX($M$1005,1,MATCH(COLUMNS($M$1006:M1006),$M$1006,0))&gt;=100000), " ",IF(INDEX($M$2:$M$1001,MATCH(ROWS($F$2:F987),$F$2:$F$1001,0),MATCH(COLUMNS($M$1006:M1006),$M$1006,0)), HYPERLINK("#",""), HYPERLINK(CONCATENATE("#Metadata!", ADDRESS(INDEX($H$2:$H$1001,MATCH(ROWS($F$2:F987),$F$2:$F$1001,0),0), INDEX($M$1004,1,MATCH(COLUMNS($M$1006:M1006),$M$1006,0)))),"Fix")))</f>
        <v>0</v>
      </c>
      <c r="F987">
        <v>0</v>
      </c>
      <c r="G987">
        <v>0</v>
      </c>
      <c r="H987">
        <v>0</v>
      </c>
      <c r="I987">
        <f>IF(J987,TRUE,AND(M987))</f>
        <v>0</v>
      </c>
      <c r="J987">
        <f>COUNTBLANK(Metadata!B987)=COLUMNS(Metadata!B987)</f>
        <v>0</v>
      </c>
      <c r="K987">
        <v>0</v>
      </c>
      <c r="M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</row>
    <row r="988" spans="1:13">
      <c r="A988" s="3">
        <f>IF(B988=" "," ",HYPERLINK(CONCATENATE("#metadata!",ADDRESS(INDEX($H$2:$H$1001,MATCH(ROWS($F$2:F988),$F$2:$F$1001,0),0),2)),INDEX($K$2:$K$1001,MATCH(ROWS($F$2:F988),$F$2:$F$1001,0),0)))</f>
        <v>0</v>
      </c>
      <c r="B988" s="4">
        <f>IF(OR(INDEX($G$2:$G$1001,MATCH(ROWS($F$2:F988),$F$2:$F$1001,0),1)&gt;=100000,INDEX($M$1005,1,MATCH(COLUMNS($M$1006:M1006),$M$1006,0))&gt;=100000), " ",IF(INDEX($M$2:$M$1001,MATCH(ROWS($F$2:F988),$F$2:$F$1001,0),MATCH(COLUMNS($M$1006:M1006),$M$1006,0)), HYPERLINK("#",""), HYPERLINK(CONCATENATE("#Metadata!", ADDRESS(INDEX($H$2:$H$1001,MATCH(ROWS($F$2:F988),$F$2:$F$1001,0),0), INDEX($M$1004,1,MATCH(COLUMNS($M$1006:M1006),$M$1006,0)))),"Fix")))</f>
        <v>0</v>
      </c>
      <c r="F988">
        <v>0</v>
      </c>
      <c r="G988">
        <v>0</v>
      </c>
      <c r="H988">
        <v>0</v>
      </c>
      <c r="I988">
        <f>IF(J988,TRUE,AND(M988))</f>
        <v>0</v>
      </c>
      <c r="J988">
        <f>COUNTBLANK(Metadata!B988)=COLUMNS(Metadata!B988)</f>
        <v>0</v>
      </c>
      <c r="K988">
        <v>0</v>
      </c>
      <c r="M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</row>
    <row r="989" spans="1:13">
      <c r="A989" s="3">
        <f>IF(B989=" "," ",HYPERLINK(CONCATENATE("#metadata!",ADDRESS(INDEX($H$2:$H$1001,MATCH(ROWS($F$2:F989),$F$2:$F$1001,0),0),2)),INDEX($K$2:$K$1001,MATCH(ROWS($F$2:F989),$F$2:$F$1001,0),0)))</f>
        <v>0</v>
      </c>
      <c r="B989" s="4">
        <f>IF(OR(INDEX($G$2:$G$1001,MATCH(ROWS($F$2:F989),$F$2:$F$1001,0),1)&gt;=100000,INDEX($M$1005,1,MATCH(COLUMNS($M$1006:M1006),$M$1006,0))&gt;=100000), " ",IF(INDEX($M$2:$M$1001,MATCH(ROWS($F$2:F989),$F$2:$F$1001,0),MATCH(COLUMNS($M$1006:M1006),$M$1006,0)), HYPERLINK("#",""), HYPERLINK(CONCATENATE("#Metadata!", ADDRESS(INDEX($H$2:$H$1001,MATCH(ROWS($F$2:F989),$F$2:$F$1001,0),0), INDEX($M$1004,1,MATCH(COLUMNS($M$1006:M1006),$M$1006,0)))),"Fix")))</f>
        <v>0</v>
      </c>
      <c r="F989">
        <v>0</v>
      </c>
      <c r="G989">
        <v>0</v>
      </c>
      <c r="H989">
        <v>0</v>
      </c>
      <c r="I989">
        <f>IF(J989,TRUE,AND(M989))</f>
        <v>0</v>
      </c>
      <c r="J989">
        <f>COUNTBLANK(Metadata!B989)=COLUMNS(Metadata!B989)</f>
        <v>0</v>
      </c>
      <c r="K989">
        <v>0</v>
      </c>
      <c r="M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</row>
    <row r="990" spans="1:13">
      <c r="A990" s="3">
        <f>IF(B990=" "," ",HYPERLINK(CONCATENATE("#metadata!",ADDRESS(INDEX($H$2:$H$1001,MATCH(ROWS($F$2:F990),$F$2:$F$1001,0),0),2)),INDEX($K$2:$K$1001,MATCH(ROWS($F$2:F990),$F$2:$F$1001,0),0)))</f>
        <v>0</v>
      </c>
      <c r="B990" s="4">
        <f>IF(OR(INDEX($G$2:$G$1001,MATCH(ROWS($F$2:F990),$F$2:$F$1001,0),1)&gt;=100000,INDEX($M$1005,1,MATCH(COLUMNS($M$1006:M1006),$M$1006,0))&gt;=100000), " ",IF(INDEX($M$2:$M$1001,MATCH(ROWS($F$2:F990),$F$2:$F$1001,0),MATCH(COLUMNS($M$1006:M1006),$M$1006,0)), HYPERLINK("#",""), HYPERLINK(CONCATENATE("#Metadata!", ADDRESS(INDEX($H$2:$H$1001,MATCH(ROWS($F$2:F990),$F$2:$F$1001,0),0), INDEX($M$1004,1,MATCH(COLUMNS($M$1006:M1006),$M$1006,0)))),"Fix")))</f>
        <v>0</v>
      </c>
      <c r="F990">
        <v>0</v>
      </c>
      <c r="G990">
        <v>0</v>
      </c>
      <c r="H990">
        <v>0</v>
      </c>
      <c r="I990">
        <f>IF(J990,TRUE,AND(M990))</f>
        <v>0</v>
      </c>
      <c r="J990">
        <f>COUNTBLANK(Metadata!B990)=COLUMNS(Metadata!B990)</f>
        <v>0</v>
      </c>
      <c r="K990">
        <v>0</v>
      </c>
      <c r="M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</row>
    <row r="991" spans="1:13">
      <c r="A991" s="3">
        <f>IF(B991=" "," ",HYPERLINK(CONCATENATE("#metadata!",ADDRESS(INDEX($H$2:$H$1001,MATCH(ROWS($F$2:F991),$F$2:$F$1001,0),0),2)),INDEX($K$2:$K$1001,MATCH(ROWS($F$2:F991),$F$2:$F$1001,0),0)))</f>
        <v>0</v>
      </c>
      <c r="B991" s="4">
        <f>IF(OR(INDEX($G$2:$G$1001,MATCH(ROWS($F$2:F991),$F$2:$F$1001,0),1)&gt;=100000,INDEX($M$1005,1,MATCH(COLUMNS($M$1006:M1006),$M$1006,0))&gt;=100000), " ",IF(INDEX($M$2:$M$1001,MATCH(ROWS($F$2:F991),$F$2:$F$1001,0),MATCH(COLUMNS($M$1006:M1006),$M$1006,0)), HYPERLINK("#",""), HYPERLINK(CONCATENATE("#Metadata!", ADDRESS(INDEX($H$2:$H$1001,MATCH(ROWS($F$2:F991),$F$2:$F$1001,0),0), INDEX($M$1004,1,MATCH(COLUMNS($M$1006:M1006),$M$1006,0)))),"Fix")))</f>
        <v>0</v>
      </c>
      <c r="F991">
        <v>0</v>
      </c>
      <c r="G991">
        <v>0</v>
      </c>
      <c r="H991">
        <v>0</v>
      </c>
      <c r="I991">
        <f>IF(J991,TRUE,AND(M991))</f>
        <v>0</v>
      </c>
      <c r="J991">
        <f>COUNTBLANK(Metadata!B991)=COLUMNS(Metadata!B991)</f>
        <v>0</v>
      </c>
      <c r="K991">
        <v>0</v>
      </c>
      <c r="M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</row>
    <row r="992" spans="1:13">
      <c r="A992" s="3">
        <f>IF(B992=" "," ",HYPERLINK(CONCATENATE("#metadata!",ADDRESS(INDEX($H$2:$H$1001,MATCH(ROWS($F$2:F992),$F$2:$F$1001,0),0),2)),INDEX($K$2:$K$1001,MATCH(ROWS($F$2:F992),$F$2:$F$1001,0),0)))</f>
        <v>0</v>
      </c>
      <c r="B992" s="4">
        <f>IF(OR(INDEX($G$2:$G$1001,MATCH(ROWS($F$2:F992),$F$2:$F$1001,0),1)&gt;=100000,INDEX($M$1005,1,MATCH(COLUMNS($M$1006:M1006),$M$1006,0))&gt;=100000), " ",IF(INDEX($M$2:$M$1001,MATCH(ROWS($F$2:F992),$F$2:$F$1001,0),MATCH(COLUMNS($M$1006:M1006),$M$1006,0)), HYPERLINK("#",""), HYPERLINK(CONCATENATE("#Metadata!", ADDRESS(INDEX($H$2:$H$1001,MATCH(ROWS($F$2:F992),$F$2:$F$1001,0),0), INDEX($M$1004,1,MATCH(COLUMNS($M$1006:M1006),$M$1006,0)))),"Fix")))</f>
        <v>0</v>
      </c>
      <c r="F992">
        <v>0</v>
      </c>
      <c r="G992">
        <v>0</v>
      </c>
      <c r="H992">
        <v>0</v>
      </c>
      <c r="I992">
        <f>IF(J992,TRUE,AND(M992))</f>
        <v>0</v>
      </c>
      <c r="J992">
        <f>COUNTBLANK(Metadata!B992)=COLUMNS(Metadata!B992)</f>
        <v>0</v>
      </c>
      <c r="K992">
        <v>0</v>
      </c>
      <c r="M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</row>
    <row r="993" spans="1:13">
      <c r="A993" s="3">
        <f>IF(B993=" "," ",HYPERLINK(CONCATENATE("#metadata!",ADDRESS(INDEX($H$2:$H$1001,MATCH(ROWS($F$2:F993),$F$2:$F$1001,0),0),2)),INDEX($K$2:$K$1001,MATCH(ROWS($F$2:F993),$F$2:$F$1001,0),0)))</f>
        <v>0</v>
      </c>
      <c r="B993" s="4">
        <f>IF(OR(INDEX($G$2:$G$1001,MATCH(ROWS($F$2:F993),$F$2:$F$1001,0),1)&gt;=100000,INDEX($M$1005,1,MATCH(COLUMNS($M$1006:M1006),$M$1006,0))&gt;=100000), " ",IF(INDEX($M$2:$M$1001,MATCH(ROWS($F$2:F993),$F$2:$F$1001,0),MATCH(COLUMNS($M$1006:M1006),$M$1006,0)), HYPERLINK("#",""), HYPERLINK(CONCATENATE("#Metadata!", ADDRESS(INDEX($H$2:$H$1001,MATCH(ROWS($F$2:F993),$F$2:$F$1001,0),0), INDEX($M$1004,1,MATCH(COLUMNS($M$1006:M1006),$M$1006,0)))),"Fix")))</f>
        <v>0</v>
      </c>
      <c r="F993">
        <v>0</v>
      </c>
      <c r="G993">
        <v>0</v>
      </c>
      <c r="H993">
        <v>0</v>
      </c>
      <c r="I993">
        <f>IF(J993,TRUE,AND(M993))</f>
        <v>0</v>
      </c>
      <c r="J993">
        <f>COUNTBLANK(Metadata!B993)=COLUMNS(Metadata!B993)</f>
        <v>0</v>
      </c>
      <c r="K993">
        <v>0</v>
      </c>
      <c r="M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</row>
    <row r="994" spans="1:13">
      <c r="A994" s="3">
        <f>IF(B994=" "," ",HYPERLINK(CONCATENATE("#metadata!",ADDRESS(INDEX($H$2:$H$1001,MATCH(ROWS($F$2:F994),$F$2:$F$1001,0),0),2)),INDEX($K$2:$K$1001,MATCH(ROWS($F$2:F994),$F$2:$F$1001,0),0)))</f>
        <v>0</v>
      </c>
      <c r="B994" s="4">
        <f>IF(OR(INDEX($G$2:$G$1001,MATCH(ROWS($F$2:F994),$F$2:$F$1001,0),1)&gt;=100000,INDEX($M$1005,1,MATCH(COLUMNS($M$1006:M1006),$M$1006,0))&gt;=100000), " ",IF(INDEX($M$2:$M$1001,MATCH(ROWS($F$2:F994),$F$2:$F$1001,0),MATCH(COLUMNS($M$1006:M1006),$M$1006,0)), HYPERLINK("#",""), HYPERLINK(CONCATENATE("#Metadata!", ADDRESS(INDEX($H$2:$H$1001,MATCH(ROWS($F$2:F994),$F$2:$F$1001,0),0), INDEX($M$1004,1,MATCH(COLUMNS($M$1006:M1006),$M$1006,0)))),"Fix")))</f>
        <v>0</v>
      </c>
      <c r="F994">
        <v>0</v>
      </c>
      <c r="G994">
        <v>0</v>
      </c>
      <c r="H994">
        <v>0</v>
      </c>
      <c r="I994">
        <f>IF(J994,TRUE,AND(M994))</f>
        <v>0</v>
      </c>
      <c r="J994">
        <f>COUNTBLANK(Metadata!B994)=COLUMNS(Metadata!B994)</f>
        <v>0</v>
      </c>
      <c r="K994">
        <v>0</v>
      </c>
      <c r="M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</row>
    <row r="995" spans="1:13">
      <c r="A995" s="3">
        <f>IF(B995=" "," ",HYPERLINK(CONCATENATE("#metadata!",ADDRESS(INDEX($H$2:$H$1001,MATCH(ROWS($F$2:F995),$F$2:$F$1001,0),0),2)),INDEX($K$2:$K$1001,MATCH(ROWS($F$2:F995),$F$2:$F$1001,0),0)))</f>
        <v>0</v>
      </c>
      <c r="B995" s="4">
        <f>IF(OR(INDEX($G$2:$G$1001,MATCH(ROWS($F$2:F995),$F$2:$F$1001,0),1)&gt;=100000,INDEX($M$1005,1,MATCH(COLUMNS($M$1006:M1006),$M$1006,0))&gt;=100000), " ",IF(INDEX($M$2:$M$1001,MATCH(ROWS($F$2:F995),$F$2:$F$1001,0),MATCH(COLUMNS($M$1006:M1006),$M$1006,0)), HYPERLINK("#",""), HYPERLINK(CONCATENATE("#Metadata!", ADDRESS(INDEX($H$2:$H$1001,MATCH(ROWS($F$2:F995),$F$2:$F$1001,0),0), INDEX($M$1004,1,MATCH(COLUMNS($M$1006:M1006),$M$1006,0)))),"Fix")))</f>
        <v>0</v>
      </c>
      <c r="F995">
        <v>0</v>
      </c>
      <c r="G995">
        <v>0</v>
      </c>
      <c r="H995">
        <v>0</v>
      </c>
      <c r="I995">
        <f>IF(J995,TRUE,AND(M995))</f>
        <v>0</v>
      </c>
      <c r="J995">
        <f>COUNTBLANK(Metadata!B995)=COLUMNS(Metadata!B995)</f>
        <v>0</v>
      </c>
      <c r="K995">
        <v>0</v>
      </c>
      <c r="M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</row>
    <row r="996" spans="1:13">
      <c r="A996" s="3">
        <f>IF(B996=" "," ",HYPERLINK(CONCATENATE("#metadata!",ADDRESS(INDEX($H$2:$H$1001,MATCH(ROWS($F$2:F996),$F$2:$F$1001,0),0),2)),INDEX($K$2:$K$1001,MATCH(ROWS($F$2:F996),$F$2:$F$1001,0),0)))</f>
        <v>0</v>
      </c>
      <c r="B996" s="4">
        <f>IF(OR(INDEX($G$2:$G$1001,MATCH(ROWS($F$2:F996),$F$2:$F$1001,0),1)&gt;=100000,INDEX($M$1005,1,MATCH(COLUMNS($M$1006:M1006),$M$1006,0))&gt;=100000), " ",IF(INDEX($M$2:$M$1001,MATCH(ROWS($F$2:F996),$F$2:$F$1001,0),MATCH(COLUMNS($M$1006:M1006),$M$1006,0)), HYPERLINK("#",""), HYPERLINK(CONCATENATE("#Metadata!", ADDRESS(INDEX($H$2:$H$1001,MATCH(ROWS($F$2:F996),$F$2:$F$1001,0),0), INDEX($M$1004,1,MATCH(COLUMNS($M$1006:M1006),$M$1006,0)))),"Fix")))</f>
        <v>0</v>
      </c>
      <c r="F996">
        <v>0</v>
      </c>
      <c r="G996">
        <v>0</v>
      </c>
      <c r="H996">
        <v>0</v>
      </c>
      <c r="I996">
        <f>IF(J996,TRUE,AND(M996))</f>
        <v>0</v>
      </c>
      <c r="J996">
        <f>COUNTBLANK(Metadata!B996)=COLUMNS(Metadata!B996)</f>
        <v>0</v>
      </c>
      <c r="K996">
        <v>0</v>
      </c>
      <c r="M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</row>
    <row r="997" spans="1:13">
      <c r="A997" s="3">
        <f>IF(B997=" "," ",HYPERLINK(CONCATENATE("#metadata!",ADDRESS(INDEX($H$2:$H$1001,MATCH(ROWS($F$2:F997),$F$2:$F$1001,0),0),2)),INDEX($K$2:$K$1001,MATCH(ROWS($F$2:F997),$F$2:$F$1001,0),0)))</f>
        <v>0</v>
      </c>
      <c r="B997" s="4">
        <f>IF(OR(INDEX($G$2:$G$1001,MATCH(ROWS($F$2:F997),$F$2:$F$1001,0),1)&gt;=100000,INDEX($M$1005,1,MATCH(COLUMNS($M$1006:M1006),$M$1006,0))&gt;=100000), " ",IF(INDEX($M$2:$M$1001,MATCH(ROWS($F$2:F997),$F$2:$F$1001,0),MATCH(COLUMNS($M$1006:M1006),$M$1006,0)), HYPERLINK("#",""), HYPERLINK(CONCATENATE("#Metadata!", ADDRESS(INDEX($H$2:$H$1001,MATCH(ROWS($F$2:F997),$F$2:$F$1001,0),0), INDEX($M$1004,1,MATCH(COLUMNS($M$1006:M1006),$M$1006,0)))),"Fix")))</f>
        <v>0</v>
      </c>
      <c r="F997">
        <v>0</v>
      </c>
      <c r="G997">
        <v>0</v>
      </c>
      <c r="H997">
        <v>0</v>
      </c>
      <c r="I997">
        <f>IF(J997,TRUE,AND(M997))</f>
        <v>0</v>
      </c>
      <c r="J997">
        <f>COUNTBLANK(Metadata!B997)=COLUMNS(Metadata!B997)</f>
        <v>0</v>
      </c>
      <c r="K997">
        <v>0</v>
      </c>
      <c r="M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</row>
    <row r="998" spans="1:13">
      <c r="A998" s="3">
        <f>IF(B998=" "," ",HYPERLINK(CONCATENATE("#metadata!",ADDRESS(INDEX($H$2:$H$1001,MATCH(ROWS($F$2:F998),$F$2:$F$1001,0),0),2)),INDEX($K$2:$K$1001,MATCH(ROWS($F$2:F998),$F$2:$F$1001,0),0)))</f>
        <v>0</v>
      </c>
      <c r="B998" s="4">
        <f>IF(OR(INDEX($G$2:$G$1001,MATCH(ROWS($F$2:F998),$F$2:$F$1001,0),1)&gt;=100000,INDEX($M$1005,1,MATCH(COLUMNS($M$1006:M1006),$M$1006,0))&gt;=100000), " ",IF(INDEX($M$2:$M$1001,MATCH(ROWS($F$2:F998),$F$2:$F$1001,0),MATCH(COLUMNS($M$1006:M1006),$M$1006,0)), HYPERLINK("#",""), HYPERLINK(CONCATENATE("#Metadata!", ADDRESS(INDEX($H$2:$H$1001,MATCH(ROWS($F$2:F998),$F$2:$F$1001,0),0), INDEX($M$1004,1,MATCH(COLUMNS($M$1006:M1006),$M$1006,0)))),"Fix")))</f>
        <v>0</v>
      </c>
      <c r="F998">
        <v>0</v>
      </c>
      <c r="G998">
        <v>0</v>
      </c>
      <c r="H998">
        <v>0</v>
      </c>
      <c r="I998">
        <f>IF(J998,TRUE,AND(M998))</f>
        <v>0</v>
      </c>
      <c r="J998">
        <f>COUNTBLANK(Metadata!B998)=COLUMNS(Metadata!B998)</f>
        <v>0</v>
      </c>
      <c r="K998">
        <v>0</v>
      </c>
      <c r="M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</row>
    <row r="999" spans="1:13">
      <c r="A999" s="3">
        <f>IF(B999=" "," ",HYPERLINK(CONCATENATE("#metadata!",ADDRESS(INDEX($H$2:$H$1001,MATCH(ROWS($F$2:F999),$F$2:$F$1001,0),0),2)),INDEX($K$2:$K$1001,MATCH(ROWS($F$2:F999),$F$2:$F$1001,0),0)))</f>
        <v>0</v>
      </c>
      <c r="B999" s="4">
        <f>IF(OR(INDEX($G$2:$G$1001,MATCH(ROWS($F$2:F999),$F$2:$F$1001,0),1)&gt;=100000,INDEX($M$1005,1,MATCH(COLUMNS($M$1006:M1006),$M$1006,0))&gt;=100000), " ",IF(INDEX($M$2:$M$1001,MATCH(ROWS($F$2:F999),$F$2:$F$1001,0),MATCH(COLUMNS($M$1006:M1006),$M$1006,0)), HYPERLINK("#",""), HYPERLINK(CONCATENATE("#Metadata!", ADDRESS(INDEX($H$2:$H$1001,MATCH(ROWS($F$2:F999),$F$2:$F$1001,0),0), INDEX($M$1004,1,MATCH(COLUMNS($M$1006:M1006),$M$1006,0)))),"Fix")))</f>
        <v>0</v>
      </c>
      <c r="F999">
        <v>0</v>
      </c>
      <c r="G999">
        <v>0</v>
      </c>
      <c r="H999">
        <v>0</v>
      </c>
      <c r="I999">
        <f>IF(J999,TRUE,AND(M999))</f>
        <v>0</v>
      </c>
      <c r="J999">
        <f>COUNTBLANK(Metadata!B999)=COLUMNS(Metadata!B999)</f>
        <v>0</v>
      </c>
      <c r="K999">
        <v>0</v>
      </c>
      <c r="M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</row>
    <row r="1000" spans="1:13">
      <c r="A1000" s="3">
        <f>IF(B1000=" "," ",HYPERLINK(CONCATENATE("#metadata!",ADDRESS(INDEX($H$2:$H$1001,MATCH(ROWS($F$2:F1000),$F$2:$F$1001,0),0),2)),INDEX($K$2:$K$1001,MATCH(ROWS($F$2:F1000),$F$2:$F$1001,0),0)))</f>
        <v>0</v>
      </c>
      <c r="B1000" s="4">
        <f>IF(OR(INDEX($G$2:$G$1001,MATCH(ROWS($F$2:F1000),$F$2:$F$1001,0),1)&gt;=100000,INDEX($M$1005,1,MATCH(COLUMNS($M$1006:M1006),$M$1006,0))&gt;=100000), " ",IF(INDEX($M$2:$M$1001,MATCH(ROWS($F$2:F1000),$F$2:$F$1001,0),MATCH(COLUMNS($M$1006:M1006),$M$1006,0)), HYPERLINK("#",""), HYPERLINK(CONCATENATE("#Metadata!", ADDRESS(INDEX($H$2:$H$1001,MATCH(ROWS($F$2:F1000),$F$2:$F$1001,0),0), INDEX($M$1004,1,MATCH(COLUMNS($M$1006:M1006),$M$1006,0)))),"Fix")))</f>
        <v>0</v>
      </c>
      <c r="F1000">
        <v>0</v>
      </c>
      <c r="G1000">
        <v>0</v>
      </c>
      <c r="H1000">
        <v>0</v>
      </c>
      <c r="I1000">
        <f>IF(J1000,TRUE,AND(M1000))</f>
        <v>0</v>
      </c>
      <c r="J1000">
        <f>COUNTBLANK(Metadata!B1000)=COLUMNS(Metadata!B1000)</f>
        <v>0</v>
      </c>
      <c r="K1000">
        <v>0</v>
      </c>
      <c r="M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</row>
    <row r="1001" spans="1:13">
      <c r="A1001" s="3">
        <f>IF(B1001=" "," ",HYPERLINK(CONCATENATE("#metadata!",ADDRESS(INDEX($H$2:$H$1001,MATCH(ROWS($F$2:F1001),$F$2:$F$1001,0),0),2)),INDEX($K$2:$K$1001,MATCH(ROWS($F$2:F1001),$F$2:$F$1001,0),0)))</f>
        <v>0</v>
      </c>
      <c r="B1001" s="4">
        <f>IF(OR(INDEX($G$2:$G$1001,MATCH(ROWS($F$2:F1001),$F$2:$F$1001,0),1)&gt;=100000,INDEX($M$1005,1,MATCH(COLUMNS($M$1006:M1006),$M$1006,0))&gt;=100000), " ",IF(INDEX($M$2:$M$1001,MATCH(ROWS($F$2:F1001),$F$2:$F$1001,0),MATCH(COLUMNS($M$1006:M1006),$M$1006,0)), HYPERLINK("#",""), HYPERLINK(CONCATENATE("#Metadata!", ADDRESS(INDEX($H$2:$H$1001,MATCH(ROWS($F$2:F1001),$F$2:$F$1001,0),0), INDEX($M$1004,1,MATCH(COLUMNS($M$1006:M1006),$M$1006,0)))),"Fix")))</f>
        <v>0</v>
      </c>
      <c r="F1001">
        <v>0</v>
      </c>
      <c r="G1001">
        <v>0</v>
      </c>
      <c r="H1001">
        <v>0</v>
      </c>
      <c r="I1001">
        <f>IF(J1001,TRUE,AND(M1001))</f>
        <v>0</v>
      </c>
      <c r="J1001">
        <f>COUNTBLANK(Metadata!B1001)=COLUMNS(Metadata!B1001)</f>
        <v>0</v>
      </c>
      <c r="K1001">
        <v>0</v>
      </c>
      <c r="M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</row>
    <row r="1003" spans="1:13">
      <c r="L1003" s="2" t="s">
        <v>8</v>
      </c>
      <c r="M1003">
        <f t="array" ref="M1003">AND(IF($J2:$J1001,TRUE,M2:M1001))</f>
        <v>0</v>
      </c>
    </row>
    <row r="1004" spans="1:13">
      <c r="L1004" s="2" t="s">
        <v>9</v>
      </c>
      <c r="M1004">
        <f t="array" ref="M1004">COLUMN(Metadata!B1004)</f>
        <v>0</v>
      </c>
    </row>
    <row r="1005" spans="1:13">
      <c r="L1005" s="2" t="s">
        <v>10</v>
      </c>
      <c r="M1005">
        <f t="array" ref="M1005">INT(M1003)*100000+$M$1004</f>
        <v>0</v>
      </c>
    </row>
    <row r="1006" spans="1:13">
      <c r="L1006" s="2" t="s">
        <v>11</v>
      </c>
      <c r="M1006">
        <f t="array" ref="M1006">COUNTIF($M1005,"&lt;="&amp;M$1005:M1005)</f>
        <v>0</v>
      </c>
    </row>
  </sheetData>
  <sheetProtection password="EE32" sheet="1" objects="1" scenarios="1"/>
  <conditionalFormatting sqref="B2:B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2" t="s">
        <v>12</v>
      </c>
      <c r="B1" s="2" t="s">
        <v>13</v>
      </c>
    </row>
    <row r="2" spans="1:2">
      <c r="A2" s="2" t="s">
        <v>1</v>
      </c>
      <c r="B2" t="s">
        <v>14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15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16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3">
        <f>HYPERLINK("http://metadata-wizard-tutorial.readthedocs.io/en/latest/", "Click here for instructions on using this spreadsheet.")</f>
        <v>0</v>
      </c>
    </row>
    <row r="3" spans="1:1">
      <c r="A3" s="5" t="s">
        <v>17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2021-04-08T20:14:21Z</dcterms:created>
  <dcterms:modified xsi:type="dcterms:W3CDTF">2021-04-08T20:14:21Z</dcterms:modified>
</cp:coreProperties>
</file>