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mmary Table" sheetId="2" r:id="rId5"/>
  </sheets>
  <definedNames/>
  <calcPr/>
</workbook>
</file>

<file path=xl/sharedStrings.xml><?xml version="1.0" encoding="utf-8"?>
<sst xmlns="http://schemas.openxmlformats.org/spreadsheetml/2006/main" count="443" uniqueCount="36">
  <si>
    <t>Name</t>
  </si>
  <si>
    <t>Opponent</t>
  </si>
  <si>
    <t>Leg #</t>
  </si>
  <si>
    <t>Age (years)</t>
  </si>
  <si>
    <t>World Rank</t>
  </si>
  <si>
    <t>Final Doubles Hit %</t>
  </si>
  <si>
    <t>Average Time of Throws (sec.)</t>
  </si>
  <si>
    <t>Total Pts Scored</t>
  </si>
  <si>
    <t>Wins</t>
  </si>
  <si>
    <t>Losses</t>
  </si>
  <si>
    <t>Won Leg</t>
  </si>
  <si>
    <t>180's</t>
  </si>
  <si>
    <t>140&gt;'s</t>
  </si>
  <si>
    <t>3 dart avg.</t>
  </si>
  <si>
    <t>Dirk Van Duijvenbode</t>
  </si>
  <si>
    <t>Chris Dobey</t>
  </si>
  <si>
    <t>Michael Smith</t>
  </si>
  <si>
    <t>Danny Noppert</t>
  </si>
  <si>
    <t>Peter Wright</t>
  </si>
  <si>
    <t>Jonny Clayton</t>
  </si>
  <si>
    <t>Michael Van Gerwen</t>
  </si>
  <si>
    <t>Rob Cross</t>
  </si>
  <si>
    <t>Darts Metric</t>
  </si>
  <si>
    <t>Min</t>
  </si>
  <si>
    <t>Q1</t>
  </si>
  <si>
    <t>Median</t>
  </si>
  <si>
    <t>Q3</t>
  </si>
  <si>
    <t>Max</t>
  </si>
  <si>
    <t>Mean</t>
  </si>
  <si>
    <t>SD</t>
  </si>
  <si>
    <t>Count</t>
  </si>
  <si>
    <t>-</t>
  </si>
  <si>
    <t>Final Doubles Success Rate</t>
  </si>
  <si>
    <t>Number of 180 Point Turns</t>
  </si>
  <si>
    <t>Number of &gt;140 Point Turns</t>
  </si>
  <si>
    <t>3 Dart Point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</si>
</sst>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2" xfId="0" applyAlignment="1" applyFont="1" applyNumberForma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2" numFmtId="2" xfId="0" applyAlignment="1" applyFont="1" applyNumberFormat="1">
      <alignment readingOrder="0"/>
    </xf>
    <xf borderId="0" fillId="3" fontId="2" numFmtId="0" xfId="0" applyFont="1"/>
    <xf borderId="0" fillId="3" fontId="2" numFmtId="0" xfId="0" applyAlignment="1" applyFont="1">
      <alignment horizontal="right" readingOrder="0"/>
    </xf>
    <xf borderId="0" fillId="3" fontId="2" numFmtId="2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2" xfId="0" applyFont="1" applyNumberFormat="1"/>
    <xf borderId="0" fillId="4" fontId="2" numFmtId="0" xfId="0" applyAlignment="1" applyFill="1" applyFont="1">
      <alignment readingOrder="0"/>
    </xf>
    <xf borderId="0" fillId="4" fontId="2" numFmtId="2" xfId="0" applyAlignment="1" applyFont="1" applyNumberFormat="1">
      <alignment readingOrder="0"/>
    </xf>
    <xf borderId="0" fillId="4" fontId="2" numFmtId="0" xfId="0" applyAlignment="1" applyFont="1">
      <alignment horizontal="right" readingOrder="0"/>
    </xf>
    <xf borderId="0" fillId="4" fontId="2" numFmtId="2" xfId="0" applyFont="1" applyNumberFormat="1"/>
    <xf borderId="0" fillId="4" fontId="2" numFmtId="0" xfId="0" applyFont="1"/>
    <xf borderId="0" fillId="0" fontId="2" numFmtId="0" xfId="0" applyFont="1"/>
    <xf borderId="0" fillId="4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5" fontId="2" numFmtId="2" xfId="0" applyFont="1" applyNumberFormat="1"/>
    <xf borderId="0" fillId="5" fontId="2" numFmtId="0" xfId="0" applyFont="1"/>
    <xf borderId="0" fillId="4" fontId="0" numFmtId="2" xfId="0" applyFont="1" applyNumberFormat="1"/>
    <xf borderId="0" fillId="6" fontId="3" numFmtId="2" xfId="0" applyFill="1" applyFont="1" applyNumberFormat="1"/>
    <xf borderId="0" fillId="7" fontId="4" numFmtId="0" xfId="0" applyAlignment="1" applyFill="1" applyFont="1">
      <alignment readingOrder="0"/>
    </xf>
    <xf borderId="0" fillId="7" fontId="4" numFmtId="0" xfId="0" applyAlignment="1" applyFont="1">
      <alignment horizontal="center" readingOrder="0"/>
    </xf>
    <xf borderId="0" fillId="8" fontId="2" numFmtId="0" xfId="0" applyAlignment="1" applyFill="1" applyFont="1">
      <alignment readingOrder="0"/>
    </xf>
    <xf borderId="0" fillId="8" fontId="2" numFmtId="2" xfId="0" applyAlignment="1" applyFont="1" applyNumberFormat="1">
      <alignment horizontal="center" readingOrder="0"/>
    </xf>
    <xf borderId="0" fillId="8" fontId="2" numFmtId="1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17.75"/>
    <col customWidth="1" min="3" max="3" width="8.75"/>
    <col customWidth="1" min="4" max="4" width="15.13"/>
    <col customWidth="1" min="5" max="5" width="14.0"/>
    <col customWidth="1" min="6" max="6" width="20.5"/>
    <col customWidth="1" min="7" max="7" width="27.88"/>
    <col customWidth="1" min="8" max="8" width="18.0"/>
    <col customWidth="1" min="9" max="9" width="20.13"/>
    <col customWidth="1" min="10" max="11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14</v>
      </c>
      <c r="B2" s="4" t="s">
        <v>15</v>
      </c>
      <c r="C2" s="4">
        <v>1.0</v>
      </c>
      <c r="D2" s="4">
        <v>30.0</v>
      </c>
      <c r="E2" s="4">
        <v>13.0</v>
      </c>
      <c r="F2" s="4"/>
      <c r="G2" s="5">
        <f>20.12/5</f>
        <v>4.024</v>
      </c>
      <c r="H2" s="6">
        <f>501-14</f>
        <v>487</v>
      </c>
      <c r="I2" s="7">
        <v>0.0</v>
      </c>
      <c r="J2" s="7">
        <v>0.0</v>
      </c>
      <c r="K2" s="4">
        <v>0.0</v>
      </c>
      <c r="L2" s="4">
        <v>0.0</v>
      </c>
      <c r="M2" s="4">
        <v>0.0</v>
      </c>
      <c r="N2" s="8">
        <f>487/5</f>
        <v>97.4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 t="s">
        <v>15</v>
      </c>
      <c r="B3" s="4" t="s">
        <v>14</v>
      </c>
      <c r="C3" s="4">
        <v>1.0</v>
      </c>
      <c r="D3" s="4">
        <v>32.0</v>
      </c>
      <c r="E3" s="4">
        <v>21.0</v>
      </c>
      <c r="F3" s="4">
        <v>0.5</v>
      </c>
      <c r="G3" s="5">
        <f>31.58/5</f>
        <v>6.316</v>
      </c>
      <c r="H3" s="4">
        <v>501.0</v>
      </c>
      <c r="I3" s="7">
        <v>0.0</v>
      </c>
      <c r="J3" s="7">
        <v>0.0</v>
      </c>
      <c r="K3" s="4">
        <v>1.0</v>
      </c>
      <c r="L3" s="4">
        <v>0.0</v>
      </c>
      <c r="M3" s="4">
        <v>1.0</v>
      </c>
      <c r="N3" s="8">
        <f>501/5</f>
        <v>100.2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9" t="s">
        <v>14</v>
      </c>
      <c r="B4" s="9" t="s">
        <v>15</v>
      </c>
      <c r="C4" s="9">
        <v>2.0</v>
      </c>
      <c r="D4" s="10">
        <v>30.0</v>
      </c>
      <c r="E4" s="10">
        <v>13.0</v>
      </c>
      <c r="F4" s="10">
        <v>1.0</v>
      </c>
      <c r="G4" s="11">
        <f>18.07/4</f>
        <v>4.5175</v>
      </c>
      <c r="H4" s="10">
        <v>501.0</v>
      </c>
      <c r="I4" s="12">
        <v>0.0</v>
      </c>
      <c r="J4" s="12">
        <v>1.0</v>
      </c>
      <c r="K4" s="10">
        <v>1.0</v>
      </c>
      <c r="L4" s="10">
        <v>1.0</v>
      </c>
      <c r="M4" s="10">
        <v>1.0</v>
      </c>
      <c r="N4" s="13">
        <f>501/4</f>
        <v>125.25</v>
      </c>
    </row>
    <row r="5">
      <c r="A5" s="9" t="s">
        <v>15</v>
      </c>
      <c r="B5" s="9" t="s">
        <v>14</v>
      </c>
      <c r="C5" s="9">
        <v>2.0</v>
      </c>
      <c r="D5" s="10">
        <v>32.0</v>
      </c>
      <c r="E5" s="10">
        <v>21.0</v>
      </c>
      <c r="G5" s="11">
        <f>21.02/4</f>
        <v>5.255</v>
      </c>
      <c r="H5" s="10">
        <v>268.0</v>
      </c>
      <c r="I5" s="12">
        <v>1.0</v>
      </c>
      <c r="J5" s="12">
        <v>0.0</v>
      </c>
      <c r="K5" s="10">
        <v>0.0</v>
      </c>
      <c r="L5" s="10">
        <v>0.0</v>
      </c>
      <c r="M5" s="10">
        <v>0.0</v>
      </c>
      <c r="N5" s="13">
        <f>268/4</f>
        <v>67</v>
      </c>
    </row>
    <row r="6">
      <c r="A6" s="14" t="s">
        <v>14</v>
      </c>
      <c r="B6" s="14" t="s">
        <v>15</v>
      </c>
      <c r="C6" s="14">
        <v>3.0</v>
      </c>
      <c r="D6" s="14">
        <v>30.0</v>
      </c>
      <c r="E6" s="14">
        <v>13.0</v>
      </c>
      <c r="F6" s="14"/>
      <c r="G6" s="15">
        <f>16.69/4</f>
        <v>4.1725</v>
      </c>
      <c r="H6" s="14">
        <v>327.0</v>
      </c>
      <c r="I6" s="16">
        <v>1.0</v>
      </c>
      <c r="J6" s="16">
        <v>1.0</v>
      </c>
      <c r="K6" s="14">
        <v>0.0</v>
      </c>
      <c r="L6" s="14">
        <v>0.0</v>
      </c>
      <c r="M6" s="14">
        <v>0.0</v>
      </c>
      <c r="N6" s="17">
        <f>327/4</f>
        <v>81.75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4" t="s">
        <v>15</v>
      </c>
      <c r="B7" s="14" t="s">
        <v>14</v>
      </c>
      <c r="C7" s="14">
        <v>3.0</v>
      </c>
      <c r="D7" s="14">
        <v>32.0</v>
      </c>
      <c r="E7" s="14">
        <v>21.0</v>
      </c>
      <c r="F7" s="14">
        <v>1.0</v>
      </c>
      <c r="G7" s="15">
        <f>26.59/4</f>
        <v>6.6475</v>
      </c>
      <c r="H7" s="14">
        <v>501.0</v>
      </c>
      <c r="I7" s="16">
        <v>1.0</v>
      </c>
      <c r="J7" s="16">
        <v>1.0</v>
      </c>
      <c r="K7" s="14">
        <v>1.0</v>
      </c>
      <c r="L7" s="14">
        <v>0.0</v>
      </c>
      <c r="M7" s="14">
        <v>1.0</v>
      </c>
      <c r="N7" s="17">
        <f>501/4</f>
        <v>125.25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9" t="s">
        <v>14</v>
      </c>
      <c r="B8" s="9" t="s">
        <v>15</v>
      </c>
      <c r="C8" s="10">
        <v>4.0</v>
      </c>
      <c r="D8" s="10">
        <v>30.0</v>
      </c>
      <c r="E8" s="10">
        <v>13.0</v>
      </c>
      <c r="F8" s="10">
        <v>0.33</v>
      </c>
      <c r="G8" s="13">
        <f>22.25/5</f>
        <v>4.45</v>
      </c>
      <c r="H8" s="10">
        <v>501.0</v>
      </c>
      <c r="I8" s="12">
        <v>1.0</v>
      </c>
      <c r="J8" s="12">
        <v>2.0</v>
      </c>
      <c r="K8" s="10">
        <v>1.0</v>
      </c>
      <c r="L8" s="10">
        <v>0.0</v>
      </c>
      <c r="M8" s="10">
        <v>2.0</v>
      </c>
      <c r="N8" s="13">
        <f>501/5</f>
        <v>100.2</v>
      </c>
    </row>
    <row r="9">
      <c r="A9" s="9" t="s">
        <v>15</v>
      </c>
      <c r="B9" s="9" t="s">
        <v>14</v>
      </c>
      <c r="C9" s="10">
        <v>4.0</v>
      </c>
      <c r="D9" s="10">
        <v>32.0</v>
      </c>
      <c r="E9" s="10">
        <v>21.0</v>
      </c>
      <c r="G9" s="13">
        <f>27.92/5</f>
        <v>5.584</v>
      </c>
      <c r="H9" s="19">
        <f>501-52</f>
        <v>449</v>
      </c>
      <c r="I9" s="12">
        <v>2.0</v>
      </c>
      <c r="J9" s="12">
        <v>1.0</v>
      </c>
      <c r="K9" s="10">
        <v>0.0</v>
      </c>
      <c r="L9" s="10">
        <v>0.0</v>
      </c>
      <c r="M9" s="10">
        <v>0.0</v>
      </c>
      <c r="N9" s="13">
        <f>449/5</f>
        <v>89.8</v>
      </c>
    </row>
    <row r="10">
      <c r="A10" s="20" t="s">
        <v>14</v>
      </c>
      <c r="B10" s="20" t="s">
        <v>15</v>
      </c>
      <c r="C10" s="14">
        <v>5.0</v>
      </c>
      <c r="D10" s="14">
        <v>30.0</v>
      </c>
      <c r="E10" s="14">
        <v>13.0</v>
      </c>
      <c r="F10" s="18"/>
      <c r="G10" s="17">
        <f>17.65/4</f>
        <v>4.4125</v>
      </c>
      <c r="H10" s="14">
        <v>275.0</v>
      </c>
      <c r="I10" s="16">
        <v>2.0</v>
      </c>
      <c r="J10" s="16">
        <v>2.0</v>
      </c>
      <c r="K10" s="14">
        <v>0.0</v>
      </c>
      <c r="L10" s="14">
        <v>0.0</v>
      </c>
      <c r="M10" s="14">
        <v>0.0</v>
      </c>
      <c r="N10" s="17">
        <f>275/4</f>
        <v>68.75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20" t="s">
        <v>15</v>
      </c>
      <c r="B11" s="20" t="s">
        <v>14</v>
      </c>
      <c r="C11" s="14">
        <v>5.0</v>
      </c>
      <c r="D11" s="14">
        <v>32.0</v>
      </c>
      <c r="E11" s="14">
        <v>21.0</v>
      </c>
      <c r="F11" s="14">
        <v>0.5</v>
      </c>
      <c r="G11" s="17">
        <f>25.9/4</f>
        <v>6.475</v>
      </c>
      <c r="H11" s="14">
        <v>501.0</v>
      </c>
      <c r="I11" s="16">
        <v>2.0</v>
      </c>
      <c r="J11" s="16">
        <v>2.0</v>
      </c>
      <c r="K11" s="14">
        <v>1.0</v>
      </c>
      <c r="L11" s="14">
        <v>0.0</v>
      </c>
      <c r="M11" s="14">
        <v>0.0</v>
      </c>
      <c r="N11" s="17">
        <f>501/4</f>
        <v>125.25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9" t="s">
        <v>14</v>
      </c>
      <c r="B12" s="9" t="s">
        <v>15</v>
      </c>
      <c r="C12" s="10">
        <v>6.0</v>
      </c>
      <c r="D12" s="10">
        <v>30.0</v>
      </c>
      <c r="E12" s="10">
        <v>13.0</v>
      </c>
      <c r="F12" s="10">
        <v>0.25</v>
      </c>
      <c r="G12" s="11">
        <f>20.97/5</f>
        <v>4.194</v>
      </c>
      <c r="H12" s="10">
        <v>501.0</v>
      </c>
      <c r="I12" s="12">
        <v>2.0</v>
      </c>
      <c r="J12" s="12">
        <v>3.0</v>
      </c>
      <c r="K12" s="10">
        <v>1.0</v>
      </c>
      <c r="L12" s="10">
        <v>0.0</v>
      </c>
      <c r="M12" s="10">
        <v>0.0</v>
      </c>
      <c r="N12" s="13">
        <f>501/5</f>
        <v>100.2</v>
      </c>
    </row>
    <row r="13">
      <c r="A13" s="9" t="s">
        <v>15</v>
      </c>
      <c r="B13" s="9" t="s">
        <v>14</v>
      </c>
      <c r="C13" s="10">
        <v>6.0</v>
      </c>
      <c r="D13" s="10">
        <v>32.0</v>
      </c>
      <c r="E13" s="10">
        <v>21.0</v>
      </c>
      <c r="G13" s="11">
        <f>25.98/5</f>
        <v>5.196</v>
      </c>
      <c r="H13" s="10">
        <f>501-40</f>
        <v>461</v>
      </c>
      <c r="I13" s="12">
        <v>3.0</v>
      </c>
      <c r="J13" s="12">
        <v>2.0</v>
      </c>
      <c r="K13" s="10">
        <v>0.0</v>
      </c>
      <c r="L13" s="10">
        <v>0.0</v>
      </c>
      <c r="M13" s="10">
        <v>0.0</v>
      </c>
      <c r="N13" s="13">
        <f>461/5</f>
        <v>92.2</v>
      </c>
    </row>
    <row r="14">
      <c r="A14" s="20" t="s">
        <v>14</v>
      </c>
      <c r="B14" s="20" t="s">
        <v>15</v>
      </c>
      <c r="C14" s="14">
        <v>7.0</v>
      </c>
      <c r="D14" s="14">
        <v>30.0</v>
      </c>
      <c r="E14" s="14">
        <v>13.0</v>
      </c>
      <c r="F14" s="14">
        <v>1.0</v>
      </c>
      <c r="G14" s="15">
        <f>14.64/3</f>
        <v>4.88</v>
      </c>
      <c r="H14" s="18">
        <f>501</f>
        <v>501</v>
      </c>
      <c r="I14" s="16">
        <v>3.0</v>
      </c>
      <c r="J14" s="16">
        <v>3.0</v>
      </c>
      <c r="K14" s="14">
        <v>1.0</v>
      </c>
      <c r="L14" s="14">
        <v>2.0</v>
      </c>
      <c r="M14" s="14">
        <v>0.0</v>
      </c>
      <c r="N14" s="17">
        <f>501/3</f>
        <v>167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20" t="s">
        <v>15</v>
      </c>
      <c r="B15" s="20" t="s">
        <v>14</v>
      </c>
      <c r="C15" s="14">
        <v>7.0</v>
      </c>
      <c r="D15" s="14">
        <v>32.0</v>
      </c>
      <c r="E15" s="14">
        <v>21.0</v>
      </c>
      <c r="F15" s="18"/>
      <c r="G15" s="15">
        <f>16.66/3</f>
        <v>5.553333333</v>
      </c>
      <c r="H15" s="18">
        <f>501-72</f>
        <v>429</v>
      </c>
      <c r="I15" s="16">
        <v>3.0</v>
      </c>
      <c r="J15" s="16">
        <v>3.0</v>
      </c>
      <c r="K15" s="14">
        <v>0.0</v>
      </c>
      <c r="L15" s="14">
        <v>0.0</v>
      </c>
      <c r="M15" s="14">
        <v>1.0</v>
      </c>
      <c r="N15" s="17">
        <f>429/3</f>
        <v>143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9" t="s">
        <v>14</v>
      </c>
      <c r="B16" s="9" t="s">
        <v>15</v>
      </c>
      <c r="C16" s="10">
        <v>8.0</v>
      </c>
      <c r="D16" s="10">
        <v>30.0</v>
      </c>
      <c r="E16" s="10">
        <v>13.0</v>
      </c>
      <c r="G16" s="11">
        <f>17.89/4</f>
        <v>4.4725</v>
      </c>
      <c r="H16" s="19">
        <f>501-40</f>
        <v>461</v>
      </c>
      <c r="I16" s="12">
        <v>4.0</v>
      </c>
      <c r="J16" s="12">
        <v>3.0</v>
      </c>
      <c r="K16" s="10">
        <v>0.0</v>
      </c>
      <c r="L16" s="10">
        <v>1.0</v>
      </c>
      <c r="M16" s="10">
        <v>0.0</v>
      </c>
      <c r="N16" s="13">
        <f>461/4</f>
        <v>115.25</v>
      </c>
    </row>
    <row r="17">
      <c r="A17" s="9" t="s">
        <v>15</v>
      </c>
      <c r="B17" s="9" t="s">
        <v>14</v>
      </c>
      <c r="C17" s="10">
        <v>8.0</v>
      </c>
      <c r="D17" s="10">
        <v>32.0</v>
      </c>
      <c r="E17" s="10">
        <v>21.0</v>
      </c>
      <c r="F17" s="10">
        <v>1.0</v>
      </c>
      <c r="G17" s="11">
        <f>21.69/4</f>
        <v>5.4225</v>
      </c>
      <c r="H17" s="19">
        <f>501</f>
        <v>501</v>
      </c>
      <c r="I17" s="12">
        <v>3.0</v>
      </c>
      <c r="J17" s="12">
        <v>4.0</v>
      </c>
      <c r="K17" s="10">
        <v>1.0</v>
      </c>
      <c r="L17" s="10">
        <v>0.0</v>
      </c>
      <c r="M17" s="10">
        <v>2.0</v>
      </c>
      <c r="N17" s="11">
        <f>501/4</f>
        <v>125.25</v>
      </c>
    </row>
    <row r="18">
      <c r="A18" s="20" t="s">
        <v>14</v>
      </c>
      <c r="B18" s="20" t="s">
        <v>15</v>
      </c>
      <c r="C18" s="14">
        <v>9.0</v>
      </c>
      <c r="D18" s="14">
        <v>30.0</v>
      </c>
      <c r="E18" s="14">
        <v>13.0</v>
      </c>
      <c r="F18" s="18"/>
      <c r="G18" s="15">
        <f>19.69/5</f>
        <v>3.938</v>
      </c>
      <c r="H18" s="18">
        <f>501-58</f>
        <v>443</v>
      </c>
      <c r="I18" s="16">
        <v>4.0</v>
      </c>
      <c r="J18" s="16">
        <v>4.0</v>
      </c>
      <c r="K18" s="14">
        <v>0.0</v>
      </c>
      <c r="L18" s="14">
        <v>0.0</v>
      </c>
      <c r="M18" s="14">
        <v>1.0</v>
      </c>
      <c r="N18" s="17">
        <f>443/5</f>
        <v>88.6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20" t="s">
        <v>15</v>
      </c>
      <c r="B19" s="20" t="s">
        <v>14</v>
      </c>
      <c r="C19" s="14">
        <v>9.0</v>
      </c>
      <c r="D19" s="14">
        <v>32.0</v>
      </c>
      <c r="E19" s="14">
        <v>21.0</v>
      </c>
      <c r="F19" s="14">
        <v>0.25</v>
      </c>
      <c r="G19" s="15">
        <f>31.11/5</f>
        <v>6.222</v>
      </c>
      <c r="H19" s="18">
        <f>501</f>
        <v>501</v>
      </c>
      <c r="I19" s="16">
        <v>4.0</v>
      </c>
      <c r="J19" s="16">
        <v>4.0</v>
      </c>
      <c r="K19" s="14">
        <v>1.0</v>
      </c>
      <c r="L19" s="14">
        <v>0.0</v>
      </c>
      <c r="M19" s="14">
        <v>1.0</v>
      </c>
      <c r="N19" s="17">
        <f>501/5</f>
        <v>100.2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9" t="s">
        <v>14</v>
      </c>
      <c r="B20" s="9" t="s">
        <v>15</v>
      </c>
      <c r="C20" s="10">
        <v>10.0</v>
      </c>
      <c r="D20" s="10">
        <v>30.0</v>
      </c>
      <c r="E20" s="10">
        <v>13.0</v>
      </c>
      <c r="G20" s="11">
        <f>18.34/4</f>
        <v>4.585</v>
      </c>
      <c r="H20" s="19">
        <f>501-74</f>
        <v>427</v>
      </c>
      <c r="I20" s="12">
        <v>4.0</v>
      </c>
      <c r="J20" s="12">
        <v>5.0</v>
      </c>
      <c r="K20" s="10">
        <v>0.0</v>
      </c>
      <c r="L20" s="10">
        <v>0.0</v>
      </c>
      <c r="M20" s="10">
        <v>1.0</v>
      </c>
      <c r="N20" s="13">
        <f>427/4</f>
        <v>106.75</v>
      </c>
    </row>
    <row r="21">
      <c r="A21" s="9" t="s">
        <v>15</v>
      </c>
      <c r="B21" s="9" t="s">
        <v>14</v>
      </c>
      <c r="C21" s="10">
        <v>10.0</v>
      </c>
      <c r="D21" s="10">
        <v>32.0</v>
      </c>
      <c r="E21" s="10">
        <v>21.0</v>
      </c>
      <c r="F21" s="10">
        <v>0.5</v>
      </c>
      <c r="G21" s="11">
        <f>22.46/4</f>
        <v>5.615</v>
      </c>
      <c r="H21" s="19">
        <f>501</f>
        <v>501</v>
      </c>
      <c r="I21" s="12">
        <v>5.0</v>
      </c>
      <c r="J21" s="12">
        <v>4.0</v>
      </c>
      <c r="K21" s="10">
        <v>1.0</v>
      </c>
      <c r="L21" s="10">
        <v>1.0</v>
      </c>
      <c r="M21" s="10">
        <v>1.0</v>
      </c>
      <c r="N21" s="13">
        <f>501/4</f>
        <v>125.25</v>
      </c>
    </row>
    <row r="22">
      <c r="A22" s="20" t="s">
        <v>14</v>
      </c>
      <c r="B22" s="20" t="s">
        <v>15</v>
      </c>
      <c r="C22" s="14">
        <v>11.0</v>
      </c>
      <c r="D22" s="14">
        <v>30.0</v>
      </c>
      <c r="E22" s="14">
        <v>13.0</v>
      </c>
      <c r="F22" s="14">
        <v>0.0</v>
      </c>
      <c r="G22" s="15">
        <f>22.23/5</f>
        <v>4.446</v>
      </c>
      <c r="H22" s="18">
        <f>501-16</f>
        <v>485</v>
      </c>
      <c r="I22" s="16">
        <v>4.0</v>
      </c>
      <c r="J22" s="16">
        <v>6.0</v>
      </c>
      <c r="K22" s="14">
        <v>0.0</v>
      </c>
      <c r="L22" s="14">
        <v>0.0</v>
      </c>
      <c r="M22" s="14">
        <v>0.0</v>
      </c>
      <c r="N22" s="17">
        <f>485/5</f>
        <v>97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20" t="s">
        <v>15</v>
      </c>
      <c r="B23" s="20" t="s">
        <v>14</v>
      </c>
      <c r="C23" s="14">
        <v>11.0</v>
      </c>
      <c r="D23" s="14">
        <v>32.0</v>
      </c>
      <c r="E23" s="14">
        <v>21.0</v>
      </c>
      <c r="F23" s="14">
        <v>0.33</v>
      </c>
      <c r="G23" s="15">
        <f>32.53/5</f>
        <v>6.506</v>
      </c>
      <c r="H23" s="18">
        <f t="shared" ref="H23:H24" si="1">501</f>
        <v>501</v>
      </c>
      <c r="I23" s="14">
        <v>6.0</v>
      </c>
      <c r="J23" s="14">
        <v>4.0</v>
      </c>
      <c r="K23" s="14">
        <v>1.0</v>
      </c>
      <c r="L23" s="14">
        <v>0.0</v>
      </c>
      <c r="M23" s="14">
        <v>1.0</v>
      </c>
      <c r="N23" s="17">
        <f>501/5</f>
        <v>100.2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9" t="s">
        <v>14</v>
      </c>
      <c r="B24" s="9" t="s">
        <v>15</v>
      </c>
      <c r="C24" s="10">
        <v>12.0</v>
      </c>
      <c r="D24" s="9">
        <v>30.0</v>
      </c>
      <c r="E24" s="10">
        <v>13.0</v>
      </c>
      <c r="G24" s="11">
        <f>17.12/4</f>
        <v>4.28</v>
      </c>
      <c r="H24" s="19">
        <f t="shared" si="1"/>
        <v>501</v>
      </c>
      <c r="I24" s="10">
        <v>4.0</v>
      </c>
      <c r="J24" s="10">
        <v>7.0</v>
      </c>
      <c r="K24" s="10">
        <v>1.0</v>
      </c>
      <c r="L24" s="10">
        <v>0.0</v>
      </c>
      <c r="M24" s="10">
        <v>0.0</v>
      </c>
      <c r="N24" s="13">
        <f>501/4</f>
        <v>125.25</v>
      </c>
    </row>
    <row r="25">
      <c r="A25" s="9" t="s">
        <v>15</v>
      </c>
      <c r="B25" s="9" t="s">
        <v>14</v>
      </c>
      <c r="C25" s="10">
        <v>12.0</v>
      </c>
      <c r="D25" s="9">
        <v>32.0</v>
      </c>
      <c r="E25" s="10">
        <v>21.0</v>
      </c>
      <c r="G25" s="11">
        <f>26.68/4</f>
        <v>6.67</v>
      </c>
      <c r="H25" s="19">
        <f>501-65</f>
        <v>436</v>
      </c>
      <c r="I25" s="10">
        <v>7.0</v>
      </c>
      <c r="J25" s="10">
        <v>4.0</v>
      </c>
      <c r="K25" s="10">
        <v>0.0</v>
      </c>
      <c r="L25" s="10">
        <v>0.0</v>
      </c>
      <c r="M25" s="10">
        <v>0.0</v>
      </c>
      <c r="N25" s="11">
        <f>436/4</f>
        <v>109</v>
      </c>
    </row>
    <row r="26">
      <c r="A26" s="20" t="s">
        <v>14</v>
      </c>
      <c r="B26" s="20" t="s">
        <v>15</v>
      </c>
      <c r="C26" s="14">
        <v>13.0</v>
      </c>
      <c r="D26" s="20">
        <v>30.0</v>
      </c>
      <c r="E26" s="14">
        <v>13.0</v>
      </c>
      <c r="F26" s="18"/>
      <c r="G26" s="15">
        <f>21.52/4</f>
        <v>5.38</v>
      </c>
      <c r="H26" s="18">
        <f>501-170</f>
        <v>331</v>
      </c>
      <c r="I26" s="14">
        <v>5.0</v>
      </c>
      <c r="J26" s="14">
        <v>7.0</v>
      </c>
      <c r="K26" s="14">
        <v>0.0</v>
      </c>
      <c r="L26" s="14">
        <v>0.0</v>
      </c>
      <c r="M26" s="14">
        <v>1.0</v>
      </c>
      <c r="N26" s="17">
        <f>331/4</f>
        <v>82.75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20" t="s">
        <v>15</v>
      </c>
      <c r="B27" s="20" t="s">
        <v>14</v>
      </c>
      <c r="C27" s="14">
        <v>13.0</v>
      </c>
      <c r="D27" s="20">
        <v>32.0</v>
      </c>
      <c r="E27" s="14">
        <v>21.0</v>
      </c>
      <c r="F27" s="14">
        <v>1.0</v>
      </c>
      <c r="G27" s="15">
        <f>23.83/4</f>
        <v>5.9575</v>
      </c>
      <c r="H27" s="18">
        <f>501</f>
        <v>501</v>
      </c>
      <c r="I27" s="14">
        <v>7.0</v>
      </c>
      <c r="J27" s="14">
        <v>5.0</v>
      </c>
      <c r="K27" s="14">
        <v>1.0</v>
      </c>
      <c r="L27" s="14">
        <v>0.0</v>
      </c>
      <c r="M27" s="14">
        <v>1.0</v>
      </c>
      <c r="N27" s="17">
        <f>501/4</f>
        <v>125.25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9" t="s">
        <v>14</v>
      </c>
      <c r="B28" s="9" t="s">
        <v>15</v>
      </c>
      <c r="C28" s="10">
        <v>14.0</v>
      </c>
      <c r="D28" s="9">
        <v>30.0</v>
      </c>
      <c r="E28" s="10">
        <v>13.0</v>
      </c>
      <c r="F28" s="10">
        <v>0.0</v>
      </c>
      <c r="G28" s="11">
        <f>27.28/6</f>
        <v>4.546666667</v>
      </c>
      <c r="H28" s="19">
        <f>501-8</f>
        <v>493</v>
      </c>
      <c r="I28" s="10">
        <v>5.0</v>
      </c>
      <c r="J28" s="10">
        <v>8.0</v>
      </c>
      <c r="K28" s="10">
        <v>0.0</v>
      </c>
      <c r="L28" s="10">
        <v>1.0</v>
      </c>
      <c r="M28" s="10">
        <v>0.0</v>
      </c>
      <c r="N28" s="13">
        <f>493/6</f>
        <v>82.16666667</v>
      </c>
    </row>
    <row r="29">
      <c r="A29" s="9" t="s">
        <v>15</v>
      </c>
      <c r="B29" s="9" t="s">
        <v>14</v>
      </c>
      <c r="C29" s="10">
        <v>14.0</v>
      </c>
      <c r="D29" s="9">
        <v>32.0</v>
      </c>
      <c r="E29" s="10">
        <v>21.0</v>
      </c>
      <c r="F29" s="10">
        <v>0.2</v>
      </c>
      <c r="G29" s="11">
        <f>36.84/6</f>
        <v>6.14</v>
      </c>
      <c r="H29" s="19">
        <f>501</f>
        <v>501</v>
      </c>
      <c r="I29" s="10">
        <v>8.0</v>
      </c>
      <c r="J29" s="10">
        <v>5.0</v>
      </c>
      <c r="K29" s="10">
        <v>1.0</v>
      </c>
      <c r="L29" s="10">
        <v>1.0</v>
      </c>
      <c r="M29" s="10">
        <v>0.0</v>
      </c>
      <c r="N29" s="13">
        <f>501/6</f>
        <v>83.5</v>
      </c>
    </row>
    <row r="30">
      <c r="A30" s="20" t="s">
        <v>14</v>
      </c>
      <c r="B30" s="20" t="s">
        <v>15</v>
      </c>
      <c r="C30" s="14">
        <v>15.0</v>
      </c>
      <c r="D30" s="14">
        <v>30.0</v>
      </c>
      <c r="E30" s="14">
        <v>13.0</v>
      </c>
      <c r="F30" s="14">
        <v>0.0</v>
      </c>
      <c r="G30" s="15">
        <f>31.54/6</f>
        <v>5.256666667</v>
      </c>
      <c r="H30" s="18">
        <f>501-20</f>
        <v>481</v>
      </c>
      <c r="I30" s="14">
        <v>5.0</v>
      </c>
      <c r="J30" s="14">
        <v>9.0</v>
      </c>
      <c r="K30" s="14">
        <v>0.0</v>
      </c>
      <c r="L30" s="14">
        <v>0.0</v>
      </c>
      <c r="M30" s="14">
        <v>0.0</v>
      </c>
      <c r="N30" s="17">
        <f>481/6</f>
        <v>80.16666667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20" t="s">
        <v>15</v>
      </c>
      <c r="B31" s="20" t="s">
        <v>14</v>
      </c>
      <c r="C31" s="14">
        <v>15.0</v>
      </c>
      <c r="D31" s="14">
        <v>32.0</v>
      </c>
      <c r="E31" s="14">
        <v>21.0</v>
      </c>
      <c r="F31" s="14">
        <v>0.167</v>
      </c>
      <c r="G31" s="15">
        <f>40.69/6</f>
        <v>6.781666667</v>
      </c>
      <c r="H31" s="18">
        <f t="shared" ref="H31:H32" si="2">501</f>
        <v>501</v>
      </c>
      <c r="I31" s="14">
        <v>9.0</v>
      </c>
      <c r="J31" s="14">
        <v>5.0</v>
      </c>
      <c r="K31" s="14">
        <v>1.0</v>
      </c>
      <c r="L31" s="14">
        <v>0.0</v>
      </c>
      <c r="M31" s="14">
        <v>1.0</v>
      </c>
      <c r="N31" s="17">
        <f>501/6</f>
        <v>83.5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4" t="s">
        <v>16</v>
      </c>
      <c r="B32" s="4" t="s">
        <v>17</v>
      </c>
      <c r="C32" s="4">
        <v>1.0</v>
      </c>
      <c r="D32" s="4">
        <v>32.0</v>
      </c>
      <c r="E32" s="4">
        <v>1.0</v>
      </c>
      <c r="F32" s="4">
        <v>1.0</v>
      </c>
      <c r="G32" s="8">
        <f>10.04/3</f>
        <v>3.346666667</v>
      </c>
      <c r="H32" s="6">
        <f t="shared" si="2"/>
        <v>501</v>
      </c>
      <c r="I32" s="7">
        <v>0.0</v>
      </c>
      <c r="J32" s="7">
        <v>0.0</v>
      </c>
      <c r="K32" s="4">
        <v>1.0</v>
      </c>
      <c r="L32" s="4">
        <v>1.0</v>
      </c>
      <c r="M32" s="4">
        <v>0.0</v>
      </c>
      <c r="N32" s="8">
        <f>501/3</f>
        <v>167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" t="s">
        <v>17</v>
      </c>
      <c r="B33" s="21" t="s">
        <v>16</v>
      </c>
      <c r="C33" s="4">
        <v>1.0</v>
      </c>
      <c r="D33" s="4">
        <v>32.0</v>
      </c>
      <c r="E33" s="4">
        <v>8.0</v>
      </c>
      <c r="F33" s="6"/>
      <c r="G33" s="8">
        <f>18.96/3</f>
        <v>6.32</v>
      </c>
      <c r="H33" s="6">
        <f>501-205</f>
        <v>296</v>
      </c>
      <c r="I33" s="7">
        <v>0.0</v>
      </c>
      <c r="J33" s="7">
        <v>0.0</v>
      </c>
      <c r="K33" s="4">
        <v>0.0</v>
      </c>
      <c r="L33" s="4">
        <v>0.0</v>
      </c>
      <c r="M33" s="4">
        <v>1.0</v>
      </c>
      <c r="N33" s="8">
        <f>296/3</f>
        <v>98.66666667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4" t="s">
        <v>16</v>
      </c>
      <c r="B34" s="14" t="s">
        <v>17</v>
      </c>
      <c r="C34" s="14">
        <v>2.0</v>
      </c>
      <c r="D34" s="14">
        <v>32.0</v>
      </c>
      <c r="E34" s="14">
        <v>1.0</v>
      </c>
      <c r="F34" s="14">
        <v>0.0</v>
      </c>
      <c r="G34" s="17">
        <f>18.65/5</f>
        <v>3.73</v>
      </c>
      <c r="H34" s="18">
        <f>501-14</f>
        <v>487</v>
      </c>
      <c r="I34" s="16">
        <v>1.0</v>
      </c>
      <c r="J34" s="16">
        <v>0.0</v>
      </c>
      <c r="K34" s="14">
        <v>0.0</v>
      </c>
      <c r="L34" s="14">
        <v>1.0</v>
      </c>
      <c r="M34" s="14">
        <v>1.0</v>
      </c>
      <c r="N34" s="17">
        <f>487/5</f>
        <v>97.4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4" t="s">
        <v>17</v>
      </c>
      <c r="B35" s="14" t="s">
        <v>16</v>
      </c>
      <c r="C35" s="14">
        <v>2.0</v>
      </c>
      <c r="D35" s="14">
        <v>32.0</v>
      </c>
      <c r="E35" s="14">
        <v>8.0</v>
      </c>
      <c r="F35" s="14">
        <v>0.5</v>
      </c>
      <c r="G35" s="17">
        <f>35.89/5</f>
        <v>7.178</v>
      </c>
      <c r="H35" s="18">
        <f>501</f>
        <v>501</v>
      </c>
      <c r="I35" s="16">
        <v>0.0</v>
      </c>
      <c r="J35" s="16">
        <v>1.0</v>
      </c>
      <c r="K35" s="14">
        <v>1.0</v>
      </c>
      <c r="L35" s="14">
        <v>1.0</v>
      </c>
      <c r="M35" s="14">
        <v>0.0</v>
      </c>
      <c r="N35" s="17">
        <f>501/5</f>
        <v>100.2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0" t="s">
        <v>16</v>
      </c>
      <c r="B36" s="10" t="s">
        <v>17</v>
      </c>
      <c r="C36" s="10">
        <v>3.0</v>
      </c>
      <c r="D36" s="10">
        <v>32.0</v>
      </c>
      <c r="E36" s="10">
        <v>1.0</v>
      </c>
      <c r="G36" s="13">
        <f>18.13/5</f>
        <v>3.626</v>
      </c>
      <c r="H36" s="19">
        <f>501-60</f>
        <v>441</v>
      </c>
      <c r="I36" s="10">
        <v>1.0</v>
      </c>
      <c r="J36" s="10">
        <v>1.0</v>
      </c>
      <c r="K36" s="10">
        <v>0.0</v>
      </c>
      <c r="L36" s="10">
        <v>0.0</v>
      </c>
      <c r="M36" s="10">
        <v>0.0</v>
      </c>
      <c r="N36" s="13">
        <f>441/5</f>
        <v>88.2</v>
      </c>
    </row>
    <row r="37">
      <c r="A37" s="10" t="s">
        <v>17</v>
      </c>
      <c r="B37" s="10" t="s">
        <v>16</v>
      </c>
      <c r="C37" s="10">
        <v>3.0</v>
      </c>
      <c r="D37" s="10">
        <v>32.0</v>
      </c>
      <c r="E37" s="10">
        <v>8.0</v>
      </c>
      <c r="F37" s="10">
        <v>0.5</v>
      </c>
      <c r="G37" s="13">
        <f>34.74/5</f>
        <v>6.948</v>
      </c>
      <c r="H37" s="19">
        <f>501</f>
        <v>501</v>
      </c>
      <c r="I37" s="10">
        <v>1.0</v>
      </c>
      <c r="J37" s="10">
        <v>1.0</v>
      </c>
      <c r="K37" s="10">
        <v>1.0</v>
      </c>
      <c r="L37" s="10">
        <v>1.0</v>
      </c>
      <c r="M37" s="10">
        <v>0.0</v>
      </c>
      <c r="N37" s="13">
        <f>501/5</f>
        <v>100.2</v>
      </c>
    </row>
    <row r="38">
      <c r="A38" s="14" t="s">
        <v>16</v>
      </c>
      <c r="B38" s="14" t="s">
        <v>17</v>
      </c>
      <c r="C38" s="14">
        <v>4.0</v>
      </c>
      <c r="D38" s="14">
        <v>32.0</v>
      </c>
      <c r="E38" s="14">
        <v>1.0</v>
      </c>
      <c r="F38" s="14"/>
      <c r="G38" s="17">
        <f>14.16/4</f>
        <v>3.54</v>
      </c>
      <c r="H38" s="18">
        <f>501-128</f>
        <v>373</v>
      </c>
      <c r="I38" s="14">
        <v>1.0</v>
      </c>
      <c r="J38" s="14">
        <v>2.0</v>
      </c>
      <c r="K38" s="14">
        <v>0.0</v>
      </c>
      <c r="L38" s="14">
        <v>0.0</v>
      </c>
      <c r="M38" s="14">
        <v>0.0</v>
      </c>
      <c r="N38" s="17">
        <f>373/4</f>
        <v>93.25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4" t="s">
        <v>17</v>
      </c>
      <c r="B39" s="14" t="s">
        <v>16</v>
      </c>
      <c r="C39" s="14">
        <v>4.0</v>
      </c>
      <c r="D39" s="14">
        <v>32.0</v>
      </c>
      <c r="E39" s="14">
        <v>8.0</v>
      </c>
      <c r="F39" s="14">
        <v>0.33</v>
      </c>
      <c r="G39" s="17">
        <f>26.54/4</f>
        <v>6.635</v>
      </c>
      <c r="H39" s="18">
        <f t="shared" ref="H39:H40" si="3">501</f>
        <v>501</v>
      </c>
      <c r="I39" s="14">
        <v>2.0</v>
      </c>
      <c r="J39" s="14">
        <v>1.0</v>
      </c>
      <c r="K39" s="14">
        <v>1.0</v>
      </c>
      <c r="L39" s="14">
        <v>1.0</v>
      </c>
      <c r="M39" s="14">
        <v>0.0</v>
      </c>
      <c r="N39" s="17">
        <f>501/4</f>
        <v>125.25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0" t="s">
        <v>16</v>
      </c>
      <c r="B40" s="10" t="s">
        <v>17</v>
      </c>
      <c r="C40" s="10">
        <v>5.0</v>
      </c>
      <c r="D40" s="10">
        <v>32.0</v>
      </c>
      <c r="E40" s="10">
        <v>1.0</v>
      </c>
      <c r="F40" s="10">
        <v>1.0</v>
      </c>
      <c r="G40" s="13">
        <f>18.34/5</f>
        <v>3.668</v>
      </c>
      <c r="H40" s="19">
        <f t="shared" si="3"/>
        <v>501</v>
      </c>
      <c r="I40" s="10">
        <v>1.0</v>
      </c>
      <c r="J40" s="10">
        <v>3.0</v>
      </c>
      <c r="K40" s="10">
        <v>1.0</v>
      </c>
      <c r="L40" s="10">
        <v>0.0</v>
      </c>
      <c r="M40" s="10">
        <v>0.0</v>
      </c>
      <c r="N40" s="13">
        <f>501/5</f>
        <v>100.2</v>
      </c>
    </row>
    <row r="41">
      <c r="A41" s="10" t="s">
        <v>17</v>
      </c>
      <c r="B41" s="10" t="s">
        <v>16</v>
      </c>
      <c r="C41" s="10">
        <v>5.0</v>
      </c>
      <c r="D41" s="10">
        <v>32.0</v>
      </c>
      <c r="E41" s="10">
        <v>8.0</v>
      </c>
      <c r="F41" s="10">
        <v>0.0</v>
      </c>
      <c r="G41" s="13">
        <f>37.96/5</f>
        <v>7.592</v>
      </c>
      <c r="H41" s="19">
        <f>501-20</f>
        <v>481</v>
      </c>
      <c r="I41" s="10">
        <v>3.0</v>
      </c>
      <c r="J41" s="10">
        <v>1.0</v>
      </c>
      <c r="K41" s="10">
        <v>0.0</v>
      </c>
      <c r="L41" s="10">
        <v>1.0</v>
      </c>
      <c r="M41" s="10">
        <v>0.0</v>
      </c>
      <c r="N41" s="13">
        <f>481/5</f>
        <v>96.2</v>
      </c>
    </row>
    <row r="42">
      <c r="A42" s="14" t="s">
        <v>16</v>
      </c>
      <c r="B42" s="14" t="s">
        <v>17</v>
      </c>
      <c r="C42" s="14">
        <v>6.0</v>
      </c>
      <c r="D42" s="14">
        <v>32.0</v>
      </c>
      <c r="E42" s="14">
        <v>1.0</v>
      </c>
      <c r="F42" s="14">
        <v>1.0</v>
      </c>
      <c r="G42" s="17">
        <f>14.61/4</f>
        <v>3.6525</v>
      </c>
      <c r="H42" s="18">
        <f>501</f>
        <v>501</v>
      </c>
      <c r="I42" s="14">
        <v>2.0</v>
      </c>
      <c r="J42" s="14">
        <v>3.0</v>
      </c>
      <c r="K42" s="14">
        <v>1.0</v>
      </c>
      <c r="L42" s="14">
        <v>1.0</v>
      </c>
      <c r="M42" s="14">
        <v>1.0</v>
      </c>
      <c r="N42" s="17">
        <f>501/4</f>
        <v>125.25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4" t="s">
        <v>17</v>
      </c>
      <c r="B43" s="14" t="s">
        <v>16</v>
      </c>
      <c r="C43" s="14">
        <v>6.0</v>
      </c>
      <c r="D43" s="14">
        <v>32.0</v>
      </c>
      <c r="E43" s="14">
        <v>8.0</v>
      </c>
      <c r="F43" s="14">
        <v>0.0</v>
      </c>
      <c r="G43" s="17">
        <f>25.67/4</f>
        <v>6.4175</v>
      </c>
      <c r="H43" s="18">
        <f>501-18</f>
        <v>483</v>
      </c>
      <c r="I43" s="14">
        <v>3.0</v>
      </c>
      <c r="J43" s="14">
        <v>2.0</v>
      </c>
      <c r="K43" s="14">
        <v>0.0</v>
      </c>
      <c r="L43" s="14">
        <v>0.0</v>
      </c>
      <c r="M43" s="14">
        <v>1.0</v>
      </c>
      <c r="N43" s="17">
        <f>483/4</f>
        <v>120.75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0" t="s">
        <v>16</v>
      </c>
      <c r="B44" s="10" t="s">
        <v>17</v>
      </c>
      <c r="C44" s="10">
        <v>7.0</v>
      </c>
      <c r="D44" s="10">
        <v>32.0</v>
      </c>
      <c r="E44" s="10">
        <v>1.0</v>
      </c>
      <c r="F44" s="10">
        <v>1.0</v>
      </c>
      <c r="G44" s="13">
        <f>13.97/4</f>
        <v>3.4925</v>
      </c>
      <c r="H44" s="19">
        <f>501</f>
        <v>501</v>
      </c>
      <c r="I44" s="10">
        <v>3.0</v>
      </c>
      <c r="J44" s="10">
        <v>3.0</v>
      </c>
      <c r="K44" s="10">
        <v>1.0</v>
      </c>
      <c r="L44" s="10">
        <v>0.0</v>
      </c>
      <c r="M44" s="10">
        <v>3.0</v>
      </c>
      <c r="N44" s="13">
        <f>501/4</f>
        <v>125.25</v>
      </c>
    </row>
    <row r="45">
      <c r="A45" s="10" t="s">
        <v>17</v>
      </c>
      <c r="B45" s="10" t="s">
        <v>16</v>
      </c>
      <c r="C45" s="10">
        <v>7.0</v>
      </c>
      <c r="D45" s="10">
        <v>32.0</v>
      </c>
      <c r="E45" s="10">
        <v>8.0</v>
      </c>
      <c r="G45" s="13">
        <f>28.21/4</f>
        <v>7.0525</v>
      </c>
      <c r="H45" s="19">
        <f>501-72</f>
        <v>429</v>
      </c>
      <c r="I45" s="10">
        <v>3.0</v>
      </c>
      <c r="J45" s="10">
        <v>3.0</v>
      </c>
      <c r="K45" s="10">
        <v>0.0</v>
      </c>
      <c r="L45" s="10">
        <v>0.0</v>
      </c>
      <c r="M45" s="10">
        <v>1.0</v>
      </c>
      <c r="N45" s="13">
        <f>429/4</f>
        <v>107.25</v>
      </c>
    </row>
    <row r="46">
      <c r="A46" s="14" t="s">
        <v>16</v>
      </c>
      <c r="B46" s="14" t="s">
        <v>17</v>
      </c>
      <c r="C46" s="14">
        <v>8.0</v>
      </c>
      <c r="D46" s="14">
        <v>32.0</v>
      </c>
      <c r="E46" s="14">
        <v>1.0</v>
      </c>
      <c r="F46" s="14">
        <v>0.25</v>
      </c>
      <c r="G46" s="17">
        <f>14.75/4</f>
        <v>3.6875</v>
      </c>
      <c r="H46" s="18">
        <f>501</f>
        <v>501</v>
      </c>
      <c r="I46" s="14">
        <v>4.0</v>
      </c>
      <c r="J46" s="14">
        <v>3.0</v>
      </c>
      <c r="K46" s="14">
        <v>1.0</v>
      </c>
      <c r="L46" s="14">
        <v>1.0</v>
      </c>
      <c r="M46" s="14">
        <v>2.0</v>
      </c>
      <c r="N46" s="17">
        <f>501/4</f>
        <v>125.25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4" t="s">
        <v>17</v>
      </c>
      <c r="B47" s="14" t="s">
        <v>16</v>
      </c>
      <c r="C47" s="14">
        <v>8.0</v>
      </c>
      <c r="D47" s="14">
        <v>32.0</v>
      </c>
      <c r="E47" s="14">
        <v>8.0</v>
      </c>
      <c r="F47" s="14">
        <v>0.0</v>
      </c>
      <c r="G47" s="17">
        <f>25/4</f>
        <v>6.25</v>
      </c>
      <c r="H47" s="18">
        <f>501-10</f>
        <v>491</v>
      </c>
      <c r="I47" s="14">
        <v>3.0</v>
      </c>
      <c r="J47" s="14">
        <v>4.0</v>
      </c>
      <c r="K47" s="14">
        <v>0.0</v>
      </c>
      <c r="L47" s="14">
        <v>0.0</v>
      </c>
      <c r="M47" s="14">
        <v>1.0</v>
      </c>
      <c r="N47" s="17">
        <f>491/4</f>
        <v>122.75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0" t="s">
        <v>16</v>
      </c>
      <c r="B48" s="10" t="s">
        <v>17</v>
      </c>
      <c r="C48" s="10">
        <v>9.0</v>
      </c>
      <c r="D48" s="10">
        <v>32.0</v>
      </c>
      <c r="E48" s="10">
        <v>1.0</v>
      </c>
      <c r="F48" s="10">
        <v>0.5</v>
      </c>
      <c r="G48" s="13">
        <f>16.42/4</f>
        <v>4.105</v>
      </c>
      <c r="H48" s="19">
        <f>501</f>
        <v>501</v>
      </c>
      <c r="I48" s="10">
        <v>5.0</v>
      </c>
      <c r="J48" s="10">
        <v>3.0</v>
      </c>
      <c r="K48" s="10">
        <v>1.0</v>
      </c>
      <c r="L48" s="10">
        <v>1.0</v>
      </c>
      <c r="M48" s="10">
        <v>0.0</v>
      </c>
      <c r="N48" s="13">
        <f>501/4</f>
        <v>125.25</v>
      </c>
    </row>
    <row r="49">
      <c r="A49" s="10" t="s">
        <v>17</v>
      </c>
      <c r="B49" s="10" t="s">
        <v>16</v>
      </c>
      <c r="C49" s="10">
        <v>9.0</v>
      </c>
      <c r="D49" s="10">
        <v>32.0</v>
      </c>
      <c r="E49" s="10">
        <v>8.0</v>
      </c>
      <c r="G49" s="13">
        <f>34.39/4</f>
        <v>8.5975</v>
      </c>
      <c r="H49" s="19">
        <f>501-41</f>
        <v>460</v>
      </c>
      <c r="I49" s="10">
        <v>3.0</v>
      </c>
      <c r="J49" s="10">
        <v>5.0</v>
      </c>
      <c r="K49" s="10">
        <v>0.0</v>
      </c>
      <c r="L49" s="10">
        <v>1.0</v>
      </c>
      <c r="M49" s="10">
        <v>0.0</v>
      </c>
      <c r="N49" s="13">
        <f>460/4</f>
        <v>115</v>
      </c>
    </row>
    <row r="50">
      <c r="A50" s="14" t="s">
        <v>16</v>
      </c>
      <c r="B50" s="14" t="s">
        <v>17</v>
      </c>
      <c r="C50" s="14">
        <v>10.0</v>
      </c>
      <c r="D50" s="14">
        <v>32.0</v>
      </c>
      <c r="E50" s="14">
        <v>1.0</v>
      </c>
      <c r="F50" s="14">
        <v>1.0</v>
      </c>
      <c r="G50" s="17">
        <f>14.7/4</f>
        <v>3.675</v>
      </c>
      <c r="H50" s="18">
        <f>501</f>
        <v>501</v>
      </c>
      <c r="I50" s="14">
        <v>6.0</v>
      </c>
      <c r="J50" s="14">
        <v>3.0</v>
      </c>
      <c r="K50" s="14">
        <v>1.0</v>
      </c>
      <c r="L50" s="14">
        <v>1.0</v>
      </c>
      <c r="M50" s="14">
        <v>0.0</v>
      </c>
      <c r="N50" s="17">
        <f>501/4</f>
        <v>125.25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4" t="s">
        <v>17</v>
      </c>
      <c r="B51" s="14" t="s">
        <v>16</v>
      </c>
      <c r="C51" s="14">
        <v>10.0</v>
      </c>
      <c r="D51" s="14">
        <v>32.0</v>
      </c>
      <c r="E51" s="14">
        <v>8.0</v>
      </c>
      <c r="F51" s="18"/>
      <c r="G51" s="17">
        <f>24.74/4</f>
        <v>6.185</v>
      </c>
      <c r="H51" s="18">
        <f>501-64</f>
        <v>437</v>
      </c>
      <c r="I51" s="14">
        <v>3.0</v>
      </c>
      <c r="J51" s="14">
        <v>6.0</v>
      </c>
      <c r="K51" s="14">
        <v>0.0</v>
      </c>
      <c r="L51" s="14">
        <v>1.0</v>
      </c>
      <c r="M51" s="14">
        <v>0.0</v>
      </c>
      <c r="N51" s="17">
        <f>437/4</f>
        <v>109.25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0" t="s">
        <v>16</v>
      </c>
      <c r="B52" s="10" t="s">
        <v>17</v>
      </c>
      <c r="C52" s="10">
        <v>11.0</v>
      </c>
      <c r="D52" s="10">
        <v>32.0</v>
      </c>
      <c r="E52" s="10">
        <v>1.0</v>
      </c>
      <c r="F52" s="10">
        <v>0.0</v>
      </c>
      <c r="G52" s="13">
        <f>19.44/5</f>
        <v>3.888</v>
      </c>
      <c r="H52" s="19">
        <f>501-40</f>
        <v>461</v>
      </c>
      <c r="I52" s="10">
        <v>7.0</v>
      </c>
      <c r="J52" s="10">
        <v>3.0</v>
      </c>
      <c r="K52" s="10">
        <v>0.0</v>
      </c>
      <c r="L52" s="10">
        <v>0.0</v>
      </c>
      <c r="M52" s="10">
        <v>0.0</v>
      </c>
      <c r="N52" s="13">
        <f>461/5</f>
        <v>92.2</v>
      </c>
    </row>
    <row r="53">
      <c r="A53" s="10" t="s">
        <v>17</v>
      </c>
      <c r="B53" s="10" t="s">
        <v>16</v>
      </c>
      <c r="C53" s="10">
        <v>11.0</v>
      </c>
      <c r="D53" s="10">
        <v>32.0</v>
      </c>
      <c r="E53" s="10">
        <v>8.0</v>
      </c>
      <c r="F53" s="10">
        <v>1.0</v>
      </c>
      <c r="G53" s="13">
        <f>39.72/5</f>
        <v>7.944</v>
      </c>
      <c r="H53" s="19">
        <f t="shared" ref="H53:H54" si="4">501</f>
        <v>501</v>
      </c>
      <c r="I53" s="10">
        <v>3.0</v>
      </c>
      <c r="J53" s="10">
        <v>7.0</v>
      </c>
      <c r="K53" s="10">
        <v>1.0</v>
      </c>
      <c r="L53" s="10">
        <v>0.0</v>
      </c>
      <c r="M53" s="10">
        <v>2.0</v>
      </c>
      <c r="N53" s="13">
        <f>501/5</f>
        <v>100.2</v>
      </c>
    </row>
    <row r="54">
      <c r="A54" s="14" t="s">
        <v>16</v>
      </c>
      <c r="B54" s="14" t="s">
        <v>17</v>
      </c>
      <c r="C54" s="14">
        <v>12.0</v>
      </c>
      <c r="D54" s="14">
        <v>32.0</v>
      </c>
      <c r="E54" s="14">
        <v>1.0</v>
      </c>
      <c r="F54" s="14">
        <v>1.0</v>
      </c>
      <c r="G54" s="17">
        <f>14.12/4</f>
        <v>3.53</v>
      </c>
      <c r="H54" s="18">
        <f t="shared" si="4"/>
        <v>501</v>
      </c>
      <c r="I54" s="14">
        <v>7.0</v>
      </c>
      <c r="J54" s="14">
        <v>4.0</v>
      </c>
      <c r="K54" s="14">
        <v>1.0</v>
      </c>
      <c r="L54" s="14">
        <v>0.0</v>
      </c>
      <c r="M54" s="14">
        <v>1.0</v>
      </c>
      <c r="N54" s="17">
        <f>501/4</f>
        <v>125.25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4" t="s">
        <v>17</v>
      </c>
      <c r="B55" s="14" t="s">
        <v>16</v>
      </c>
      <c r="C55" s="14">
        <v>12.0</v>
      </c>
      <c r="D55" s="14">
        <v>32.0</v>
      </c>
      <c r="E55" s="14">
        <v>8.0</v>
      </c>
      <c r="F55" s="18"/>
      <c r="G55" s="17">
        <f>23.56/4</f>
        <v>5.89</v>
      </c>
      <c r="H55" s="18">
        <f>501-25</f>
        <v>476</v>
      </c>
      <c r="I55" s="14">
        <v>4.0</v>
      </c>
      <c r="J55" s="14">
        <v>7.0</v>
      </c>
      <c r="K55" s="14">
        <v>0.0</v>
      </c>
      <c r="L55" s="14">
        <v>0.0</v>
      </c>
      <c r="M55" s="14">
        <v>0.0</v>
      </c>
      <c r="N55" s="17">
        <f>476/4</f>
        <v>119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22" t="s">
        <v>16</v>
      </c>
      <c r="B56" s="22" t="s">
        <v>17</v>
      </c>
      <c r="C56" s="23">
        <v>13.0</v>
      </c>
      <c r="D56" s="22">
        <v>32.0</v>
      </c>
      <c r="E56" s="22">
        <v>1.0</v>
      </c>
      <c r="F56" s="23">
        <v>0.5</v>
      </c>
      <c r="G56" s="24">
        <f>14.61/4</f>
        <v>3.6525</v>
      </c>
      <c r="H56" s="25">
        <f>501</f>
        <v>501</v>
      </c>
      <c r="I56" s="23">
        <v>8.0</v>
      </c>
      <c r="J56" s="23">
        <v>4.0</v>
      </c>
      <c r="K56" s="23">
        <v>1.0</v>
      </c>
      <c r="L56" s="23">
        <v>1.0</v>
      </c>
      <c r="M56" s="23">
        <v>0.0</v>
      </c>
      <c r="N56" s="24">
        <f>501/4</f>
        <v>125.25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2" t="s">
        <v>17</v>
      </c>
      <c r="B57" s="22" t="s">
        <v>16</v>
      </c>
      <c r="C57" s="23">
        <v>13.0</v>
      </c>
      <c r="D57" s="22">
        <v>32.0</v>
      </c>
      <c r="E57" s="22">
        <v>8.0</v>
      </c>
      <c r="F57" s="25"/>
      <c r="G57" s="24">
        <f>25.48/4</f>
        <v>6.37</v>
      </c>
      <c r="H57" s="25">
        <f>501-136</f>
        <v>365</v>
      </c>
      <c r="I57" s="23">
        <v>4.0</v>
      </c>
      <c r="J57" s="23">
        <v>8.0</v>
      </c>
      <c r="K57" s="23">
        <v>0.0</v>
      </c>
      <c r="L57" s="23">
        <v>0.0</v>
      </c>
      <c r="M57" s="23">
        <v>0.0</v>
      </c>
      <c r="N57" s="24">
        <f>365/4</f>
        <v>91.25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20" t="s">
        <v>16</v>
      </c>
      <c r="B58" s="20" t="s">
        <v>17</v>
      </c>
      <c r="C58" s="14">
        <v>14.0</v>
      </c>
      <c r="D58" s="20">
        <v>32.0</v>
      </c>
      <c r="E58" s="20">
        <v>1.0</v>
      </c>
      <c r="F58" s="18"/>
      <c r="G58" s="17">
        <f>18.73/5</f>
        <v>3.746</v>
      </c>
      <c r="H58" s="18">
        <f>501-40</f>
        <v>461</v>
      </c>
      <c r="I58" s="14">
        <v>9.0</v>
      </c>
      <c r="J58" s="14">
        <v>4.0</v>
      </c>
      <c r="K58" s="14">
        <v>0.0</v>
      </c>
      <c r="L58" s="14">
        <v>0.0</v>
      </c>
      <c r="M58" s="14">
        <v>2.0</v>
      </c>
      <c r="N58" s="17">
        <f>461/5</f>
        <v>92.2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20" t="s">
        <v>17</v>
      </c>
      <c r="B59" s="20" t="s">
        <v>16</v>
      </c>
      <c r="C59" s="14">
        <v>14.0</v>
      </c>
      <c r="D59" s="20">
        <v>32.0</v>
      </c>
      <c r="E59" s="20">
        <v>8.0</v>
      </c>
      <c r="F59" s="14">
        <v>1.0</v>
      </c>
      <c r="G59" s="17">
        <f>29.41/5</f>
        <v>5.882</v>
      </c>
      <c r="H59" s="18">
        <f t="shared" ref="H59:H60" si="5">501</f>
        <v>501</v>
      </c>
      <c r="I59" s="14">
        <v>4.0</v>
      </c>
      <c r="J59" s="14">
        <v>9.0</v>
      </c>
      <c r="K59" s="14">
        <v>1.0</v>
      </c>
      <c r="L59" s="14">
        <v>0.0</v>
      </c>
      <c r="M59" s="14">
        <v>0.0</v>
      </c>
      <c r="N59" s="17">
        <f t="shared" ref="N59:N60" si="6">501/5</f>
        <v>100.2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9" t="s">
        <v>16</v>
      </c>
      <c r="B60" s="9" t="s">
        <v>17</v>
      </c>
      <c r="C60" s="10">
        <v>15.0</v>
      </c>
      <c r="D60" s="9">
        <v>32.0</v>
      </c>
      <c r="E60" s="9">
        <v>1.0</v>
      </c>
      <c r="F60" s="10">
        <v>1.0</v>
      </c>
      <c r="G60" s="13">
        <f>18.32/5</f>
        <v>3.664</v>
      </c>
      <c r="H60" s="19">
        <f t="shared" si="5"/>
        <v>501</v>
      </c>
      <c r="I60" s="12">
        <v>9.0</v>
      </c>
      <c r="J60" s="12">
        <v>5.0</v>
      </c>
      <c r="K60" s="10">
        <v>1.0</v>
      </c>
      <c r="L60" s="10">
        <v>0.0</v>
      </c>
      <c r="M60" s="10">
        <v>0.0</v>
      </c>
      <c r="N60" s="13">
        <f t="shared" si="6"/>
        <v>100.2</v>
      </c>
    </row>
    <row r="61">
      <c r="A61" s="9" t="s">
        <v>17</v>
      </c>
      <c r="B61" s="9" t="s">
        <v>16</v>
      </c>
      <c r="C61" s="10">
        <v>15.0</v>
      </c>
      <c r="D61" s="9">
        <v>32.0</v>
      </c>
      <c r="E61" s="9">
        <v>8.0</v>
      </c>
      <c r="G61" s="13">
        <f>26.14/5</f>
        <v>5.228</v>
      </c>
      <c r="H61" s="19">
        <f>501-157</f>
        <v>344</v>
      </c>
      <c r="I61" s="12">
        <v>5.0</v>
      </c>
      <c r="J61" s="12">
        <v>9.0</v>
      </c>
      <c r="K61" s="10">
        <v>0.0</v>
      </c>
      <c r="L61" s="10">
        <v>0.0</v>
      </c>
      <c r="M61" s="10">
        <v>0.0</v>
      </c>
      <c r="N61" s="13">
        <f>344/5</f>
        <v>68.8</v>
      </c>
    </row>
    <row r="62">
      <c r="A62" s="4" t="s">
        <v>18</v>
      </c>
      <c r="B62" s="4" t="s">
        <v>19</v>
      </c>
      <c r="C62" s="4">
        <v>1.0</v>
      </c>
      <c r="D62" s="4">
        <v>52.0</v>
      </c>
      <c r="E62" s="4">
        <v>2.0</v>
      </c>
      <c r="F62" s="4">
        <v>1.0</v>
      </c>
      <c r="G62" s="8">
        <f>16.14/3</f>
        <v>5.38</v>
      </c>
      <c r="H62" s="6">
        <f>501</f>
        <v>501</v>
      </c>
      <c r="I62" s="7">
        <v>0.0</v>
      </c>
      <c r="J62" s="7">
        <v>0.0</v>
      </c>
      <c r="K62" s="4">
        <v>1.0</v>
      </c>
      <c r="L62" s="4">
        <v>1.0</v>
      </c>
      <c r="M62" s="4">
        <v>1.0</v>
      </c>
      <c r="N62" s="8">
        <f>501/3</f>
        <v>167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4" t="s">
        <v>19</v>
      </c>
      <c r="B63" s="21" t="s">
        <v>18</v>
      </c>
      <c r="C63" s="4">
        <v>1.0</v>
      </c>
      <c r="D63" s="4">
        <v>48.0</v>
      </c>
      <c r="E63" s="4">
        <v>7.0</v>
      </c>
      <c r="F63" s="6"/>
      <c r="G63" s="8">
        <f>12.17/3</f>
        <v>4.056666667</v>
      </c>
      <c r="H63" s="6">
        <f>501-202</f>
        <v>299</v>
      </c>
      <c r="I63" s="7">
        <v>0.0</v>
      </c>
      <c r="J63" s="7">
        <v>0.0</v>
      </c>
      <c r="K63" s="4">
        <v>0.0</v>
      </c>
      <c r="L63" s="4">
        <v>0.0</v>
      </c>
      <c r="M63" s="4">
        <v>0.0</v>
      </c>
      <c r="N63" s="8">
        <f>299/3</f>
        <v>99.66666667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10" t="s">
        <v>18</v>
      </c>
      <c r="B64" s="10" t="s">
        <v>19</v>
      </c>
      <c r="C64" s="10">
        <v>2.0</v>
      </c>
      <c r="D64" s="9">
        <v>52.0</v>
      </c>
      <c r="E64" s="9">
        <v>2.0</v>
      </c>
      <c r="G64" s="13">
        <f>15.16/3</f>
        <v>5.053333333</v>
      </c>
      <c r="H64" s="19">
        <f>501-204</f>
        <v>297</v>
      </c>
      <c r="I64" s="12">
        <v>1.0</v>
      </c>
      <c r="J64" s="12">
        <v>0.0</v>
      </c>
      <c r="K64" s="10">
        <v>0.0</v>
      </c>
      <c r="L64" s="10">
        <v>0.0</v>
      </c>
      <c r="M64" s="10">
        <v>1.0</v>
      </c>
      <c r="N64" s="13">
        <f>297/3</f>
        <v>99</v>
      </c>
    </row>
    <row r="65">
      <c r="A65" s="10" t="s">
        <v>19</v>
      </c>
      <c r="B65" s="10" t="s">
        <v>18</v>
      </c>
      <c r="C65" s="10">
        <v>2.0</v>
      </c>
      <c r="D65" s="9">
        <v>48.0</v>
      </c>
      <c r="E65" s="9">
        <v>7.0</v>
      </c>
      <c r="F65" s="10">
        <v>1.0</v>
      </c>
      <c r="G65" s="13">
        <f>12.34/3</f>
        <v>4.113333333</v>
      </c>
      <c r="H65" s="19">
        <f>501</f>
        <v>501</v>
      </c>
      <c r="I65" s="12">
        <v>0.0</v>
      </c>
      <c r="J65" s="12">
        <v>1.0</v>
      </c>
      <c r="K65" s="10">
        <v>1.0</v>
      </c>
      <c r="L65" s="10">
        <v>1.0</v>
      </c>
      <c r="M65" s="10">
        <v>0.0</v>
      </c>
      <c r="N65" s="13">
        <f>501/3</f>
        <v>167</v>
      </c>
    </row>
    <row r="66">
      <c r="A66" s="14" t="s">
        <v>18</v>
      </c>
      <c r="B66" s="14" t="s">
        <v>19</v>
      </c>
      <c r="C66" s="14">
        <v>3.0</v>
      </c>
      <c r="D66" s="20">
        <v>52.0</v>
      </c>
      <c r="E66" s="20">
        <v>2.0</v>
      </c>
      <c r="F66" s="14">
        <v>0.0</v>
      </c>
      <c r="G66" s="17">
        <f>22.33/4</f>
        <v>5.5825</v>
      </c>
      <c r="H66" s="18">
        <f>501-10</f>
        <v>491</v>
      </c>
      <c r="I66" s="16">
        <v>1.0</v>
      </c>
      <c r="J66" s="16">
        <v>1.0</v>
      </c>
      <c r="K66" s="14">
        <v>0.0</v>
      </c>
      <c r="L66" s="14">
        <v>1.0</v>
      </c>
      <c r="M66" s="14">
        <v>1.0</v>
      </c>
      <c r="N66" s="17">
        <f>491/4</f>
        <v>122.75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4" t="s">
        <v>19</v>
      </c>
      <c r="B67" s="20" t="s">
        <v>18</v>
      </c>
      <c r="C67" s="14">
        <v>3.0</v>
      </c>
      <c r="D67" s="20">
        <v>48.0</v>
      </c>
      <c r="E67" s="20">
        <v>7.0</v>
      </c>
      <c r="F67" s="14">
        <v>0.5</v>
      </c>
      <c r="G67" s="17">
        <f>17.31/4</f>
        <v>4.3275</v>
      </c>
      <c r="H67" s="18">
        <f t="shared" ref="H67:H68" si="7">501</f>
        <v>501</v>
      </c>
      <c r="I67" s="16">
        <v>1.0</v>
      </c>
      <c r="J67" s="16">
        <v>1.0</v>
      </c>
      <c r="K67" s="14">
        <v>1.0</v>
      </c>
      <c r="L67" s="14">
        <v>1.0</v>
      </c>
      <c r="M67" s="14">
        <v>2.0</v>
      </c>
      <c r="N67" s="17">
        <f t="shared" ref="N67:N68" si="8">501/4</f>
        <v>125.25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0" t="s">
        <v>18</v>
      </c>
      <c r="B68" s="9" t="s">
        <v>19</v>
      </c>
      <c r="C68" s="10">
        <v>4.0</v>
      </c>
      <c r="D68" s="9">
        <v>52.0</v>
      </c>
      <c r="E68" s="9">
        <v>2.0</v>
      </c>
      <c r="F68" s="10">
        <v>1.0</v>
      </c>
      <c r="G68" s="13">
        <f>21.08/4</f>
        <v>5.27</v>
      </c>
      <c r="H68" s="19">
        <f t="shared" si="7"/>
        <v>501</v>
      </c>
      <c r="I68" s="12">
        <v>1.0</v>
      </c>
      <c r="J68" s="12">
        <v>2.0</v>
      </c>
      <c r="K68" s="10">
        <v>1.0</v>
      </c>
      <c r="L68" s="10">
        <v>0.0</v>
      </c>
      <c r="M68" s="10">
        <v>2.0</v>
      </c>
      <c r="N68" s="13">
        <f t="shared" si="8"/>
        <v>125.25</v>
      </c>
    </row>
    <row r="69">
      <c r="A69" s="10" t="s">
        <v>19</v>
      </c>
      <c r="B69" s="9" t="s">
        <v>18</v>
      </c>
      <c r="C69" s="10">
        <v>4.0</v>
      </c>
      <c r="D69" s="9">
        <v>48.0</v>
      </c>
      <c r="E69" s="9">
        <v>7.0</v>
      </c>
      <c r="F69" s="10">
        <v>0.0</v>
      </c>
      <c r="G69" s="13">
        <f>19.86/4</f>
        <v>4.965</v>
      </c>
      <c r="H69" s="19">
        <f>501-40</f>
        <v>461</v>
      </c>
      <c r="I69" s="12">
        <v>2.0</v>
      </c>
      <c r="J69" s="12">
        <v>1.0</v>
      </c>
      <c r="K69" s="10">
        <v>0.0</v>
      </c>
      <c r="L69" s="10">
        <v>0.0</v>
      </c>
      <c r="M69" s="10">
        <v>0.0</v>
      </c>
      <c r="N69" s="13">
        <f>461/4</f>
        <v>115.25</v>
      </c>
    </row>
    <row r="70">
      <c r="A70" s="14" t="s">
        <v>18</v>
      </c>
      <c r="B70" s="20" t="s">
        <v>19</v>
      </c>
      <c r="C70" s="14">
        <v>5.0</v>
      </c>
      <c r="D70" s="20">
        <v>52.0</v>
      </c>
      <c r="E70" s="20">
        <v>2.0</v>
      </c>
      <c r="F70" s="14">
        <v>0.33</v>
      </c>
      <c r="G70" s="17">
        <f>20.31/4</f>
        <v>5.0775</v>
      </c>
      <c r="H70" s="18">
        <f>501</f>
        <v>501</v>
      </c>
      <c r="I70" s="16">
        <v>2.0</v>
      </c>
      <c r="J70" s="16">
        <v>2.0</v>
      </c>
      <c r="K70" s="14">
        <v>1.0</v>
      </c>
      <c r="L70" s="14">
        <v>0.0</v>
      </c>
      <c r="M70" s="14">
        <v>1.0</v>
      </c>
      <c r="N70" s="17">
        <f>501/4</f>
        <v>125.25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4" t="s">
        <v>19</v>
      </c>
      <c r="B71" s="20" t="s">
        <v>18</v>
      </c>
      <c r="C71" s="14">
        <v>5.0</v>
      </c>
      <c r="D71" s="20">
        <v>48.0</v>
      </c>
      <c r="E71" s="20">
        <v>7.0</v>
      </c>
      <c r="F71" s="18"/>
      <c r="G71" s="17">
        <f>16.38/4</f>
        <v>4.095</v>
      </c>
      <c r="H71" s="18">
        <f>501-135</f>
        <v>366</v>
      </c>
      <c r="I71" s="14">
        <v>2.0</v>
      </c>
      <c r="J71" s="14">
        <v>2.0</v>
      </c>
      <c r="K71" s="14">
        <v>0.0</v>
      </c>
      <c r="L71" s="14">
        <v>1.0</v>
      </c>
      <c r="M71" s="14">
        <v>0.0</v>
      </c>
      <c r="N71" s="17">
        <f>366/4</f>
        <v>91.5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0" t="s">
        <v>18</v>
      </c>
      <c r="B72" s="9" t="s">
        <v>19</v>
      </c>
      <c r="C72" s="10">
        <v>6.0</v>
      </c>
      <c r="D72" s="9">
        <v>52.0</v>
      </c>
      <c r="E72" s="9">
        <v>2.0</v>
      </c>
      <c r="F72" s="10">
        <v>1.0</v>
      </c>
      <c r="G72" s="13">
        <f>30.61/5</f>
        <v>6.122</v>
      </c>
      <c r="H72" s="19">
        <f>501</f>
        <v>501</v>
      </c>
      <c r="I72" s="10">
        <v>3.0</v>
      </c>
      <c r="J72" s="10">
        <v>2.0</v>
      </c>
      <c r="K72" s="10">
        <v>1.0</v>
      </c>
      <c r="L72" s="10">
        <v>0.0</v>
      </c>
      <c r="M72" s="10">
        <v>0.0</v>
      </c>
      <c r="N72" s="13">
        <f>501/5</f>
        <v>100.2</v>
      </c>
    </row>
    <row r="73">
      <c r="A73" s="10" t="s">
        <v>19</v>
      </c>
      <c r="B73" s="9" t="s">
        <v>18</v>
      </c>
      <c r="C73" s="10">
        <v>6.0</v>
      </c>
      <c r="D73" s="9">
        <v>48.0</v>
      </c>
      <c r="E73" s="9">
        <v>7.0</v>
      </c>
      <c r="G73" s="13">
        <f>23.1/5</f>
        <v>4.62</v>
      </c>
      <c r="H73" s="19">
        <f>501-60</f>
        <v>441</v>
      </c>
      <c r="I73" s="10">
        <v>2.0</v>
      </c>
      <c r="J73" s="10">
        <v>3.0</v>
      </c>
      <c r="K73" s="10">
        <v>0.0</v>
      </c>
      <c r="L73" s="10">
        <v>0.0</v>
      </c>
      <c r="M73" s="10">
        <v>1.0</v>
      </c>
      <c r="N73" s="13">
        <f>441/5</f>
        <v>88.2</v>
      </c>
    </row>
    <row r="74">
      <c r="A74" s="20" t="s">
        <v>18</v>
      </c>
      <c r="B74" s="20" t="s">
        <v>19</v>
      </c>
      <c r="C74" s="14">
        <v>7.0</v>
      </c>
      <c r="D74" s="20">
        <v>52.0</v>
      </c>
      <c r="E74" s="20">
        <v>2.0</v>
      </c>
      <c r="F74" s="18"/>
      <c r="G74" s="17">
        <f>20.39/4</f>
        <v>5.0975</v>
      </c>
      <c r="H74" s="18">
        <f>501-52</f>
        <v>449</v>
      </c>
      <c r="I74" s="14">
        <v>4.0</v>
      </c>
      <c r="J74" s="14">
        <v>2.0</v>
      </c>
      <c r="K74" s="14">
        <v>0.0</v>
      </c>
      <c r="L74" s="14">
        <v>0.0</v>
      </c>
      <c r="M74" s="14">
        <v>1.0</v>
      </c>
      <c r="N74" s="17">
        <f>449/4</f>
        <v>112.25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20" t="s">
        <v>19</v>
      </c>
      <c r="B75" s="20" t="s">
        <v>18</v>
      </c>
      <c r="C75" s="14">
        <v>7.0</v>
      </c>
      <c r="D75" s="20">
        <v>48.0</v>
      </c>
      <c r="E75" s="20">
        <v>7.0</v>
      </c>
      <c r="F75" s="14">
        <v>1.0</v>
      </c>
      <c r="G75" s="17">
        <f>16.67/4</f>
        <v>4.1675</v>
      </c>
      <c r="H75" s="18">
        <f>501</f>
        <v>501</v>
      </c>
      <c r="I75" s="14">
        <v>2.0</v>
      </c>
      <c r="J75" s="14">
        <v>4.0</v>
      </c>
      <c r="K75" s="14">
        <v>1.0</v>
      </c>
      <c r="L75" s="14">
        <v>1.0</v>
      </c>
      <c r="M75" s="14">
        <v>0.0</v>
      </c>
      <c r="N75" s="17">
        <f>501/4</f>
        <v>125.25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9" t="s">
        <v>18</v>
      </c>
      <c r="B76" s="9" t="s">
        <v>19</v>
      </c>
      <c r="C76" s="10">
        <v>8.0</v>
      </c>
      <c r="D76" s="9">
        <v>52.0</v>
      </c>
      <c r="E76" s="9">
        <v>2.0</v>
      </c>
      <c r="G76" s="13">
        <f>21.09/4</f>
        <v>5.2725</v>
      </c>
      <c r="H76" s="19">
        <f>501-80</f>
        <v>421</v>
      </c>
      <c r="I76" s="10">
        <v>4.0</v>
      </c>
      <c r="J76" s="10">
        <v>3.0</v>
      </c>
      <c r="K76" s="10">
        <v>0.0</v>
      </c>
      <c r="L76" s="10">
        <v>0.0</v>
      </c>
      <c r="M76" s="10">
        <v>1.0</v>
      </c>
      <c r="N76" s="13">
        <f>421/4</f>
        <v>105.25</v>
      </c>
    </row>
    <row r="77">
      <c r="A77" s="9" t="s">
        <v>19</v>
      </c>
      <c r="B77" s="9" t="s">
        <v>18</v>
      </c>
      <c r="C77" s="10">
        <v>8.0</v>
      </c>
      <c r="D77" s="9">
        <v>48.0</v>
      </c>
      <c r="E77" s="9">
        <v>7.0</v>
      </c>
      <c r="F77" s="10">
        <v>0.5</v>
      </c>
      <c r="G77" s="13">
        <f>16.74/4</f>
        <v>4.185</v>
      </c>
      <c r="H77" s="10">
        <v>501.0</v>
      </c>
      <c r="I77" s="10">
        <v>3.0</v>
      </c>
      <c r="J77" s="10">
        <v>4.0</v>
      </c>
      <c r="K77" s="10">
        <v>1.0</v>
      </c>
      <c r="L77" s="10">
        <v>0.0</v>
      </c>
      <c r="M77" s="10">
        <v>1.0</v>
      </c>
      <c r="N77" s="13">
        <f>501/4</f>
        <v>125.25</v>
      </c>
    </row>
    <row r="78">
      <c r="A78" s="20" t="s">
        <v>18</v>
      </c>
      <c r="B78" s="20" t="s">
        <v>19</v>
      </c>
      <c r="C78" s="14">
        <v>9.0</v>
      </c>
      <c r="D78" s="20">
        <v>52.0</v>
      </c>
      <c r="E78" s="20">
        <v>2.0</v>
      </c>
      <c r="F78" s="14">
        <v>0.2</v>
      </c>
      <c r="G78" s="17">
        <f>43.55/6</f>
        <v>7.258333333</v>
      </c>
      <c r="H78" s="18">
        <f>501</f>
        <v>501</v>
      </c>
      <c r="I78" s="14">
        <v>4.0</v>
      </c>
      <c r="J78" s="14">
        <v>4.0</v>
      </c>
      <c r="K78" s="14">
        <v>1.0</v>
      </c>
      <c r="L78" s="14">
        <v>0.0</v>
      </c>
      <c r="M78" s="14">
        <v>0.0</v>
      </c>
      <c r="N78" s="17">
        <f>501/6</f>
        <v>83.5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20" t="s">
        <v>19</v>
      </c>
      <c r="B79" s="20" t="s">
        <v>18</v>
      </c>
      <c r="C79" s="14">
        <v>9.0</v>
      </c>
      <c r="D79" s="20">
        <v>48.0</v>
      </c>
      <c r="E79" s="20">
        <v>7.0</v>
      </c>
      <c r="F79" s="14">
        <v>0.0</v>
      </c>
      <c r="G79" s="17">
        <f>31.94/6</f>
        <v>5.323333333</v>
      </c>
      <c r="H79" s="18">
        <f>501-2</f>
        <v>499</v>
      </c>
      <c r="I79" s="14">
        <v>4.0</v>
      </c>
      <c r="J79" s="14">
        <v>4.0</v>
      </c>
      <c r="K79" s="14">
        <v>0.0</v>
      </c>
      <c r="L79" s="14">
        <v>0.0</v>
      </c>
      <c r="M79" s="14">
        <v>2.0</v>
      </c>
      <c r="N79" s="17">
        <f>499/6</f>
        <v>83.16666667</v>
      </c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9" t="s">
        <v>18</v>
      </c>
      <c r="B80" s="9" t="s">
        <v>19</v>
      </c>
      <c r="C80" s="10">
        <v>10.0</v>
      </c>
      <c r="D80" s="9">
        <v>52.0</v>
      </c>
      <c r="E80" s="9">
        <v>2.0</v>
      </c>
      <c r="G80" s="13">
        <f>24.46/5</f>
        <v>4.892</v>
      </c>
      <c r="H80" s="19">
        <f>501-83</f>
        <v>418</v>
      </c>
      <c r="I80" s="10">
        <v>5.0</v>
      </c>
      <c r="J80" s="10">
        <v>4.0</v>
      </c>
      <c r="K80" s="10">
        <v>0.0</v>
      </c>
      <c r="L80" s="10">
        <v>0.0</v>
      </c>
      <c r="M80" s="10">
        <v>0.0</v>
      </c>
      <c r="N80" s="13">
        <f>418/5</f>
        <v>83.6</v>
      </c>
    </row>
    <row r="81">
      <c r="A81" s="9" t="s">
        <v>19</v>
      </c>
      <c r="B81" s="9" t="s">
        <v>18</v>
      </c>
      <c r="C81" s="10">
        <v>10.0</v>
      </c>
      <c r="D81" s="9">
        <v>48.0</v>
      </c>
      <c r="E81" s="9">
        <v>7.0</v>
      </c>
      <c r="F81" s="10">
        <v>0.25</v>
      </c>
      <c r="G81" s="13">
        <f>22.43/5</f>
        <v>4.486</v>
      </c>
      <c r="H81" s="19">
        <f t="shared" ref="H81:H82" si="9">501</f>
        <v>501</v>
      </c>
      <c r="I81" s="10">
        <v>4.0</v>
      </c>
      <c r="J81" s="10">
        <v>5.0</v>
      </c>
      <c r="K81" s="10">
        <v>1.0</v>
      </c>
      <c r="L81" s="10">
        <v>0.0</v>
      </c>
      <c r="M81" s="10">
        <v>0.0</v>
      </c>
      <c r="N81" s="13">
        <f>501/5</f>
        <v>100.2</v>
      </c>
    </row>
    <row r="82">
      <c r="A82" s="20" t="s">
        <v>18</v>
      </c>
      <c r="B82" s="20" t="s">
        <v>19</v>
      </c>
      <c r="C82" s="14">
        <v>11.0</v>
      </c>
      <c r="D82" s="20">
        <v>52.0</v>
      </c>
      <c r="E82" s="20">
        <v>2.0</v>
      </c>
      <c r="F82" s="14">
        <v>0.5</v>
      </c>
      <c r="G82" s="17">
        <f>22.88/4</f>
        <v>5.72</v>
      </c>
      <c r="H82" s="18">
        <f t="shared" si="9"/>
        <v>501</v>
      </c>
      <c r="I82" s="14">
        <v>5.0</v>
      </c>
      <c r="J82" s="14">
        <v>5.0</v>
      </c>
      <c r="K82" s="14">
        <v>1.0</v>
      </c>
      <c r="L82" s="14">
        <v>0.0</v>
      </c>
      <c r="M82" s="14">
        <v>2.0</v>
      </c>
      <c r="N82" s="17">
        <f>501/4</f>
        <v>125.25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20" t="s">
        <v>19</v>
      </c>
      <c r="B83" s="20" t="s">
        <v>18</v>
      </c>
      <c r="C83" s="14">
        <v>11.0</v>
      </c>
      <c r="D83" s="20">
        <v>48.0</v>
      </c>
      <c r="E83" s="20">
        <v>7.0</v>
      </c>
      <c r="F83" s="18"/>
      <c r="G83" s="17">
        <f>16.38/4</f>
        <v>4.095</v>
      </c>
      <c r="H83" s="18">
        <f>501-202</f>
        <v>299</v>
      </c>
      <c r="I83" s="14">
        <v>5.0</v>
      </c>
      <c r="J83" s="14">
        <v>5.0</v>
      </c>
      <c r="K83" s="14">
        <v>0.0</v>
      </c>
      <c r="L83" s="14">
        <v>0.0</v>
      </c>
      <c r="M83" s="14">
        <v>1.0</v>
      </c>
      <c r="N83" s="17">
        <f>299/4</f>
        <v>74.75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9" t="s">
        <v>18</v>
      </c>
      <c r="B84" s="9" t="s">
        <v>19</v>
      </c>
      <c r="C84" s="10">
        <v>12.0</v>
      </c>
      <c r="D84" s="9">
        <v>52.0</v>
      </c>
      <c r="E84" s="9">
        <v>2.0</v>
      </c>
      <c r="F84" s="10">
        <v>1.0</v>
      </c>
      <c r="G84" s="13">
        <f>27.27/5</f>
        <v>5.454</v>
      </c>
      <c r="H84" s="19">
        <f>501</f>
        <v>501</v>
      </c>
      <c r="I84" s="10">
        <v>6.0</v>
      </c>
      <c r="J84" s="10">
        <v>5.0</v>
      </c>
      <c r="K84" s="10">
        <v>1.0</v>
      </c>
      <c r="L84" s="10">
        <v>0.0</v>
      </c>
      <c r="M84" s="10">
        <v>0.0</v>
      </c>
      <c r="N84" s="13">
        <f>501/5</f>
        <v>100.2</v>
      </c>
    </row>
    <row r="85">
      <c r="A85" s="9" t="s">
        <v>19</v>
      </c>
      <c r="B85" s="9" t="s">
        <v>18</v>
      </c>
      <c r="C85" s="10">
        <v>12.0</v>
      </c>
      <c r="D85" s="9">
        <v>48.0</v>
      </c>
      <c r="E85" s="9">
        <v>7.0</v>
      </c>
      <c r="F85" s="10">
        <v>0.0</v>
      </c>
      <c r="G85" s="13">
        <f>24.04/5</f>
        <v>4.808</v>
      </c>
      <c r="H85" s="19">
        <f>501-8</f>
        <v>493</v>
      </c>
      <c r="I85" s="10">
        <v>5.0</v>
      </c>
      <c r="J85" s="10">
        <v>6.0</v>
      </c>
      <c r="K85" s="10">
        <v>0.0</v>
      </c>
      <c r="L85" s="10">
        <v>0.0</v>
      </c>
      <c r="M85" s="10">
        <v>0.0</v>
      </c>
      <c r="N85" s="13">
        <f>493/5</f>
        <v>98.6</v>
      </c>
    </row>
    <row r="86">
      <c r="A86" s="20" t="s">
        <v>18</v>
      </c>
      <c r="B86" s="20" t="s">
        <v>19</v>
      </c>
      <c r="C86" s="14">
        <v>13.0</v>
      </c>
      <c r="D86" s="20">
        <v>52.0</v>
      </c>
      <c r="E86" s="20">
        <v>2.0</v>
      </c>
      <c r="F86" s="14">
        <v>1.0</v>
      </c>
      <c r="G86" s="17">
        <f>27.59/5</f>
        <v>5.518</v>
      </c>
      <c r="H86" s="18">
        <f>501</f>
        <v>501</v>
      </c>
      <c r="I86" s="14">
        <v>7.0</v>
      </c>
      <c r="J86" s="14">
        <v>5.0</v>
      </c>
      <c r="K86" s="14">
        <v>1.0</v>
      </c>
      <c r="L86" s="14">
        <v>0.0</v>
      </c>
      <c r="M86" s="14">
        <v>0.0</v>
      </c>
      <c r="N86" s="17">
        <f>501/5</f>
        <v>100.2</v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20" t="s">
        <v>19</v>
      </c>
      <c r="B87" s="20" t="s">
        <v>18</v>
      </c>
      <c r="C87" s="14">
        <v>13.0</v>
      </c>
      <c r="D87" s="20">
        <v>48.0</v>
      </c>
      <c r="E87" s="20">
        <v>7.0</v>
      </c>
      <c r="F87" s="18"/>
      <c r="G87" s="17">
        <f>22.07/5</f>
        <v>4.414</v>
      </c>
      <c r="H87" s="18">
        <f>501-72</f>
        <v>429</v>
      </c>
      <c r="I87" s="14">
        <v>5.0</v>
      </c>
      <c r="J87" s="14">
        <v>7.0</v>
      </c>
      <c r="K87" s="14">
        <v>0.0</v>
      </c>
      <c r="L87" s="14">
        <v>0.0</v>
      </c>
      <c r="M87" s="14">
        <v>2.0</v>
      </c>
      <c r="N87" s="17">
        <f>429/5</f>
        <v>85.8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9" t="s">
        <v>18</v>
      </c>
      <c r="B88" s="9" t="s">
        <v>19</v>
      </c>
      <c r="C88" s="10">
        <v>14.0</v>
      </c>
      <c r="D88" s="9">
        <v>52.0</v>
      </c>
      <c r="E88" s="9">
        <v>2.0</v>
      </c>
      <c r="G88" s="13">
        <f>22.23/4</f>
        <v>5.5575</v>
      </c>
      <c r="H88" s="19">
        <f>501</f>
        <v>501</v>
      </c>
      <c r="I88" s="10">
        <v>8.0</v>
      </c>
      <c r="J88" s="10">
        <v>5.0</v>
      </c>
      <c r="K88" s="10">
        <v>1.0</v>
      </c>
      <c r="L88" s="10">
        <v>0.0</v>
      </c>
      <c r="M88" s="10">
        <v>1.0</v>
      </c>
      <c r="N88" s="13">
        <f>501/4</f>
        <v>125.25</v>
      </c>
    </row>
    <row r="89">
      <c r="A89" s="9" t="s">
        <v>19</v>
      </c>
      <c r="B89" s="9" t="s">
        <v>18</v>
      </c>
      <c r="C89" s="10">
        <v>14.0</v>
      </c>
      <c r="D89" s="9">
        <v>48.0</v>
      </c>
      <c r="E89" s="9">
        <v>7.0</v>
      </c>
      <c r="G89" s="13">
        <f>17.15/4</f>
        <v>4.2875</v>
      </c>
      <c r="H89" s="19">
        <f>501-32</f>
        <v>469</v>
      </c>
      <c r="I89" s="10">
        <v>5.0</v>
      </c>
      <c r="J89" s="10">
        <v>8.0</v>
      </c>
      <c r="K89" s="10">
        <v>0.0</v>
      </c>
      <c r="L89" s="10">
        <v>1.0</v>
      </c>
      <c r="M89" s="10">
        <v>1.0</v>
      </c>
      <c r="N89" s="13">
        <f>469/4</f>
        <v>117.25</v>
      </c>
    </row>
    <row r="90">
      <c r="A90" s="20" t="s">
        <v>18</v>
      </c>
      <c r="B90" s="20" t="s">
        <v>19</v>
      </c>
      <c r="C90" s="14">
        <v>15.0</v>
      </c>
      <c r="D90" s="20">
        <v>52.0</v>
      </c>
      <c r="E90" s="20">
        <v>2.0</v>
      </c>
      <c r="F90" s="18"/>
      <c r="G90" s="17">
        <f>29.13/4</f>
        <v>7.2825</v>
      </c>
      <c r="H90" s="14">
        <f>501-20</f>
        <v>481</v>
      </c>
      <c r="I90" s="14">
        <v>9.0</v>
      </c>
      <c r="J90" s="14">
        <v>5.0</v>
      </c>
      <c r="K90" s="14">
        <v>0.0</v>
      </c>
      <c r="L90" s="14">
        <v>1.0</v>
      </c>
      <c r="M90" s="14">
        <v>0.0</v>
      </c>
      <c r="N90" s="17">
        <f>481/4</f>
        <v>120.25</v>
      </c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20" t="s">
        <v>19</v>
      </c>
      <c r="B91" s="20" t="s">
        <v>18</v>
      </c>
      <c r="C91" s="14">
        <v>15.0</v>
      </c>
      <c r="D91" s="20">
        <v>48.0</v>
      </c>
      <c r="E91" s="20">
        <v>7.0</v>
      </c>
      <c r="F91" s="14">
        <v>0.5</v>
      </c>
      <c r="G91" s="17">
        <f>16.84/4</f>
        <v>4.21</v>
      </c>
      <c r="H91" s="18">
        <f t="shared" ref="H91:H92" si="10">501</f>
        <v>501</v>
      </c>
      <c r="I91" s="14">
        <v>5.0</v>
      </c>
      <c r="J91" s="14">
        <v>9.0</v>
      </c>
      <c r="K91" s="14">
        <v>1.0</v>
      </c>
      <c r="L91" s="14">
        <v>1.0</v>
      </c>
      <c r="M91" s="14">
        <v>0.0</v>
      </c>
      <c r="N91" s="17">
        <f t="shared" ref="N91:N92" si="11">501/4</f>
        <v>125.25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9" t="s">
        <v>18</v>
      </c>
      <c r="B92" s="9" t="s">
        <v>19</v>
      </c>
      <c r="C92" s="10">
        <v>16.0</v>
      </c>
      <c r="D92" s="9">
        <v>52.0</v>
      </c>
      <c r="E92" s="9">
        <v>2.0</v>
      </c>
      <c r="F92" s="10">
        <v>0.5</v>
      </c>
      <c r="G92" s="13">
        <f>25.71/4</f>
        <v>6.4275</v>
      </c>
      <c r="H92" s="19">
        <f t="shared" si="10"/>
        <v>501</v>
      </c>
      <c r="I92" s="10">
        <v>9.0</v>
      </c>
      <c r="J92" s="10">
        <v>6.0</v>
      </c>
      <c r="K92" s="10">
        <v>1.0</v>
      </c>
      <c r="L92" s="10">
        <v>0.0</v>
      </c>
      <c r="M92" s="10">
        <v>3.0</v>
      </c>
      <c r="N92" s="13">
        <f t="shared" si="11"/>
        <v>125.25</v>
      </c>
    </row>
    <row r="93">
      <c r="A93" s="9" t="s">
        <v>19</v>
      </c>
      <c r="B93" s="9" t="s">
        <v>18</v>
      </c>
      <c r="C93" s="10">
        <v>16.0</v>
      </c>
      <c r="D93" s="9">
        <v>48.0</v>
      </c>
      <c r="E93" s="9">
        <v>7.0</v>
      </c>
      <c r="G93" s="13">
        <f>16.41/4</f>
        <v>4.1025</v>
      </c>
      <c r="H93" s="19">
        <f>501-151</f>
        <v>350</v>
      </c>
      <c r="I93" s="10">
        <v>6.0</v>
      </c>
      <c r="J93" s="10">
        <v>9.0</v>
      </c>
      <c r="K93" s="10">
        <v>0.0</v>
      </c>
      <c r="L93" s="10">
        <v>0.0</v>
      </c>
      <c r="M93" s="10">
        <v>1.0</v>
      </c>
      <c r="N93" s="13">
        <f>350/4</f>
        <v>87.5</v>
      </c>
    </row>
    <row r="94">
      <c r="A94" s="4" t="s">
        <v>20</v>
      </c>
      <c r="B94" s="21" t="s">
        <v>21</v>
      </c>
      <c r="C94" s="4">
        <v>1.0</v>
      </c>
      <c r="D94" s="4">
        <v>33.0</v>
      </c>
      <c r="E94" s="4">
        <v>3.0</v>
      </c>
      <c r="F94" s="6"/>
      <c r="G94" s="8">
        <f>20.73/5</f>
        <v>4.146</v>
      </c>
      <c r="H94" s="4">
        <v>449.0</v>
      </c>
      <c r="I94" s="7">
        <v>0.0</v>
      </c>
      <c r="J94" s="7">
        <v>0.0</v>
      </c>
      <c r="K94" s="4">
        <v>0.0</v>
      </c>
      <c r="L94" s="4">
        <v>0.0</v>
      </c>
      <c r="M94" s="4">
        <v>1.0</v>
      </c>
      <c r="N94" s="8">
        <f t="shared" ref="N94:N95" si="12">H94/5</f>
        <v>89.8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4" t="s">
        <v>21</v>
      </c>
      <c r="B95" s="21" t="s">
        <v>20</v>
      </c>
      <c r="C95" s="4">
        <v>1.0</v>
      </c>
      <c r="D95" s="4">
        <v>32.0</v>
      </c>
      <c r="E95" s="4">
        <v>6.0</v>
      </c>
      <c r="F95" s="4">
        <v>0.5</v>
      </c>
      <c r="G95" s="8">
        <f>28.06/5</f>
        <v>5.612</v>
      </c>
      <c r="H95" s="4">
        <v>501.0</v>
      </c>
      <c r="I95" s="7">
        <v>0.0</v>
      </c>
      <c r="J95" s="7">
        <v>0.0</v>
      </c>
      <c r="K95" s="4">
        <v>1.0</v>
      </c>
      <c r="L95" s="4">
        <v>0.0</v>
      </c>
      <c r="M95" s="4">
        <v>1.0</v>
      </c>
      <c r="N95" s="8">
        <f t="shared" si="12"/>
        <v>100.2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9" t="s">
        <v>20</v>
      </c>
      <c r="B96" s="9" t="s">
        <v>21</v>
      </c>
      <c r="C96" s="10">
        <v>2.0</v>
      </c>
      <c r="D96" s="9">
        <v>33.0</v>
      </c>
      <c r="E96" s="9">
        <v>3.0</v>
      </c>
      <c r="F96" s="10">
        <v>0.33</v>
      </c>
      <c r="G96" s="13">
        <f>16.83/4</f>
        <v>4.2075</v>
      </c>
      <c r="H96" s="10">
        <v>501.0</v>
      </c>
      <c r="I96" s="12">
        <v>0.0</v>
      </c>
      <c r="J96" s="12">
        <v>1.0</v>
      </c>
      <c r="K96" s="10">
        <v>1.0</v>
      </c>
      <c r="L96" s="10">
        <v>0.0</v>
      </c>
      <c r="M96" s="10">
        <v>0.0</v>
      </c>
      <c r="N96" s="13">
        <f t="shared" ref="N96:N98" si="13">H96/4</f>
        <v>125.25</v>
      </c>
    </row>
    <row r="97">
      <c r="A97" s="9" t="s">
        <v>21</v>
      </c>
      <c r="B97" s="9" t="s">
        <v>20</v>
      </c>
      <c r="C97" s="10">
        <v>2.0</v>
      </c>
      <c r="D97" s="9">
        <v>32.0</v>
      </c>
      <c r="E97" s="9">
        <v>6.0</v>
      </c>
      <c r="G97" s="13">
        <f>20.6/4</f>
        <v>5.15</v>
      </c>
      <c r="H97" s="10">
        <v>458.0</v>
      </c>
      <c r="I97" s="12">
        <v>1.0</v>
      </c>
      <c r="J97" s="12">
        <v>0.0</v>
      </c>
      <c r="K97" s="10">
        <v>0.0</v>
      </c>
      <c r="L97" s="10">
        <v>0.0</v>
      </c>
      <c r="M97" s="10">
        <v>2.0</v>
      </c>
      <c r="N97" s="13">
        <f t="shared" si="13"/>
        <v>114.5</v>
      </c>
    </row>
    <row r="98">
      <c r="A98" s="20" t="s">
        <v>20</v>
      </c>
      <c r="B98" s="20" t="s">
        <v>21</v>
      </c>
      <c r="C98" s="14">
        <v>3.0</v>
      </c>
      <c r="D98" s="20">
        <v>33.0</v>
      </c>
      <c r="E98" s="20">
        <v>3.0</v>
      </c>
      <c r="F98" s="14">
        <v>0.0</v>
      </c>
      <c r="G98" s="17">
        <f>19.17/4</f>
        <v>4.7925</v>
      </c>
      <c r="H98" s="14">
        <v>495.0</v>
      </c>
      <c r="I98" s="14">
        <v>1.0</v>
      </c>
      <c r="J98" s="14">
        <v>1.0</v>
      </c>
      <c r="K98" s="14">
        <v>0.0</v>
      </c>
      <c r="L98" s="14">
        <v>1.0</v>
      </c>
      <c r="M98" s="14">
        <v>1.0</v>
      </c>
      <c r="N98" s="17">
        <f t="shared" si="13"/>
        <v>123.75</v>
      </c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20" t="s">
        <v>21</v>
      </c>
      <c r="B99" s="20" t="s">
        <v>20</v>
      </c>
      <c r="C99" s="14">
        <v>3.0</v>
      </c>
      <c r="D99" s="20">
        <v>32.0</v>
      </c>
      <c r="E99" s="20">
        <v>6.0</v>
      </c>
      <c r="F99" s="14">
        <v>0.5</v>
      </c>
      <c r="G99" s="17">
        <f>26.47/4</f>
        <v>6.6175</v>
      </c>
      <c r="H99" s="14">
        <v>501.0</v>
      </c>
      <c r="I99" s="14">
        <v>1.0</v>
      </c>
      <c r="J99" s="14">
        <v>1.0</v>
      </c>
      <c r="K99" s="14">
        <v>1.0</v>
      </c>
      <c r="L99" s="14">
        <v>0.0</v>
      </c>
      <c r="M99" s="14">
        <v>0.0</v>
      </c>
      <c r="N99" s="17">
        <f t="shared" ref="N99:N101" si="14">H99/5</f>
        <v>100.2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9" t="s">
        <v>20</v>
      </c>
      <c r="B100" s="9" t="s">
        <v>21</v>
      </c>
      <c r="C100" s="10">
        <v>4.0</v>
      </c>
      <c r="D100" s="9">
        <v>33.0</v>
      </c>
      <c r="E100" s="9">
        <v>3.0</v>
      </c>
      <c r="F100" s="10">
        <v>0.0</v>
      </c>
      <c r="G100" s="13">
        <f>20.99/5</f>
        <v>4.198</v>
      </c>
      <c r="H100" s="10">
        <v>481.0</v>
      </c>
      <c r="I100" s="10">
        <v>1.0</v>
      </c>
      <c r="J100" s="10">
        <v>2.0</v>
      </c>
      <c r="K100" s="10">
        <v>0.0</v>
      </c>
      <c r="L100" s="10">
        <v>0.0</v>
      </c>
      <c r="M100" s="10">
        <v>0.0</v>
      </c>
      <c r="N100" s="13">
        <f t="shared" si="14"/>
        <v>96.2</v>
      </c>
    </row>
    <row r="101">
      <c r="A101" s="9" t="s">
        <v>21</v>
      </c>
      <c r="B101" s="9" t="s">
        <v>20</v>
      </c>
      <c r="C101" s="10">
        <v>4.0</v>
      </c>
      <c r="D101" s="9">
        <v>32.0</v>
      </c>
      <c r="E101" s="9">
        <v>6.0</v>
      </c>
      <c r="F101" s="10">
        <v>0.2</v>
      </c>
      <c r="G101" s="13">
        <f>36.62/5</f>
        <v>7.324</v>
      </c>
      <c r="H101" s="10">
        <v>501.0</v>
      </c>
      <c r="I101" s="10">
        <v>2.0</v>
      </c>
      <c r="J101" s="10">
        <v>1.0</v>
      </c>
      <c r="K101" s="10">
        <v>1.0</v>
      </c>
      <c r="L101" s="10">
        <v>1.0</v>
      </c>
      <c r="M101" s="10">
        <v>1.0</v>
      </c>
      <c r="N101" s="13">
        <f t="shared" si="14"/>
        <v>100.2</v>
      </c>
    </row>
    <row r="102">
      <c r="A102" s="20" t="s">
        <v>20</v>
      </c>
      <c r="B102" s="20" t="s">
        <v>21</v>
      </c>
      <c r="C102" s="14">
        <v>5.0</v>
      </c>
      <c r="D102" s="20">
        <v>33.0</v>
      </c>
      <c r="E102" s="20">
        <v>3.0</v>
      </c>
      <c r="F102" s="18"/>
      <c r="G102" s="17">
        <f>23.33/4</f>
        <v>5.8325</v>
      </c>
      <c r="H102" s="14">
        <v>469.0</v>
      </c>
      <c r="I102" s="14">
        <v>1.0</v>
      </c>
      <c r="J102" s="14">
        <v>3.0</v>
      </c>
      <c r="K102" s="14">
        <v>0.0</v>
      </c>
      <c r="L102" s="14">
        <v>0.0</v>
      </c>
      <c r="M102" s="14">
        <v>3.0</v>
      </c>
      <c r="N102" s="17">
        <f t="shared" ref="N102:N103" si="15">H102/4</f>
        <v>117.25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20" t="s">
        <v>21</v>
      </c>
      <c r="B103" s="20" t="s">
        <v>20</v>
      </c>
      <c r="C103" s="14">
        <v>5.0</v>
      </c>
      <c r="D103" s="20">
        <v>32.0</v>
      </c>
      <c r="E103" s="20">
        <v>6.0</v>
      </c>
      <c r="F103" s="14">
        <v>0.5</v>
      </c>
      <c r="G103" s="17">
        <f>27.8/4</f>
        <v>6.95</v>
      </c>
      <c r="H103" s="14">
        <v>501.0</v>
      </c>
      <c r="I103" s="14">
        <v>3.0</v>
      </c>
      <c r="J103" s="14">
        <v>1.0</v>
      </c>
      <c r="K103" s="14">
        <v>1.0</v>
      </c>
      <c r="L103" s="14">
        <v>1.0</v>
      </c>
      <c r="M103" s="14">
        <v>1.0</v>
      </c>
      <c r="N103" s="17">
        <f t="shared" si="15"/>
        <v>125.25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9" t="s">
        <v>20</v>
      </c>
      <c r="B104" s="9" t="s">
        <v>21</v>
      </c>
      <c r="C104" s="10">
        <v>6.0</v>
      </c>
      <c r="D104" s="9">
        <v>33.0</v>
      </c>
      <c r="E104" s="9">
        <v>3.0</v>
      </c>
      <c r="F104" s="10">
        <v>1.0</v>
      </c>
      <c r="G104" s="13">
        <f>20.88/5</f>
        <v>4.176</v>
      </c>
      <c r="H104" s="10">
        <v>501.0</v>
      </c>
      <c r="I104" s="10">
        <v>1.0</v>
      </c>
      <c r="J104" s="10">
        <v>4.0</v>
      </c>
      <c r="K104" s="10">
        <v>1.0</v>
      </c>
      <c r="L104" s="10">
        <v>0.0</v>
      </c>
      <c r="M104" s="10">
        <v>0.0</v>
      </c>
      <c r="N104" s="13">
        <f t="shared" ref="N104:N105" si="16">H104/5</f>
        <v>100.2</v>
      </c>
    </row>
    <row r="105">
      <c r="A105" s="9" t="s">
        <v>21</v>
      </c>
      <c r="B105" s="9" t="s">
        <v>20</v>
      </c>
      <c r="C105" s="10">
        <v>6.0</v>
      </c>
      <c r="D105" s="9">
        <v>32.0</v>
      </c>
      <c r="E105" s="9">
        <v>6.0</v>
      </c>
      <c r="F105" s="10">
        <v>0.0</v>
      </c>
      <c r="G105" s="13">
        <f>26.18/5</f>
        <v>5.236</v>
      </c>
      <c r="H105" s="10">
        <v>483.0</v>
      </c>
      <c r="I105" s="10">
        <v>4.0</v>
      </c>
      <c r="J105" s="10">
        <v>1.0</v>
      </c>
      <c r="K105" s="10">
        <v>0.0</v>
      </c>
      <c r="L105" s="10">
        <v>0.0</v>
      </c>
      <c r="M105" s="10">
        <v>0.0</v>
      </c>
      <c r="N105" s="13">
        <f t="shared" si="16"/>
        <v>96.6</v>
      </c>
    </row>
    <row r="106">
      <c r="A106" s="20" t="s">
        <v>20</v>
      </c>
      <c r="B106" s="20" t="s">
        <v>21</v>
      </c>
      <c r="C106" s="14">
        <v>7.0</v>
      </c>
      <c r="D106" s="20">
        <v>33.0</v>
      </c>
      <c r="E106" s="20">
        <v>3.0</v>
      </c>
      <c r="F106" s="18"/>
      <c r="G106" s="17">
        <f>16.81/4</f>
        <v>4.2025</v>
      </c>
      <c r="H106" s="14">
        <v>421.0</v>
      </c>
      <c r="I106" s="14">
        <v>2.0</v>
      </c>
      <c r="J106" s="14">
        <v>4.0</v>
      </c>
      <c r="K106" s="14">
        <v>0.0</v>
      </c>
      <c r="L106" s="14">
        <v>0.0</v>
      </c>
      <c r="M106" s="14">
        <v>2.0</v>
      </c>
      <c r="N106" s="17">
        <f t="shared" ref="N106:N107" si="17">H106/4</f>
        <v>105.25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20" t="s">
        <v>21</v>
      </c>
      <c r="B107" s="20" t="s">
        <v>20</v>
      </c>
      <c r="C107" s="14">
        <v>7.0</v>
      </c>
      <c r="D107" s="20">
        <v>32.0</v>
      </c>
      <c r="E107" s="20">
        <v>6.0</v>
      </c>
      <c r="F107" s="14">
        <v>1.0</v>
      </c>
      <c r="G107" s="17">
        <f>20.49/4</f>
        <v>5.1225</v>
      </c>
      <c r="H107" s="14">
        <v>501.0</v>
      </c>
      <c r="I107" s="14">
        <v>4.0</v>
      </c>
      <c r="J107" s="14">
        <v>2.0</v>
      </c>
      <c r="K107" s="14">
        <v>1.0</v>
      </c>
      <c r="L107" s="14">
        <v>0.0</v>
      </c>
      <c r="M107" s="14">
        <v>0.0</v>
      </c>
      <c r="N107" s="17">
        <f t="shared" si="17"/>
        <v>125.25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9" t="s">
        <v>20</v>
      </c>
      <c r="B108" s="9" t="s">
        <v>21</v>
      </c>
      <c r="C108" s="10">
        <v>8.0</v>
      </c>
      <c r="D108" s="9">
        <v>33.0</v>
      </c>
      <c r="E108" s="9">
        <v>3.0</v>
      </c>
      <c r="F108" s="10">
        <v>0.5</v>
      </c>
      <c r="G108" s="13">
        <f>21.12/5</f>
        <v>4.224</v>
      </c>
      <c r="H108" s="10">
        <v>501.0</v>
      </c>
      <c r="I108" s="10">
        <v>2.0</v>
      </c>
      <c r="J108" s="10">
        <v>5.0</v>
      </c>
      <c r="K108" s="10">
        <v>1.0</v>
      </c>
      <c r="L108" s="10">
        <v>0.0</v>
      </c>
      <c r="M108" s="10">
        <v>0.0</v>
      </c>
      <c r="N108" s="13">
        <f t="shared" ref="N108:N109" si="18">H108/5</f>
        <v>100.2</v>
      </c>
    </row>
    <row r="109">
      <c r="A109" s="9" t="s">
        <v>21</v>
      </c>
      <c r="B109" s="9" t="s">
        <v>20</v>
      </c>
      <c r="C109" s="10">
        <v>8.0</v>
      </c>
      <c r="D109" s="9">
        <v>32.0</v>
      </c>
      <c r="E109" s="9">
        <v>6.0</v>
      </c>
      <c r="F109" s="10">
        <v>0.0</v>
      </c>
      <c r="G109" s="13">
        <f>28.11/5</f>
        <v>5.622</v>
      </c>
      <c r="H109" s="10">
        <v>483.0</v>
      </c>
      <c r="I109" s="10">
        <v>5.0</v>
      </c>
      <c r="J109" s="10">
        <v>2.0</v>
      </c>
      <c r="K109" s="10">
        <v>0.0</v>
      </c>
      <c r="L109" s="10">
        <v>0.0</v>
      </c>
      <c r="M109" s="10">
        <v>1.0</v>
      </c>
      <c r="N109" s="13">
        <f t="shared" si="18"/>
        <v>96.6</v>
      </c>
    </row>
    <row r="110">
      <c r="A110" s="20" t="s">
        <v>20</v>
      </c>
      <c r="B110" s="20" t="s">
        <v>21</v>
      </c>
      <c r="C110" s="14">
        <v>9.0</v>
      </c>
      <c r="D110" s="20">
        <v>33.0</v>
      </c>
      <c r="E110" s="20">
        <v>3.0</v>
      </c>
      <c r="F110" s="14">
        <v>0.5</v>
      </c>
      <c r="G110" s="17">
        <f>16.86/4</f>
        <v>4.215</v>
      </c>
      <c r="H110" s="14">
        <v>501.0</v>
      </c>
      <c r="I110" s="14">
        <v>3.0</v>
      </c>
      <c r="J110" s="14">
        <v>5.0</v>
      </c>
      <c r="K110" s="14">
        <v>1.0</v>
      </c>
      <c r="L110" s="14">
        <v>1.0</v>
      </c>
      <c r="M110" s="14">
        <v>2.0</v>
      </c>
      <c r="N110" s="17">
        <f t="shared" ref="N110:N111" si="19">H110/4</f>
        <v>125.25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20" t="s">
        <v>21</v>
      </c>
      <c r="B111" s="20" t="s">
        <v>20</v>
      </c>
      <c r="C111" s="14">
        <v>9.0</v>
      </c>
      <c r="D111" s="20">
        <v>32.0</v>
      </c>
      <c r="E111" s="20">
        <v>6.0</v>
      </c>
      <c r="F111" s="18"/>
      <c r="G111" s="17">
        <f>20.21/4</f>
        <v>5.0525</v>
      </c>
      <c r="H111" s="14">
        <v>331.0</v>
      </c>
      <c r="I111" s="14">
        <v>5.0</v>
      </c>
      <c r="J111" s="14">
        <v>3.0</v>
      </c>
      <c r="K111" s="14">
        <v>0.0</v>
      </c>
      <c r="L111" s="14">
        <v>0.0</v>
      </c>
      <c r="M111" s="14">
        <v>0.0</v>
      </c>
      <c r="N111" s="17">
        <f t="shared" si="19"/>
        <v>82.75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9" t="s">
        <v>20</v>
      </c>
      <c r="B112" s="9" t="s">
        <v>21</v>
      </c>
      <c r="C112" s="10">
        <v>10.0</v>
      </c>
      <c r="D112" s="9">
        <v>33.0</v>
      </c>
      <c r="E112" s="9">
        <v>3.0</v>
      </c>
      <c r="G112" s="13">
        <f>21.03/5</f>
        <v>4.206</v>
      </c>
      <c r="H112" s="10">
        <v>488.0</v>
      </c>
      <c r="I112" s="10">
        <v>4.0</v>
      </c>
      <c r="J112" s="10">
        <v>5.0</v>
      </c>
      <c r="K112" s="10">
        <v>0.0</v>
      </c>
      <c r="L112" s="10">
        <v>1.0</v>
      </c>
      <c r="M112" s="10">
        <v>1.0</v>
      </c>
      <c r="N112" s="13">
        <f t="shared" ref="N112:N115" si="20">H112/5</f>
        <v>97.6</v>
      </c>
    </row>
    <row r="113">
      <c r="A113" s="9" t="s">
        <v>21</v>
      </c>
      <c r="B113" s="9" t="s">
        <v>20</v>
      </c>
      <c r="C113" s="10">
        <v>10.0</v>
      </c>
      <c r="D113" s="9">
        <v>32.0</v>
      </c>
      <c r="E113" s="9">
        <v>6.0</v>
      </c>
      <c r="F113" s="10">
        <v>0.33</v>
      </c>
      <c r="G113" s="13">
        <f>28.34/5</f>
        <v>5.668</v>
      </c>
      <c r="H113" s="10">
        <v>501.0</v>
      </c>
      <c r="I113" s="10">
        <v>5.0</v>
      </c>
      <c r="J113" s="10">
        <v>4.0</v>
      </c>
      <c r="K113" s="10">
        <v>1.0</v>
      </c>
      <c r="L113" s="10">
        <v>0.0</v>
      </c>
      <c r="M113" s="10">
        <v>2.0</v>
      </c>
      <c r="N113" s="13">
        <f t="shared" si="20"/>
        <v>100.2</v>
      </c>
    </row>
    <row r="114">
      <c r="A114" s="20" t="s">
        <v>20</v>
      </c>
      <c r="B114" s="20" t="s">
        <v>21</v>
      </c>
      <c r="C114" s="14">
        <v>11.0</v>
      </c>
      <c r="D114" s="20">
        <v>33.0</v>
      </c>
      <c r="E114" s="20">
        <v>3.0</v>
      </c>
      <c r="F114" s="14">
        <v>0.0</v>
      </c>
      <c r="G114" s="17">
        <f>20.9/5</f>
        <v>4.18</v>
      </c>
      <c r="H114" s="14">
        <v>481.0</v>
      </c>
      <c r="I114" s="14">
        <v>4.0</v>
      </c>
      <c r="J114" s="14">
        <v>6.0</v>
      </c>
      <c r="K114" s="14">
        <v>0.0</v>
      </c>
      <c r="L114" s="14">
        <v>0.0</v>
      </c>
      <c r="M114" s="14">
        <v>0.0</v>
      </c>
      <c r="N114" s="17">
        <f t="shared" si="20"/>
        <v>96.2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20" t="s">
        <v>21</v>
      </c>
      <c r="B115" s="20" t="s">
        <v>20</v>
      </c>
      <c r="C115" s="14">
        <v>11.0</v>
      </c>
      <c r="D115" s="20">
        <v>32.0</v>
      </c>
      <c r="E115" s="20">
        <v>6.0</v>
      </c>
      <c r="F115" s="14">
        <v>1.0</v>
      </c>
      <c r="G115" s="17">
        <f>33.84/5</f>
        <v>6.768</v>
      </c>
      <c r="H115" s="14">
        <v>501.0</v>
      </c>
      <c r="I115" s="14">
        <v>6.0</v>
      </c>
      <c r="J115" s="14">
        <v>4.0</v>
      </c>
      <c r="K115" s="14">
        <v>1.0</v>
      </c>
      <c r="L115" s="14">
        <v>0.0</v>
      </c>
      <c r="M115" s="14">
        <v>0.0</v>
      </c>
      <c r="N115" s="17">
        <f t="shared" si="20"/>
        <v>100.2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9" t="s">
        <v>20</v>
      </c>
      <c r="B116" s="9" t="s">
        <v>21</v>
      </c>
      <c r="C116" s="10">
        <v>12.0</v>
      </c>
      <c r="D116" s="9">
        <v>33.0</v>
      </c>
      <c r="E116" s="9">
        <v>3.0</v>
      </c>
      <c r="F116" s="10">
        <v>0.5</v>
      </c>
      <c r="G116" s="13">
        <f>16.62/4</f>
        <v>4.155</v>
      </c>
      <c r="H116" s="10">
        <v>501.0</v>
      </c>
      <c r="I116" s="10">
        <v>4.0</v>
      </c>
      <c r="J116" s="10">
        <v>7.0</v>
      </c>
      <c r="K116" s="10">
        <v>1.0</v>
      </c>
      <c r="L116" s="10">
        <v>0.0</v>
      </c>
      <c r="M116" s="10">
        <v>2.0</v>
      </c>
      <c r="N116" s="13">
        <f t="shared" ref="N116:N119" si="21">H116/4</f>
        <v>125.25</v>
      </c>
    </row>
    <row r="117">
      <c r="A117" s="9" t="s">
        <v>21</v>
      </c>
      <c r="B117" s="9" t="s">
        <v>20</v>
      </c>
      <c r="C117" s="10">
        <v>12.0</v>
      </c>
      <c r="D117" s="9">
        <v>32.0</v>
      </c>
      <c r="E117" s="9">
        <v>6.0</v>
      </c>
      <c r="G117" s="13">
        <f>20.84/4</f>
        <v>5.21</v>
      </c>
      <c r="H117" s="10">
        <v>408.0</v>
      </c>
      <c r="I117" s="10">
        <v>7.0</v>
      </c>
      <c r="J117" s="10">
        <v>4.0</v>
      </c>
      <c r="K117" s="10">
        <v>0.0</v>
      </c>
      <c r="L117" s="10">
        <v>0.0</v>
      </c>
      <c r="M117" s="10">
        <v>0.0</v>
      </c>
      <c r="N117" s="13">
        <f t="shared" si="21"/>
        <v>102</v>
      </c>
    </row>
    <row r="118">
      <c r="A118" s="20" t="s">
        <v>20</v>
      </c>
      <c r="B118" s="20" t="s">
        <v>21</v>
      </c>
      <c r="C118" s="14">
        <v>13.0</v>
      </c>
      <c r="D118" s="20">
        <v>33.0</v>
      </c>
      <c r="E118" s="20">
        <v>3.0</v>
      </c>
      <c r="F118" s="18"/>
      <c r="G118" s="17">
        <f>16.77/4</f>
        <v>4.1925</v>
      </c>
      <c r="H118" s="14">
        <v>353.0</v>
      </c>
      <c r="I118" s="14">
        <v>5.0</v>
      </c>
      <c r="J118" s="14">
        <v>7.0</v>
      </c>
      <c r="K118" s="14">
        <v>0.0</v>
      </c>
      <c r="L118" s="14">
        <v>0.0</v>
      </c>
      <c r="M118" s="14">
        <v>0.0</v>
      </c>
      <c r="N118" s="17">
        <f t="shared" si="21"/>
        <v>88.25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20" t="s">
        <v>21</v>
      </c>
      <c r="B119" s="20" t="s">
        <v>20</v>
      </c>
      <c r="C119" s="14">
        <v>13.0</v>
      </c>
      <c r="D119" s="20">
        <v>32.0</v>
      </c>
      <c r="E119" s="20">
        <v>6.0</v>
      </c>
      <c r="F119" s="14">
        <v>1.0</v>
      </c>
      <c r="G119" s="17">
        <f>21.1/4</f>
        <v>5.275</v>
      </c>
      <c r="H119" s="14">
        <v>501.0</v>
      </c>
      <c r="I119" s="14">
        <v>7.0</v>
      </c>
      <c r="J119" s="14">
        <v>5.0</v>
      </c>
      <c r="K119" s="14">
        <v>1.0</v>
      </c>
      <c r="L119" s="14">
        <v>0.0</v>
      </c>
      <c r="M119" s="14">
        <v>1.0</v>
      </c>
      <c r="N119" s="17">
        <f t="shared" si="21"/>
        <v>125.25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9" t="s">
        <v>20</v>
      </c>
      <c r="B120" s="9" t="s">
        <v>21</v>
      </c>
      <c r="C120" s="10">
        <v>14.0</v>
      </c>
      <c r="D120" s="9">
        <v>33.0</v>
      </c>
      <c r="E120" s="9">
        <v>3.0</v>
      </c>
      <c r="G120" s="13">
        <f>21.26/5</f>
        <v>4.252</v>
      </c>
      <c r="H120" s="10">
        <v>435.0</v>
      </c>
      <c r="I120" s="10">
        <v>5.0</v>
      </c>
      <c r="J120" s="10">
        <v>8.0</v>
      </c>
      <c r="K120" s="10">
        <v>0.0</v>
      </c>
      <c r="L120" s="10">
        <v>0.0</v>
      </c>
      <c r="M120" s="10">
        <v>0.0</v>
      </c>
      <c r="N120" s="13">
        <f t="shared" ref="N120:N123" si="22">H120/5</f>
        <v>87</v>
      </c>
    </row>
    <row r="121">
      <c r="A121" s="9" t="s">
        <v>21</v>
      </c>
      <c r="B121" s="9" t="s">
        <v>20</v>
      </c>
      <c r="C121" s="10">
        <v>14.0</v>
      </c>
      <c r="D121" s="9">
        <v>32.0</v>
      </c>
      <c r="E121" s="9">
        <v>6.0</v>
      </c>
      <c r="F121" s="10">
        <v>1.0</v>
      </c>
      <c r="G121" s="13">
        <f>29.99/5</f>
        <v>5.998</v>
      </c>
      <c r="H121" s="10">
        <v>501.0</v>
      </c>
      <c r="I121" s="10">
        <v>8.0</v>
      </c>
      <c r="J121" s="10">
        <v>5.0</v>
      </c>
      <c r="K121" s="10">
        <v>1.0</v>
      </c>
      <c r="L121" s="10">
        <v>0.0</v>
      </c>
      <c r="M121" s="10">
        <v>1.0</v>
      </c>
      <c r="N121" s="13">
        <f t="shared" si="22"/>
        <v>100.2</v>
      </c>
    </row>
    <row r="122">
      <c r="A122" s="20" t="s">
        <v>20</v>
      </c>
      <c r="B122" s="20" t="s">
        <v>21</v>
      </c>
      <c r="C122" s="14">
        <v>15.0</v>
      </c>
      <c r="D122" s="20">
        <v>33.0</v>
      </c>
      <c r="E122" s="20">
        <v>3.0</v>
      </c>
      <c r="F122" s="14">
        <v>0.5</v>
      </c>
      <c r="G122" s="17">
        <f>21.25/5</f>
        <v>4.25</v>
      </c>
      <c r="H122" s="14">
        <v>501.0</v>
      </c>
      <c r="I122" s="14">
        <v>5.0</v>
      </c>
      <c r="J122" s="14">
        <v>9.0</v>
      </c>
      <c r="K122" s="14">
        <v>1.0</v>
      </c>
      <c r="L122" s="14">
        <v>0.0</v>
      </c>
      <c r="M122" s="14">
        <v>1.0</v>
      </c>
      <c r="N122" s="17">
        <f t="shared" si="22"/>
        <v>100.2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20" t="s">
        <v>21</v>
      </c>
      <c r="B123" s="20" t="s">
        <v>20</v>
      </c>
      <c r="C123" s="14">
        <v>15.0</v>
      </c>
      <c r="D123" s="20">
        <v>32.0</v>
      </c>
      <c r="E123" s="20">
        <v>6.0</v>
      </c>
      <c r="F123" s="18"/>
      <c r="G123" s="17">
        <f>25.55/5</f>
        <v>5.11</v>
      </c>
      <c r="H123" s="14">
        <v>410.0</v>
      </c>
      <c r="I123" s="14">
        <v>9.0</v>
      </c>
      <c r="J123" s="14">
        <v>5.0</v>
      </c>
      <c r="K123" s="14">
        <v>0.0</v>
      </c>
      <c r="L123" s="14">
        <v>0.0</v>
      </c>
      <c r="M123" s="14">
        <v>0.0</v>
      </c>
      <c r="N123" s="17">
        <f t="shared" si="22"/>
        <v>82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9" t="s">
        <v>20</v>
      </c>
      <c r="B124" s="9" t="s">
        <v>21</v>
      </c>
      <c r="C124" s="10">
        <v>16.0</v>
      </c>
      <c r="D124" s="9">
        <v>33.0</v>
      </c>
      <c r="E124" s="9">
        <v>3.0</v>
      </c>
      <c r="F124" s="10">
        <v>1.0</v>
      </c>
      <c r="G124" s="13">
        <f>12.68/3</f>
        <v>4.226666667</v>
      </c>
      <c r="H124" s="10">
        <v>501.0</v>
      </c>
      <c r="I124" s="10">
        <v>6.0</v>
      </c>
      <c r="J124" s="10">
        <v>9.0</v>
      </c>
      <c r="K124" s="10">
        <v>1.0</v>
      </c>
      <c r="L124" s="10">
        <v>1.0</v>
      </c>
      <c r="M124" s="10">
        <v>0.0</v>
      </c>
      <c r="N124" s="13">
        <f t="shared" ref="N124:N125" si="23">H124/3</f>
        <v>167</v>
      </c>
    </row>
    <row r="125">
      <c r="A125" s="9" t="s">
        <v>21</v>
      </c>
      <c r="B125" s="9" t="s">
        <v>20</v>
      </c>
      <c r="C125" s="10">
        <v>16.0</v>
      </c>
      <c r="D125" s="9">
        <v>32.0</v>
      </c>
      <c r="E125" s="9">
        <v>6.0</v>
      </c>
      <c r="G125" s="13">
        <f>15.2/3</f>
        <v>5.066666667</v>
      </c>
      <c r="H125" s="10">
        <v>227.0</v>
      </c>
      <c r="I125" s="10">
        <v>9.0</v>
      </c>
      <c r="J125" s="10">
        <v>6.0</v>
      </c>
      <c r="K125" s="10">
        <v>0.0</v>
      </c>
      <c r="L125" s="10">
        <v>0.0</v>
      </c>
      <c r="M125" s="10">
        <v>0.0</v>
      </c>
      <c r="N125" s="13">
        <f t="shared" si="23"/>
        <v>75.66666667</v>
      </c>
    </row>
    <row r="126">
      <c r="A126" s="20" t="s">
        <v>20</v>
      </c>
      <c r="B126" s="20" t="s">
        <v>21</v>
      </c>
      <c r="C126" s="14">
        <v>17.0</v>
      </c>
      <c r="D126" s="20">
        <v>33.0</v>
      </c>
      <c r="E126" s="20">
        <v>3.0</v>
      </c>
      <c r="F126" s="18"/>
      <c r="G126" s="17">
        <f>17.02/4</f>
        <v>4.255</v>
      </c>
      <c r="H126" s="14">
        <v>409.0</v>
      </c>
      <c r="I126" s="14">
        <v>7.0</v>
      </c>
      <c r="J126" s="14">
        <v>9.0</v>
      </c>
      <c r="K126" s="14">
        <v>0.0</v>
      </c>
      <c r="L126" s="14">
        <v>0.0</v>
      </c>
      <c r="M126" s="14">
        <v>0.0</v>
      </c>
      <c r="N126" s="17">
        <f t="shared" ref="N126:N127" si="24">H126/4</f>
        <v>102.25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20" t="s">
        <v>21</v>
      </c>
      <c r="B127" s="20" t="s">
        <v>20</v>
      </c>
      <c r="C127" s="14">
        <v>17.0</v>
      </c>
      <c r="D127" s="20">
        <v>32.0</v>
      </c>
      <c r="E127" s="20">
        <v>6.0</v>
      </c>
      <c r="F127" s="14">
        <v>1.0</v>
      </c>
      <c r="G127" s="17">
        <f>20.42/4</f>
        <v>5.105</v>
      </c>
      <c r="H127" s="14">
        <v>501.0</v>
      </c>
      <c r="I127" s="14">
        <v>9.0</v>
      </c>
      <c r="J127" s="14">
        <v>7.0</v>
      </c>
      <c r="K127" s="14">
        <v>1.0</v>
      </c>
      <c r="L127" s="14">
        <v>0.0</v>
      </c>
      <c r="M127" s="14">
        <v>1.0</v>
      </c>
      <c r="N127" s="17">
        <f t="shared" si="24"/>
        <v>125.25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4" t="s">
        <v>16</v>
      </c>
      <c r="B128" s="4" t="s">
        <v>15</v>
      </c>
      <c r="C128" s="4">
        <v>1.0</v>
      </c>
      <c r="D128" s="4">
        <v>32.0</v>
      </c>
      <c r="E128" s="4">
        <v>1.0</v>
      </c>
      <c r="F128" s="6"/>
      <c r="G128" s="5">
        <f>17.54/5</f>
        <v>3.508</v>
      </c>
      <c r="H128" s="6">
        <f>501-104</f>
        <v>397</v>
      </c>
      <c r="I128" s="7">
        <v>0.0</v>
      </c>
      <c r="J128" s="7">
        <v>0.0</v>
      </c>
      <c r="K128" s="4">
        <v>0.0</v>
      </c>
      <c r="L128" s="4">
        <v>0.0</v>
      </c>
      <c r="M128" s="4">
        <v>1.0</v>
      </c>
      <c r="N128" s="8">
        <f t="shared" ref="N128:N132" si="25">H128/5</f>
        <v>79.4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4" t="s">
        <v>15</v>
      </c>
      <c r="B129" s="4" t="s">
        <v>16</v>
      </c>
      <c r="C129" s="4">
        <v>1.0</v>
      </c>
      <c r="D129" s="4">
        <v>32.0</v>
      </c>
      <c r="E129" s="4">
        <v>21.0</v>
      </c>
      <c r="F129" s="4">
        <v>0.25</v>
      </c>
      <c r="G129" s="8">
        <f>32.58/5</f>
        <v>6.516</v>
      </c>
      <c r="H129" s="4">
        <v>501.0</v>
      </c>
      <c r="I129" s="7">
        <v>0.0</v>
      </c>
      <c r="J129" s="7">
        <v>0.0</v>
      </c>
      <c r="K129" s="4">
        <v>1.0</v>
      </c>
      <c r="L129" s="4">
        <v>0.0</v>
      </c>
      <c r="M129" s="4">
        <v>1.0</v>
      </c>
      <c r="N129" s="8">
        <f t="shared" si="25"/>
        <v>100.2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14" t="s">
        <v>16</v>
      </c>
      <c r="B130" s="14" t="s">
        <v>15</v>
      </c>
      <c r="C130" s="14">
        <v>2.0</v>
      </c>
      <c r="D130" s="14">
        <v>32.0</v>
      </c>
      <c r="E130" s="14">
        <v>1.0</v>
      </c>
      <c r="F130" s="14">
        <v>0.5</v>
      </c>
      <c r="G130" s="17">
        <f>18.52/5</f>
        <v>3.704</v>
      </c>
      <c r="H130" s="14">
        <v>501.0</v>
      </c>
      <c r="I130" s="16">
        <v>0.0</v>
      </c>
      <c r="J130" s="16">
        <v>1.0</v>
      </c>
      <c r="K130" s="14">
        <v>1.0</v>
      </c>
      <c r="L130" s="14">
        <v>0.0</v>
      </c>
      <c r="M130" s="14">
        <v>0.0</v>
      </c>
      <c r="N130" s="17">
        <f t="shared" si="25"/>
        <v>100.2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4" t="s">
        <v>15</v>
      </c>
      <c r="B131" s="14" t="s">
        <v>16</v>
      </c>
      <c r="C131" s="14">
        <v>2.0</v>
      </c>
      <c r="D131" s="14">
        <v>32.0</v>
      </c>
      <c r="E131" s="14">
        <v>21.0</v>
      </c>
      <c r="F131" s="18"/>
      <c r="G131" s="17">
        <f>27.25/5</f>
        <v>5.45</v>
      </c>
      <c r="H131" s="18">
        <f>501-56</f>
        <v>445</v>
      </c>
      <c r="I131" s="16">
        <v>1.0</v>
      </c>
      <c r="J131" s="16">
        <v>0.0</v>
      </c>
      <c r="K131" s="14">
        <v>0.0</v>
      </c>
      <c r="L131" s="14">
        <v>0.0</v>
      </c>
      <c r="M131" s="14">
        <v>1.0</v>
      </c>
      <c r="N131" s="17">
        <f t="shared" si="25"/>
        <v>89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0" t="s">
        <v>16</v>
      </c>
      <c r="B132" s="10" t="s">
        <v>15</v>
      </c>
      <c r="C132" s="10">
        <v>3.0</v>
      </c>
      <c r="D132" s="10">
        <v>32.0</v>
      </c>
      <c r="E132" s="10">
        <v>1.0</v>
      </c>
      <c r="F132" s="10">
        <v>1.0</v>
      </c>
      <c r="G132" s="13">
        <f>18.4/5</f>
        <v>3.68</v>
      </c>
      <c r="H132" s="10">
        <v>501.0</v>
      </c>
      <c r="I132" s="10">
        <v>1.0</v>
      </c>
      <c r="J132" s="10">
        <v>1.0</v>
      </c>
      <c r="K132" s="10">
        <v>1.0</v>
      </c>
      <c r="L132" s="10">
        <v>0.0</v>
      </c>
      <c r="M132" s="10">
        <v>0.0</v>
      </c>
      <c r="N132" s="13">
        <f t="shared" si="25"/>
        <v>100.2</v>
      </c>
    </row>
    <row r="133">
      <c r="A133" s="10" t="s">
        <v>15</v>
      </c>
      <c r="B133" s="10" t="s">
        <v>16</v>
      </c>
      <c r="C133" s="10">
        <v>3.0</v>
      </c>
      <c r="D133" s="10">
        <v>32.0</v>
      </c>
      <c r="E133" s="10">
        <v>21.0</v>
      </c>
      <c r="F133" s="10">
        <v>0.0</v>
      </c>
      <c r="G133" s="13">
        <f>40.01/6</f>
        <v>6.668333333</v>
      </c>
      <c r="H133" s="19">
        <f>501-24</f>
        <v>477</v>
      </c>
      <c r="I133" s="10">
        <v>1.0</v>
      </c>
      <c r="J133" s="10">
        <v>1.0</v>
      </c>
      <c r="K133" s="10">
        <v>0.0</v>
      </c>
      <c r="L133" s="10">
        <v>0.0</v>
      </c>
      <c r="M133" s="10">
        <v>1.0</v>
      </c>
      <c r="N133" s="13">
        <f>H133/6</f>
        <v>79.5</v>
      </c>
    </row>
    <row r="134">
      <c r="A134" s="14" t="s">
        <v>16</v>
      </c>
      <c r="B134" s="14" t="s">
        <v>15</v>
      </c>
      <c r="C134" s="14">
        <v>4.0</v>
      </c>
      <c r="D134" s="14">
        <v>32.0</v>
      </c>
      <c r="E134" s="14">
        <v>1.0</v>
      </c>
      <c r="F134" s="14">
        <v>0.5</v>
      </c>
      <c r="G134" s="17">
        <f>19.94/5</f>
        <v>3.988</v>
      </c>
      <c r="H134" s="14">
        <v>501.0</v>
      </c>
      <c r="I134" s="14">
        <v>2.0</v>
      </c>
      <c r="J134" s="14">
        <v>1.0</v>
      </c>
      <c r="K134" s="14">
        <v>1.0</v>
      </c>
      <c r="L134" s="14">
        <v>0.0</v>
      </c>
      <c r="M134" s="14">
        <v>1.0</v>
      </c>
      <c r="N134" s="17">
        <f>H134/5</f>
        <v>100.2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4" t="s">
        <v>15</v>
      </c>
      <c r="B135" s="14" t="s">
        <v>16</v>
      </c>
      <c r="C135" s="14">
        <v>4.0</v>
      </c>
      <c r="D135" s="14">
        <v>32.0</v>
      </c>
      <c r="E135" s="14">
        <v>21.0</v>
      </c>
      <c r="F135" s="18"/>
      <c r="G135" s="15">
        <f>21.58/4</f>
        <v>5.395</v>
      </c>
      <c r="H135" s="18">
        <f>501-40</f>
        <v>461</v>
      </c>
      <c r="I135" s="14">
        <v>1.0</v>
      </c>
      <c r="J135" s="14">
        <v>2.0</v>
      </c>
      <c r="K135" s="14">
        <v>0.0</v>
      </c>
      <c r="L135" s="14">
        <v>0.0</v>
      </c>
      <c r="M135" s="14">
        <v>2.0</v>
      </c>
      <c r="N135" s="17">
        <f t="shared" ref="N135:N140" si="26">H135/4</f>
        <v>115.25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0" t="s">
        <v>16</v>
      </c>
      <c r="B136" s="10" t="s">
        <v>15</v>
      </c>
      <c r="C136" s="10">
        <v>5.0</v>
      </c>
      <c r="D136" s="10">
        <v>32.0</v>
      </c>
      <c r="E136" s="10">
        <v>1.0</v>
      </c>
      <c r="G136" s="13">
        <f>14.47/4</f>
        <v>3.6175</v>
      </c>
      <c r="H136" s="19">
        <f>501-100</f>
        <v>401</v>
      </c>
      <c r="I136" s="10">
        <v>3.0</v>
      </c>
      <c r="J136" s="10">
        <v>1.0</v>
      </c>
      <c r="K136" s="10">
        <v>0.0</v>
      </c>
      <c r="L136" s="10">
        <v>1.0</v>
      </c>
      <c r="M136" s="10">
        <v>0.0</v>
      </c>
      <c r="N136" s="13">
        <f t="shared" si="26"/>
        <v>100.25</v>
      </c>
    </row>
    <row r="137">
      <c r="A137" s="10" t="s">
        <v>15</v>
      </c>
      <c r="B137" s="10" t="s">
        <v>16</v>
      </c>
      <c r="C137" s="10">
        <v>5.0</v>
      </c>
      <c r="D137" s="10">
        <v>32.0</v>
      </c>
      <c r="E137" s="10">
        <v>21.0</v>
      </c>
      <c r="F137" s="10">
        <v>1.0</v>
      </c>
      <c r="G137" s="11">
        <f>20.72/4</f>
        <v>5.18</v>
      </c>
      <c r="H137" s="10">
        <v>501.0</v>
      </c>
      <c r="I137" s="10">
        <v>1.0</v>
      </c>
      <c r="J137" s="10">
        <v>3.0</v>
      </c>
      <c r="K137" s="10">
        <v>1.0</v>
      </c>
      <c r="L137" s="10">
        <v>1.0</v>
      </c>
      <c r="M137" s="10">
        <v>0.0</v>
      </c>
      <c r="N137" s="13">
        <f t="shared" si="26"/>
        <v>125.25</v>
      </c>
    </row>
    <row r="138">
      <c r="A138" s="14" t="s">
        <v>16</v>
      </c>
      <c r="B138" s="14" t="s">
        <v>15</v>
      </c>
      <c r="C138" s="14">
        <v>6.0</v>
      </c>
      <c r="D138" s="14">
        <v>32.0</v>
      </c>
      <c r="E138" s="14">
        <v>1.0</v>
      </c>
      <c r="F138" s="14">
        <v>1.0</v>
      </c>
      <c r="G138" s="17">
        <f>13.76/4</f>
        <v>3.44</v>
      </c>
      <c r="H138" s="14">
        <v>501.0</v>
      </c>
      <c r="I138" s="14">
        <v>3.0</v>
      </c>
      <c r="J138" s="14">
        <v>2.0</v>
      </c>
      <c r="K138" s="14">
        <v>1.0</v>
      </c>
      <c r="L138" s="14">
        <v>0.0</v>
      </c>
      <c r="M138" s="14">
        <v>1.0</v>
      </c>
      <c r="N138" s="17">
        <f t="shared" si="26"/>
        <v>125.25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4" t="s">
        <v>15</v>
      </c>
      <c r="B139" s="14" t="s">
        <v>16</v>
      </c>
      <c r="C139" s="14">
        <v>6.0</v>
      </c>
      <c r="D139" s="14">
        <v>32.0</v>
      </c>
      <c r="E139" s="14">
        <v>21.0</v>
      </c>
      <c r="F139" s="18"/>
      <c r="G139" s="15">
        <f>18.78/4</f>
        <v>4.695</v>
      </c>
      <c r="H139" s="18">
        <f>501-126</f>
        <v>375</v>
      </c>
      <c r="I139" s="14">
        <v>2.0</v>
      </c>
      <c r="J139" s="14">
        <v>3.0</v>
      </c>
      <c r="K139" s="14">
        <v>0.0</v>
      </c>
      <c r="L139" s="14">
        <v>0.0</v>
      </c>
      <c r="M139" s="14">
        <v>1.0</v>
      </c>
      <c r="N139" s="17">
        <f t="shared" si="26"/>
        <v>93.75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0" t="s">
        <v>16</v>
      </c>
      <c r="B140" s="10" t="s">
        <v>15</v>
      </c>
      <c r="C140" s="10">
        <v>7.0</v>
      </c>
      <c r="D140" s="10">
        <v>32.0</v>
      </c>
      <c r="E140" s="10">
        <v>1.0</v>
      </c>
      <c r="G140" s="13">
        <f>13.99/4</f>
        <v>3.4975</v>
      </c>
      <c r="H140" s="19">
        <f>501-196</f>
        <v>305</v>
      </c>
      <c r="I140" s="10">
        <v>4.0</v>
      </c>
      <c r="J140" s="10">
        <v>2.0</v>
      </c>
      <c r="K140" s="10">
        <v>0.0</v>
      </c>
      <c r="L140" s="10">
        <v>0.0</v>
      </c>
      <c r="M140" s="10">
        <v>1.0</v>
      </c>
      <c r="N140" s="13">
        <f t="shared" si="26"/>
        <v>76.25</v>
      </c>
    </row>
    <row r="141">
      <c r="A141" s="10" t="s">
        <v>15</v>
      </c>
      <c r="B141" s="10" t="s">
        <v>16</v>
      </c>
      <c r="C141" s="10">
        <v>7.0</v>
      </c>
      <c r="D141" s="10">
        <v>32.0</v>
      </c>
      <c r="E141" s="10">
        <v>21.0</v>
      </c>
      <c r="F141" s="10">
        <v>1.0</v>
      </c>
      <c r="G141" s="13">
        <f>27.13/5</f>
        <v>5.426</v>
      </c>
      <c r="H141" s="10">
        <v>501.0</v>
      </c>
      <c r="I141" s="10">
        <v>2.0</v>
      </c>
      <c r="J141" s="10">
        <v>4.0</v>
      </c>
      <c r="K141" s="10">
        <v>1.0</v>
      </c>
      <c r="L141" s="10">
        <v>1.0</v>
      </c>
      <c r="M141" s="10">
        <v>0.0</v>
      </c>
      <c r="N141" s="13">
        <f t="shared" ref="N141:N143" si="27">H141/5</f>
        <v>100.2</v>
      </c>
    </row>
    <row r="142">
      <c r="A142" s="14" t="s">
        <v>16</v>
      </c>
      <c r="B142" s="14" t="s">
        <v>15</v>
      </c>
      <c r="C142" s="14">
        <v>8.0</v>
      </c>
      <c r="D142" s="14">
        <v>32.0</v>
      </c>
      <c r="E142" s="14">
        <v>1.0</v>
      </c>
      <c r="F142" s="14">
        <v>0.0</v>
      </c>
      <c r="G142" s="17">
        <f>17.12/5</f>
        <v>3.424</v>
      </c>
      <c r="H142" s="18">
        <f>501-12</f>
        <v>489</v>
      </c>
      <c r="I142" s="14">
        <v>4.0</v>
      </c>
      <c r="J142" s="14">
        <v>3.0</v>
      </c>
      <c r="K142" s="14">
        <v>0.0</v>
      </c>
      <c r="L142" s="14">
        <v>0.0</v>
      </c>
      <c r="M142" s="14">
        <v>2.0</v>
      </c>
      <c r="N142" s="17">
        <f t="shared" si="27"/>
        <v>97.8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4" t="s">
        <v>15</v>
      </c>
      <c r="B143" s="14" t="s">
        <v>16</v>
      </c>
      <c r="C143" s="14">
        <v>8.0</v>
      </c>
      <c r="D143" s="14">
        <v>32.0</v>
      </c>
      <c r="E143" s="14">
        <v>21.0</v>
      </c>
      <c r="F143" s="14">
        <v>1.0</v>
      </c>
      <c r="G143" s="17">
        <f>26.29/5</f>
        <v>5.258</v>
      </c>
      <c r="H143" s="14">
        <v>501.0</v>
      </c>
      <c r="I143" s="14">
        <v>3.0</v>
      </c>
      <c r="J143" s="14">
        <v>4.0</v>
      </c>
      <c r="K143" s="14">
        <v>1.0</v>
      </c>
      <c r="L143" s="14">
        <v>0.0</v>
      </c>
      <c r="M143" s="14">
        <v>1.0</v>
      </c>
      <c r="N143" s="17">
        <f t="shared" si="27"/>
        <v>100.2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0" t="s">
        <v>16</v>
      </c>
      <c r="B144" s="10" t="s">
        <v>15</v>
      </c>
      <c r="C144" s="10">
        <v>9.0</v>
      </c>
      <c r="D144" s="10">
        <v>32.0</v>
      </c>
      <c r="E144" s="10">
        <v>1.0</v>
      </c>
      <c r="F144" s="10">
        <v>0.33</v>
      </c>
      <c r="G144" s="13">
        <f>21.35/6</f>
        <v>3.558333333</v>
      </c>
      <c r="H144" s="10">
        <v>501.0</v>
      </c>
      <c r="I144" s="10">
        <v>4.0</v>
      </c>
      <c r="J144" s="10">
        <v>4.0</v>
      </c>
      <c r="K144" s="10">
        <v>1.0</v>
      </c>
      <c r="L144" s="10">
        <v>0.0</v>
      </c>
      <c r="M144" s="10">
        <v>1.0</v>
      </c>
      <c r="N144" s="13">
        <f t="shared" ref="N144:N145" si="28">H144/6</f>
        <v>83.5</v>
      </c>
    </row>
    <row r="145">
      <c r="A145" s="10" t="s">
        <v>15</v>
      </c>
      <c r="B145" s="10" t="s">
        <v>16</v>
      </c>
      <c r="C145" s="10">
        <v>9.0</v>
      </c>
      <c r="D145" s="10">
        <v>32.0</v>
      </c>
      <c r="E145" s="10">
        <v>21.0</v>
      </c>
      <c r="F145" s="10">
        <v>0.0</v>
      </c>
      <c r="G145" s="13">
        <f>33.51/6</f>
        <v>5.585</v>
      </c>
      <c r="H145" s="19">
        <f>501-32</f>
        <v>469</v>
      </c>
      <c r="I145" s="10">
        <v>4.0</v>
      </c>
      <c r="J145" s="10">
        <v>4.0</v>
      </c>
      <c r="K145" s="10">
        <v>0.0</v>
      </c>
      <c r="L145" s="10">
        <v>0.0</v>
      </c>
      <c r="M145" s="10">
        <v>1.0</v>
      </c>
      <c r="N145" s="13">
        <f t="shared" si="28"/>
        <v>78.16666667</v>
      </c>
    </row>
    <row r="146">
      <c r="A146" s="14" t="s">
        <v>16</v>
      </c>
      <c r="B146" s="14" t="s">
        <v>15</v>
      </c>
      <c r="C146" s="14">
        <v>10.0</v>
      </c>
      <c r="D146" s="14">
        <v>32.0</v>
      </c>
      <c r="E146" s="14">
        <v>1.0</v>
      </c>
      <c r="F146" s="18"/>
      <c r="G146" s="17">
        <f>18.39/5</f>
        <v>3.678</v>
      </c>
      <c r="H146" s="18">
        <f>501-39</f>
        <v>462</v>
      </c>
      <c r="I146" s="14">
        <v>5.0</v>
      </c>
      <c r="J146" s="14">
        <v>4.0</v>
      </c>
      <c r="K146" s="14">
        <v>0.0</v>
      </c>
      <c r="L146" s="14">
        <v>0.0</v>
      </c>
      <c r="M146" s="14">
        <v>1.0</v>
      </c>
      <c r="N146" s="17">
        <f>H146/5</f>
        <v>92.4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4" t="s">
        <v>15</v>
      </c>
      <c r="B147" s="14" t="s">
        <v>16</v>
      </c>
      <c r="C147" s="14">
        <v>10.0</v>
      </c>
      <c r="D147" s="14">
        <v>32.0</v>
      </c>
      <c r="E147" s="14">
        <v>21.0</v>
      </c>
      <c r="F147" s="14">
        <v>0.5</v>
      </c>
      <c r="G147" s="17">
        <f>21.73/4</f>
        <v>5.4325</v>
      </c>
      <c r="H147" s="14">
        <v>501.0</v>
      </c>
      <c r="I147" s="14">
        <v>4.0</v>
      </c>
      <c r="J147" s="14">
        <v>5.0</v>
      </c>
      <c r="K147" s="14">
        <v>1.0</v>
      </c>
      <c r="L147" s="14">
        <v>0.0</v>
      </c>
      <c r="M147" s="14">
        <v>1.0</v>
      </c>
      <c r="N147" s="17">
        <f>H147/4</f>
        <v>125.25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0" t="s">
        <v>16</v>
      </c>
      <c r="B148" s="10" t="s">
        <v>15</v>
      </c>
      <c r="C148" s="10">
        <v>11.0</v>
      </c>
      <c r="D148" s="10">
        <v>32.0</v>
      </c>
      <c r="E148" s="10">
        <v>1.0</v>
      </c>
      <c r="F148" s="10">
        <v>0.5</v>
      </c>
      <c r="G148" s="13">
        <f>33.28/7</f>
        <v>4.754285714</v>
      </c>
      <c r="H148" s="10">
        <v>501.0</v>
      </c>
      <c r="I148" s="10">
        <v>5.0</v>
      </c>
      <c r="J148" s="10">
        <v>5.0</v>
      </c>
      <c r="K148" s="10">
        <v>1.0</v>
      </c>
      <c r="L148" s="10">
        <v>1.0</v>
      </c>
      <c r="M148" s="10">
        <v>0.0</v>
      </c>
      <c r="N148" s="13">
        <f t="shared" ref="N148:N149" si="29">H148/7</f>
        <v>71.57142857</v>
      </c>
    </row>
    <row r="149">
      <c r="A149" s="10" t="s">
        <v>15</v>
      </c>
      <c r="B149" s="10" t="s">
        <v>16</v>
      </c>
      <c r="C149" s="10">
        <v>11.0</v>
      </c>
      <c r="D149" s="10">
        <v>32.0</v>
      </c>
      <c r="E149" s="10">
        <v>21.0</v>
      </c>
      <c r="F149" s="10">
        <v>0.0</v>
      </c>
      <c r="G149" s="13">
        <f>40.8/7</f>
        <v>5.828571429</v>
      </c>
      <c r="H149" s="19">
        <f>501-16</f>
        <v>485</v>
      </c>
      <c r="I149" s="10">
        <v>5.0</v>
      </c>
      <c r="J149" s="10">
        <v>5.0</v>
      </c>
      <c r="K149" s="10">
        <v>0.0</v>
      </c>
      <c r="L149" s="10">
        <v>0.0</v>
      </c>
      <c r="M149" s="10">
        <v>0.0</v>
      </c>
      <c r="N149" s="13">
        <f t="shared" si="29"/>
        <v>69.28571429</v>
      </c>
    </row>
    <row r="150">
      <c r="A150" s="14" t="s">
        <v>16</v>
      </c>
      <c r="B150" s="14" t="s">
        <v>15</v>
      </c>
      <c r="C150" s="14">
        <v>12.0</v>
      </c>
      <c r="D150" s="14">
        <v>32.0</v>
      </c>
      <c r="E150" s="14">
        <v>1.0</v>
      </c>
      <c r="F150" s="14">
        <v>0.0</v>
      </c>
      <c r="G150" s="17">
        <f>24.92/6</f>
        <v>4.153333333</v>
      </c>
      <c r="H150" s="18">
        <f>501-20</f>
        <v>481</v>
      </c>
      <c r="I150" s="14">
        <v>6.0</v>
      </c>
      <c r="J150" s="14">
        <v>5.0</v>
      </c>
      <c r="K150" s="14">
        <v>0.0</v>
      </c>
      <c r="L150" s="14">
        <v>0.0</v>
      </c>
      <c r="M150" s="14">
        <v>1.0</v>
      </c>
      <c r="N150" s="17">
        <f t="shared" ref="N150:N151" si="30">H150/6</f>
        <v>80.16666667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4" t="s">
        <v>15</v>
      </c>
      <c r="B151" s="14" t="s">
        <v>16</v>
      </c>
      <c r="C151" s="14">
        <v>12.0</v>
      </c>
      <c r="D151" s="14">
        <v>32.0</v>
      </c>
      <c r="E151" s="14">
        <v>21.0</v>
      </c>
      <c r="F151" s="14">
        <v>1.0</v>
      </c>
      <c r="G151" s="17">
        <f>31.65/6</f>
        <v>5.275</v>
      </c>
      <c r="H151" s="14">
        <v>501.0</v>
      </c>
      <c r="I151" s="14">
        <v>5.0</v>
      </c>
      <c r="J151" s="14">
        <v>6.0</v>
      </c>
      <c r="K151" s="14">
        <v>1.0</v>
      </c>
      <c r="L151" s="14">
        <v>0.0</v>
      </c>
      <c r="M151" s="14">
        <v>0.0</v>
      </c>
      <c r="N151" s="17">
        <f t="shared" si="30"/>
        <v>83.5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0" t="s">
        <v>16</v>
      </c>
      <c r="B152" s="10" t="s">
        <v>15</v>
      </c>
      <c r="C152" s="10">
        <v>13.0</v>
      </c>
      <c r="D152" s="10">
        <v>32.0</v>
      </c>
      <c r="E152" s="10">
        <v>1.0</v>
      </c>
      <c r="G152" s="13">
        <f>17.12/5</f>
        <v>3.424</v>
      </c>
      <c r="H152" s="19">
        <f>501-134</f>
        <v>367</v>
      </c>
      <c r="I152" s="10">
        <v>6.0</v>
      </c>
      <c r="J152" s="10">
        <v>6.0</v>
      </c>
      <c r="K152" s="10">
        <v>0.0</v>
      </c>
      <c r="L152" s="10">
        <v>0.0</v>
      </c>
      <c r="M152" s="10">
        <v>0.0</v>
      </c>
      <c r="N152" s="13">
        <f t="shared" ref="N152:N156" si="31">H152/5</f>
        <v>73.4</v>
      </c>
    </row>
    <row r="153">
      <c r="A153" s="10" t="s">
        <v>15</v>
      </c>
      <c r="B153" s="10" t="s">
        <v>16</v>
      </c>
      <c r="C153" s="10">
        <v>13.0</v>
      </c>
      <c r="D153" s="10">
        <v>32.0</v>
      </c>
      <c r="E153" s="10">
        <v>21.0</v>
      </c>
      <c r="F153" s="10">
        <v>0.5</v>
      </c>
      <c r="G153" s="13">
        <f>24.93/5</f>
        <v>4.986</v>
      </c>
      <c r="H153" s="10">
        <v>501.0</v>
      </c>
      <c r="I153" s="10">
        <v>6.0</v>
      </c>
      <c r="J153" s="10">
        <v>6.0</v>
      </c>
      <c r="K153" s="10">
        <v>1.0</v>
      </c>
      <c r="L153" s="10">
        <v>1.0</v>
      </c>
      <c r="M153" s="10">
        <v>1.0</v>
      </c>
      <c r="N153" s="13">
        <f t="shared" si="31"/>
        <v>100.2</v>
      </c>
    </row>
    <row r="154">
      <c r="A154" s="14" t="s">
        <v>16</v>
      </c>
      <c r="B154" s="14" t="s">
        <v>15</v>
      </c>
      <c r="C154" s="14">
        <v>14.0</v>
      </c>
      <c r="D154" s="14">
        <v>32.0</v>
      </c>
      <c r="E154" s="14">
        <v>1.0</v>
      </c>
      <c r="F154" s="14">
        <v>0.0</v>
      </c>
      <c r="G154" s="17">
        <f>17.69/5</f>
        <v>3.538</v>
      </c>
      <c r="H154" s="18">
        <f>501-20</f>
        <v>481</v>
      </c>
      <c r="I154" s="14">
        <v>6.0</v>
      </c>
      <c r="J154" s="14">
        <v>7.0</v>
      </c>
      <c r="K154" s="14">
        <v>0.0</v>
      </c>
      <c r="L154" s="14">
        <v>0.0</v>
      </c>
      <c r="M154" s="14">
        <v>0.0</v>
      </c>
      <c r="N154" s="17">
        <f t="shared" si="31"/>
        <v>96.2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4" t="s">
        <v>15</v>
      </c>
      <c r="B155" s="14" t="s">
        <v>16</v>
      </c>
      <c r="C155" s="14">
        <v>14.0</v>
      </c>
      <c r="D155" s="14">
        <v>32.0</v>
      </c>
      <c r="E155" s="14">
        <v>21.0</v>
      </c>
      <c r="F155" s="14">
        <v>0.25</v>
      </c>
      <c r="G155" s="17">
        <f>33.28/5</f>
        <v>6.656</v>
      </c>
      <c r="H155" s="18">
        <f>501</f>
        <v>501</v>
      </c>
      <c r="I155" s="14">
        <v>7.0</v>
      </c>
      <c r="J155" s="14">
        <v>6.0</v>
      </c>
      <c r="K155" s="14">
        <v>1.0</v>
      </c>
      <c r="L155" s="14">
        <v>1.0</v>
      </c>
      <c r="M155" s="14">
        <v>1.0</v>
      </c>
      <c r="N155" s="17">
        <f t="shared" si="31"/>
        <v>100.2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0" t="s">
        <v>16</v>
      </c>
      <c r="B156" s="10" t="s">
        <v>15</v>
      </c>
      <c r="C156" s="10">
        <v>15.0</v>
      </c>
      <c r="D156" s="10">
        <v>32.0</v>
      </c>
      <c r="E156" s="10">
        <v>1.0</v>
      </c>
      <c r="G156" s="13">
        <f>18.73/5</f>
        <v>3.746</v>
      </c>
      <c r="H156" s="19">
        <f>501-120</f>
        <v>381</v>
      </c>
      <c r="I156" s="10">
        <v>6.0</v>
      </c>
      <c r="J156" s="10">
        <v>8.0</v>
      </c>
      <c r="K156" s="10">
        <v>0.0</v>
      </c>
      <c r="L156" s="10">
        <v>0.0</v>
      </c>
      <c r="M156" s="10">
        <v>0.0</v>
      </c>
      <c r="N156" s="13">
        <f t="shared" si="31"/>
        <v>76.2</v>
      </c>
    </row>
    <row r="157">
      <c r="A157" s="10" t="s">
        <v>15</v>
      </c>
      <c r="B157" s="10" t="s">
        <v>16</v>
      </c>
      <c r="C157" s="10">
        <v>15.0</v>
      </c>
      <c r="D157" s="10">
        <v>32.0</v>
      </c>
      <c r="E157" s="10">
        <v>21.0</v>
      </c>
      <c r="F157" s="10">
        <v>0.33</v>
      </c>
      <c r="G157" s="13">
        <f>33.81/6</f>
        <v>5.635</v>
      </c>
      <c r="H157" s="10">
        <v>501.0</v>
      </c>
      <c r="I157" s="10">
        <v>8.0</v>
      </c>
      <c r="J157" s="10">
        <v>6.0</v>
      </c>
      <c r="K157" s="10">
        <v>1.0</v>
      </c>
      <c r="L157" s="10">
        <v>0.0</v>
      </c>
      <c r="M157" s="10">
        <v>0.0</v>
      </c>
      <c r="N157" s="13">
        <f>H157/6</f>
        <v>83.5</v>
      </c>
    </row>
    <row r="158">
      <c r="A158" s="14" t="s">
        <v>16</v>
      </c>
      <c r="B158" s="14" t="s">
        <v>15</v>
      </c>
      <c r="C158" s="14">
        <v>16.0</v>
      </c>
      <c r="D158" s="14">
        <v>32.0</v>
      </c>
      <c r="E158" s="14">
        <v>1.0</v>
      </c>
      <c r="F158" s="14">
        <v>1.0</v>
      </c>
      <c r="G158" s="17">
        <f>15.98/5</f>
        <v>3.196</v>
      </c>
      <c r="H158" s="14">
        <v>501.0</v>
      </c>
      <c r="I158" s="14">
        <v>6.0</v>
      </c>
      <c r="J158" s="14">
        <v>9.0</v>
      </c>
      <c r="K158" s="14">
        <v>1.0</v>
      </c>
      <c r="L158" s="14">
        <v>2.0</v>
      </c>
      <c r="M158" s="14">
        <v>0.0</v>
      </c>
      <c r="N158" s="17">
        <f>H158/5</f>
        <v>100.2</v>
      </c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4" t="s">
        <v>15</v>
      </c>
      <c r="B159" s="14" t="s">
        <v>16</v>
      </c>
      <c r="C159" s="14">
        <v>16.0</v>
      </c>
      <c r="D159" s="14">
        <v>32.0</v>
      </c>
      <c r="E159" s="14">
        <v>21.0</v>
      </c>
      <c r="F159" s="18"/>
      <c r="G159" s="17">
        <f>23.34/4</f>
        <v>5.835</v>
      </c>
      <c r="H159" s="18">
        <f>501-74</f>
        <v>427</v>
      </c>
      <c r="I159" s="14">
        <v>9.0</v>
      </c>
      <c r="J159" s="14">
        <v>6.0</v>
      </c>
      <c r="K159" s="14">
        <v>0.0</v>
      </c>
      <c r="L159" s="14">
        <v>0.0</v>
      </c>
      <c r="M159" s="14">
        <v>0.0</v>
      </c>
      <c r="N159" s="17">
        <f t="shared" ref="N159:N160" si="32">H159/4</f>
        <v>106.75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0" t="s">
        <v>16</v>
      </c>
      <c r="B160" s="10" t="s">
        <v>15</v>
      </c>
      <c r="C160" s="10">
        <v>17.0</v>
      </c>
      <c r="D160" s="10">
        <v>32.0</v>
      </c>
      <c r="E160" s="10">
        <v>1.0</v>
      </c>
      <c r="G160" s="13">
        <f>14.18/4</f>
        <v>3.545</v>
      </c>
      <c r="H160" s="19">
        <f>501-160</f>
        <v>341</v>
      </c>
      <c r="I160" s="10">
        <v>7.0</v>
      </c>
      <c r="J160" s="10">
        <v>9.0</v>
      </c>
      <c r="K160" s="10">
        <v>0.0</v>
      </c>
      <c r="L160" s="10">
        <v>0.0</v>
      </c>
      <c r="M160" s="10">
        <v>1.0</v>
      </c>
      <c r="N160" s="13">
        <f t="shared" si="32"/>
        <v>85.25</v>
      </c>
    </row>
    <row r="161">
      <c r="A161" s="10" t="s">
        <v>15</v>
      </c>
      <c r="B161" s="10" t="s">
        <v>16</v>
      </c>
      <c r="C161" s="10">
        <v>17.0</v>
      </c>
      <c r="D161" s="10">
        <v>32.0</v>
      </c>
      <c r="E161" s="10">
        <v>21.0</v>
      </c>
      <c r="F161" s="10">
        <v>0.5</v>
      </c>
      <c r="G161" s="13">
        <f>26.15/5</f>
        <v>5.23</v>
      </c>
      <c r="H161" s="10">
        <v>501.0</v>
      </c>
      <c r="I161" s="10">
        <v>9.0</v>
      </c>
      <c r="J161" s="10">
        <v>7.0</v>
      </c>
      <c r="K161" s="10">
        <v>1.0</v>
      </c>
      <c r="L161" s="10">
        <v>1.0</v>
      </c>
      <c r="M161" s="10">
        <v>0.0</v>
      </c>
      <c r="N161" s="13">
        <f>H161/5</f>
        <v>100.2</v>
      </c>
    </row>
    <row r="162">
      <c r="A162" s="14" t="s">
        <v>16</v>
      </c>
      <c r="B162" s="14" t="s">
        <v>15</v>
      </c>
      <c r="C162" s="14">
        <v>18.0</v>
      </c>
      <c r="D162" s="14">
        <v>32.0</v>
      </c>
      <c r="E162" s="14">
        <v>1.0</v>
      </c>
      <c r="F162" s="14">
        <v>0.0</v>
      </c>
      <c r="G162" s="17">
        <f>20.94/6</f>
        <v>3.49</v>
      </c>
      <c r="H162" s="18">
        <f>501-11</f>
        <v>490</v>
      </c>
      <c r="I162" s="14">
        <v>7.0</v>
      </c>
      <c r="J162" s="14">
        <v>10.0</v>
      </c>
      <c r="K162" s="14">
        <v>0.0</v>
      </c>
      <c r="L162" s="14">
        <v>1.0</v>
      </c>
      <c r="M162" s="14">
        <v>0.0</v>
      </c>
      <c r="N162" s="17">
        <f t="shared" ref="N162:N163" si="33">H162/6</f>
        <v>81.66666667</v>
      </c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4" t="s">
        <v>15</v>
      </c>
      <c r="B163" s="14" t="s">
        <v>16</v>
      </c>
      <c r="C163" s="14">
        <v>18.0</v>
      </c>
      <c r="D163" s="14">
        <v>32.0</v>
      </c>
      <c r="E163" s="14">
        <v>21.0</v>
      </c>
      <c r="F163" s="14">
        <v>0.5</v>
      </c>
      <c r="G163" s="17">
        <f>30.33/6</f>
        <v>5.055</v>
      </c>
      <c r="H163" s="14">
        <v>501.0</v>
      </c>
      <c r="I163" s="14">
        <v>10.0</v>
      </c>
      <c r="J163" s="14">
        <v>7.0</v>
      </c>
      <c r="K163" s="14">
        <v>1.0</v>
      </c>
      <c r="L163" s="14">
        <v>0.0</v>
      </c>
      <c r="M163" s="14">
        <v>1.0</v>
      </c>
      <c r="N163" s="17">
        <f t="shared" si="33"/>
        <v>83.5</v>
      </c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4" t="s">
        <v>21</v>
      </c>
      <c r="B164" s="4" t="s">
        <v>18</v>
      </c>
      <c r="C164" s="4">
        <v>1.0</v>
      </c>
      <c r="D164" s="4">
        <v>32.0</v>
      </c>
      <c r="E164" s="4">
        <v>6.0</v>
      </c>
      <c r="F164" s="6"/>
      <c r="G164" s="8">
        <f>20.33/4</f>
        <v>5.0825</v>
      </c>
      <c r="H164" s="6">
        <f>501-114</f>
        <v>387</v>
      </c>
      <c r="I164" s="7">
        <v>0.0</v>
      </c>
      <c r="J164" s="7">
        <v>0.0</v>
      </c>
      <c r="K164" s="4">
        <v>0.0</v>
      </c>
      <c r="L164" s="4">
        <v>0.0</v>
      </c>
      <c r="M164" s="4">
        <v>1.0</v>
      </c>
      <c r="N164" s="8">
        <f t="shared" ref="N164:N165" si="34">H164/4</f>
        <v>96.75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4" t="s">
        <v>18</v>
      </c>
      <c r="B165" s="4" t="s">
        <v>21</v>
      </c>
      <c r="C165" s="4">
        <v>1.0</v>
      </c>
      <c r="D165" s="4">
        <v>52.0</v>
      </c>
      <c r="E165" s="4">
        <v>2.0</v>
      </c>
      <c r="F165" s="4">
        <v>1.0</v>
      </c>
      <c r="G165" s="8">
        <f>25.35/4</f>
        <v>6.3375</v>
      </c>
      <c r="H165" s="4">
        <v>501.0</v>
      </c>
      <c r="I165" s="7">
        <v>0.0</v>
      </c>
      <c r="J165" s="7">
        <v>0.0</v>
      </c>
      <c r="K165" s="4">
        <v>1.0</v>
      </c>
      <c r="L165" s="4">
        <v>1.0</v>
      </c>
      <c r="M165" s="4">
        <v>0.0</v>
      </c>
      <c r="N165" s="8">
        <f t="shared" si="34"/>
        <v>125.25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14" t="s">
        <v>21</v>
      </c>
      <c r="B166" s="14" t="s">
        <v>18</v>
      </c>
      <c r="C166" s="14">
        <v>2.0</v>
      </c>
      <c r="D166" s="14">
        <v>32.0</v>
      </c>
      <c r="E166" s="14">
        <v>6.0</v>
      </c>
      <c r="F166" s="14">
        <v>1.0</v>
      </c>
      <c r="G166" s="17">
        <f>23.68/5</f>
        <v>4.736</v>
      </c>
      <c r="H166" s="14">
        <v>501.0</v>
      </c>
      <c r="I166" s="16">
        <v>0.0</v>
      </c>
      <c r="J166" s="16">
        <v>1.0</v>
      </c>
      <c r="K166" s="14">
        <v>1.0</v>
      </c>
      <c r="L166" s="14">
        <v>0.0</v>
      </c>
      <c r="M166" s="14">
        <v>1.0</v>
      </c>
      <c r="N166" s="17">
        <f>H166/5</f>
        <v>100.2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4" t="s">
        <v>18</v>
      </c>
      <c r="B167" s="14" t="s">
        <v>21</v>
      </c>
      <c r="C167" s="14">
        <v>2.0</v>
      </c>
      <c r="D167" s="14">
        <v>52.0</v>
      </c>
      <c r="E167" s="14">
        <v>2.0</v>
      </c>
      <c r="F167" s="18"/>
      <c r="G167" s="17">
        <f>17.59/4</f>
        <v>4.3975</v>
      </c>
      <c r="H167" s="18">
        <f>501-204</f>
        <v>297</v>
      </c>
      <c r="I167" s="16">
        <v>1.0</v>
      </c>
      <c r="J167" s="16">
        <v>0.0</v>
      </c>
      <c r="K167" s="14">
        <v>0.0</v>
      </c>
      <c r="L167" s="14">
        <v>0.0</v>
      </c>
      <c r="M167" s="14">
        <v>0.0</v>
      </c>
      <c r="N167" s="17">
        <f t="shared" ref="N167:N169" si="35">H167/4</f>
        <v>74.25</v>
      </c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0" t="s">
        <v>21</v>
      </c>
      <c r="B168" s="10" t="s">
        <v>18</v>
      </c>
      <c r="C168" s="10">
        <v>3.0</v>
      </c>
      <c r="D168" s="10">
        <v>32.0</v>
      </c>
      <c r="E168" s="10">
        <v>6.0</v>
      </c>
      <c r="G168" s="13">
        <f>24.03/4</f>
        <v>6.0075</v>
      </c>
      <c r="H168" s="19">
        <f>501-36</f>
        <v>465</v>
      </c>
      <c r="I168" s="12">
        <v>1.0</v>
      </c>
      <c r="J168" s="12">
        <v>1.0</v>
      </c>
      <c r="K168" s="10">
        <v>0.0</v>
      </c>
      <c r="L168" s="10">
        <v>0.0</v>
      </c>
      <c r="M168" s="10">
        <v>0.0</v>
      </c>
      <c r="N168" s="13">
        <f t="shared" si="35"/>
        <v>116.25</v>
      </c>
    </row>
    <row r="169">
      <c r="A169" s="10" t="s">
        <v>18</v>
      </c>
      <c r="B169" s="10" t="s">
        <v>21</v>
      </c>
      <c r="C169" s="10">
        <v>3.0</v>
      </c>
      <c r="D169" s="10">
        <v>52.0</v>
      </c>
      <c r="E169" s="10">
        <v>2.0</v>
      </c>
      <c r="F169" s="10">
        <v>1.0</v>
      </c>
      <c r="G169" s="13">
        <f>23.65/4</f>
        <v>5.9125</v>
      </c>
      <c r="H169" s="10">
        <v>501.0</v>
      </c>
      <c r="I169" s="12">
        <v>1.0</v>
      </c>
      <c r="J169" s="12">
        <v>1.0</v>
      </c>
      <c r="K169" s="10">
        <v>1.0</v>
      </c>
      <c r="L169" s="10">
        <v>0.0</v>
      </c>
      <c r="M169" s="10">
        <v>1.0</v>
      </c>
      <c r="N169" s="13">
        <f t="shared" si="35"/>
        <v>125.25</v>
      </c>
    </row>
    <row r="170">
      <c r="A170" s="14" t="s">
        <v>21</v>
      </c>
      <c r="B170" s="14" t="s">
        <v>18</v>
      </c>
      <c r="C170" s="14">
        <v>4.0</v>
      </c>
      <c r="D170" s="14">
        <v>32.0</v>
      </c>
      <c r="E170" s="14">
        <v>6.0</v>
      </c>
      <c r="F170" s="14">
        <v>0.5</v>
      </c>
      <c r="G170" s="17">
        <f>29.29/5</f>
        <v>5.858</v>
      </c>
      <c r="H170" s="14">
        <v>501.0</v>
      </c>
      <c r="I170" s="16">
        <v>1.0</v>
      </c>
      <c r="J170" s="16">
        <v>2.0</v>
      </c>
      <c r="K170" s="14">
        <v>1.0</v>
      </c>
      <c r="L170" s="14">
        <v>0.0</v>
      </c>
      <c r="M170" s="14">
        <v>1.0</v>
      </c>
      <c r="N170" s="17">
        <f>H170/5</f>
        <v>100.2</v>
      </c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4" t="s">
        <v>18</v>
      </c>
      <c r="B171" s="14" t="s">
        <v>21</v>
      </c>
      <c r="C171" s="14">
        <v>4.0</v>
      </c>
      <c r="D171" s="14">
        <v>52.0</v>
      </c>
      <c r="E171" s="14">
        <v>2.0</v>
      </c>
      <c r="F171" s="18"/>
      <c r="G171" s="17">
        <f>22.14/4</f>
        <v>5.535</v>
      </c>
      <c r="H171" s="18">
        <f>501-66</f>
        <v>435</v>
      </c>
      <c r="I171" s="16">
        <v>2.0</v>
      </c>
      <c r="J171" s="16">
        <v>1.0</v>
      </c>
      <c r="K171" s="14">
        <v>0.0</v>
      </c>
      <c r="L171" s="14">
        <v>0.0</v>
      </c>
      <c r="M171" s="14">
        <v>2.0</v>
      </c>
      <c r="N171" s="17">
        <f>H171/4</f>
        <v>108.75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0" t="s">
        <v>21</v>
      </c>
      <c r="B172" s="10" t="s">
        <v>18</v>
      </c>
      <c r="C172" s="10">
        <v>5.0</v>
      </c>
      <c r="D172" s="10">
        <v>32.0</v>
      </c>
      <c r="E172" s="10">
        <v>6.0</v>
      </c>
      <c r="G172" s="13">
        <f>15.21/3</f>
        <v>5.07</v>
      </c>
      <c r="H172" s="19">
        <f>501-85</f>
        <v>416</v>
      </c>
      <c r="I172" s="12">
        <v>2.0</v>
      </c>
      <c r="J172" s="12">
        <v>2.0</v>
      </c>
      <c r="K172" s="10">
        <v>0.0</v>
      </c>
      <c r="L172" s="10">
        <v>1.0</v>
      </c>
      <c r="M172" s="10">
        <v>1.0</v>
      </c>
      <c r="N172" s="13">
        <f>H172/3</f>
        <v>138.6666667</v>
      </c>
    </row>
    <row r="173">
      <c r="A173" s="10" t="s">
        <v>18</v>
      </c>
      <c r="B173" s="10" t="s">
        <v>21</v>
      </c>
      <c r="C173" s="10">
        <v>5.0</v>
      </c>
      <c r="D173" s="10">
        <v>52.0</v>
      </c>
      <c r="E173" s="10">
        <v>2.0</v>
      </c>
      <c r="F173" s="10">
        <v>1.0</v>
      </c>
      <c r="G173" s="11">
        <f>21.78/5</f>
        <v>4.356</v>
      </c>
      <c r="H173" s="10">
        <v>501.0</v>
      </c>
      <c r="I173" s="12">
        <v>2.0</v>
      </c>
      <c r="J173" s="12">
        <v>2.0</v>
      </c>
      <c r="K173" s="10">
        <v>1.0</v>
      </c>
      <c r="L173" s="10">
        <v>0.0</v>
      </c>
      <c r="M173" s="10">
        <v>3.0</v>
      </c>
      <c r="N173" s="13">
        <f>H173/5</f>
        <v>100.2</v>
      </c>
    </row>
    <row r="174">
      <c r="A174" s="14" t="s">
        <v>21</v>
      </c>
      <c r="B174" s="14" t="s">
        <v>18</v>
      </c>
      <c r="C174" s="14">
        <v>6.0</v>
      </c>
      <c r="D174" s="14">
        <v>32.0</v>
      </c>
      <c r="E174" s="14">
        <v>6.0</v>
      </c>
      <c r="F174" s="14">
        <v>1.0</v>
      </c>
      <c r="G174" s="17">
        <f>20.8/4</f>
        <v>5.2</v>
      </c>
      <c r="H174" s="14">
        <v>501.0</v>
      </c>
      <c r="I174" s="16">
        <v>2.0</v>
      </c>
      <c r="J174" s="16">
        <v>3.0</v>
      </c>
      <c r="K174" s="14">
        <v>1.0</v>
      </c>
      <c r="L174" s="14">
        <v>1.0</v>
      </c>
      <c r="M174" s="14">
        <v>0.0</v>
      </c>
      <c r="N174" s="17">
        <f t="shared" ref="N174:N175" si="36">H174/4</f>
        <v>125.25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4" t="s">
        <v>18</v>
      </c>
      <c r="B175" s="14" t="s">
        <v>21</v>
      </c>
      <c r="C175" s="14">
        <v>6.0</v>
      </c>
      <c r="D175" s="14">
        <v>52.0</v>
      </c>
      <c r="E175" s="14">
        <v>2.0</v>
      </c>
      <c r="F175" s="18"/>
      <c r="G175" s="17">
        <f>22.45/4</f>
        <v>5.6125</v>
      </c>
      <c r="H175" s="18">
        <f>501-237</f>
        <v>264</v>
      </c>
      <c r="I175" s="16">
        <v>3.0</v>
      </c>
      <c r="J175" s="16">
        <v>2.0</v>
      </c>
      <c r="K175" s="14">
        <v>0.0</v>
      </c>
      <c r="L175" s="14">
        <v>0.0</v>
      </c>
      <c r="M175" s="14">
        <v>0.0</v>
      </c>
      <c r="N175" s="17">
        <f t="shared" si="36"/>
        <v>66</v>
      </c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0" t="s">
        <v>21</v>
      </c>
      <c r="B176" s="10" t="s">
        <v>18</v>
      </c>
      <c r="C176" s="10">
        <v>7.0</v>
      </c>
      <c r="D176" s="10">
        <v>32.0</v>
      </c>
      <c r="E176" s="10">
        <v>6.0</v>
      </c>
      <c r="G176" s="13">
        <f>25.44/5</f>
        <v>5.088</v>
      </c>
      <c r="H176" s="19">
        <f>501-179</f>
        <v>322</v>
      </c>
      <c r="I176" s="12">
        <v>3.0</v>
      </c>
      <c r="J176" s="12">
        <v>3.0</v>
      </c>
      <c r="K176" s="10">
        <v>0.0</v>
      </c>
      <c r="L176" s="10">
        <v>0.0</v>
      </c>
      <c r="M176" s="10">
        <v>0.0</v>
      </c>
      <c r="N176" s="13">
        <f t="shared" ref="N176:N177" si="37">H176/5</f>
        <v>64.4</v>
      </c>
    </row>
    <row r="177">
      <c r="A177" s="10" t="s">
        <v>18</v>
      </c>
      <c r="B177" s="10" t="s">
        <v>21</v>
      </c>
      <c r="C177" s="10">
        <v>7.0</v>
      </c>
      <c r="D177" s="10">
        <v>52.0</v>
      </c>
      <c r="E177" s="10">
        <v>2.0</v>
      </c>
      <c r="F177" s="10">
        <v>0.33</v>
      </c>
      <c r="G177" s="13">
        <f>30.78/5</f>
        <v>6.156</v>
      </c>
      <c r="H177" s="10">
        <v>501.0</v>
      </c>
      <c r="I177" s="12">
        <v>3.0</v>
      </c>
      <c r="J177" s="12">
        <v>3.0</v>
      </c>
      <c r="K177" s="10">
        <v>1.0</v>
      </c>
      <c r="L177" s="10">
        <v>0.0</v>
      </c>
      <c r="M177" s="10">
        <v>1.0</v>
      </c>
      <c r="N177" s="13">
        <f t="shared" si="37"/>
        <v>100.2</v>
      </c>
    </row>
    <row r="178">
      <c r="A178" s="14" t="s">
        <v>21</v>
      </c>
      <c r="B178" s="14" t="s">
        <v>18</v>
      </c>
      <c r="C178" s="14">
        <v>8.0</v>
      </c>
      <c r="D178" s="14">
        <v>32.0</v>
      </c>
      <c r="E178" s="14">
        <v>6.0</v>
      </c>
      <c r="F178" s="14">
        <v>1.0</v>
      </c>
      <c r="G178" s="17">
        <f>34.55/6</f>
        <v>5.758333333</v>
      </c>
      <c r="H178" s="14">
        <v>501.0</v>
      </c>
      <c r="I178" s="16">
        <v>3.0</v>
      </c>
      <c r="J178" s="16">
        <v>4.0</v>
      </c>
      <c r="K178" s="14">
        <v>1.0</v>
      </c>
      <c r="L178" s="14">
        <v>0.0</v>
      </c>
      <c r="M178" s="14">
        <v>1.0</v>
      </c>
      <c r="N178" s="17">
        <f>H178/6</f>
        <v>83.5</v>
      </c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4" t="s">
        <v>18</v>
      </c>
      <c r="B179" s="14" t="s">
        <v>21</v>
      </c>
      <c r="C179" s="14">
        <v>8.0</v>
      </c>
      <c r="D179" s="14">
        <v>52.0</v>
      </c>
      <c r="E179" s="14">
        <v>2.0</v>
      </c>
      <c r="F179" s="18"/>
      <c r="G179" s="17">
        <f>25.09/5</f>
        <v>5.018</v>
      </c>
      <c r="H179" s="18">
        <f>501-122</f>
        <v>379</v>
      </c>
      <c r="I179" s="16">
        <v>4.0</v>
      </c>
      <c r="J179" s="16">
        <v>3.0</v>
      </c>
      <c r="K179" s="14">
        <v>0.0</v>
      </c>
      <c r="L179" s="14">
        <v>0.0</v>
      </c>
      <c r="M179" s="14">
        <v>1.0</v>
      </c>
      <c r="N179" s="17">
        <f t="shared" ref="N179:N182" si="38">H179/5</f>
        <v>75.8</v>
      </c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0" t="s">
        <v>21</v>
      </c>
      <c r="B180" s="10" t="s">
        <v>18</v>
      </c>
      <c r="C180" s="10">
        <v>9.0</v>
      </c>
      <c r="D180" s="10">
        <v>32.0</v>
      </c>
      <c r="E180" s="10">
        <v>6.0</v>
      </c>
      <c r="G180" s="13">
        <f>25.63/5</f>
        <v>5.126</v>
      </c>
      <c r="H180" s="19">
        <f>501-112</f>
        <v>389</v>
      </c>
      <c r="I180" s="12">
        <v>4.0</v>
      </c>
      <c r="J180" s="12">
        <v>4.0</v>
      </c>
      <c r="K180" s="10">
        <v>0.0</v>
      </c>
      <c r="L180" s="10">
        <v>0.0</v>
      </c>
      <c r="M180" s="10">
        <v>0.0</v>
      </c>
      <c r="N180" s="13">
        <f t="shared" si="38"/>
        <v>77.8</v>
      </c>
    </row>
    <row r="181">
      <c r="A181" s="10" t="s">
        <v>18</v>
      </c>
      <c r="B181" s="10" t="s">
        <v>21</v>
      </c>
      <c r="C181" s="10">
        <v>9.0</v>
      </c>
      <c r="D181" s="10">
        <v>52.0</v>
      </c>
      <c r="E181" s="10">
        <v>2.0</v>
      </c>
      <c r="F181" s="10">
        <v>0.5</v>
      </c>
      <c r="G181" s="13">
        <f>25.86/5</f>
        <v>5.172</v>
      </c>
      <c r="H181" s="10">
        <v>501.0</v>
      </c>
      <c r="I181" s="12">
        <v>4.0</v>
      </c>
      <c r="J181" s="12">
        <v>4.0</v>
      </c>
      <c r="K181" s="10">
        <v>1.0</v>
      </c>
      <c r="L181" s="10">
        <v>1.0</v>
      </c>
      <c r="M181" s="10">
        <v>0.0</v>
      </c>
      <c r="N181" s="13">
        <f t="shared" si="38"/>
        <v>100.2</v>
      </c>
    </row>
    <row r="182">
      <c r="A182" s="14" t="s">
        <v>21</v>
      </c>
      <c r="B182" s="14" t="s">
        <v>18</v>
      </c>
      <c r="C182" s="14">
        <v>10.0</v>
      </c>
      <c r="D182" s="14">
        <v>32.0</v>
      </c>
      <c r="E182" s="14">
        <v>6.0</v>
      </c>
      <c r="F182" s="18"/>
      <c r="G182" s="17">
        <f>26.09/5</f>
        <v>5.218</v>
      </c>
      <c r="H182" s="18">
        <f>501-40</f>
        <v>461</v>
      </c>
      <c r="I182" s="16">
        <v>4.0</v>
      </c>
      <c r="J182" s="16">
        <v>5.0</v>
      </c>
      <c r="K182" s="14">
        <v>0.0</v>
      </c>
      <c r="L182" s="14">
        <v>0.0</v>
      </c>
      <c r="M182" s="14">
        <v>0.0</v>
      </c>
      <c r="N182" s="17">
        <f t="shared" si="38"/>
        <v>92.2</v>
      </c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4" t="s">
        <v>18</v>
      </c>
      <c r="B183" s="14" t="s">
        <v>21</v>
      </c>
      <c r="C183" s="14">
        <v>10.0</v>
      </c>
      <c r="D183" s="14">
        <v>52.0</v>
      </c>
      <c r="E183" s="14">
        <v>2.0</v>
      </c>
      <c r="F183" s="14">
        <v>1.0</v>
      </c>
      <c r="G183" s="15">
        <f>24.09/4</f>
        <v>6.0225</v>
      </c>
      <c r="H183" s="14">
        <v>501.0</v>
      </c>
      <c r="I183" s="16">
        <v>5.0</v>
      </c>
      <c r="J183" s="16">
        <v>4.0</v>
      </c>
      <c r="K183" s="14">
        <v>1.0</v>
      </c>
      <c r="L183" s="14">
        <v>0.0</v>
      </c>
      <c r="M183" s="14">
        <v>1.0</v>
      </c>
      <c r="N183" s="17">
        <f t="shared" ref="N183:N184" si="39">H183/4</f>
        <v>125.25</v>
      </c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0" t="s">
        <v>21</v>
      </c>
      <c r="B184" s="10" t="s">
        <v>18</v>
      </c>
      <c r="C184" s="10">
        <v>11.0</v>
      </c>
      <c r="D184" s="10">
        <v>32.0</v>
      </c>
      <c r="E184" s="10">
        <v>6.0</v>
      </c>
      <c r="G184" s="13">
        <f>20.81/4</f>
        <v>5.2025</v>
      </c>
      <c r="H184" s="19">
        <f>501-121</f>
        <v>380</v>
      </c>
      <c r="I184" s="12">
        <v>4.0</v>
      </c>
      <c r="J184" s="12">
        <v>6.0</v>
      </c>
      <c r="K184" s="10">
        <v>0.0</v>
      </c>
      <c r="L184" s="10">
        <v>0.0</v>
      </c>
      <c r="M184" s="10">
        <v>1.0</v>
      </c>
      <c r="N184" s="13">
        <f t="shared" si="39"/>
        <v>95</v>
      </c>
    </row>
    <row r="185">
      <c r="A185" s="10" t="s">
        <v>18</v>
      </c>
      <c r="B185" s="10" t="s">
        <v>21</v>
      </c>
      <c r="C185" s="10">
        <v>11.0</v>
      </c>
      <c r="D185" s="10">
        <v>52.0</v>
      </c>
      <c r="E185" s="10">
        <v>2.0</v>
      </c>
      <c r="F185" s="10">
        <v>0.5</v>
      </c>
      <c r="G185" s="13">
        <f>32.32/5</f>
        <v>6.464</v>
      </c>
      <c r="H185" s="10">
        <v>501.0</v>
      </c>
      <c r="I185" s="12">
        <v>6.0</v>
      </c>
      <c r="J185" s="12">
        <v>4.0</v>
      </c>
      <c r="K185" s="10">
        <v>1.0</v>
      </c>
      <c r="L185" s="10">
        <v>0.0</v>
      </c>
      <c r="M185" s="10">
        <v>2.0</v>
      </c>
      <c r="N185" s="13">
        <f>H185/5</f>
        <v>100.2</v>
      </c>
    </row>
    <row r="186">
      <c r="A186" s="14" t="s">
        <v>21</v>
      </c>
      <c r="B186" s="14" t="s">
        <v>18</v>
      </c>
      <c r="C186" s="14">
        <v>12.0</v>
      </c>
      <c r="D186" s="14">
        <v>32.0</v>
      </c>
      <c r="E186" s="14">
        <v>6.0</v>
      </c>
      <c r="F186" s="14">
        <v>1.0</v>
      </c>
      <c r="G186" s="17">
        <f>33.34/6</f>
        <v>5.556666667</v>
      </c>
      <c r="H186" s="14">
        <v>501.0</v>
      </c>
      <c r="I186" s="16">
        <v>4.0</v>
      </c>
      <c r="J186" s="16">
        <v>7.0</v>
      </c>
      <c r="K186" s="14">
        <v>1.0</v>
      </c>
      <c r="L186" s="14">
        <v>0.0</v>
      </c>
      <c r="M186" s="14">
        <v>0.0</v>
      </c>
      <c r="N186" s="17">
        <f t="shared" ref="N186:N189" si="40">H186/6</f>
        <v>83.5</v>
      </c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4" t="s">
        <v>18</v>
      </c>
      <c r="B187" s="14" t="s">
        <v>21</v>
      </c>
      <c r="C187" s="14">
        <v>12.0</v>
      </c>
      <c r="D187" s="14">
        <v>52.0</v>
      </c>
      <c r="E187" s="14">
        <v>2.0</v>
      </c>
      <c r="F187" s="18"/>
      <c r="G187" s="17">
        <f>31.38/6</f>
        <v>5.23</v>
      </c>
      <c r="H187" s="18">
        <f>501-16</f>
        <v>485</v>
      </c>
      <c r="I187" s="16">
        <v>7.0</v>
      </c>
      <c r="J187" s="16">
        <v>4.0</v>
      </c>
      <c r="K187" s="14">
        <v>0.0</v>
      </c>
      <c r="L187" s="14">
        <v>0.0</v>
      </c>
      <c r="M187" s="14">
        <v>2.0</v>
      </c>
      <c r="N187" s="17">
        <f t="shared" si="40"/>
        <v>80.83333333</v>
      </c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0" t="s">
        <v>21</v>
      </c>
      <c r="B188" s="10" t="s">
        <v>18</v>
      </c>
      <c r="C188" s="10">
        <v>13.0</v>
      </c>
      <c r="D188" s="10">
        <v>32.0</v>
      </c>
      <c r="E188" s="10">
        <v>6.0</v>
      </c>
      <c r="F188" s="10">
        <v>0.25</v>
      </c>
      <c r="G188" s="13">
        <f>34.75/6</f>
        <v>5.791666667</v>
      </c>
      <c r="H188" s="10">
        <v>501.0</v>
      </c>
      <c r="I188" s="12">
        <v>5.0</v>
      </c>
      <c r="J188" s="12">
        <v>7.0</v>
      </c>
      <c r="K188" s="10">
        <v>1.0</v>
      </c>
      <c r="L188" s="10">
        <v>0.0</v>
      </c>
      <c r="M188" s="10">
        <v>1.0</v>
      </c>
      <c r="N188" s="13">
        <f t="shared" si="40"/>
        <v>83.5</v>
      </c>
    </row>
    <row r="189">
      <c r="A189" s="10" t="s">
        <v>18</v>
      </c>
      <c r="B189" s="10" t="s">
        <v>21</v>
      </c>
      <c r="C189" s="10">
        <v>13.0</v>
      </c>
      <c r="D189" s="10">
        <v>52.0</v>
      </c>
      <c r="E189" s="10">
        <v>2.0</v>
      </c>
      <c r="G189" s="13">
        <f>31.46/6</f>
        <v>5.243333333</v>
      </c>
      <c r="H189" s="19">
        <f>501-16</f>
        <v>485</v>
      </c>
      <c r="I189" s="12">
        <v>7.0</v>
      </c>
      <c r="J189" s="12">
        <v>5.0</v>
      </c>
      <c r="K189" s="10">
        <v>0.0</v>
      </c>
      <c r="L189" s="10">
        <v>0.0</v>
      </c>
      <c r="M189" s="10">
        <v>1.0</v>
      </c>
      <c r="N189" s="13">
        <f t="shared" si="40"/>
        <v>80.83333333</v>
      </c>
    </row>
    <row r="190">
      <c r="A190" s="14" t="s">
        <v>21</v>
      </c>
      <c r="B190" s="14" t="s">
        <v>18</v>
      </c>
      <c r="C190" s="14">
        <v>14.0</v>
      </c>
      <c r="D190" s="14">
        <v>32.0</v>
      </c>
      <c r="E190" s="14">
        <v>6.0</v>
      </c>
      <c r="F190" s="14">
        <v>0.5</v>
      </c>
      <c r="G190" s="17">
        <f>36.71/5</f>
        <v>7.342</v>
      </c>
      <c r="H190" s="14">
        <v>501.0</v>
      </c>
      <c r="I190" s="16">
        <v>6.0</v>
      </c>
      <c r="J190" s="16">
        <v>7.0</v>
      </c>
      <c r="K190" s="14">
        <v>1.0</v>
      </c>
      <c r="L190" s="14">
        <v>0.0</v>
      </c>
      <c r="M190" s="14">
        <v>1.0</v>
      </c>
      <c r="N190" s="17">
        <f>H190/5</f>
        <v>100.2</v>
      </c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4" t="s">
        <v>18</v>
      </c>
      <c r="B191" s="14" t="s">
        <v>21</v>
      </c>
      <c r="C191" s="14">
        <v>14.0</v>
      </c>
      <c r="D191" s="14">
        <v>52.0</v>
      </c>
      <c r="E191" s="14">
        <v>2.0</v>
      </c>
      <c r="F191" s="18"/>
      <c r="G191" s="17">
        <f>23.37/4</f>
        <v>5.8425</v>
      </c>
      <c r="H191" s="18">
        <f>501-25</f>
        <v>476</v>
      </c>
      <c r="I191" s="16">
        <v>7.0</v>
      </c>
      <c r="J191" s="16">
        <v>6.0</v>
      </c>
      <c r="K191" s="14">
        <v>0.0</v>
      </c>
      <c r="L191" s="14">
        <v>0.0</v>
      </c>
      <c r="M191" s="14">
        <v>2.0</v>
      </c>
      <c r="N191" s="17">
        <f>H191/4</f>
        <v>119</v>
      </c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0" t="s">
        <v>21</v>
      </c>
      <c r="B192" s="10" t="s">
        <v>18</v>
      </c>
      <c r="C192" s="10">
        <v>15.0</v>
      </c>
      <c r="D192" s="10">
        <v>32.0</v>
      </c>
      <c r="E192" s="10">
        <v>6.0</v>
      </c>
      <c r="G192" s="13">
        <f>26.9/5</f>
        <v>5.38</v>
      </c>
      <c r="H192" s="19">
        <f>501-107</f>
        <v>394</v>
      </c>
      <c r="I192" s="12">
        <v>7.0</v>
      </c>
      <c r="J192" s="12">
        <v>7.0</v>
      </c>
      <c r="K192" s="10">
        <v>0.0</v>
      </c>
      <c r="L192" s="10">
        <v>0.0</v>
      </c>
      <c r="M192" s="10">
        <v>0.0</v>
      </c>
      <c r="N192" s="13">
        <f>H192/5</f>
        <v>78.8</v>
      </c>
    </row>
    <row r="193">
      <c r="A193" s="10" t="s">
        <v>18</v>
      </c>
      <c r="B193" s="10" t="s">
        <v>21</v>
      </c>
      <c r="C193" s="10">
        <v>15.0</v>
      </c>
      <c r="D193" s="10">
        <v>52.0</v>
      </c>
      <c r="E193" s="10">
        <v>2.0</v>
      </c>
      <c r="F193" s="10">
        <v>0.33</v>
      </c>
      <c r="G193" s="13">
        <f>30.23/6</f>
        <v>5.038333333</v>
      </c>
      <c r="H193" s="10">
        <v>501.0</v>
      </c>
      <c r="I193" s="12">
        <v>7.0</v>
      </c>
      <c r="J193" s="12">
        <v>7.0</v>
      </c>
      <c r="K193" s="10">
        <v>1.0</v>
      </c>
      <c r="L193" s="10">
        <v>1.0</v>
      </c>
      <c r="M193" s="10">
        <v>0.0</v>
      </c>
      <c r="N193" s="13">
        <f>H193/6</f>
        <v>83.5</v>
      </c>
    </row>
    <row r="194">
      <c r="A194" s="14" t="s">
        <v>21</v>
      </c>
      <c r="B194" s="14" t="s">
        <v>18</v>
      </c>
      <c r="C194" s="14">
        <v>16.0</v>
      </c>
      <c r="D194" s="14">
        <v>32.0</v>
      </c>
      <c r="E194" s="14">
        <v>6.0</v>
      </c>
      <c r="F194" s="14">
        <v>1.0</v>
      </c>
      <c r="G194" s="26">
        <f>26.94/5</f>
        <v>5.388</v>
      </c>
      <c r="H194" s="14">
        <v>501.0</v>
      </c>
      <c r="I194" s="16">
        <v>7.0</v>
      </c>
      <c r="J194" s="16">
        <v>8.0</v>
      </c>
      <c r="K194" s="14">
        <v>1.0</v>
      </c>
      <c r="L194" s="14">
        <v>1.0</v>
      </c>
      <c r="M194" s="14">
        <v>0.0</v>
      </c>
      <c r="N194" s="17">
        <f t="shared" ref="N194:N195" si="41">H194/5</f>
        <v>100.2</v>
      </c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4" t="s">
        <v>18</v>
      </c>
      <c r="B195" s="14" t="s">
        <v>21</v>
      </c>
      <c r="C195" s="14">
        <v>16.0</v>
      </c>
      <c r="D195" s="14">
        <v>52.0</v>
      </c>
      <c r="E195" s="14">
        <v>2.0</v>
      </c>
      <c r="F195" s="18"/>
      <c r="G195" s="17">
        <f>30.36/5</f>
        <v>6.072</v>
      </c>
      <c r="H195" s="18">
        <f>501-180</f>
        <v>321</v>
      </c>
      <c r="I195" s="16">
        <v>8.0</v>
      </c>
      <c r="J195" s="16">
        <v>7.0</v>
      </c>
      <c r="K195" s="14">
        <v>0.0</v>
      </c>
      <c r="L195" s="14">
        <v>0.0</v>
      </c>
      <c r="M195" s="14">
        <v>0.0</v>
      </c>
      <c r="N195" s="17">
        <f t="shared" si="41"/>
        <v>64.2</v>
      </c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0" t="s">
        <v>21</v>
      </c>
      <c r="B196" s="10" t="s">
        <v>18</v>
      </c>
      <c r="C196" s="10">
        <v>17.0</v>
      </c>
      <c r="D196" s="10">
        <v>32.0</v>
      </c>
      <c r="E196" s="10">
        <v>6.0</v>
      </c>
      <c r="F196" s="10">
        <v>1.0</v>
      </c>
      <c r="G196" s="27">
        <f>49.05/6</f>
        <v>8.175</v>
      </c>
      <c r="H196" s="10">
        <v>501.0</v>
      </c>
      <c r="I196" s="12">
        <v>8.0</v>
      </c>
      <c r="J196" s="12">
        <v>8.0</v>
      </c>
      <c r="K196" s="10">
        <v>1.0</v>
      </c>
      <c r="L196" s="10">
        <v>0.0</v>
      </c>
      <c r="M196" s="10">
        <v>0.0</v>
      </c>
      <c r="N196" s="13">
        <f t="shared" ref="N196:N197" si="42">H196/6</f>
        <v>83.5</v>
      </c>
    </row>
    <row r="197">
      <c r="A197" s="10" t="s">
        <v>18</v>
      </c>
      <c r="B197" s="10" t="s">
        <v>21</v>
      </c>
      <c r="C197" s="10">
        <v>17.0</v>
      </c>
      <c r="D197" s="10">
        <v>52.0</v>
      </c>
      <c r="E197" s="10">
        <v>2.0</v>
      </c>
      <c r="F197" s="10">
        <v>0.0</v>
      </c>
      <c r="G197" s="13">
        <f>34.62/6</f>
        <v>5.77</v>
      </c>
      <c r="H197" s="19">
        <f>501-20</f>
        <v>481</v>
      </c>
      <c r="I197" s="12">
        <v>8.0</v>
      </c>
      <c r="J197" s="12">
        <v>8.0</v>
      </c>
      <c r="K197" s="10">
        <v>0.0</v>
      </c>
      <c r="L197" s="10">
        <v>1.0</v>
      </c>
      <c r="M197" s="10">
        <v>0.0</v>
      </c>
      <c r="N197" s="13">
        <f t="shared" si="42"/>
        <v>80.16666667</v>
      </c>
    </row>
    <row r="198">
      <c r="A198" s="14" t="s">
        <v>21</v>
      </c>
      <c r="B198" s="14" t="s">
        <v>18</v>
      </c>
      <c r="C198" s="14">
        <v>18.0</v>
      </c>
      <c r="D198" s="14">
        <v>32.0</v>
      </c>
      <c r="E198" s="14">
        <v>6.0</v>
      </c>
      <c r="F198" s="14">
        <v>1.0</v>
      </c>
      <c r="G198" s="17">
        <f>18.43/3</f>
        <v>6.143333333</v>
      </c>
      <c r="H198" s="18">
        <f>501-166</f>
        <v>335</v>
      </c>
      <c r="I198" s="16">
        <v>9.0</v>
      </c>
      <c r="J198" s="16">
        <v>8.0</v>
      </c>
      <c r="K198" s="14">
        <v>1.0</v>
      </c>
      <c r="L198" s="14">
        <v>0.0</v>
      </c>
      <c r="M198" s="14">
        <v>1.0</v>
      </c>
      <c r="N198" s="17">
        <f>H198/3</f>
        <v>111.6666667</v>
      </c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4" t="s">
        <v>18</v>
      </c>
      <c r="B199" s="14" t="s">
        <v>21</v>
      </c>
      <c r="C199" s="14">
        <v>18.0</v>
      </c>
      <c r="D199" s="14">
        <v>52.0</v>
      </c>
      <c r="E199" s="14">
        <v>2.0</v>
      </c>
      <c r="F199" s="18"/>
      <c r="G199" s="17">
        <f>24.34/4</f>
        <v>6.085</v>
      </c>
      <c r="H199" s="14">
        <v>501.0</v>
      </c>
      <c r="I199" s="16">
        <v>8.0</v>
      </c>
      <c r="J199" s="16">
        <v>9.0</v>
      </c>
      <c r="K199" s="14">
        <v>0.0</v>
      </c>
      <c r="L199" s="14">
        <v>0.0</v>
      </c>
      <c r="M199" s="14">
        <v>1.0</v>
      </c>
      <c r="N199" s="17">
        <f t="shared" ref="N199:N200" si="43">H199/4</f>
        <v>125.25</v>
      </c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0" t="s">
        <v>21</v>
      </c>
      <c r="B200" s="10" t="s">
        <v>18</v>
      </c>
      <c r="C200" s="10">
        <v>19.0</v>
      </c>
      <c r="D200" s="10">
        <v>32.0</v>
      </c>
      <c r="E200" s="10">
        <v>6.0</v>
      </c>
      <c r="F200" s="10">
        <v>0.0</v>
      </c>
      <c r="G200" s="13">
        <f>30.92/4</f>
        <v>7.73</v>
      </c>
      <c r="H200" s="19">
        <f>501-18</f>
        <v>483</v>
      </c>
      <c r="I200" s="12">
        <v>10.0</v>
      </c>
      <c r="J200" s="12">
        <v>8.0</v>
      </c>
      <c r="K200" s="10">
        <v>0.0</v>
      </c>
      <c r="L200" s="10">
        <v>0.0</v>
      </c>
      <c r="M200" s="10">
        <v>1.0</v>
      </c>
      <c r="N200" s="13">
        <f t="shared" si="43"/>
        <v>120.75</v>
      </c>
    </row>
    <row r="201">
      <c r="A201" s="10" t="s">
        <v>18</v>
      </c>
      <c r="B201" s="10" t="s">
        <v>21</v>
      </c>
      <c r="C201" s="10">
        <v>19.0</v>
      </c>
      <c r="D201" s="10">
        <v>52.0</v>
      </c>
      <c r="E201" s="10">
        <v>2.0</v>
      </c>
      <c r="F201" s="10">
        <v>0.33</v>
      </c>
      <c r="G201" s="13">
        <f>38.44/5</f>
        <v>7.688</v>
      </c>
      <c r="H201" s="10">
        <v>501.0</v>
      </c>
      <c r="I201" s="12">
        <v>8.0</v>
      </c>
      <c r="J201" s="12">
        <v>10.0</v>
      </c>
      <c r="K201" s="10">
        <v>1.0</v>
      </c>
      <c r="L201" s="10">
        <v>0.0</v>
      </c>
      <c r="M201" s="10">
        <v>2.0</v>
      </c>
      <c r="N201" s="13">
        <f>H201/5</f>
        <v>100.2</v>
      </c>
    </row>
    <row r="202">
      <c r="A202" s="14" t="s">
        <v>21</v>
      </c>
      <c r="B202" s="14" t="s">
        <v>18</v>
      </c>
      <c r="C202" s="14">
        <v>20.0</v>
      </c>
      <c r="D202" s="14">
        <v>32.0</v>
      </c>
      <c r="E202" s="14">
        <v>6.0</v>
      </c>
      <c r="F202" s="14"/>
      <c r="G202" s="17">
        <f>21.44/4</f>
        <v>5.36</v>
      </c>
      <c r="H202" s="18">
        <f>501-82</f>
        <v>419</v>
      </c>
      <c r="I202" s="16">
        <v>10.0</v>
      </c>
      <c r="J202" s="16">
        <v>9.0</v>
      </c>
      <c r="K202" s="14">
        <v>0.0</v>
      </c>
      <c r="L202" s="14">
        <v>0.0</v>
      </c>
      <c r="M202" s="14">
        <v>0.0</v>
      </c>
      <c r="N202" s="17">
        <f t="shared" ref="N202:N203" si="44">H202/4</f>
        <v>104.75</v>
      </c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4" t="s">
        <v>18</v>
      </c>
      <c r="B203" s="14" t="s">
        <v>21</v>
      </c>
      <c r="C203" s="14">
        <v>20.0</v>
      </c>
      <c r="D203" s="14">
        <v>52.0</v>
      </c>
      <c r="E203" s="14">
        <v>2.0</v>
      </c>
      <c r="F203" s="14">
        <v>1.0</v>
      </c>
      <c r="G203" s="17">
        <f>21.83/4</f>
        <v>5.4575</v>
      </c>
      <c r="H203" s="14">
        <v>501.0</v>
      </c>
      <c r="I203" s="16">
        <v>9.0</v>
      </c>
      <c r="J203" s="16">
        <v>10.0</v>
      </c>
      <c r="K203" s="14">
        <v>1.0</v>
      </c>
      <c r="L203" s="14">
        <v>1.0</v>
      </c>
      <c r="M203" s="14">
        <v>1.0</v>
      </c>
      <c r="N203" s="17">
        <f t="shared" si="44"/>
        <v>125.25</v>
      </c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0" t="s">
        <v>21</v>
      </c>
      <c r="B204" s="10" t="s">
        <v>18</v>
      </c>
      <c r="C204" s="10">
        <v>21.0</v>
      </c>
      <c r="D204" s="10">
        <v>32.0</v>
      </c>
      <c r="E204" s="10">
        <v>6.0</v>
      </c>
      <c r="F204" s="10">
        <v>0.5</v>
      </c>
      <c r="G204" s="13">
        <f>36.36/5</f>
        <v>7.272</v>
      </c>
      <c r="H204" s="10">
        <v>501.0</v>
      </c>
      <c r="I204" s="12">
        <v>10.0</v>
      </c>
      <c r="J204" s="12">
        <v>10.0</v>
      </c>
      <c r="K204" s="10">
        <v>1.0</v>
      </c>
      <c r="L204" s="10">
        <v>0.0</v>
      </c>
      <c r="M204" s="10">
        <v>2.0</v>
      </c>
      <c r="N204" s="13">
        <f t="shared" ref="N204:N205" si="45">H204/5</f>
        <v>100.2</v>
      </c>
    </row>
    <row r="205">
      <c r="A205" s="10" t="s">
        <v>18</v>
      </c>
      <c r="B205" s="10" t="s">
        <v>21</v>
      </c>
      <c r="C205" s="10">
        <v>21.0</v>
      </c>
      <c r="D205" s="10">
        <v>52.0</v>
      </c>
      <c r="E205" s="10">
        <v>2.0</v>
      </c>
      <c r="F205" s="10">
        <v>0.0</v>
      </c>
      <c r="G205" s="13">
        <f>35.65/5</f>
        <v>7.13</v>
      </c>
      <c r="H205" s="19">
        <f>501-5</f>
        <v>496</v>
      </c>
      <c r="I205" s="12">
        <v>10.0</v>
      </c>
      <c r="J205" s="12">
        <v>10.0</v>
      </c>
      <c r="K205" s="10">
        <v>0.0</v>
      </c>
      <c r="L205" s="10">
        <v>1.0</v>
      </c>
      <c r="M205" s="10">
        <v>0.0</v>
      </c>
      <c r="N205" s="13">
        <f t="shared" si="45"/>
        <v>99.2</v>
      </c>
    </row>
    <row r="206">
      <c r="A206" s="6"/>
      <c r="B206" s="6"/>
      <c r="C206" s="6"/>
      <c r="D206" s="6"/>
      <c r="E206" s="6"/>
      <c r="F206" s="6"/>
      <c r="G206" s="8"/>
      <c r="H206" s="6"/>
      <c r="I206" s="6"/>
      <c r="J206" s="6"/>
      <c r="K206" s="6"/>
      <c r="L206" s="6"/>
      <c r="M206" s="6"/>
      <c r="N206" s="8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8"/>
      <c r="H207" s="6"/>
      <c r="I207" s="6"/>
      <c r="J207" s="6"/>
      <c r="K207" s="6"/>
      <c r="L207" s="6"/>
      <c r="M207" s="6"/>
      <c r="N207" s="8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G208" s="13"/>
      <c r="N208" s="13"/>
    </row>
    <row r="209">
      <c r="G209" s="13"/>
      <c r="N209" s="13"/>
    </row>
    <row r="210">
      <c r="G210" s="13"/>
      <c r="N210" s="13"/>
    </row>
    <row r="211">
      <c r="G211" s="13"/>
      <c r="N211" s="13"/>
    </row>
    <row r="212">
      <c r="G212" s="13"/>
      <c r="N212" s="13"/>
    </row>
    <row r="213">
      <c r="G213" s="13"/>
      <c r="N213" s="13"/>
    </row>
    <row r="214">
      <c r="G214" s="13"/>
      <c r="N214" s="13"/>
    </row>
    <row r="215">
      <c r="G215" s="13"/>
      <c r="N215" s="13"/>
    </row>
    <row r="216">
      <c r="G216" s="13"/>
      <c r="N216" s="13"/>
    </row>
    <row r="217">
      <c r="G217" s="13"/>
      <c r="N217" s="13"/>
    </row>
    <row r="218">
      <c r="G218" s="13"/>
      <c r="N218" s="13"/>
    </row>
    <row r="219">
      <c r="G219" s="13"/>
      <c r="N219" s="13"/>
    </row>
    <row r="220">
      <c r="G220" s="13"/>
      <c r="N220" s="13"/>
    </row>
    <row r="221">
      <c r="G221" s="13"/>
      <c r="N221" s="13"/>
    </row>
    <row r="222">
      <c r="G222" s="13"/>
      <c r="N222" s="13"/>
    </row>
    <row r="223">
      <c r="G223" s="13"/>
      <c r="N223" s="13"/>
    </row>
    <row r="224">
      <c r="G224" s="13"/>
      <c r="N224" s="13"/>
    </row>
    <row r="225">
      <c r="G225" s="13"/>
      <c r="N225" s="13"/>
    </row>
    <row r="226">
      <c r="G226" s="13"/>
      <c r="N226" s="13"/>
    </row>
    <row r="227">
      <c r="G227" s="13"/>
      <c r="N227" s="13"/>
    </row>
    <row r="228">
      <c r="G228" s="13"/>
      <c r="N228" s="13"/>
    </row>
    <row r="229">
      <c r="G229" s="13"/>
      <c r="N229" s="13"/>
    </row>
    <row r="230">
      <c r="G230" s="13"/>
      <c r="N230" s="13"/>
    </row>
    <row r="231">
      <c r="G231" s="13"/>
      <c r="N231" s="13"/>
    </row>
    <row r="232">
      <c r="G232" s="13"/>
      <c r="N232" s="13"/>
    </row>
    <row r="233">
      <c r="G233" s="13"/>
      <c r="N233" s="13"/>
    </row>
    <row r="234">
      <c r="G234" s="13"/>
      <c r="N234" s="13"/>
    </row>
    <row r="235">
      <c r="G235" s="13"/>
      <c r="N235" s="13"/>
    </row>
    <row r="236">
      <c r="G236" s="13"/>
      <c r="N236" s="13"/>
    </row>
    <row r="237">
      <c r="G237" s="13"/>
      <c r="N237" s="13"/>
    </row>
    <row r="238">
      <c r="G238" s="13"/>
      <c r="N238" s="13"/>
    </row>
    <row r="239">
      <c r="G239" s="13"/>
      <c r="N239" s="13"/>
    </row>
    <row r="240">
      <c r="G240" s="13"/>
      <c r="N240" s="13"/>
    </row>
    <row r="241">
      <c r="G241" s="13"/>
      <c r="N241" s="13"/>
    </row>
    <row r="242">
      <c r="G242" s="13"/>
      <c r="N242" s="13"/>
    </row>
    <row r="243">
      <c r="G243" s="13"/>
      <c r="N243" s="13"/>
    </row>
    <row r="244">
      <c r="G244" s="13"/>
      <c r="N244" s="13"/>
    </row>
    <row r="245">
      <c r="G245" s="13"/>
      <c r="N245" s="13"/>
    </row>
    <row r="246">
      <c r="G246" s="13"/>
      <c r="N246" s="13"/>
    </row>
    <row r="247">
      <c r="G247" s="13"/>
      <c r="N247" s="13"/>
    </row>
    <row r="248">
      <c r="G248" s="13"/>
      <c r="N248" s="13"/>
    </row>
    <row r="249">
      <c r="G249" s="13"/>
      <c r="N249" s="13"/>
    </row>
    <row r="250">
      <c r="G250" s="13"/>
      <c r="N250" s="13"/>
    </row>
    <row r="251">
      <c r="G251" s="13"/>
      <c r="N251" s="13"/>
    </row>
    <row r="252">
      <c r="G252" s="13"/>
      <c r="N252" s="13"/>
    </row>
    <row r="253">
      <c r="G253" s="13"/>
      <c r="N253" s="13"/>
    </row>
    <row r="254">
      <c r="G254" s="13"/>
      <c r="N254" s="13"/>
    </row>
    <row r="255">
      <c r="G255" s="13"/>
      <c r="N255" s="13"/>
    </row>
    <row r="256">
      <c r="G256" s="13"/>
      <c r="N256" s="13"/>
    </row>
    <row r="257">
      <c r="G257" s="13"/>
      <c r="N257" s="13"/>
    </row>
    <row r="258">
      <c r="G258" s="13"/>
      <c r="N258" s="13"/>
    </row>
    <row r="259">
      <c r="G259" s="13"/>
      <c r="N259" s="13"/>
    </row>
    <row r="260">
      <c r="G260" s="13"/>
      <c r="N260" s="13"/>
    </row>
    <row r="261">
      <c r="G261" s="13"/>
      <c r="N261" s="13"/>
    </row>
    <row r="262">
      <c r="G262" s="13"/>
      <c r="N262" s="13"/>
    </row>
    <row r="263">
      <c r="G263" s="13"/>
      <c r="N263" s="13"/>
    </row>
    <row r="264">
      <c r="G264" s="13"/>
      <c r="N264" s="13"/>
    </row>
    <row r="265">
      <c r="G265" s="13"/>
      <c r="N265" s="13"/>
    </row>
    <row r="266">
      <c r="G266" s="13"/>
      <c r="N266" s="13"/>
    </row>
    <row r="267">
      <c r="G267" s="13"/>
      <c r="N267" s="13"/>
    </row>
    <row r="268">
      <c r="G268" s="13"/>
      <c r="N268" s="13"/>
    </row>
    <row r="269">
      <c r="G269" s="13"/>
      <c r="N269" s="13"/>
    </row>
    <row r="270">
      <c r="G270" s="13"/>
      <c r="N270" s="13"/>
    </row>
    <row r="271">
      <c r="G271" s="13"/>
      <c r="N271" s="13"/>
    </row>
    <row r="272">
      <c r="G272" s="13"/>
      <c r="N272" s="13"/>
    </row>
    <row r="273">
      <c r="G273" s="13"/>
      <c r="N273" s="13"/>
    </row>
    <row r="274">
      <c r="G274" s="13"/>
      <c r="N274" s="13"/>
    </row>
    <row r="275">
      <c r="G275" s="13"/>
      <c r="N275" s="13"/>
    </row>
    <row r="276">
      <c r="G276" s="13"/>
      <c r="N276" s="13"/>
    </row>
    <row r="277">
      <c r="G277" s="13"/>
      <c r="N277" s="13"/>
    </row>
    <row r="278">
      <c r="G278" s="13"/>
      <c r="N278" s="13"/>
    </row>
    <row r="279">
      <c r="G279" s="13"/>
      <c r="N279" s="13"/>
    </row>
    <row r="280">
      <c r="G280" s="13"/>
      <c r="N280" s="13"/>
    </row>
    <row r="281">
      <c r="G281" s="13"/>
      <c r="N281" s="13"/>
    </row>
    <row r="282">
      <c r="G282" s="13"/>
      <c r="N282" s="13"/>
    </row>
    <row r="283">
      <c r="G283" s="13"/>
      <c r="N283" s="13"/>
    </row>
    <row r="284">
      <c r="G284" s="13"/>
      <c r="N284" s="13"/>
    </row>
    <row r="285">
      <c r="G285" s="13"/>
      <c r="N285" s="13"/>
    </row>
    <row r="286">
      <c r="G286" s="13"/>
      <c r="N286" s="13"/>
    </row>
    <row r="287">
      <c r="G287" s="13"/>
      <c r="N287" s="13"/>
    </row>
    <row r="288">
      <c r="G288" s="13"/>
      <c r="N288" s="13"/>
    </row>
    <row r="289">
      <c r="G289" s="13"/>
      <c r="N289" s="13"/>
    </row>
    <row r="290">
      <c r="G290" s="13"/>
      <c r="N290" s="13"/>
    </row>
    <row r="291">
      <c r="G291" s="13"/>
      <c r="N291" s="13"/>
    </row>
    <row r="292">
      <c r="G292" s="13"/>
      <c r="N292" s="13"/>
    </row>
    <row r="293">
      <c r="G293" s="13"/>
      <c r="N293" s="13"/>
    </row>
    <row r="294">
      <c r="G294" s="13"/>
      <c r="N294" s="13"/>
    </row>
    <row r="295">
      <c r="G295" s="13"/>
      <c r="N295" s="13"/>
    </row>
    <row r="296">
      <c r="G296" s="13"/>
      <c r="N296" s="13"/>
    </row>
    <row r="297">
      <c r="G297" s="13"/>
      <c r="N297" s="13"/>
    </row>
    <row r="298">
      <c r="G298" s="13"/>
      <c r="N298" s="13"/>
    </row>
    <row r="299">
      <c r="G299" s="13"/>
      <c r="N299" s="13"/>
    </row>
    <row r="300">
      <c r="G300" s="13"/>
      <c r="N300" s="13"/>
    </row>
    <row r="301">
      <c r="G301" s="13"/>
      <c r="N301" s="13"/>
    </row>
    <row r="302">
      <c r="G302" s="13"/>
      <c r="N302" s="13"/>
    </row>
    <row r="303">
      <c r="G303" s="13"/>
      <c r="N303" s="13"/>
    </row>
    <row r="304">
      <c r="G304" s="13"/>
      <c r="N304" s="13"/>
    </row>
    <row r="305">
      <c r="G305" s="13"/>
      <c r="N305" s="13"/>
    </row>
    <row r="306">
      <c r="G306" s="13"/>
      <c r="N306" s="13"/>
    </row>
    <row r="307">
      <c r="G307" s="13"/>
      <c r="N307" s="13"/>
    </row>
    <row r="308">
      <c r="G308" s="13"/>
      <c r="N308" s="13"/>
    </row>
    <row r="309">
      <c r="G309" s="13"/>
      <c r="N309" s="13"/>
    </row>
    <row r="310">
      <c r="G310" s="13"/>
      <c r="N310" s="13"/>
    </row>
    <row r="311">
      <c r="G311" s="13"/>
      <c r="N311" s="13"/>
    </row>
    <row r="312">
      <c r="G312" s="13"/>
      <c r="N312" s="13"/>
    </row>
    <row r="313">
      <c r="G313" s="13"/>
      <c r="N313" s="13"/>
    </row>
    <row r="314">
      <c r="G314" s="13"/>
      <c r="N314" s="13"/>
    </row>
    <row r="315">
      <c r="G315" s="13"/>
      <c r="N315" s="13"/>
    </row>
    <row r="316">
      <c r="G316" s="13"/>
      <c r="N316" s="13"/>
    </row>
    <row r="317">
      <c r="G317" s="13"/>
      <c r="N317" s="13"/>
    </row>
    <row r="318">
      <c r="G318" s="13"/>
      <c r="N318" s="13"/>
    </row>
    <row r="319">
      <c r="G319" s="13"/>
      <c r="N319" s="13"/>
    </row>
    <row r="320">
      <c r="G320" s="13"/>
      <c r="N320" s="13"/>
    </row>
    <row r="321">
      <c r="G321" s="13"/>
      <c r="N321" s="13"/>
    </row>
    <row r="322">
      <c r="G322" s="13"/>
      <c r="N322" s="13"/>
    </row>
    <row r="323">
      <c r="G323" s="13"/>
      <c r="N323" s="13"/>
    </row>
    <row r="324">
      <c r="G324" s="13"/>
      <c r="N324" s="13"/>
    </row>
    <row r="325">
      <c r="G325" s="13"/>
      <c r="N325" s="13"/>
    </row>
    <row r="326">
      <c r="G326" s="13"/>
      <c r="N326" s="13"/>
    </row>
    <row r="327">
      <c r="G327" s="13"/>
      <c r="N327" s="13"/>
    </row>
    <row r="328">
      <c r="G328" s="13"/>
      <c r="N328" s="13"/>
    </row>
    <row r="329">
      <c r="G329" s="13"/>
      <c r="N329" s="13"/>
    </row>
    <row r="330">
      <c r="G330" s="13"/>
      <c r="N330" s="13"/>
    </row>
    <row r="331">
      <c r="G331" s="13"/>
      <c r="N331" s="13"/>
    </row>
    <row r="332">
      <c r="G332" s="13"/>
      <c r="N332" s="13"/>
    </row>
    <row r="333">
      <c r="G333" s="13"/>
      <c r="N333" s="13"/>
    </row>
    <row r="334">
      <c r="G334" s="13"/>
      <c r="N334" s="13"/>
    </row>
    <row r="335">
      <c r="G335" s="13"/>
      <c r="N335" s="13"/>
    </row>
    <row r="336">
      <c r="G336" s="13"/>
      <c r="N336" s="13"/>
    </row>
    <row r="337">
      <c r="G337" s="13"/>
      <c r="N337" s="13"/>
    </row>
    <row r="338">
      <c r="G338" s="13"/>
      <c r="N338" s="13"/>
    </row>
    <row r="339">
      <c r="G339" s="13"/>
      <c r="N339" s="13"/>
    </row>
    <row r="340">
      <c r="G340" s="13"/>
      <c r="N340" s="13"/>
    </row>
    <row r="341">
      <c r="G341" s="13"/>
      <c r="N341" s="13"/>
    </row>
    <row r="342">
      <c r="G342" s="13"/>
      <c r="N342" s="13"/>
    </row>
    <row r="343">
      <c r="G343" s="13"/>
      <c r="N343" s="13"/>
    </row>
    <row r="344">
      <c r="G344" s="13"/>
      <c r="N344" s="13"/>
    </row>
    <row r="345">
      <c r="G345" s="13"/>
      <c r="N345" s="13"/>
    </row>
    <row r="346">
      <c r="G346" s="13"/>
      <c r="N346" s="13"/>
    </row>
    <row r="347">
      <c r="G347" s="13"/>
      <c r="N347" s="13"/>
    </row>
    <row r="348">
      <c r="G348" s="13"/>
      <c r="N348" s="13"/>
    </row>
    <row r="349">
      <c r="G349" s="13"/>
      <c r="N349" s="13"/>
    </row>
    <row r="350">
      <c r="G350" s="13"/>
      <c r="N350" s="13"/>
    </row>
    <row r="351">
      <c r="G351" s="13"/>
      <c r="N351" s="13"/>
    </row>
    <row r="352">
      <c r="G352" s="13"/>
      <c r="N352" s="13"/>
    </row>
    <row r="353">
      <c r="G353" s="13"/>
      <c r="N353" s="13"/>
    </row>
    <row r="354">
      <c r="G354" s="13"/>
      <c r="N354" s="13"/>
    </row>
    <row r="355">
      <c r="G355" s="13"/>
      <c r="N355" s="13"/>
    </row>
    <row r="356">
      <c r="G356" s="13"/>
      <c r="N356" s="13"/>
    </row>
    <row r="357">
      <c r="G357" s="13"/>
      <c r="N357" s="13"/>
    </row>
    <row r="358">
      <c r="G358" s="13"/>
      <c r="N358" s="13"/>
    </row>
    <row r="359">
      <c r="G359" s="13"/>
      <c r="N359" s="13"/>
    </row>
    <row r="360">
      <c r="G360" s="13"/>
      <c r="N360" s="13"/>
    </row>
    <row r="361">
      <c r="G361" s="13"/>
      <c r="N361" s="13"/>
    </row>
    <row r="362">
      <c r="G362" s="13"/>
      <c r="N362" s="13"/>
    </row>
    <row r="363">
      <c r="G363" s="13"/>
      <c r="N363" s="13"/>
    </row>
    <row r="364">
      <c r="G364" s="13"/>
      <c r="N364" s="13"/>
    </row>
    <row r="365">
      <c r="G365" s="13"/>
      <c r="N365" s="13"/>
    </row>
    <row r="366">
      <c r="G366" s="13"/>
      <c r="N366" s="13"/>
    </row>
    <row r="367">
      <c r="G367" s="13"/>
      <c r="N367" s="13"/>
    </row>
    <row r="368">
      <c r="G368" s="13"/>
      <c r="N368" s="13"/>
    </row>
    <row r="369">
      <c r="G369" s="13"/>
      <c r="N369" s="13"/>
    </row>
    <row r="370">
      <c r="G370" s="13"/>
      <c r="N370" s="13"/>
    </row>
    <row r="371">
      <c r="G371" s="13"/>
      <c r="N371" s="13"/>
    </row>
    <row r="372">
      <c r="G372" s="13"/>
      <c r="N372" s="13"/>
    </row>
    <row r="373">
      <c r="G373" s="13"/>
      <c r="N373" s="13"/>
    </row>
    <row r="374">
      <c r="G374" s="13"/>
      <c r="N374" s="13"/>
    </row>
    <row r="375">
      <c r="G375" s="13"/>
      <c r="N375" s="13"/>
    </row>
    <row r="376">
      <c r="G376" s="13"/>
      <c r="N376" s="13"/>
    </row>
    <row r="377">
      <c r="G377" s="13"/>
      <c r="N377" s="13"/>
    </row>
    <row r="378">
      <c r="G378" s="13"/>
      <c r="N378" s="13"/>
    </row>
    <row r="379">
      <c r="G379" s="13"/>
      <c r="N379" s="13"/>
    </row>
    <row r="380">
      <c r="G380" s="13"/>
      <c r="N380" s="13"/>
    </row>
    <row r="381">
      <c r="G381" s="13"/>
      <c r="N381" s="13"/>
    </row>
    <row r="382">
      <c r="G382" s="13"/>
      <c r="N382" s="13"/>
    </row>
    <row r="383">
      <c r="G383" s="13"/>
      <c r="N383" s="13"/>
    </row>
    <row r="384">
      <c r="G384" s="13"/>
      <c r="N384" s="13"/>
    </row>
    <row r="385">
      <c r="G385" s="13"/>
      <c r="N385" s="13"/>
    </row>
    <row r="386">
      <c r="G386" s="13"/>
      <c r="N386" s="13"/>
    </row>
    <row r="387">
      <c r="G387" s="13"/>
      <c r="N387" s="13"/>
    </row>
    <row r="388">
      <c r="G388" s="13"/>
      <c r="N388" s="13"/>
    </row>
    <row r="389">
      <c r="G389" s="13"/>
      <c r="N389" s="13"/>
    </row>
    <row r="390">
      <c r="G390" s="13"/>
      <c r="N390" s="13"/>
    </row>
    <row r="391">
      <c r="G391" s="13"/>
      <c r="N391" s="13"/>
    </row>
    <row r="392">
      <c r="G392" s="13"/>
      <c r="N392" s="13"/>
    </row>
    <row r="393">
      <c r="G393" s="13"/>
      <c r="N393" s="13"/>
    </row>
    <row r="394">
      <c r="G394" s="13"/>
      <c r="N394" s="13"/>
    </row>
    <row r="395">
      <c r="G395" s="13"/>
      <c r="N395" s="13"/>
    </row>
    <row r="396">
      <c r="G396" s="13"/>
      <c r="N396" s="13"/>
    </row>
    <row r="397">
      <c r="G397" s="13"/>
      <c r="N397" s="13"/>
    </row>
    <row r="398">
      <c r="G398" s="13"/>
      <c r="N398" s="13"/>
    </row>
    <row r="399">
      <c r="G399" s="13"/>
      <c r="N399" s="13"/>
    </row>
    <row r="400">
      <c r="G400" s="13"/>
      <c r="N400" s="13"/>
    </row>
    <row r="401">
      <c r="G401" s="13"/>
      <c r="N401" s="13"/>
    </row>
    <row r="402">
      <c r="G402" s="13"/>
      <c r="N402" s="13"/>
    </row>
    <row r="403">
      <c r="G403" s="13"/>
      <c r="N403" s="13"/>
    </row>
    <row r="404">
      <c r="G404" s="13"/>
      <c r="N404" s="13"/>
    </row>
    <row r="405">
      <c r="G405" s="13"/>
      <c r="N405" s="13"/>
    </row>
    <row r="406">
      <c r="G406" s="13"/>
      <c r="N406" s="13"/>
    </row>
    <row r="407">
      <c r="G407" s="13"/>
      <c r="N407" s="13"/>
    </row>
    <row r="408">
      <c r="G408" s="13"/>
      <c r="N408" s="13"/>
    </row>
    <row r="409">
      <c r="G409" s="13"/>
      <c r="N409" s="13"/>
    </row>
    <row r="410">
      <c r="G410" s="13"/>
      <c r="N410" s="13"/>
    </row>
    <row r="411">
      <c r="G411" s="13"/>
      <c r="N411" s="13"/>
    </row>
    <row r="412">
      <c r="G412" s="13"/>
      <c r="N412" s="13"/>
    </row>
    <row r="413">
      <c r="G413" s="13"/>
      <c r="N413" s="13"/>
    </row>
    <row r="414">
      <c r="G414" s="13"/>
      <c r="N414" s="13"/>
    </row>
    <row r="415">
      <c r="G415" s="13"/>
      <c r="N415" s="13"/>
    </row>
    <row r="416">
      <c r="G416" s="13"/>
      <c r="N416" s="13"/>
    </row>
    <row r="417">
      <c r="G417" s="13"/>
      <c r="N417" s="13"/>
    </row>
    <row r="418">
      <c r="G418" s="13"/>
      <c r="N418" s="13"/>
    </row>
    <row r="419">
      <c r="G419" s="13"/>
      <c r="N419" s="13"/>
    </row>
    <row r="420">
      <c r="G420" s="13"/>
      <c r="N420" s="13"/>
    </row>
    <row r="421">
      <c r="G421" s="13"/>
      <c r="N421" s="13"/>
    </row>
    <row r="422">
      <c r="G422" s="13"/>
      <c r="N422" s="13"/>
    </row>
    <row r="423">
      <c r="G423" s="13"/>
      <c r="N423" s="13"/>
    </row>
    <row r="424">
      <c r="G424" s="13"/>
      <c r="N424" s="13"/>
    </row>
    <row r="425">
      <c r="G425" s="13"/>
      <c r="N425" s="13"/>
    </row>
    <row r="426">
      <c r="G426" s="13"/>
      <c r="N426" s="13"/>
    </row>
    <row r="427">
      <c r="G427" s="13"/>
      <c r="N427" s="13"/>
    </row>
    <row r="428">
      <c r="G428" s="13"/>
      <c r="N428" s="13"/>
    </row>
    <row r="429">
      <c r="G429" s="13"/>
      <c r="N429" s="13"/>
    </row>
    <row r="430">
      <c r="G430" s="13"/>
      <c r="N430" s="13"/>
    </row>
    <row r="431">
      <c r="G431" s="13"/>
      <c r="N431" s="13"/>
    </row>
    <row r="432">
      <c r="G432" s="13"/>
      <c r="N432" s="13"/>
    </row>
    <row r="433">
      <c r="G433" s="13"/>
      <c r="N433" s="13"/>
    </row>
    <row r="434">
      <c r="G434" s="13"/>
      <c r="N434" s="13"/>
    </row>
    <row r="435">
      <c r="G435" s="13"/>
      <c r="N435" s="13"/>
    </row>
    <row r="436">
      <c r="G436" s="13"/>
      <c r="N436" s="13"/>
    </row>
    <row r="437">
      <c r="G437" s="13"/>
      <c r="N437" s="13"/>
    </row>
    <row r="438">
      <c r="G438" s="13"/>
      <c r="N438" s="13"/>
    </row>
    <row r="439">
      <c r="G439" s="13"/>
      <c r="N439" s="13"/>
    </row>
    <row r="440">
      <c r="G440" s="13"/>
      <c r="N440" s="13"/>
    </row>
    <row r="441">
      <c r="G441" s="13"/>
      <c r="N441" s="13"/>
    </row>
    <row r="442">
      <c r="G442" s="13"/>
      <c r="N442" s="13"/>
    </row>
    <row r="443">
      <c r="G443" s="13"/>
      <c r="N443" s="13"/>
    </row>
    <row r="444">
      <c r="G444" s="13"/>
      <c r="N444" s="13"/>
    </row>
    <row r="445">
      <c r="G445" s="13"/>
      <c r="N445" s="13"/>
    </row>
    <row r="446">
      <c r="G446" s="13"/>
      <c r="N446" s="13"/>
    </row>
    <row r="447">
      <c r="G447" s="13"/>
      <c r="N447" s="13"/>
    </row>
    <row r="448">
      <c r="G448" s="13"/>
      <c r="N448" s="13"/>
    </row>
    <row r="449">
      <c r="G449" s="13"/>
      <c r="N449" s="13"/>
    </row>
    <row r="450">
      <c r="G450" s="13"/>
      <c r="N450" s="13"/>
    </row>
    <row r="451">
      <c r="G451" s="13"/>
      <c r="N451" s="13"/>
    </row>
    <row r="452">
      <c r="G452" s="13"/>
      <c r="N452" s="13"/>
    </row>
    <row r="453">
      <c r="G453" s="13"/>
      <c r="N453" s="13"/>
    </row>
    <row r="454">
      <c r="G454" s="13"/>
      <c r="N454" s="13"/>
    </row>
    <row r="455">
      <c r="G455" s="13"/>
      <c r="N455" s="13"/>
    </row>
    <row r="456">
      <c r="G456" s="13"/>
      <c r="N456" s="13"/>
    </row>
    <row r="457">
      <c r="G457" s="13"/>
      <c r="N457" s="13"/>
    </row>
    <row r="458">
      <c r="G458" s="13"/>
      <c r="N458" s="13"/>
    </row>
    <row r="459">
      <c r="G459" s="13"/>
      <c r="N459" s="13"/>
    </row>
    <row r="460">
      <c r="G460" s="13"/>
      <c r="N460" s="13"/>
    </row>
    <row r="461">
      <c r="G461" s="13"/>
      <c r="N461" s="13"/>
    </row>
    <row r="462">
      <c r="G462" s="13"/>
      <c r="N462" s="13"/>
    </row>
    <row r="463">
      <c r="G463" s="13"/>
      <c r="N463" s="13"/>
    </row>
    <row r="464">
      <c r="G464" s="13"/>
      <c r="N464" s="13"/>
    </row>
    <row r="465">
      <c r="G465" s="13"/>
      <c r="N465" s="13"/>
    </row>
    <row r="466">
      <c r="G466" s="13"/>
      <c r="N466" s="13"/>
    </row>
    <row r="467">
      <c r="G467" s="13"/>
      <c r="N467" s="13"/>
    </row>
    <row r="468">
      <c r="G468" s="13"/>
      <c r="N468" s="13"/>
    </row>
    <row r="469">
      <c r="G469" s="13"/>
      <c r="N469" s="13"/>
    </row>
    <row r="470">
      <c r="G470" s="13"/>
      <c r="N470" s="13"/>
    </row>
    <row r="471">
      <c r="G471" s="13"/>
      <c r="N471" s="13"/>
    </row>
    <row r="472">
      <c r="G472" s="13"/>
      <c r="N472" s="13"/>
    </row>
    <row r="473">
      <c r="G473" s="13"/>
      <c r="N473" s="13"/>
    </row>
    <row r="474">
      <c r="G474" s="13"/>
      <c r="N474" s="13"/>
    </row>
    <row r="475">
      <c r="G475" s="13"/>
      <c r="N475" s="13"/>
    </row>
    <row r="476">
      <c r="G476" s="13"/>
      <c r="N476" s="13"/>
    </row>
    <row r="477">
      <c r="G477" s="13"/>
      <c r="N477" s="13"/>
    </row>
    <row r="478">
      <c r="G478" s="13"/>
      <c r="N478" s="13"/>
    </row>
    <row r="479">
      <c r="G479" s="13"/>
      <c r="N479" s="13"/>
    </row>
    <row r="480">
      <c r="G480" s="13"/>
      <c r="N480" s="13"/>
    </row>
    <row r="481">
      <c r="G481" s="13"/>
      <c r="N481" s="13"/>
    </row>
    <row r="482">
      <c r="G482" s="13"/>
      <c r="N482" s="13"/>
    </row>
    <row r="483">
      <c r="G483" s="13"/>
      <c r="N483" s="13"/>
    </row>
    <row r="484">
      <c r="G484" s="13"/>
      <c r="N484" s="13"/>
    </row>
    <row r="485">
      <c r="G485" s="13"/>
      <c r="N485" s="13"/>
    </row>
    <row r="486">
      <c r="G486" s="13"/>
      <c r="N486" s="13"/>
    </row>
    <row r="487">
      <c r="G487" s="13"/>
      <c r="N487" s="13"/>
    </row>
    <row r="488">
      <c r="G488" s="13"/>
      <c r="N488" s="13"/>
    </row>
    <row r="489">
      <c r="G489" s="13"/>
      <c r="N489" s="13"/>
    </row>
    <row r="490">
      <c r="G490" s="13"/>
      <c r="N490" s="13"/>
    </row>
    <row r="491">
      <c r="G491" s="13"/>
      <c r="N491" s="13"/>
    </row>
    <row r="492">
      <c r="G492" s="13"/>
      <c r="N492" s="13"/>
    </row>
    <row r="493">
      <c r="G493" s="13"/>
      <c r="N493" s="13"/>
    </row>
    <row r="494">
      <c r="G494" s="13"/>
      <c r="N494" s="13"/>
    </row>
    <row r="495">
      <c r="G495" s="13"/>
      <c r="N495" s="13"/>
    </row>
    <row r="496">
      <c r="G496" s="13"/>
      <c r="N496" s="13"/>
    </row>
    <row r="497">
      <c r="G497" s="13"/>
      <c r="N497" s="13"/>
    </row>
    <row r="498">
      <c r="G498" s="13"/>
      <c r="N498" s="13"/>
    </row>
    <row r="499">
      <c r="G499" s="13"/>
      <c r="N499" s="13"/>
    </row>
    <row r="500">
      <c r="G500" s="13"/>
      <c r="N500" s="13"/>
    </row>
    <row r="501">
      <c r="G501" s="13"/>
      <c r="N501" s="13"/>
    </row>
    <row r="502">
      <c r="G502" s="13"/>
      <c r="N502" s="13"/>
    </row>
    <row r="503">
      <c r="G503" s="13"/>
      <c r="N503" s="13"/>
    </row>
    <row r="504">
      <c r="G504" s="13"/>
      <c r="N504" s="13"/>
    </row>
    <row r="505">
      <c r="G505" s="13"/>
      <c r="N505" s="13"/>
    </row>
    <row r="506">
      <c r="G506" s="13"/>
      <c r="N506" s="13"/>
    </row>
    <row r="507">
      <c r="G507" s="13"/>
      <c r="N507" s="13"/>
    </row>
    <row r="508">
      <c r="G508" s="13"/>
      <c r="N508" s="13"/>
    </row>
    <row r="509">
      <c r="G509" s="13"/>
      <c r="N509" s="13"/>
    </row>
    <row r="510">
      <c r="G510" s="13"/>
      <c r="N510" s="13"/>
    </row>
    <row r="511">
      <c r="G511" s="13"/>
      <c r="N511" s="13"/>
    </row>
    <row r="512">
      <c r="G512" s="13"/>
      <c r="N512" s="13"/>
    </row>
    <row r="513">
      <c r="G513" s="13"/>
      <c r="N513" s="13"/>
    </row>
    <row r="514">
      <c r="G514" s="13"/>
      <c r="N514" s="13"/>
    </row>
    <row r="515">
      <c r="G515" s="13"/>
      <c r="N515" s="13"/>
    </row>
    <row r="516">
      <c r="G516" s="13"/>
      <c r="N516" s="13"/>
    </row>
    <row r="517">
      <c r="G517" s="13"/>
      <c r="N517" s="13"/>
    </row>
    <row r="518">
      <c r="G518" s="13"/>
      <c r="N518" s="13"/>
    </row>
    <row r="519">
      <c r="G519" s="13"/>
      <c r="N519" s="13"/>
    </row>
    <row r="520">
      <c r="G520" s="13"/>
      <c r="N520" s="13"/>
    </row>
    <row r="521">
      <c r="G521" s="13"/>
      <c r="N521" s="13"/>
    </row>
    <row r="522">
      <c r="G522" s="13"/>
      <c r="N522" s="13"/>
    </row>
    <row r="523">
      <c r="G523" s="13"/>
      <c r="N523" s="13"/>
    </row>
    <row r="524">
      <c r="G524" s="13"/>
      <c r="N524" s="13"/>
    </row>
    <row r="525">
      <c r="G525" s="13"/>
      <c r="N525" s="13"/>
    </row>
    <row r="526">
      <c r="G526" s="13"/>
      <c r="N526" s="13"/>
    </row>
    <row r="527">
      <c r="G527" s="13"/>
      <c r="N527" s="13"/>
    </row>
    <row r="528">
      <c r="G528" s="13"/>
      <c r="N528" s="13"/>
    </row>
    <row r="529">
      <c r="G529" s="13"/>
      <c r="N529" s="13"/>
    </row>
    <row r="530">
      <c r="G530" s="13"/>
      <c r="N530" s="13"/>
    </row>
    <row r="531">
      <c r="G531" s="13"/>
      <c r="N531" s="13"/>
    </row>
    <row r="532">
      <c r="G532" s="13"/>
      <c r="N532" s="13"/>
    </row>
    <row r="533">
      <c r="G533" s="13"/>
      <c r="N533" s="13"/>
    </row>
    <row r="534">
      <c r="G534" s="13"/>
      <c r="N534" s="13"/>
    </row>
    <row r="535">
      <c r="G535" s="13"/>
      <c r="N535" s="13"/>
    </row>
    <row r="536">
      <c r="G536" s="13"/>
      <c r="N536" s="13"/>
    </row>
    <row r="537">
      <c r="G537" s="13"/>
      <c r="N537" s="13"/>
    </row>
    <row r="538">
      <c r="G538" s="13"/>
      <c r="N538" s="13"/>
    </row>
    <row r="539">
      <c r="G539" s="13"/>
      <c r="N539" s="13"/>
    </row>
    <row r="540">
      <c r="G540" s="13"/>
      <c r="N540" s="13"/>
    </row>
    <row r="541">
      <c r="G541" s="13"/>
      <c r="N541" s="13"/>
    </row>
    <row r="542">
      <c r="G542" s="13"/>
      <c r="N542" s="13"/>
    </row>
    <row r="543">
      <c r="G543" s="13"/>
      <c r="N543" s="13"/>
    </row>
    <row r="544">
      <c r="G544" s="13"/>
      <c r="N544" s="13"/>
    </row>
    <row r="545">
      <c r="G545" s="13"/>
      <c r="N545" s="13"/>
    </row>
    <row r="546">
      <c r="G546" s="13"/>
      <c r="N546" s="13"/>
    </row>
    <row r="547">
      <c r="G547" s="13"/>
      <c r="N547" s="13"/>
    </row>
    <row r="548">
      <c r="G548" s="13"/>
      <c r="N548" s="13"/>
    </row>
    <row r="549">
      <c r="G549" s="13"/>
      <c r="N549" s="13"/>
    </row>
    <row r="550">
      <c r="G550" s="13"/>
      <c r="N550" s="13"/>
    </row>
    <row r="551">
      <c r="G551" s="13"/>
      <c r="N551" s="13"/>
    </row>
    <row r="552">
      <c r="G552" s="13"/>
      <c r="N552" s="13"/>
    </row>
    <row r="553">
      <c r="G553" s="13"/>
      <c r="N553" s="13"/>
    </row>
    <row r="554">
      <c r="G554" s="13"/>
      <c r="N554" s="13"/>
    </row>
    <row r="555">
      <c r="G555" s="13"/>
      <c r="N555" s="13"/>
    </row>
    <row r="556">
      <c r="G556" s="13"/>
      <c r="N556" s="13"/>
    </row>
    <row r="557">
      <c r="G557" s="13"/>
      <c r="N557" s="13"/>
    </row>
    <row r="558">
      <c r="G558" s="13"/>
      <c r="N558" s="13"/>
    </row>
    <row r="559">
      <c r="G559" s="13"/>
      <c r="N559" s="13"/>
    </row>
    <row r="560">
      <c r="G560" s="13"/>
      <c r="N560" s="13"/>
    </row>
    <row r="561">
      <c r="G561" s="13"/>
      <c r="N561" s="13"/>
    </row>
    <row r="562">
      <c r="G562" s="13"/>
      <c r="N562" s="13"/>
    </row>
    <row r="563">
      <c r="G563" s="13"/>
      <c r="N563" s="13"/>
    </row>
    <row r="564">
      <c r="G564" s="13"/>
      <c r="N564" s="13"/>
    </row>
    <row r="565">
      <c r="G565" s="13"/>
      <c r="N565" s="13"/>
    </row>
    <row r="566">
      <c r="G566" s="13"/>
      <c r="N566" s="13"/>
    </row>
    <row r="567">
      <c r="G567" s="13"/>
      <c r="N567" s="13"/>
    </row>
    <row r="568">
      <c r="G568" s="13"/>
      <c r="N568" s="13"/>
    </row>
    <row r="569">
      <c r="G569" s="13"/>
      <c r="N569" s="13"/>
    </row>
    <row r="570">
      <c r="G570" s="13"/>
      <c r="N570" s="13"/>
    </row>
    <row r="571">
      <c r="G571" s="13"/>
      <c r="N571" s="13"/>
    </row>
    <row r="572">
      <c r="G572" s="13"/>
      <c r="N572" s="13"/>
    </row>
    <row r="573">
      <c r="G573" s="13"/>
      <c r="N573" s="13"/>
    </row>
    <row r="574">
      <c r="G574" s="13"/>
      <c r="N574" s="13"/>
    </row>
    <row r="575">
      <c r="G575" s="13"/>
      <c r="N575" s="13"/>
    </row>
    <row r="576">
      <c r="G576" s="13"/>
      <c r="N576" s="13"/>
    </row>
    <row r="577">
      <c r="G577" s="13"/>
      <c r="N577" s="13"/>
    </row>
    <row r="578">
      <c r="G578" s="13"/>
      <c r="N578" s="13"/>
    </row>
    <row r="579">
      <c r="G579" s="13"/>
      <c r="N579" s="13"/>
    </row>
    <row r="580">
      <c r="G580" s="13"/>
      <c r="N580" s="13"/>
    </row>
    <row r="581">
      <c r="G581" s="13"/>
      <c r="N581" s="13"/>
    </row>
    <row r="582">
      <c r="G582" s="13"/>
      <c r="N582" s="13"/>
    </row>
    <row r="583">
      <c r="G583" s="13"/>
      <c r="N583" s="13"/>
    </row>
    <row r="584">
      <c r="G584" s="13"/>
      <c r="N584" s="13"/>
    </row>
    <row r="585">
      <c r="G585" s="13"/>
      <c r="N585" s="13"/>
    </row>
    <row r="586">
      <c r="G586" s="13"/>
      <c r="N586" s="13"/>
    </row>
    <row r="587">
      <c r="G587" s="13"/>
      <c r="N587" s="13"/>
    </row>
    <row r="588">
      <c r="G588" s="13"/>
      <c r="N588" s="13"/>
    </row>
    <row r="589">
      <c r="G589" s="13"/>
      <c r="N589" s="13"/>
    </row>
    <row r="590">
      <c r="G590" s="13"/>
      <c r="N590" s="13"/>
    </row>
    <row r="591">
      <c r="G591" s="13"/>
      <c r="N591" s="13"/>
    </row>
    <row r="592">
      <c r="G592" s="13"/>
      <c r="N592" s="13"/>
    </row>
    <row r="593">
      <c r="G593" s="13"/>
      <c r="N593" s="13"/>
    </row>
    <row r="594">
      <c r="G594" s="13"/>
      <c r="N594" s="13"/>
    </row>
    <row r="595">
      <c r="G595" s="13"/>
      <c r="N595" s="13"/>
    </row>
    <row r="596">
      <c r="G596" s="13"/>
      <c r="N596" s="13"/>
    </row>
    <row r="597">
      <c r="G597" s="13"/>
      <c r="N597" s="13"/>
    </row>
    <row r="598">
      <c r="G598" s="13"/>
      <c r="N598" s="13"/>
    </row>
    <row r="599">
      <c r="G599" s="13"/>
      <c r="N599" s="13"/>
    </row>
    <row r="600">
      <c r="G600" s="13"/>
      <c r="N600" s="13"/>
    </row>
    <row r="601">
      <c r="G601" s="13"/>
      <c r="N601" s="13"/>
    </row>
    <row r="602">
      <c r="G602" s="13"/>
      <c r="N602" s="13"/>
    </row>
    <row r="603">
      <c r="G603" s="13"/>
      <c r="N603" s="13"/>
    </row>
    <row r="604">
      <c r="G604" s="13"/>
      <c r="N604" s="13"/>
    </row>
    <row r="605">
      <c r="G605" s="13"/>
      <c r="N605" s="13"/>
    </row>
    <row r="606">
      <c r="G606" s="13"/>
      <c r="N606" s="13"/>
    </row>
    <row r="607">
      <c r="G607" s="13"/>
      <c r="N607" s="13"/>
    </row>
    <row r="608">
      <c r="G608" s="13"/>
      <c r="N608" s="13"/>
    </row>
    <row r="609">
      <c r="G609" s="13"/>
      <c r="N609" s="13"/>
    </row>
    <row r="610">
      <c r="G610" s="13"/>
      <c r="N610" s="13"/>
    </row>
    <row r="611">
      <c r="G611" s="13"/>
      <c r="N611" s="13"/>
    </row>
    <row r="612">
      <c r="G612" s="13"/>
      <c r="N612" s="13"/>
    </row>
    <row r="613">
      <c r="G613" s="13"/>
      <c r="N613" s="13"/>
    </row>
    <row r="614">
      <c r="G614" s="13"/>
      <c r="N614" s="13"/>
    </row>
    <row r="615">
      <c r="G615" s="13"/>
      <c r="N615" s="13"/>
    </row>
    <row r="616">
      <c r="G616" s="13"/>
      <c r="N616" s="13"/>
    </row>
    <row r="617">
      <c r="G617" s="13"/>
      <c r="N617" s="13"/>
    </row>
    <row r="618">
      <c r="G618" s="13"/>
      <c r="N618" s="13"/>
    </row>
    <row r="619">
      <c r="G619" s="13"/>
      <c r="N619" s="13"/>
    </row>
    <row r="620">
      <c r="G620" s="13"/>
      <c r="N620" s="13"/>
    </row>
    <row r="621">
      <c r="G621" s="13"/>
      <c r="N621" s="13"/>
    </row>
    <row r="622">
      <c r="G622" s="13"/>
      <c r="N622" s="13"/>
    </row>
    <row r="623">
      <c r="G623" s="13"/>
      <c r="N623" s="13"/>
    </row>
    <row r="624">
      <c r="G624" s="13"/>
      <c r="N624" s="13"/>
    </row>
    <row r="625">
      <c r="G625" s="13"/>
      <c r="N625" s="13"/>
    </row>
    <row r="626">
      <c r="G626" s="13"/>
      <c r="N626" s="13"/>
    </row>
    <row r="627">
      <c r="G627" s="13"/>
      <c r="N627" s="13"/>
    </row>
    <row r="628">
      <c r="G628" s="13"/>
      <c r="N628" s="13"/>
    </row>
    <row r="629">
      <c r="G629" s="13"/>
      <c r="N629" s="13"/>
    </row>
    <row r="630">
      <c r="G630" s="13"/>
      <c r="N630" s="13"/>
    </row>
    <row r="631">
      <c r="G631" s="13"/>
      <c r="N631" s="13"/>
    </row>
    <row r="632">
      <c r="G632" s="13"/>
      <c r="N632" s="13"/>
    </row>
    <row r="633">
      <c r="G633" s="13"/>
      <c r="N633" s="13"/>
    </row>
    <row r="634">
      <c r="G634" s="13"/>
      <c r="N634" s="13"/>
    </row>
    <row r="635">
      <c r="G635" s="13"/>
      <c r="N635" s="13"/>
    </row>
    <row r="636">
      <c r="G636" s="13"/>
      <c r="N636" s="13"/>
    </row>
    <row r="637">
      <c r="G637" s="13"/>
      <c r="N637" s="13"/>
    </row>
    <row r="638">
      <c r="G638" s="13"/>
      <c r="N638" s="13"/>
    </row>
    <row r="639">
      <c r="G639" s="13"/>
      <c r="N639" s="13"/>
    </row>
    <row r="640">
      <c r="G640" s="13"/>
      <c r="N640" s="13"/>
    </row>
    <row r="641">
      <c r="G641" s="13"/>
      <c r="N641" s="13"/>
    </row>
    <row r="642">
      <c r="G642" s="13"/>
      <c r="N642" s="13"/>
    </row>
    <row r="643">
      <c r="G643" s="13"/>
      <c r="N643" s="13"/>
    </row>
    <row r="644">
      <c r="G644" s="13"/>
      <c r="N644" s="13"/>
    </row>
    <row r="645">
      <c r="G645" s="13"/>
      <c r="N645" s="13"/>
    </row>
    <row r="646">
      <c r="G646" s="13"/>
      <c r="N646" s="13"/>
    </row>
    <row r="647">
      <c r="G647" s="13"/>
      <c r="N647" s="13"/>
    </row>
    <row r="648">
      <c r="G648" s="13"/>
      <c r="N648" s="13"/>
    </row>
    <row r="649">
      <c r="G649" s="13"/>
      <c r="N649" s="13"/>
    </row>
    <row r="650">
      <c r="G650" s="13"/>
      <c r="N650" s="13"/>
    </row>
    <row r="651">
      <c r="G651" s="13"/>
      <c r="N651" s="13"/>
    </row>
    <row r="652">
      <c r="G652" s="13"/>
      <c r="N652" s="13"/>
    </row>
    <row r="653">
      <c r="G653" s="13"/>
      <c r="N653" s="13"/>
    </row>
    <row r="654">
      <c r="G654" s="13"/>
      <c r="N654" s="13"/>
    </row>
    <row r="655">
      <c r="G655" s="13"/>
      <c r="N655" s="13"/>
    </row>
    <row r="656">
      <c r="G656" s="13"/>
      <c r="N656" s="13"/>
    </row>
    <row r="657">
      <c r="G657" s="13"/>
      <c r="N657" s="13"/>
    </row>
    <row r="658">
      <c r="G658" s="13"/>
      <c r="N658" s="13"/>
    </row>
    <row r="659">
      <c r="G659" s="13"/>
      <c r="N659" s="13"/>
    </row>
    <row r="660">
      <c r="G660" s="13"/>
      <c r="N660" s="13"/>
    </row>
    <row r="661">
      <c r="G661" s="13"/>
      <c r="N661" s="13"/>
    </row>
    <row r="662">
      <c r="G662" s="13"/>
      <c r="N662" s="13"/>
    </row>
    <row r="663">
      <c r="G663" s="13"/>
      <c r="N663" s="13"/>
    </row>
    <row r="664">
      <c r="G664" s="13"/>
      <c r="N664" s="13"/>
    </row>
    <row r="665">
      <c r="G665" s="13"/>
      <c r="N665" s="13"/>
    </row>
    <row r="666">
      <c r="G666" s="13"/>
      <c r="N666" s="13"/>
    </row>
    <row r="667">
      <c r="G667" s="13"/>
      <c r="N667" s="13"/>
    </row>
    <row r="668">
      <c r="G668" s="13"/>
      <c r="N668" s="13"/>
    </row>
    <row r="669">
      <c r="G669" s="13"/>
      <c r="N669" s="13"/>
    </row>
    <row r="670">
      <c r="G670" s="13"/>
      <c r="N670" s="13"/>
    </row>
    <row r="671">
      <c r="G671" s="13"/>
      <c r="N671" s="13"/>
    </row>
    <row r="672">
      <c r="G672" s="13"/>
      <c r="N672" s="13"/>
    </row>
    <row r="673">
      <c r="G673" s="13"/>
      <c r="N673" s="13"/>
    </row>
    <row r="674">
      <c r="G674" s="13"/>
      <c r="N674" s="13"/>
    </row>
    <row r="675">
      <c r="G675" s="13"/>
      <c r="N675" s="13"/>
    </row>
    <row r="676">
      <c r="G676" s="13"/>
      <c r="N676" s="13"/>
    </row>
    <row r="677">
      <c r="G677" s="13"/>
      <c r="N677" s="13"/>
    </row>
    <row r="678">
      <c r="G678" s="13"/>
      <c r="N678" s="13"/>
    </row>
    <row r="679">
      <c r="G679" s="13"/>
      <c r="N679" s="13"/>
    </row>
    <row r="680">
      <c r="G680" s="13"/>
      <c r="N680" s="13"/>
    </row>
    <row r="681">
      <c r="G681" s="13"/>
      <c r="N681" s="13"/>
    </row>
    <row r="682">
      <c r="G682" s="13"/>
      <c r="N682" s="13"/>
    </row>
    <row r="683">
      <c r="G683" s="13"/>
      <c r="N683" s="13"/>
    </row>
    <row r="684">
      <c r="G684" s="13"/>
      <c r="N684" s="13"/>
    </row>
    <row r="685">
      <c r="G685" s="13"/>
      <c r="N685" s="13"/>
    </row>
    <row r="686">
      <c r="G686" s="13"/>
      <c r="N686" s="13"/>
    </row>
    <row r="687">
      <c r="G687" s="13"/>
      <c r="N687" s="13"/>
    </row>
    <row r="688">
      <c r="G688" s="13"/>
      <c r="N688" s="13"/>
    </row>
    <row r="689">
      <c r="G689" s="13"/>
      <c r="N689" s="13"/>
    </row>
    <row r="690">
      <c r="G690" s="13"/>
      <c r="N690" s="13"/>
    </row>
    <row r="691">
      <c r="G691" s="13"/>
      <c r="N691" s="13"/>
    </row>
    <row r="692">
      <c r="G692" s="13"/>
      <c r="N692" s="13"/>
    </row>
    <row r="693">
      <c r="G693" s="13"/>
      <c r="N693" s="13"/>
    </row>
    <row r="694">
      <c r="G694" s="13"/>
      <c r="N694" s="13"/>
    </row>
    <row r="695">
      <c r="G695" s="13"/>
      <c r="N695" s="13"/>
    </row>
    <row r="696">
      <c r="G696" s="13"/>
      <c r="N696" s="13"/>
    </row>
    <row r="697">
      <c r="G697" s="13"/>
      <c r="N697" s="13"/>
    </row>
    <row r="698">
      <c r="G698" s="13"/>
      <c r="N698" s="13"/>
    </row>
    <row r="699">
      <c r="G699" s="13"/>
      <c r="N699" s="13"/>
    </row>
    <row r="700">
      <c r="G700" s="13"/>
      <c r="N700" s="13"/>
    </row>
    <row r="701">
      <c r="G701" s="13"/>
      <c r="N701" s="13"/>
    </row>
    <row r="702">
      <c r="G702" s="13"/>
      <c r="N702" s="13"/>
    </row>
    <row r="703">
      <c r="G703" s="13"/>
      <c r="N703" s="13"/>
    </row>
    <row r="704">
      <c r="G704" s="13"/>
      <c r="N704" s="13"/>
    </row>
    <row r="705">
      <c r="G705" s="13"/>
      <c r="N705" s="13"/>
    </row>
    <row r="706">
      <c r="G706" s="13"/>
      <c r="N706" s="13"/>
    </row>
    <row r="707">
      <c r="G707" s="13"/>
      <c r="N707" s="13"/>
    </row>
    <row r="708">
      <c r="G708" s="13"/>
      <c r="N708" s="13"/>
    </row>
    <row r="709">
      <c r="G709" s="13"/>
      <c r="N709" s="13"/>
    </row>
    <row r="710">
      <c r="G710" s="13"/>
      <c r="N710" s="13"/>
    </row>
    <row r="711">
      <c r="G711" s="13"/>
      <c r="N711" s="13"/>
    </row>
    <row r="712">
      <c r="G712" s="13"/>
      <c r="N712" s="13"/>
    </row>
    <row r="713">
      <c r="G713" s="13"/>
      <c r="N713" s="13"/>
    </row>
    <row r="714">
      <c r="G714" s="13"/>
      <c r="N714" s="13"/>
    </row>
    <row r="715">
      <c r="G715" s="13"/>
      <c r="N715" s="13"/>
    </row>
    <row r="716">
      <c r="G716" s="13"/>
      <c r="N716" s="13"/>
    </row>
    <row r="717">
      <c r="G717" s="13"/>
      <c r="N717" s="13"/>
    </row>
    <row r="718">
      <c r="G718" s="13"/>
      <c r="N718" s="13"/>
    </row>
    <row r="719">
      <c r="G719" s="13"/>
      <c r="N719" s="13"/>
    </row>
    <row r="720">
      <c r="G720" s="13"/>
      <c r="N720" s="13"/>
    </row>
    <row r="721">
      <c r="G721" s="13"/>
      <c r="N721" s="13"/>
    </row>
    <row r="722">
      <c r="G722" s="13"/>
      <c r="N722" s="13"/>
    </row>
    <row r="723">
      <c r="G723" s="13"/>
      <c r="N723" s="13"/>
    </row>
    <row r="724">
      <c r="G724" s="13"/>
      <c r="N724" s="13"/>
    </row>
    <row r="725">
      <c r="G725" s="13"/>
      <c r="N725" s="13"/>
    </row>
    <row r="726">
      <c r="G726" s="13"/>
      <c r="N726" s="13"/>
    </row>
    <row r="727">
      <c r="G727" s="13"/>
      <c r="N727" s="13"/>
    </row>
    <row r="728">
      <c r="G728" s="13"/>
      <c r="N728" s="13"/>
    </row>
    <row r="729">
      <c r="G729" s="13"/>
      <c r="N729" s="13"/>
    </row>
    <row r="730">
      <c r="G730" s="13"/>
      <c r="N730" s="13"/>
    </row>
    <row r="731">
      <c r="G731" s="13"/>
      <c r="N731" s="13"/>
    </row>
    <row r="732">
      <c r="G732" s="13"/>
      <c r="N732" s="13"/>
    </row>
    <row r="733">
      <c r="G733" s="13"/>
      <c r="N733" s="13"/>
    </row>
    <row r="734">
      <c r="G734" s="13"/>
      <c r="N734" s="13"/>
    </row>
    <row r="735">
      <c r="G735" s="13"/>
      <c r="N735" s="13"/>
    </row>
    <row r="736">
      <c r="G736" s="13"/>
      <c r="N736" s="13"/>
    </row>
    <row r="737">
      <c r="G737" s="13"/>
      <c r="N737" s="13"/>
    </row>
    <row r="738">
      <c r="G738" s="13"/>
      <c r="N738" s="13"/>
    </row>
    <row r="739">
      <c r="G739" s="13"/>
      <c r="N739" s="13"/>
    </row>
    <row r="740">
      <c r="G740" s="13"/>
      <c r="N740" s="13"/>
    </row>
    <row r="741">
      <c r="G741" s="13"/>
      <c r="N741" s="13"/>
    </row>
    <row r="742">
      <c r="G742" s="13"/>
      <c r="N742" s="13"/>
    </row>
    <row r="743">
      <c r="G743" s="13"/>
      <c r="N743" s="13"/>
    </row>
    <row r="744">
      <c r="G744" s="13"/>
      <c r="N744" s="13"/>
    </row>
    <row r="745">
      <c r="G745" s="13"/>
      <c r="N745" s="13"/>
    </row>
    <row r="746">
      <c r="G746" s="13"/>
      <c r="N746" s="13"/>
    </row>
    <row r="747">
      <c r="G747" s="13"/>
      <c r="N747" s="13"/>
    </row>
    <row r="748">
      <c r="G748" s="13"/>
      <c r="N748" s="13"/>
    </row>
    <row r="749">
      <c r="G749" s="13"/>
      <c r="N749" s="13"/>
    </row>
    <row r="750">
      <c r="G750" s="13"/>
      <c r="N750" s="13"/>
    </row>
    <row r="751">
      <c r="G751" s="13"/>
      <c r="N751" s="13"/>
    </row>
    <row r="752">
      <c r="G752" s="13"/>
      <c r="N752" s="13"/>
    </row>
    <row r="753">
      <c r="G753" s="13"/>
      <c r="N753" s="13"/>
    </row>
    <row r="754">
      <c r="G754" s="13"/>
      <c r="N754" s="13"/>
    </row>
    <row r="755">
      <c r="G755" s="13"/>
      <c r="N755" s="13"/>
    </row>
    <row r="756">
      <c r="G756" s="13"/>
      <c r="N756" s="13"/>
    </row>
    <row r="757">
      <c r="G757" s="13"/>
      <c r="N757" s="13"/>
    </row>
    <row r="758">
      <c r="G758" s="13"/>
      <c r="N758" s="13"/>
    </row>
    <row r="759">
      <c r="G759" s="13"/>
      <c r="N759" s="13"/>
    </row>
    <row r="760">
      <c r="G760" s="13"/>
      <c r="N760" s="13"/>
    </row>
    <row r="761">
      <c r="G761" s="13"/>
      <c r="N761" s="13"/>
    </row>
    <row r="762">
      <c r="G762" s="13"/>
      <c r="N762" s="13"/>
    </row>
    <row r="763">
      <c r="G763" s="13"/>
      <c r="N763" s="13"/>
    </row>
    <row r="764">
      <c r="G764" s="13"/>
      <c r="N764" s="13"/>
    </row>
    <row r="765">
      <c r="G765" s="13"/>
      <c r="N765" s="13"/>
    </row>
    <row r="766">
      <c r="G766" s="13"/>
      <c r="N766" s="13"/>
    </row>
    <row r="767">
      <c r="G767" s="13"/>
      <c r="N767" s="13"/>
    </row>
    <row r="768">
      <c r="G768" s="13"/>
      <c r="N768" s="13"/>
    </row>
    <row r="769">
      <c r="G769" s="13"/>
      <c r="N769" s="13"/>
    </row>
    <row r="770">
      <c r="G770" s="13"/>
      <c r="N770" s="13"/>
    </row>
    <row r="771">
      <c r="G771" s="13"/>
      <c r="N771" s="13"/>
    </row>
    <row r="772">
      <c r="G772" s="13"/>
      <c r="N772" s="13"/>
    </row>
    <row r="773">
      <c r="G773" s="13"/>
      <c r="N773" s="13"/>
    </row>
    <row r="774">
      <c r="G774" s="13"/>
      <c r="N774" s="13"/>
    </row>
    <row r="775">
      <c r="G775" s="13"/>
      <c r="N775" s="13"/>
    </row>
    <row r="776">
      <c r="G776" s="13"/>
      <c r="N776" s="13"/>
    </row>
    <row r="777">
      <c r="G777" s="13"/>
      <c r="N777" s="13"/>
    </row>
    <row r="778">
      <c r="G778" s="13"/>
      <c r="N778" s="13"/>
    </row>
    <row r="779">
      <c r="G779" s="13"/>
      <c r="N779" s="13"/>
    </row>
    <row r="780">
      <c r="G780" s="13"/>
      <c r="N780" s="13"/>
    </row>
    <row r="781">
      <c r="G781" s="13"/>
      <c r="N781" s="13"/>
    </row>
    <row r="782">
      <c r="G782" s="13"/>
      <c r="N782" s="13"/>
    </row>
    <row r="783">
      <c r="G783" s="13"/>
      <c r="N783" s="13"/>
    </row>
    <row r="784">
      <c r="G784" s="13"/>
      <c r="N784" s="13"/>
    </row>
    <row r="785">
      <c r="G785" s="13"/>
      <c r="N785" s="13"/>
    </row>
    <row r="786">
      <c r="G786" s="13"/>
      <c r="N786" s="13"/>
    </row>
    <row r="787">
      <c r="G787" s="13"/>
      <c r="N787" s="13"/>
    </row>
    <row r="788">
      <c r="G788" s="13"/>
      <c r="N788" s="13"/>
    </row>
    <row r="789">
      <c r="G789" s="13"/>
      <c r="N789" s="13"/>
    </row>
    <row r="790">
      <c r="G790" s="13"/>
      <c r="N790" s="13"/>
    </row>
    <row r="791">
      <c r="G791" s="13"/>
      <c r="N791" s="13"/>
    </row>
    <row r="792">
      <c r="G792" s="13"/>
      <c r="N792" s="13"/>
    </row>
    <row r="793">
      <c r="G793" s="13"/>
      <c r="N793" s="13"/>
    </row>
    <row r="794">
      <c r="G794" s="13"/>
      <c r="N794" s="13"/>
    </row>
    <row r="795">
      <c r="G795" s="13"/>
      <c r="N795" s="13"/>
    </row>
    <row r="796">
      <c r="G796" s="13"/>
      <c r="N796" s="13"/>
    </row>
    <row r="797">
      <c r="G797" s="13"/>
      <c r="N797" s="13"/>
    </row>
    <row r="798">
      <c r="G798" s="13"/>
      <c r="N798" s="13"/>
    </row>
    <row r="799">
      <c r="G799" s="13"/>
      <c r="N799" s="13"/>
    </row>
    <row r="800">
      <c r="G800" s="13"/>
      <c r="N800" s="13"/>
    </row>
    <row r="801">
      <c r="G801" s="13"/>
      <c r="N801" s="13"/>
    </row>
    <row r="802">
      <c r="G802" s="13"/>
      <c r="N802" s="13"/>
    </row>
    <row r="803">
      <c r="G803" s="13"/>
      <c r="N803" s="13"/>
    </row>
    <row r="804">
      <c r="G804" s="13"/>
      <c r="N804" s="13"/>
    </row>
    <row r="805">
      <c r="G805" s="13"/>
      <c r="N805" s="13"/>
    </row>
    <row r="806">
      <c r="G806" s="13"/>
      <c r="N806" s="13"/>
    </row>
    <row r="807">
      <c r="G807" s="13"/>
      <c r="N807" s="13"/>
    </row>
    <row r="808">
      <c r="G808" s="13"/>
      <c r="N808" s="13"/>
    </row>
    <row r="809">
      <c r="G809" s="13"/>
      <c r="N809" s="13"/>
    </row>
    <row r="810">
      <c r="G810" s="13"/>
      <c r="N810" s="13"/>
    </row>
    <row r="811">
      <c r="G811" s="13"/>
      <c r="N811" s="13"/>
    </row>
    <row r="812">
      <c r="G812" s="13"/>
      <c r="N812" s="13"/>
    </row>
    <row r="813">
      <c r="G813" s="13"/>
      <c r="N813" s="13"/>
    </row>
    <row r="814">
      <c r="G814" s="13"/>
      <c r="N814" s="13"/>
    </row>
    <row r="815">
      <c r="G815" s="13"/>
      <c r="N815" s="13"/>
    </row>
    <row r="816">
      <c r="G816" s="13"/>
      <c r="N816" s="13"/>
    </row>
    <row r="817">
      <c r="G817" s="13"/>
      <c r="N817" s="13"/>
    </row>
    <row r="818">
      <c r="G818" s="13"/>
      <c r="N818" s="13"/>
    </row>
    <row r="819">
      <c r="G819" s="13"/>
      <c r="N819" s="13"/>
    </row>
    <row r="820">
      <c r="G820" s="13"/>
      <c r="N820" s="13"/>
    </row>
    <row r="821">
      <c r="G821" s="13"/>
      <c r="N821" s="13"/>
    </row>
    <row r="822">
      <c r="G822" s="13"/>
      <c r="N822" s="13"/>
    </row>
    <row r="823">
      <c r="G823" s="13"/>
      <c r="N823" s="13"/>
    </row>
    <row r="824">
      <c r="G824" s="13"/>
      <c r="N824" s="13"/>
    </row>
    <row r="825">
      <c r="G825" s="13"/>
      <c r="N825" s="13"/>
    </row>
    <row r="826">
      <c r="G826" s="13"/>
      <c r="N826" s="13"/>
    </row>
    <row r="827">
      <c r="G827" s="13"/>
      <c r="N827" s="13"/>
    </row>
    <row r="828">
      <c r="G828" s="13"/>
      <c r="N828" s="13"/>
    </row>
    <row r="829">
      <c r="G829" s="13"/>
      <c r="N829" s="13"/>
    </row>
    <row r="830">
      <c r="G830" s="13"/>
      <c r="N830" s="13"/>
    </row>
    <row r="831">
      <c r="G831" s="13"/>
      <c r="N831" s="13"/>
    </row>
    <row r="832">
      <c r="G832" s="13"/>
      <c r="N832" s="13"/>
    </row>
    <row r="833">
      <c r="G833" s="13"/>
      <c r="N833" s="13"/>
    </row>
    <row r="834">
      <c r="G834" s="13"/>
      <c r="N834" s="13"/>
    </row>
    <row r="835">
      <c r="G835" s="13"/>
      <c r="N835" s="13"/>
    </row>
    <row r="836">
      <c r="G836" s="13"/>
      <c r="N836" s="13"/>
    </row>
    <row r="837">
      <c r="G837" s="13"/>
      <c r="N837" s="13"/>
    </row>
    <row r="838">
      <c r="G838" s="13"/>
      <c r="N838" s="13"/>
    </row>
    <row r="839">
      <c r="G839" s="13"/>
      <c r="N839" s="13"/>
    </row>
    <row r="840">
      <c r="G840" s="13"/>
      <c r="N840" s="13"/>
    </row>
    <row r="841">
      <c r="G841" s="13"/>
      <c r="N841" s="13"/>
    </row>
    <row r="842">
      <c r="G842" s="13"/>
      <c r="N842" s="13"/>
    </row>
    <row r="843">
      <c r="G843" s="13"/>
      <c r="N843" s="13"/>
    </row>
    <row r="844">
      <c r="G844" s="13"/>
      <c r="N844" s="13"/>
    </row>
    <row r="845">
      <c r="G845" s="13"/>
      <c r="N845" s="13"/>
    </row>
    <row r="846">
      <c r="G846" s="13"/>
      <c r="N846" s="13"/>
    </row>
    <row r="847">
      <c r="G847" s="13"/>
      <c r="N847" s="13"/>
    </row>
    <row r="848">
      <c r="G848" s="13"/>
      <c r="N848" s="13"/>
    </row>
    <row r="849">
      <c r="G849" s="13"/>
      <c r="N849" s="13"/>
    </row>
    <row r="850">
      <c r="G850" s="13"/>
      <c r="N850" s="13"/>
    </row>
    <row r="851">
      <c r="G851" s="13"/>
      <c r="N851" s="13"/>
    </row>
    <row r="852">
      <c r="G852" s="13"/>
      <c r="N852" s="13"/>
    </row>
    <row r="853">
      <c r="G853" s="13"/>
      <c r="N853" s="13"/>
    </row>
    <row r="854">
      <c r="G854" s="13"/>
      <c r="N854" s="13"/>
    </row>
    <row r="855">
      <c r="G855" s="13"/>
      <c r="N855" s="13"/>
    </row>
    <row r="856">
      <c r="G856" s="13"/>
      <c r="N856" s="13"/>
    </row>
    <row r="857">
      <c r="G857" s="13"/>
      <c r="N857" s="13"/>
    </row>
    <row r="858">
      <c r="G858" s="13"/>
      <c r="N858" s="13"/>
    </row>
    <row r="859">
      <c r="G859" s="13"/>
      <c r="N859" s="13"/>
    </row>
    <row r="860">
      <c r="G860" s="13"/>
      <c r="N860" s="13"/>
    </row>
    <row r="861">
      <c r="G861" s="13"/>
      <c r="N861" s="13"/>
    </row>
    <row r="862">
      <c r="G862" s="13"/>
      <c r="N862" s="13"/>
    </row>
    <row r="863">
      <c r="G863" s="13"/>
      <c r="N863" s="13"/>
    </row>
    <row r="864">
      <c r="G864" s="13"/>
      <c r="N864" s="13"/>
    </row>
    <row r="865">
      <c r="G865" s="13"/>
      <c r="N865" s="13"/>
    </row>
    <row r="866">
      <c r="G866" s="13"/>
      <c r="N866" s="13"/>
    </row>
    <row r="867">
      <c r="G867" s="13"/>
      <c r="N867" s="13"/>
    </row>
    <row r="868">
      <c r="G868" s="13"/>
      <c r="N868" s="13"/>
    </row>
    <row r="869">
      <c r="G869" s="13"/>
      <c r="N869" s="13"/>
    </row>
    <row r="870">
      <c r="G870" s="13"/>
      <c r="N870" s="13"/>
    </row>
    <row r="871">
      <c r="G871" s="13"/>
      <c r="N871" s="13"/>
    </row>
    <row r="872">
      <c r="G872" s="13"/>
      <c r="N872" s="13"/>
    </row>
    <row r="873">
      <c r="G873" s="13"/>
      <c r="N873" s="13"/>
    </row>
    <row r="874">
      <c r="G874" s="13"/>
      <c r="N874" s="13"/>
    </row>
    <row r="875">
      <c r="G875" s="13"/>
      <c r="N875" s="13"/>
    </row>
    <row r="876">
      <c r="G876" s="13"/>
      <c r="N876" s="13"/>
    </row>
    <row r="877">
      <c r="G877" s="13"/>
      <c r="N877" s="13"/>
    </row>
    <row r="878">
      <c r="G878" s="13"/>
      <c r="N878" s="13"/>
    </row>
    <row r="879">
      <c r="G879" s="13"/>
      <c r="N879" s="13"/>
    </row>
    <row r="880">
      <c r="G880" s="13"/>
      <c r="N880" s="13"/>
    </row>
    <row r="881">
      <c r="G881" s="13"/>
      <c r="N881" s="13"/>
    </row>
    <row r="882">
      <c r="G882" s="13"/>
      <c r="N882" s="13"/>
    </row>
    <row r="883">
      <c r="G883" s="13"/>
      <c r="N883" s="13"/>
    </row>
    <row r="884">
      <c r="G884" s="13"/>
      <c r="N884" s="13"/>
    </row>
    <row r="885">
      <c r="G885" s="13"/>
      <c r="N885" s="13"/>
    </row>
    <row r="886">
      <c r="G886" s="13"/>
      <c r="N886" s="13"/>
    </row>
    <row r="887">
      <c r="G887" s="13"/>
      <c r="N887" s="13"/>
    </row>
    <row r="888">
      <c r="G888" s="13"/>
      <c r="N888" s="13"/>
    </row>
    <row r="889">
      <c r="G889" s="13"/>
      <c r="N889" s="13"/>
    </row>
    <row r="890">
      <c r="G890" s="13"/>
      <c r="N890" s="13"/>
    </row>
    <row r="891">
      <c r="G891" s="13"/>
      <c r="N891" s="13"/>
    </row>
    <row r="892">
      <c r="G892" s="13"/>
      <c r="N892" s="13"/>
    </row>
    <row r="893">
      <c r="G893" s="13"/>
      <c r="N893" s="13"/>
    </row>
    <row r="894">
      <c r="G894" s="13"/>
      <c r="N894" s="13"/>
    </row>
    <row r="895">
      <c r="G895" s="13"/>
      <c r="N895" s="13"/>
    </row>
    <row r="896">
      <c r="G896" s="13"/>
      <c r="N896" s="13"/>
    </row>
    <row r="897">
      <c r="G897" s="13"/>
      <c r="N897" s="13"/>
    </row>
    <row r="898">
      <c r="G898" s="13"/>
      <c r="N898" s="13"/>
    </row>
    <row r="899">
      <c r="G899" s="13"/>
      <c r="N899" s="13"/>
    </row>
    <row r="900">
      <c r="G900" s="13"/>
      <c r="N900" s="13"/>
    </row>
    <row r="901">
      <c r="G901" s="13"/>
      <c r="N901" s="13"/>
    </row>
    <row r="902">
      <c r="G902" s="13"/>
      <c r="N902" s="13"/>
    </row>
    <row r="903">
      <c r="G903" s="13"/>
      <c r="N903" s="13"/>
    </row>
    <row r="904">
      <c r="G904" s="13"/>
      <c r="N904" s="13"/>
    </row>
    <row r="905">
      <c r="G905" s="13"/>
      <c r="N905" s="13"/>
    </row>
    <row r="906">
      <c r="G906" s="13"/>
      <c r="N906" s="13"/>
    </row>
    <row r="907">
      <c r="G907" s="13"/>
      <c r="N907" s="13"/>
    </row>
    <row r="908">
      <c r="G908" s="13"/>
      <c r="N908" s="13"/>
    </row>
    <row r="909">
      <c r="G909" s="13"/>
      <c r="N909" s="13"/>
    </row>
    <row r="910">
      <c r="G910" s="13"/>
      <c r="N910" s="13"/>
    </row>
    <row r="911">
      <c r="G911" s="13"/>
      <c r="N911" s="13"/>
    </row>
    <row r="912">
      <c r="G912" s="13"/>
      <c r="N912" s="13"/>
    </row>
    <row r="913">
      <c r="G913" s="13"/>
      <c r="N913" s="13"/>
    </row>
    <row r="914">
      <c r="G914" s="13"/>
      <c r="N914" s="13"/>
    </row>
    <row r="915">
      <c r="G915" s="13"/>
      <c r="N915" s="13"/>
    </row>
    <row r="916">
      <c r="G916" s="13"/>
      <c r="N916" s="13"/>
    </row>
    <row r="917">
      <c r="G917" s="13"/>
      <c r="N917" s="13"/>
    </row>
    <row r="918">
      <c r="G918" s="13"/>
      <c r="N918" s="13"/>
    </row>
    <row r="919">
      <c r="G919" s="13"/>
      <c r="N919" s="13"/>
    </row>
    <row r="920">
      <c r="G920" s="13"/>
      <c r="N920" s="13"/>
    </row>
    <row r="921">
      <c r="G921" s="13"/>
      <c r="N921" s="13"/>
    </row>
    <row r="922">
      <c r="G922" s="13"/>
      <c r="N922" s="13"/>
    </row>
    <row r="923">
      <c r="G923" s="13"/>
      <c r="N923" s="13"/>
    </row>
    <row r="924">
      <c r="G924" s="13"/>
      <c r="N924" s="13"/>
    </row>
    <row r="925">
      <c r="G925" s="13"/>
      <c r="N925" s="13"/>
    </row>
    <row r="926">
      <c r="G926" s="13"/>
      <c r="N926" s="13"/>
    </row>
    <row r="927">
      <c r="G927" s="13"/>
      <c r="N927" s="13"/>
    </row>
    <row r="928">
      <c r="G928" s="13"/>
      <c r="N928" s="13"/>
    </row>
    <row r="929">
      <c r="G929" s="13"/>
      <c r="N929" s="13"/>
    </row>
    <row r="930">
      <c r="G930" s="13"/>
      <c r="N930" s="13"/>
    </row>
    <row r="931">
      <c r="G931" s="13"/>
      <c r="N931" s="13"/>
    </row>
    <row r="932">
      <c r="G932" s="13"/>
      <c r="N932" s="13"/>
    </row>
    <row r="933">
      <c r="G933" s="13"/>
      <c r="N933" s="13"/>
    </row>
    <row r="934">
      <c r="G934" s="13"/>
      <c r="N934" s="13"/>
    </row>
    <row r="935">
      <c r="G935" s="13"/>
      <c r="N935" s="13"/>
    </row>
    <row r="936">
      <c r="G936" s="13"/>
      <c r="N936" s="13"/>
    </row>
    <row r="937">
      <c r="G937" s="13"/>
      <c r="N937" s="13"/>
    </row>
    <row r="938">
      <c r="G938" s="13"/>
      <c r="N938" s="13"/>
    </row>
    <row r="939">
      <c r="G939" s="13"/>
      <c r="N939" s="13"/>
    </row>
    <row r="940">
      <c r="G940" s="13"/>
      <c r="N940" s="13"/>
    </row>
    <row r="941">
      <c r="G941" s="13"/>
      <c r="N941" s="13"/>
    </row>
    <row r="942">
      <c r="G942" s="13"/>
      <c r="N942" s="13"/>
    </row>
    <row r="943">
      <c r="G943" s="13"/>
      <c r="N943" s="13"/>
    </row>
    <row r="944">
      <c r="G944" s="13"/>
      <c r="N944" s="13"/>
    </row>
    <row r="945">
      <c r="G945" s="13"/>
      <c r="N945" s="13"/>
    </row>
    <row r="946">
      <c r="G946" s="13"/>
      <c r="N946" s="13"/>
    </row>
    <row r="947">
      <c r="G947" s="13"/>
      <c r="N947" s="13"/>
    </row>
    <row r="948">
      <c r="G948" s="13"/>
      <c r="N948" s="13"/>
    </row>
    <row r="949">
      <c r="G949" s="13"/>
      <c r="N949" s="13"/>
    </row>
    <row r="950">
      <c r="G950" s="13"/>
      <c r="N950" s="13"/>
    </row>
    <row r="951">
      <c r="G951" s="13"/>
      <c r="N951" s="13"/>
    </row>
    <row r="952">
      <c r="G952" s="13"/>
      <c r="N952" s="13"/>
    </row>
    <row r="953">
      <c r="G953" s="13"/>
      <c r="N953" s="13"/>
    </row>
    <row r="954">
      <c r="G954" s="13"/>
      <c r="N954" s="13"/>
    </row>
    <row r="955">
      <c r="G955" s="13"/>
      <c r="N955" s="13"/>
    </row>
    <row r="956">
      <c r="G956" s="13"/>
      <c r="N956" s="13"/>
    </row>
    <row r="957">
      <c r="G957" s="13"/>
      <c r="N957" s="13"/>
    </row>
    <row r="958">
      <c r="G958" s="13"/>
      <c r="N958" s="13"/>
    </row>
    <row r="959">
      <c r="G959" s="13"/>
      <c r="N959" s="13"/>
    </row>
    <row r="960">
      <c r="G960" s="13"/>
      <c r="N960" s="13"/>
    </row>
    <row r="961">
      <c r="G961" s="13"/>
      <c r="N961" s="13"/>
    </row>
    <row r="962">
      <c r="G962" s="13"/>
      <c r="N962" s="13"/>
    </row>
    <row r="963">
      <c r="G963" s="13"/>
      <c r="N963" s="13"/>
    </row>
    <row r="964">
      <c r="G964" s="13"/>
      <c r="N964" s="13"/>
    </row>
    <row r="965">
      <c r="G965" s="13"/>
      <c r="N965" s="13"/>
    </row>
    <row r="966">
      <c r="G966" s="13"/>
      <c r="N966" s="13"/>
    </row>
    <row r="967">
      <c r="G967" s="13"/>
      <c r="N967" s="13"/>
    </row>
    <row r="968">
      <c r="G968" s="13"/>
      <c r="N968" s="13"/>
    </row>
    <row r="969">
      <c r="G969" s="13"/>
      <c r="N969" s="13"/>
    </row>
    <row r="970">
      <c r="G970" s="13"/>
      <c r="N970" s="13"/>
    </row>
    <row r="971">
      <c r="G971" s="13"/>
      <c r="N971" s="13"/>
    </row>
    <row r="972">
      <c r="G972" s="13"/>
      <c r="N972" s="13"/>
    </row>
    <row r="973">
      <c r="G973" s="13"/>
      <c r="N973" s="13"/>
    </row>
    <row r="974">
      <c r="G974" s="13"/>
      <c r="N974" s="13"/>
    </row>
    <row r="975">
      <c r="G975" s="13"/>
      <c r="N975" s="13"/>
    </row>
    <row r="976">
      <c r="G976" s="13"/>
      <c r="N976" s="13"/>
    </row>
    <row r="977">
      <c r="G977" s="13"/>
      <c r="N977" s="13"/>
    </row>
    <row r="978">
      <c r="G978" s="13"/>
      <c r="N978" s="13"/>
    </row>
    <row r="979">
      <c r="G979" s="13"/>
      <c r="N979" s="13"/>
    </row>
    <row r="980">
      <c r="G980" s="13"/>
      <c r="N980" s="13"/>
    </row>
    <row r="981">
      <c r="G981" s="13"/>
      <c r="N981" s="13"/>
    </row>
    <row r="982">
      <c r="G982" s="13"/>
      <c r="N982" s="13"/>
    </row>
    <row r="983">
      <c r="G983" s="13"/>
      <c r="N983" s="13"/>
    </row>
    <row r="984">
      <c r="G984" s="13"/>
      <c r="N984" s="13"/>
    </row>
    <row r="985">
      <c r="G985" s="13"/>
      <c r="N985" s="13"/>
    </row>
    <row r="986">
      <c r="G986" s="13"/>
      <c r="N986" s="13"/>
    </row>
    <row r="987">
      <c r="G987" s="13"/>
      <c r="N987" s="13"/>
    </row>
    <row r="988">
      <c r="G988" s="13"/>
      <c r="N988" s="13"/>
    </row>
    <row r="989">
      <c r="G989" s="13"/>
      <c r="N989" s="13"/>
    </row>
    <row r="990">
      <c r="G990" s="13"/>
      <c r="N990" s="13"/>
    </row>
    <row r="991">
      <c r="G991" s="13"/>
      <c r="N991" s="13"/>
    </row>
    <row r="992">
      <c r="G992" s="13"/>
      <c r="N992" s="13"/>
    </row>
    <row r="993">
      <c r="G993" s="13"/>
      <c r="N99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6.13"/>
    <col customWidth="1" min="3" max="3" width="4.75"/>
    <col customWidth="1" min="4" max="4" width="6.75"/>
    <col customWidth="1" min="5" max="7" width="6.13"/>
    <col customWidth="1" min="8" max="8" width="8.0"/>
  </cols>
  <sheetData>
    <row r="1">
      <c r="A1" s="28" t="s">
        <v>22</v>
      </c>
      <c r="B1" s="29" t="s">
        <v>23</v>
      </c>
      <c r="C1" s="29" t="s">
        <v>24</v>
      </c>
      <c r="D1" s="29" t="s">
        <v>25</v>
      </c>
      <c r="E1" s="29" t="s">
        <v>26</v>
      </c>
      <c r="F1" s="29" t="s">
        <v>27</v>
      </c>
      <c r="G1" s="29" t="s">
        <v>28</v>
      </c>
      <c r="H1" s="29" t="s">
        <v>29</v>
      </c>
      <c r="I1" s="29" t="s">
        <v>30</v>
      </c>
    </row>
    <row r="2">
      <c r="A2" s="30" t="s">
        <v>3</v>
      </c>
      <c r="B2" s="31">
        <v>30.0</v>
      </c>
      <c r="C2" s="31">
        <v>32.0</v>
      </c>
      <c r="D2" s="31">
        <v>32.0</v>
      </c>
      <c r="E2" s="31">
        <v>36.75</v>
      </c>
      <c r="F2" s="31">
        <v>52.0</v>
      </c>
      <c r="G2" s="31">
        <v>36.375</v>
      </c>
      <c r="H2" s="31">
        <v>8.517838</v>
      </c>
      <c r="I2" s="31" t="s">
        <v>31</v>
      </c>
    </row>
    <row r="3">
      <c r="A3" s="30" t="s">
        <v>4</v>
      </c>
      <c r="B3" s="31">
        <v>1.0</v>
      </c>
      <c r="C3" s="31">
        <v>2.75</v>
      </c>
      <c r="D3" s="31">
        <v>6.5</v>
      </c>
      <c r="E3" s="31">
        <v>9.25</v>
      </c>
      <c r="F3" s="31">
        <v>21.0</v>
      </c>
      <c r="G3" s="31">
        <v>7.625</v>
      </c>
      <c r="H3" s="31">
        <v>6.63</v>
      </c>
      <c r="I3" s="31" t="s">
        <v>31</v>
      </c>
    </row>
    <row r="4">
      <c r="A4" s="30" t="s">
        <v>6</v>
      </c>
      <c r="B4" s="31">
        <v>3.2</v>
      </c>
      <c r="C4" s="31">
        <v>4.21</v>
      </c>
      <c r="D4" s="31">
        <v>5.2</v>
      </c>
      <c r="E4" s="31">
        <v>5.845</v>
      </c>
      <c r="F4" s="31">
        <v>8.6</v>
      </c>
      <c r="G4" s="31">
        <v>5.169</v>
      </c>
      <c r="H4" s="31">
        <v>1.12</v>
      </c>
      <c r="I4" s="31" t="s">
        <v>31</v>
      </c>
    </row>
    <row r="5">
      <c r="A5" s="30" t="s">
        <v>32</v>
      </c>
      <c r="B5" s="32">
        <v>0.0</v>
      </c>
      <c r="C5" s="31">
        <v>0.25</v>
      </c>
      <c r="D5" s="31">
        <v>0.5</v>
      </c>
      <c r="E5" s="31">
        <v>1.0</v>
      </c>
      <c r="F5" s="31">
        <v>1.0</v>
      </c>
      <c r="G5" s="31">
        <v>0.5405</v>
      </c>
      <c r="H5" s="31">
        <v>0.3926679</v>
      </c>
      <c r="I5" s="31" t="s">
        <v>31</v>
      </c>
    </row>
    <row r="6">
      <c r="A6" s="30" t="s">
        <v>33</v>
      </c>
      <c r="B6" s="32">
        <v>0.0</v>
      </c>
      <c r="C6" s="32">
        <v>0.0</v>
      </c>
      <c r="D6" s="32">
        <v>0.0</v>
      </c>
      <c r="E6" s="31">
        <v>1.0</v>
      </c>
      <c r="F6" s="31">
        <v>2.0</v>
      </c>
      <c r="G6" s="31">
        <v>0.2647</v>
      </c>
      <c r="H6" s="31">
        <v>0.464</v>
      </c>
      <c r="I6" s="32">
        <v>54.0</v>
      </c>
    </row>
    <row r="7">
      <c r="A7" s="30" t="s">
        <v>34</v>
      </c>
      <c r="B7" s="32">
        <v>0.0</v>
      </c>
      <c r="C7" s="32">
        <v>0.0</v>
      </c>
      <c r="D7" s="31">
        <v>1.0</v>
      </c>
      <c r="E7" s="31">
        <v>1.0</v>
      </c>
      <c r="F7" s="31">
        <v>3.0</v>
      </c>
      <c r="G7" s="31">
        <v>0.6618</v>
      </c>
      <c r="H7" s="31">
        <v>0.7548</v>
      </c>
      <c r="I7" s="32">
        <v>135.0</v>
      </c>
    </row>
    <row r="8">
      <c r="A8" s="30" t="s">
        <v>35</v>
      </c>
      <c r="B8" s="31">
        <v>64.2</v>
      </c>
      <c r="C8" s="31">
        <v>88.24</v>
      </c>
      <c r="D8" s="31">
        <v>100.2</v>
      </c>
      <c r="E8" s="31">
        <v>120.75</v>
      </c>
      <c r="F8" s="31">
        <v>167.0</v>
      </c>
      <c r="G8" s="31">
        <v>102.92</v>
      </c>
      <c r="H8" s="31">
        <v>19.9654</v>
      </c>
      <c r="I8" s="31" t="s">
        <v>31</v>
      </c>
    </row>
  </sheetData>
  <drawing r:id="rId1"/>
</worksheet>
</file>