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870" windowHeight="77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0" i="1" l="1"/>
  <c r="L30" i="1"/>
  <c r="K33" i="1" s="1"/>
  <c r="K30" i="1"/>
  <c r="K34" i="1"/>
  <c r="K29" i="1"/>
  <c r="L29" i="1"/>
  <c r="M24" i="1"/>
  <c r="M26" i="1" s="1"/>
  <c r="L24" i="1"/>
  <c r="L26" i="1" s="1"/>
  <c r="K24" i="1"/>
  <c r="K26" i="1"/>
  <c r="R18" i="1"/>
  <c r="R19" i="1"/>
  <c r="R20" i="1"/>
  <c r="R21" i="1"/>
  <c r="R22" i="1"/>
  <c r="R23" i="1"/>
  <c r="R24" i="1"/>
  <c r="R25" i="1"/>
  <c r="R26" i="1"/>
  <c r="R17" i="1"/>
  <c r="M28" i="1"/>
  <c r="L28" i="1"/>
  <c r="K28" i="1"/>
  <c r="H29" i="1"/>
  <c r="H28" i="1"/>
  <c r="I18" i="1"/>
  <c r="E18" i="1"/>
  <c r="E19" i="1"/>
  <c r="E20" i="1"/>
  <c r="E21" i="1"/>
  <c r="E22" i="1"/>
  <c r="E23" i="1"/>
  <c r="E24" i="1"/>
  <c r="E25" i="1"/>
  <c r="E26" i="1"/>
  <c r="E17" i="1"/>
  <c r="D18" i="1"/>
  <c r="D19" i="1"/>
  <c r="D20" i="1"/>
  <c r="D21" i="1"/>
  <c r="D22" i="1"/>
  <c r="D23" i="1"/>
  <c r="D24" i="1"/>
  <c r="D25" i="1"/>
  <c r="D26" i="1"/>
  <c r="D17" i="1"/>
  <c r="M29" i="1" l="1"/>
  <c r="N34" i="1" s="1"/>
  <c r="N33" i="1"/>
  <c r="K32" i="1"/>
  <c r="N32" i="1" s="1"/>
  <c r="E43" i="1"/>
  <c r="D43" i="1"/>
  <c r="B31" i="1" l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30" i="1"/>
  <c r="C30" i="1" s="1"/>
  <c r="B14" i="1"/>
  <c r="A4" i="1"/>
  <c r="D42" i="1" s="1"/>
  <c r="L17" i="1"/>
  <c r="M17" i="1"/>
  <c r="K17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3" i="1"/>
  <c r="O24" i="1"/>
  <c r="O25" i="1"/>
  <c r="O26" i="1"/>
  <c r="O17" i="1"/>
  <c r="G26" i="1"/>
  <c r="G18" i="1"/>
  <c r="G19" i="1"/>
  <c r="G20" i="1"/>
  <c r="G21" i="1"/>
  <c r="G22" i="1"/>
  <c r="G23" i="1"/>
  <c r="G24" i="1"/>
  <c r="G25" i="1"/>
  <c r="G17" i="1"/>
  <c r="A17" i="1"/>
  <c r="A18" i="1"/>
  <c r="A19" i="1"/>
  <c r="A20" i="1"/>
  <c r="A21" i="1"/>
  <c r="A22" i="1"/>
  <c r="A23" i="1"/>
  <c r="A24" i="1"/>
  <c r="A25" i="1"/>
  <c r="H27" i="1" l="1"/>
  <c r="P28" i="1"/>
  <c r="K21" i="1"/>
  <c r="M21" i="1"/>
  <c r="L21" i="1"/>
  <c r="O28" i="1"/>
  <c r="A16" i="1"/>
  <c r="E42" i="1" s="1"/>
  <c r="B16" i="1"/>
</calcChain>
</file>

<file path=xl/sharedStrings.xml><?xml version="1.0" encoding="utf-8"?>
<sst xmlns="http://schemas.openxmlformats.org/spreadsheetml/2006/main" count="64" uniqueCount="48">
  <si>
    <t>Max1</t>
  </si>
  <si>
    <t>Max2</t>
  </si>
  <si>
    <t>Max3</t>
  </si>
  <si>
    <t>#</t>
  </si>
  <si>
    <t>Max Dist Set 1</t>
  </si>
  <si>
    <t>Max Dist Set 2</t>
  </si>
  <si>
    <t>cm</t>
  </si>
  <si>
    <t>mA</t>
  </si>
  <si>
    <t>degrees</t>
  </si>
  <si>
    <t>cm (to gaps)</t>
  </si>
  <si>
    <t>Part 1a</t>
  </si>
  <si>
    <t>Part 1b</t>
  </si>
  <si>
    <t>Part 2 - Slit</t>
  </si>
  <si>
    <t>Maximal Distances</t>
  </si>
  <si>
    <t>Lab 11</t>
  </si>
  <si>
    <t>Malus's Law</t>
  </si>
  <si>
    <t>x^2</t>
  </si>
  <si>
    <t>AVG x^2</t>
  </si>
  <si>
    <t>Succes. Diffs. 1</t>
  </si>
  <si>
    <t>Succes. Diffs. 2</t>
  </si>
  <si>
    <t>AVG</t>
  </si>
  <si>
    <t>Dist to Center</t>
  </si>
  <si>
    <t>Avg</t>
  </si>
  <si>
    <t>Eqt</t>
  </si>
  <si>
    <t>eqt</t>
  </si>
  <si>
    <t>AVG Dist =</t>
  </si>
  <si>
    <t>Radians</t>
  </si>
  <si>
    <t>linest</t>
  </si>
  <si>
    <t>linest2</t>
  </si>
  <si>
    <t>Part 1 b</t>
  </si>
  <si>
    <t>Explained Lab Manual 7</t>
  </si>
  <si>
    <t>90 degree part</t>
  </si>
  <si>
    <t>dx</t>
  </si>
  <si>
    <t>d(theta)</t>
  </si>
  <si>
    <t>p1b - 2</t>
  </si>
  <si>
    <t>Actual</t>
  </si>
  <si>
    <t>I=I0cos^2(theta)</t>
  </si>
  <si>
    <t>t-inv</t>
  </si>
  <si>
    <t>CC</t>
  </si>
  <si>
    <t>std(theta)</t>
  </si>
  <si>
    <t>std</t>
  </si>
  <si>
    <t>dd</t>
  </si>
  <si>
    <t>d(lam)/dd</t>
  </si>
  <si>
    <t>d(lam)/d(theta)</t>
  </si>
  <si>
    <t>d(lam)/dn</t>
  </si>
  <si>
    <t>Long Equation 1</t>
  </si>
  <si>
    <t>Long Equation 2</t>
  </si>
  <si>
    <t>Long Equation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</si>
</sst>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Signal</a:t>
            </a:r>
          </a:p>
        </c:rich>
      </c:tx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1156484915859"/>
          <c:y val="0.10185185185185185"/>
          <c:w val="0.85416624030661903"/>
          <c:h val="0.7861191309419656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79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0.65</c:v>
                </c:pt>
                <c:pt idx="1">
                  <c:v>0.66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0.47</c:v>
                </c:pt>
                <c:pt idx="6">
                  <c:v>0.42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78A-A20A-361867D9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30576"/>
        <c:axId val="373030184"/>
      </c:scatterChart>
      <c:valAx>
        <c:axId val="373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(cm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30184"/>
        <c:crosses val="autoZero"/>
        <c:crossBetween val="midCat"/>
      </c:valAx>
      <c:valAx>
        <c:axId val="3730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(mA)</a:t>
                </a:r>
              </a:p>
            </c:rich>
          </c:tx>
          <c:layout>
            <c:manualLayout>
              <c:xMode val="edge"/>
              <c:yMode val="edge"/>
              <c:x val="0"/>
              <c:y val="0.3525616068824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Intensity</a:t>
            </a:r>
          </a:p>
        </c:rich>
      </c:tx>
      <c:layout>
        <c:manualLayout>
          <c:xMode val="edge"/>
          <c:yMode val="edge"/>
          <c:x val="0.290551314673452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signals vs intense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.0064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Sheet1!$A$16:$A$25</c:f>
              <c:numCache>
                <c:formatCode>General</c:formatCode>
                <c:ptCount val="10"/>
                <c:pt idx="0">
                  <c:v>3721</c:v>
                </c:pt>
                <c:pt idx="1">
                  <c:v>4096</c:v>
                </c:pt>
                <c:pt idx="2">
                  <c:v>4489</c:v>
                </c:pt>
                <c:pt idx="3">
                  <c:v>4900</c:v>
                </c:pt>
                <c:pt idx="4">
                  <c:v>5329</c:v>
                </c:pt>
                <c:pt idx="5">
                  <c:v>5776</c:v>
                </c:pt>
                <c:pt idx="6">
                  <c:v>6241</c:v>
                </c:pt>
                <c:pt idx="7">
                  <c:v>6724</c:v>
                </c:pt>
                <c:pt idx="8">
                  <c:v>7225</c:v>
                </c:pt>
                <c:pt idx="9">
                  <c:v>7744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0.65</c:v>
                </c:pt>
                <c:pt idx="1">
                  <c:v>0.66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0.47</c:v>
                </c:pt>
                <c:pt idx="6">
                  <c:v>0.42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6-4FAD-B6AF-096DEA01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31752"/>
        <c:axId val="37302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3721</c:v>
                      </c:pt>
                      <c:pt idx="1">
                        <c:v>4096</c:v>
                      </c:pt>
                      <c:pt idx="2">
                        <c:v>4489</c:v>
                      </c:pt>
                      <c:pt idx="3">
                        <c:v>4900</c:v>
                      </c:pt>
                      <c:pt idx="4">
                        <c:v>5329</c:v>
                      </c:pt>
                      <c:pt idx="5">
                        <c:v>5776</c:v>
                      </c:pt>
                      <c:pt idx="6">
                        <c:v>6241</c:v>
                      </c:pt>
                      <c:pt idx="7">
                        <c:v>6724</c:v>
                      </c:pt>
                      <c:pt idx="8">
                        <c:v>7225</c:v>
                      </c:pt>
                      <c:pt idx="9">
                        <c:v>7744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736-4FAD-B6AF-096DEA01604A}"/>
                  </c:ext>
                </c:extLst>
              </c15:ser>
            </c15:filteredScatterSeries>
          </c:ext>
        </c:extLst>
      </c:scatterChart>
      <c:valAx>
        <c:axId val="37303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9008"/>
        <c:crosses val="autoZero"/>
        <c:crossBetween val="midCat"/>
      </c:valAx>
      <c:valAx>
        <c:axId val="373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(mA^-2)</a:t>
                </a:r>
              </a:p>
            </c:rich>
          </c:tx>
          <c:layout>
            <c:manualLayout>
              <c:xMode val="edge"/>
              <c:yMode val="edge"/>
              <c:x val="1.3717421124828532E-2"/>
              <c:y val="0.3060004810836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3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51</xdr:row>
      <xdr:rowOff>128587</xdr:rowOff>
    </xdr:from>
    <xdr:to>
      <xdr:col>6</xdr:col>
      <xdr:colOff>733425</xdr:colOff>
      <xdr:row>66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66</xdr:row>
      <xdr:rowOff>147636</xdr:rowOff>
    </xdr:from>
    <xdr:to>
      <xdr:col>6</xdr:col>
      <xdr:colOff>781050</xdr:colOff>
      <xdr:row>81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J1" workbookViewId="0">
      <selection activeCell="P9" sqref="P9"/>
    </sheetView>
  </sheetViews>
  <sheetFormatPr defaultRowHeight="15" x14ac:dyDescent="0.25"/>
  <cols>
    <col min="3" max="3" width="14.5703125" customWidth="1"/>
    <col min="4" max="4" width="12" bestFit="1" customWidth="1"/>
    <col min="7" max="7" width="14.5703125" customWidth="1"/>
    <col min="8" max="8" width="13" customWidth="1"/>
    <col min="10" max="10" width="16" customWidth="1"/>
    <col min="15" max="15" width="16.5703125" customWidth="1"/>
    <col min="16" max="16" width="16.7109375" customWidth="1"/>
  </cols>
  <sheetData>
    <row r="1" spans="1:16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 t="s">
        <v>10</v>
      </c>
      <c r="B2" s="4"/>
      <c r="D2" s="4" t="s">
        <v>11</v>
      </c>
      <c r="E2" s="4"/>
      <c r="G2" s="4" t="s">
        <v>15</v>
      </c>
      <c r="H2" s="4"/>
      <c r="I2" s="4"/>
      <c r="J2" s="4"/>
      <c r="K2" s="4"/>
      <c r="L2" s="4"/>
      <c r="M2" s="4"/>
      <c r="O2" s="4" t="s">
        <v>31</v>
      </c>
      <c r="P2" s="4"/>
    </row>
    <row r="3" spans="1:16" x14ac:dyDescent="0.25">
      <c r="A3" t="s">
        <v>6</v>
      </c>
      <c r="B3" t="s">
        <v>7</v>
      </c>
      <c r="D3" t="s">
        <v>8</v>
      </c>
      <c r="E3" t="s">
        <v>7</v>
      </c>
      <c r="G3" s="4" t="s">
        <v>12</v>
      </c>
      <c r="H3" s="4"/>
      <c r="J3" s="4" t="s">
        <v>13</v>
      </c>
      <c r="K3" s="4"/>
      <c r="L3" s="4"/>
      <c r="M3" s="4"/>
      <c r="O3" s="2" t="s">
        <v>4</v>
      </c>
      <c r="P3" t="s">
        <v>5</v>
      </c>
    </row>
    <row r="4" spans="1:16" x14ac:dyDescent="0.25">
      <c r="A4">
        <f>71-10</f>
        <v>61</v>
      </c>
      <c r="B4">
        <v>0.65</v>
      </c>
      <c r="D4">
        <v>0</v>
      </c>
      <c r="E4">
        <v>0.55000000000000004</v>
      </c>
      <c r="G4" t="s">
        <v>6</v>
      </c>
      <c r="H4" t="s">
        <v>9</v>
      </c>
      <c r="J4" t="s">
        <v>3</v>
      </c>
      <c r="K4" t="s">
        <v>0</v>
      </c>
      <c r="L4" t="s">
        <v>1</v>
      </c>
      <c r="M4" t="s">
        <v>2</v>
      </c>
      <c r="O4" s="3">
        <v>47.5</v>
      </c>
      <c r="P4" s="1">
        <v>48.1</v>
      </c>
    </row>
    <row r="5" spans="1:16" x14ac:dyDescent="0.25">
      <c r="A5">
        <v>64</v>
      </c>
      <c r="B5">
        <v>0.66</v>
      </c>
      <c r="D5">
        <v>20</v>
      </c>
      <c r="E5">
        <v>0.51</v>
      </c>
      <c r="G5">
        <v>5.7</v>
      </c>
      <c r="H5">
        <v>3.22</v>
      </c>
      <c r="J5">
        <v>1</v>
      </c>
      <c r="K5">
        <v>163</v>
      </c>
      <c r="L5">
        <v>148</v>
      </c>
      <c r="M5">
        <v>125</v>
      </c>
      <c r="O5" s="3">
        <v>46.4</v>
      </c>
      <c r="P5" s="1">
        <v>47.1</v>
      </c>
    </row>
    <row r="6" spans="1:16" x14ac:dyDescent="0.25">
      <c r="A6">
        <v>67</v>
      </c>
      <c r="B6">
        <v>0.57999999999999996</v>
      </c>
      <c r="D6">
        <v>40</v>
      </c>
      <c r="E6">
        <v>0.41</v>
      </c>
      <c r="G6">
        <v>5.71</v>
      </c>
      <c r="H6">
        <v>3.21</v>
      </c>
      <c r="J6">
        <v>2</v>
      </c>
      <c r="K6">
        <v>162</v>
      </c>
      <c r="L6">
        <v>149</v>
      </c>
      <c r="M6">
        <v>126</v>
      </c>
      <c r="O6" s="3">
        <v>45</v>
      </c>
      <c r="P6" s="1">
        <v>45.7</v>
      </c>
    </row>
    <row r="7" spans="1:16" x14ac:dyDescent="0.25">
      <c r="A7">
        <v>70</v>
      </c>
      <c r="B7">
        <v>0.55000000000000004</v>
      </c>
      <c r="D7">
        <v>60</v>
      </c>
      <c r="E7">
        <v>0.24</v>
      </c>
      <c r="G7">
        <v>5.7</v>
      </c>
      <c r="H7">
        <v>3.24</v>
      </c>
      <c r="J7">
        <v>3</v>
      </c>
      <c r="K7">
        <v>164</v>
      </c>
      <c r="L7">
        <v>150</v>
      </c>
      <c r="M7">
        <v>124</v>
      </c>
      <c r="O7" s="3">
        <v>43.7</v>
      </c>
      <c r="P7" s="1">
        <v>43.8</v>
      </c>
    </row>
    <row r="8" spans="1:16" x14ac:dyDescent="0.25">
      <c r="A8">
        <v>73</v>
      </c>
      <c r="B8">
        <v>0.5</v>
      </c>
      <c r="D8">
        <v>80</v>
      </c>
      <c r="E8">
        <v>0.04</v>
      </c>
      <c r="G8">
        <v>5.7</v>
      </c>
      <c r="H8">
        <v>3.23</v>
      </c>
      <c r="J8">
        <v>4</v>
      </c>
      <c r="K8">
        <v>161</v>
      </c>
      <c r="L8">
        <v>147</v>
      </c>
      <c r="M8">
        <v>127</v>
      </c>
      <c r="O8" s="3">
        <v>42.2</v>
      </c>
      <c r="P8" s="1">
        <v>42.4</v>
      </c>
    </row>
    <row r="9" spans="1:16" x14ac:dyDescent="0.25">
      <c r="A9">
        <v>76</v>
      </c>
      <c r="B9">
        <v>0.47</v>
      </c>
      <c r="D9">
        <v>100</v>
      </c>
      <c r="E9">
        <v>0.02</v>
      </c>
      <c r="G9">
        <v>5.71</v>
      </c>
      <c r="H9">
        <v>3.2</v>
      </c>
      <c r="J9">
        <v>5</v>
      </c>
      <c r="K9">
        <v>160</v>
      </c>
      <c r="L9">
        <v>149</v>
      </c>
      <c r="M9">
        <v>123</v>
      </c>
      <c r="O9" s="3">
        <v>41.2</v>
      </c>
      <c r="P9" s="1">
        <v>41.1</v>
      </c>
    </row>
    <row r="10" spans="1:16" x14ac:dyDescent="0.25">
      <c r="A10">
        <v>79</v>
      </c>
      <c r="B10">
        <v>0.42</v>
      </c>
      <c r="D10">
        <v>120</v>
      </c>
      <c r="E10">
        <v>0.19</v>
      </c>
      <c r="G10">
        <v>5.7</v>
      </c>
      <c r="H10">
        <v>3.22</v>
      </c>
      <c r="J10">
        <v>6</v>
      </c>
      <c r="K10">
        <v>166</v>
      </c>
      <c r="L10">
        <v>148</v>
      </c>
      <c r="M10">
        <v>122</v>
      </c>
      <c r="O10" s="3">
        <v>39.5</v>
      </c>
      <c r="P10" s="1">
        <v>39.5</v>
      </c>
    </row>
    <row r="11" spans="1:16" x14ac:dyDescent="0.25">
      <c r="A11">
        <v>82</v>
      </c>
      <c r="B11">
        <v>0.39</v>
      </c>
      <c r="D11">
        <v>140</v>
      </c>
      <c r="E11">
        <v>0.41</v>
      </c>
      <c r="G11">
        <v>5.71</v>
      </c>
      <c r="H11">
        <v>3.23</v>
      </c>
      <c r="J11">
        <v>7</v>
      </c>
      <c r="K11">
        <v>163</v>
      </c>
      <c r="L11">
        <v>149</v>
      </c>
      <c r="M11">
        <v>125</v>
      </c>
      <c r="O11" s="3">
        <v>38.1</v>
      </c>
      <c r="P11" s="1">
        <v>38.1</v>
      </c>
    </row>
    <row r="12" spans="1:16" x14ac:dyDescent="0.25">
      <c r="A12">
        <v>85</v>
      </c>
      <c r="B12">
        <v>0.38</v>
      </c>
      <c r="D12">
        <v>160</v>
      </c>
      <c r="E12">
        <v>0.53</v>
      </c>
      <c r="G12">
        <v>5.7</v>
      </c>
      <c r="H12">
        <v>3.22</v>
      </c>
      <c r="J12">
        <v>8</v>
      </c>
      <c r="K12">
        <v>162</v>
      </c>
      <c r="L12">
        <v>150</v>
      </c>
      <c r="M12">
        <v>124</v>
      </c>
      <c r="O12" s="3">
        <v>36.6</v>
      </c>
      <c r="P12" s="1">
        <v>36.700000000000003</v>
      </c>
    </row>
    <row r="13" spans="1:16" x14ac:dyDescent="0.25">
      <c r="A13">
        <v>88</v>
      </c>
      <c r="B13">
        <v>0.37</v>
      </c>
      <c r="D13">
        <v>180</v>
      </c>
      <c r="E13">
        <v>0.56999999999999995</v>
      </c>
      <c r="G13">
        <v>5.7</v>
      </c>
      <c r="H13">
        <v>3.2</v>
      </c>
      <c r="J13">
        <v>9</v>
      </c>
      <c r="K13">
        <v>164</v>
      </c>
      <c r="L13">
        <v>147</v>
      </c>
      <c r="M13">
        <v>123</v>
      </c>
      <c r="O13" s="3">
        <v>35.6</v>
      </c>
      <c r="P13" s="1">
        <v>35.200000000000003</v>
      </c>
    </row>
    <row r="14" spans="1:16" x14ac:dyDescent="0.25">
      <c r="B14">
        <f>AVERAGE(B4:B13)</f>
        <v>0.497</v>
      </c>
      <c r="G14">
        <v>5.7</v>
      </c>
      <c r="H14">
        <v>3.24</v>
      </c>
      <c r="J14">
        <v>10</v>
      </c>
      <c r="K14">
        <v>162</v>
      </c>
      <c r="L14">
        <v>149</v>
      </c>
      <c r="M14">
        <v>126</v>
      </c>
      <c r="O14" s="3">
        <v>34.1</v>
      </c>
      <c r="P14" s="1">
        <v>34</v>
      </c>
    </row>
    <row r="15" spans="1:16" x14ac:dyDescent="0.25">
      <c r="A15" t="s">
        <v>16</v>
      </c>
      <c r="B15" t="s">
        <v>17</v>
      </c>
      <c r="O15" s="2"/>
    </row>
    <row r="16" spans="1:16" x14ac:dyDescent="0.25">
      <c r="A16">
        <f>A4^2</f>
        <v>3721</v>
      </c>
      <c r="B16">
        <f>(AVERAGE(A4:A13))^2</f>
        <v>5550.25</v>
      </c>
      <c r="D16" t="s">
        <v>34</v>
      </c>
      <c r="G16" t="s">
        <v>21</v>
      </c>
      <c r="K16" t="s">
        <v>22</v>
      </c>
      <c r="L16" t="s">
        <v>22</v>
      </c>
      <c r="M16" t="s">
        <v>22</v>
      </c>
      <c r="O16" s="2" t="s">
        <v>18</v>
      </c>
      <c r="P16" t="s">
        <v>19</v>
      </c>
    </row>
    <row r="17" spans="1:18" x14ac:dyDescent="0.25">
      <c r="A17">
        <f t="shared" ref="A17:A25" si="0">A5^2</f>
        <v>4096</v>
      </c>
      <c r="D17">
        <f>1/(E4^2)</f>
        <v>3.3057851239669418</v>
      </c>
      <c r="E17">
        <f>(-8)*(10^-5)*(E4)+0.9393</f>
        <v>0.93925599999999998</v>
      </c>
      <c r="G17">
        <f>G5+H5</f>
        <v>8.92</v>
      </c>
      <c r="I17" s="6" t="s">
        <v>37</v>
      </c>
      <c r="J17" s="6" t="s">
        <v>38</v>
      </c>
      <c r="K17">
        <f>AVERAGE(K5:K14)</f>
        <v>162.69999999999999</v>
      </c>
      <c r="L17">
        <f t="shared" ref="L17:M17" si="1">AVERAGE(L5:L14)</f>
        <v>148.6</v>
      </c>
      <c r="M17">
        <f t="shared" si="1"/>
        <v>124.5</v>
      </c>
      <c r="O17" s="2">
        <f>O4-O5</f>
        <v>1.1000000000000014</v>
      </c>
      <c r="P17">
        <f>P4-P5</f>
        <v>1</v>
      </c>
      <c r="R17">
        <f>P17*SIN(PI()/2)/1</f>
        <v>1</v>
      </c>
    </row>
    <row r="18" spans="1:18" x14ac:dyDescent="0.25">
      <c r="A18">
        <f t="shared" si="0"/>
        <v>4489</v>
      </c>
      <c r="D18">
        <f t="shared" ref="D18:D26" si="2">1/(E5^2)</f>
        <v>3.8446751249519417</v>
      </c>
      <c r="E18">
        <f t="shared" ref="E18:E26" si="3">(-8)*(10^-5)*(E5)+0.9393</f>
        <v>0.93925920000000007</v>
      </c>
      <c r="G18">
        <f t="shared" ref="G18:G25" si="4">G6+H6</f>
        <v>8.92</v>
      </c>
      <c r="I18" s="6">
        <f>TINV(0.05, 9)</f>
        <v>2.2621571627982053</v>
      </c>
      <c r="J18" s="6">
        <v>0.75405199999999994</v>
      </c>
      <c r="K18" t="s">
        <v>26</v>
      </c>
      <c r="L18" t="s">
        <v>26</v>
      </c>
      <c r="M18" t="s">
        <v>26</v>
      </c>
      <c r="O18" s="2">
        <f t="shared" ref="O18:P26" si="5">O5-O6</f>
        <v>1.3999999999999986</v>
      </c>
      <c r="P18">
        <f t="shared" si="5"/>
        <v>1.3999999999999986</v>
      </c>
      <c r="R18">
        <f t="shared" ref="R18:R26" si="6">P18*SIN(PI()/2)/1</f>
        <v>1.3999999999999986</v>
      </c>
    </row>
    <row r="19" spans="1:18" x14ac:dyDescent="0.25">
      <c r="A19">
        <f t="shared" si="0"/>
        <v>4900</v>
      </c>
      <c r="D19">
        <f t="shared" si="2"/>
        <v>5.9488399762046411</v>
      </c>
      <c r="E19">
        <f t="shared" si="3"/>
        <v>0.93926719999999997</v>
      </c>
      <c r="G19">
        <f t="shared" si="4"/>
        <v>8.9400000000000013</v>
      </c>
      <c r="K19">
        <v>2.8396507</v>
      </c>
      <c r="L19">
        <v>2.5935592999999999</v>
      </c>
      <c r="M19">
        <v>2.1729349</v>
      </c>
      <c r="O19" s="2">
        <f t="shared" si="5"/>
        <v>1.2999999999999972</v>
      </c>
      <c r="P19">
        <f t="shared" si="5"/>
        <v>1.9000000000000057</v>
      </c>
      <c r="R19">
        <f t="shared" si="6"/>
        <v>1.9000000000000057</v>
      </c>
    </row>
    <row r="20" spans="1:18" x14ac:dyDescent="0.25">
      <c r="A20">
        <f t="shared" si="0"/>
        <v>5329</v>
      </c>
      <c r="D20">
        <f t="shared" si="2"/>
        <v>17.361111111111111</v>
      </c>
      <c r="E20">
        <f t="shared" si="3"/>
        <v>0.93928080000000003</v>
      </c>
      <c r="G20">
        <f t="shared" si="4"/>
        <v>8.93</v>
      </c>
      <c r="K20" t="s">
        <v>23</v>
      </c>
      <c r="L20" t="s">
        <v>24</v>
      </c>
      <c r="M20" t="s">
        <v>24</v>
      </c>
      <c r="O20" s="2">
        <f t="shared" si="5"/>
        <v>1.5</v>
      </c>
      <c r="P20">
        <f t="shared" si="5"/>
        <v>1.3999999999999986</v>
      </c>
      <c r="R20">
        <f t="shared" si="6"/>
        <v>1.3999999999999986</v>
      </c>
    </row>
    <row r="21" spans="1:18" x14ac:dyDescent="0.25">
      <c r="A21">
        <f t="shared" si="0"/>
        <v>5776</v>
      </c>
      <c r="D21">
        <f t="shared" si="2"/>
        <v>625</v>
      </c>
      <c r="E21">
        <f t="shared" si="3"/>
        <v>0.93929680000000004</v>
      </c>
      <c r="G21">
        <f t="shared" si="4"/>
        <v>8.91</v>
      </c>
      <c r="K21">
        <f>H27*SIN(K19)/1</f>
        <v>2.6537733165836395</v>
      </c>
      <c r="L21">
        <f>H27*SIN(L19)/2</f>
        <v>2.3247448571647951</v>
      </c>
      <c r="M21">
        <f>H27*SIN(M19)/3</f>
        <v>2.4515007339835204</v>
      </c>
      <c r="O21" s="2">
        <f t="shared" si="5"/>
        <v>1</v>
      </c>
      <c r="P21">
        <f t="shared" si="5"/>
        <v>1.2999999999999972</v>
      </c>
      <c r="R21">
        <f t="shared" si="6"/>
        <v>1.2999999999999972</v>
      </c>
    </row>
    <row r="22" spans="1:18" x14ac:dyDescent="0.25">
      <c r="A22">
        <f t="shared" si="0"/>
        <v>6241</v>
      </c>
      <c r="D22">
        <f t="shared" si="2"/>
        <v>2500</v>
      </c>
      <c r="E22">
        <f t="shared" si="3"/>
        <v>0.93929839999999998</v>
      </c>
      <c r="G22">
        <f t="shared" si="4"/>
        <v>8.92</v>
      </c>
      <c r="O22" s="2">
        <f t="shared" si="5"/>
        <v>1.7000000000000028</v>
      </c>
      <c r="P22">
        <f t="shared" si="5"/>
        <v>1.6000000000000014</v>
      </c>
      <c r="R22">
        <f t="shared" si="6"/>
        <v>1.6000000000000014</v>
      </c>
    </row>
    <row r="23" spans="1:18" x14ac:dyDescent="0.25">
      <c r="A23">
        <f t="shared" si="0"/>
        <v>6724</v>
      </c>
      <c r="D23">
        <f t="shared" si="2"/>
        <v>27.700831024930746</v>
      </c>
      <c r="E23">
        <f t="shared" si="3"/>
        <v>0.93928480000000003</v>
      </c>
      <c r="G23">
        <f t="shared" si="4"/>
        <v>8.94</v>
      </c>
      <c r="K23" t="s">
        <v>39</v>
      </c>
      <c r="L23" t="s">
        <v>39</v>
      </c>
      <c r="M23" t="s">
        <v>39</v>
      </c>
      <c r="O23" s="2">
        <f t="shared" si="5"/>
        <v>1.3999999999999986</v>
      </c>
      <c r="P23">
        <f t="shared" si="5"/>
        <v>1.3999999999999986</v>
      </c>
      <c r="R23">
        <f t="shared" si="6"/>
        <v>1.3999999999999986</v>
      </c>
    </row>
    <row r="24" spans="1:18" x14ac:dyDescent="0.25">
      <c r="A24">
        <f t="shared" si="0"/>
        <v>7225</v>
      </c>
      <c r="D24">
        <f t="shared" si="2"/>
        <v>5.9488399762046411</v>
      </c>
      <c r="E24">
        <f t="shared" si="3"/>
        <v>0.93926719999999997</v>
      </c>
      <c r="G24">
        <f t="shared" si="4"/>
        <v>8.92</v>
      </c>
      <c r="K24">
        <f>STDEV(K5:K14)*PI()/180</f>
        <v>2.9721886167964763E-2</v>
      </c>
      <c r="L24">
        <f>STDEV(L5:L14)*PI()/180</f>
        <v>1.8761725713631192E-2</v>
      </c>
      <c r="M24">
        <f>STDEV(M5:M14)*PI()/180</f>
        <v>2.759607851610028E-2</v>
      </c>
      <c r="O24" s="2">
        <f t="shared" si="5"/>
        <v>1.5</v>
      </c>
      <c r="P24">
        <f t="shared" si="5"/>
        <v>1.3999999999999986</v>
      </c>
      <c r="R24">
        <f t="shared" si="6"/>
        <v>1.3999999999999986</v>
      </c>
    </row>
    <row r="25" spans="1:18" x14ac:dyDescent="0.25">
      <c r="A25">
        <f t="shared" si="0"/>
        <v>7744</v>
      </c>
      <c r="D25">
        <f t="shared" si="2"/>
        <v>3.5599857600569593</v>
      </c>
      <c r="E25">
        <f t="shared" si="3"/>
        <v>0.93925760000000003</v>
      </c>
      <c r="G25">
        <f t="shared" si="4"/>
        <v>8.9</v>
      </c>
      <c r="K25" t="s">
        <v>33</v>
      </c>
      <c r="L25" t="s">
        <v>33</v>
      </c>
      <c r="M25" t="s">
        <v>33</v>
      </c>
      <c r="O25" s="2">
        <f t="shared" si="5"/>
        <v>1</v>
      </c>
      <c r="P25">
        <f t="shared" si="5"/>
        <v>1.5</v>
      </c>
      <c r="R25">
        <f t="shared" si="6"/>
        <v>1.5</v>
      </c>
    </row>
    <row r="26" spans="1:18" x14ac:dyDescent="0.25">
      <c r="D26">
        <f t="shared" si="2"/>
        <v>3.0778701138811946</v>
      </c>
      <c r="E26">
        <f t="shared" si="3"/>
        <v>0.93925440000000004</v>
      </c>
      <c r="G26">
        <f>G14+H14</f>
        <v>8.9400000000000013</v>
      </c>
      <c r="K26">
        <f>K24*J18</f>
        <v>2.2411847708726163E-2</v>
      </c>
      <c r="L26">
        <f>L24*J18</f>
        <v>1.4147316797815026E-2</v>
      </c>
      <c r="M26">
        <f>M24*J18</f>
        <v>2.0808878197222446E-2</v>
      </c>
      <c r="O26" s="2">
        <f t="shared" si="5"/>
        <v>1.5</v>
      </c>
      <c r="P26">
        <f t="shared" si="5"/>
        <v>1.2000000000000028</v>
      </c>
      <c r="R26">
        <f t="shared" si="6"/>
        <v>1.2000000000000028</v>
      </c>
    </row>
    <row r="27" spans="1:18" x14ac:dyDescent="0.25">
      <c r="G27" t="s">
        <v>25</v>
      </c>
      <c r="H27">
        <f>AVERAGE(G17:G26)</f>
        <v>8.9240000000000013</v>
      </c>
      <c r="O27" s="2" t="s">
        <v>20</v>
      </c>
      <c r="P27" t="s">
        <v>20</v>
      </c>
    </row>
    <row r="28" spans="1:18" x14ac:dyDescent="0.25">
      <c r="A28" s="4" t="s">
        <v>29</v>
      </c>
      <c r="B28" s="4"/>
      <c r="C28" s="4"/>
      <c r="G28" t="s">
        <v>40</v>
      </c>
      <c r="H28">
        <f>STDEV(G17:G26)</f>
        <v>1.3498971154211239E-2</v>
      </c>
      <c r="J28" t="s">
        <v>42</v>
      </c>
      <c r="K28">
        <f>SIN(K19)*H29</f>
        <v>3.0269568279332653E-3</v>
      </c>
      <c r="L28">
        <f>SIN(L19)*H29/2</f>
        <v>2.6516591581592745E-3</v>
      </c>
      <c r="M28">
        <f>SIN(M19)*H29/3</f>
        <v>2.7962399196054138E-3</v>
      </c>
      <c r="O28" s="2">
        <f>AVERAGE(O17:O26)</f>
        <v>1.3399999999999999</v>
      </c>
      <c r="P28">
        <f>AVERAGE(P17:P26)</f>
        <v>1.4100000000000001</v>
      </c>
    </row>
    <row r="29" spans="1:18" x14ac:dyDescent="0.25">
      <c r="B29" t="s">
        <v>26</v>
      </c>
      <c r="G29" t="s">
        <v>41</v>
      </c>
      <c r="H29">
        <f>H28*J18</f>
        <v>1.0178926196775294E-2</v>
      </c>
      <c r="J29" t="s">
        <v>43</v>
      </c>
      <c r="K29">
        <f>H27*COS(K19)*K26</f>
        <v>-0.19095533867071696</v>
      </c>
      <c r="L29">
        <f>H27*COS(L19)*L26/2</f>
        <v>-5.3880674697346767E-2</v>
      </c>
      <c r="M29">
        <f>H27*COS(M19)*M26/3</f>
        <v>-3.5060248508002122E-2</v>
      </c>
      <c r="O29" s="2"/>
      <c r="P29" t="s">
        <v>30</v>
      </c>
    </row>
    <row r="30" spans="1:18" x14ac:dyDescent="0.25">
      <c r="A30">
        <v>0</v>
      </c>
      <c r="B30">
        <f>A30*PI()/180</f>
        <v>0</v>
      </c>
      <c r="C30">
        <f>0.57*(COS(B30)^2)</f>
        <v>0.56999999999999995</v>
      </c>
      <c r="J30" t="s">
        <v>44</v>
      </c>
      <c r="K30">
        <f>-0.8924*SIN(K19)/1</f>
        <v>-0.26537733165836391</v>
      </c>
      <c r="L30">
        <f>-0.8924*SIN(L19)/4</f>
        <v>-0.11623724285823972</v>
      </c>
      <c r="M30">
        <f>-0.8924*SIN(M19)/9</f>
        <v>-8.1716691132784E-2</v>
      </c>
    </row>
    <row r="31" spans="1:18" x14ac:dyDescent="0.25">
      <c r="A31">
        <v>20</v>
      </c>
      <c r="B31">
        <f t="shared" ref="B31:B39" si="7">A31*PI()/180</f>
        <v>0.3490658503988659</v>
      </c>
      <c r="C31">
        <f t="shared" ref="C31:C39" si="8">0.57*(COS(B31)^2)</f>
        <v>0.50332266628890876</v>
      </c>
    </row>
    <row r="32" spans="1:18" x14ac:dyDescent="0.25">
      <c r="A32">
        <v>40</v>
      </c>
      <c r="B32">
        <f t="shared" si="7"/>
        <v>0.69813170079773179</v>
      </c>
      <c r="C32">
        <f t="shared" si="8"/>
        <v>0.33448973063507509</v>
      </c>
      <c r="H32" s="4" t="s">
        <v>45</v>
      </c>
      <c r="I32" s="4"/>
      <c r="J32" s="4"/>
      <c r="K32" s="4">
        <f>SQRT((H29*K28)^2+(K26*K29)^2+(1*K30)^2)</f>
        <v>0.26541183962667209</v>
      </c>
      <c r="L32" s="4"/>
      <c r="M32" s="4"/>
      <c r="N32">
        <f>K32*J18</f>
        <v>0.20013432849417132</v>
      </c>
    </row>
    <row r="33" spans="1:14" x14ac:dyDescent="0.25">
      <c r="A33">
        <v>60</v>
      </c>
      <c r="B33">
        <f t="shared" si="7"/>
        <v>1.0471975511965976</v>
      </c>
      <c r="C33">
        <f t="shared" si="8"/>
        <v>0.14250000000000004</v>
      </c>
      <c r="H33" s="4" t="s">
        <v>46</v>
      </c>
      <c r="I33" s="4"/>
      <c r="J33" s="4"/>
      <c r="K33" s="4">
        <f>SQRT((H29*L28)^2+(L26*L29)^2+(2*L30)^2)</f>
        <v>0.23247573698904148</v>
      </c>
      <c r="L33" s="4"/>
      <c r="M33" s="4"/>
      <c r="N33">
        <f>K33*J18</f>
        <v>0.17529879442806068</v>
      </c>
    </row>
    <row r="34" spans="1:14" x14ac:dyDescent="0.25">
      <c r="A34">
        <v>80</v>
      </c>
      <c r="B34">
        <f t="shared" si="7"/>
        <v>1.3962634015954636</v>
      </c>
      <c r="C34">
        <f t="shared" si="8"/>
        <v>1.7187603076016123E-2</v>
      </c>
      <c r="H34" s="4" t="s">
        <v>47</v>
      </c>
      <c r="I34" s="4"/>
      <c r="J34" s="4"/>
      <c r="K34" s="4">
        <f>SQRT((H29*M28)^2+(M26*M29)^2+(1*M30)^2)</f>
        <v>8.1719952790554579E-2</v>
      </c>
      <c r="L34" s="4"/>
      <c r="M34" s="4"/>
      <c r="N34">
        <f>K34*J18</f>
        <v>6.1621093841623259E-2</v>
      </c>
    </row>
    <row r="35" spans="1:14" x14ac:dyDescent="0.25">
      <c r="A35">
        <v>100</v>
      </c>
      <c r="B35">
        <f t="shared" si="7"/>
        <v>1.7453292519943295</v>
      </c>
      <c r="C35">
        <f t="shared" si="8"/>
        <v>1.7187603076016099E-2</v>
      </c>
    </row>
    <row r="36" spans="1:14" x14ac:dyDescent="0.25">
      <c r="A36">
        <v>120</v>
      </c>
      <c r="B36">
        <f t="shared" si="7"/>
        <v>2.0943951023931953</v>
      </c>
      <c r="C36">
        <f t="shared" si="8"/>
        <v>0.14249999999999985</v>
      </c>
    </row>
    <row r="37" spans="1:14" x14ac:dyDescent="0.25">
      <c r="A37">
        <v>140</v>
      </c>
      <c r="B37">
        <f t="shared" si="7"/>
        <v>2.4434609527920612</v>
      </c>
      <c r="C37">
        <f t="shared" si="8"/>
        <v>0.33448973063507498</v>
      </c>
    </row>
    <row r="38" spans="1:14" x14ac:dyDescent="0.25">
      <c r="A38">
        <v>160</v>
      </c>
      <c r="B38">
        <f t="shared" si="7"/>
        <v>2.7925268031909272</v>
      </c>
      <c r="C38">
        <f t="shared" si="8"/>
        <v>0.50332266628890865</v>
      </c>
    </row>
    <row r="39" spans="1:14" x14ac:dyDescent="0.25">
      <c r="A39">
        <v>180</v>
      </c>
      <c r="B39">
        <f t="shared" si="7"/>
        <v>3.1415926535897931</v>
      </c>
      <c r="C39">
        <f t="shared" si="8"/>
        <v>0.56999999999999995</v>
      </c>
    </row>
    <row r="40" spans="1:14" x14ac:dyDescent="0.25">
      <c r="A40" s="4" t="s">
        <v>29</v>
      </c>
      <c r="B40" s="4"/>
      <c r="C40" s="4"/>
    </row>
    <row r="41" spans="1:14" x14ac:dyDescent="0.25">
      <c r="A41" t="s">
        <v>26</v>
      </c>
      <c r="B41" t="s">
        <v>35</v>
      </c>
      <c r="C41" t="s">
        <v>36</v>
      </c>
      <c r="D41" s="5" t="s">
        <v>27</v>
      </c>
      <c r="E41" s="5" t="s">
        <v>28</v>
      </c>
    </row>
    <row r="42" spans="1:14" x14ac:dyDescent="0.25">
      <c r="A42">
        <v>0</v>
      </c>
      <c r="B42">
        <v>0.55000000000000004</v>
      </c>
      <c r="C42">
        <v>0.56999999999999995</v>
      </c>
      <c r="D42" s="5">
        <f>LINEST(B4:B13,A4:A13,0,TRUE)</f>
        <v>6.4270601831273892E-3</v>
      </c>
      <c r="E42" s="5">
        <f>LINEST(B4:B13,A16:A25,0,TRUE)</f>
        <v>8.007224578165752E-5</v>
      </c>
    </row>
    <row r="43" spans="1:14" x14ac:dyDescent="0.25">
      <c r="A43">
        <v>0.3490658503988659</v>
      </c>
      <c r="B43">
        <v>0.51</v>
      </c>
      <c r="C43">
        <v>0.50332266628890876</v>
      </c>
      <c r="D43" s="5">
        <f>SQRT(0.9496)</f>
        <v>0.97447421720638661</v>
      </c>
      <c r="E43" s="5">
        <f>SQRT(0.9637)</f>
        <v>0.9816822296446035</v>
      </c>
    </row>
    <row r="44" spans="1:14" x14ac:dyDescent="0.25">
      <c r="A44">
        <v>0.69813170079773179</v>
      </c>
      <c r="B44">
        <v>0.41</v>
      </c>
      <c r="C44">
        <v>0.33448973063507509</v>
      </c>
    </row>
    <row r="45" spans="1:14" x14ac:dyDescent="0.25">
      <c r="A45">
        <v>1.0471975511965976</v>
      </c>
      <c r="B45">
        <v>0.24</v>
      </c>
      <c r="C45">
        <v>0.14250000000000004</v>
      </c>
    </row>
    <row r="46" spans="1:14" x14ac:dyDescent="0.25">
      <c r="A46">
        <v>1.3962634015954636</v>
      </c>
      <c r="B46">
        <v>0.04</v>
      </c>
      <c r="C46">
        <v>1.7187603076016123E-2</v>
      </c>
    </row>
    <row r="47" spans="1:14" x14ac:dyDescent="0.25">
      <c r="A47">
        <v>1.7453292519943295</v>
      </c>
      <c r="B47">
        <v>0.02</v>
      </c>
      <c r="C47">
        <v>1.7187603076016099E-2</v>
      </c>
    </row>
    <row r="48" spans="1:14" x14ac:dyDescent="0.25">
      <c r="A48">
        <v>2.0943951023931953</v>
      </c>
      <c r="B48">
        <v>0.19</v>
      </c>
      <c r="C48">
        <v>0.14249999999999985</v>
      </c>
    </row>
    <row r="49" spans="1:5" x14ac:dyDescent="0.25">
      <c r="A49">
        <v>2.4434609527920612</v>
      </c>
      <c r="B49">
        <v>0.41</v>
      </c>
      <c r="C49">
        <v>0.33448973063507498</v>
      </c>
      <c r="E49" t="s">
        <v>32</v>
      </c>
    </row>
    <row r="50" spans="1:5" x14ac:dyDescent="0.25">
      <c r="A50">
        <v>2.7925268031909272</v>
      </c>
      <c r="B50">
        <v>0.53</v>
      </c>
      <c r="C50">
        <v>0.50332266628890865</v>
      </c>
      <c r="E50" t="s">
        <v>33</v>
      </c>
    </row>
    <row r="51" spans="1:5" x14ac:dyDescent="0.25">
      <c r="A51">
        <v>3.1415926535897931</v>
      </c>
      <c r="B51">
        <v>0.56999999999999995</v>
      </c>
      <c r="C51">
        <v>0.56999999999999995</v>
      </c>
    </row>
  </sheetData>
  <mergeCells count="15">
    <mergeCell ref="A40:C40"/>
    <mergeCell ref="H32:J32"/>
    <mergeCell ref="K32:M32"/>
    <mergeCell ref="H33:J33"/>
    <mergeCell ref="H34:J34"/>
    <mergeCell ref="K33:M33"/>
    <mergeCell ref="K34:M34"/>
    <mergeCell ref="A28:C28"/>
    <mergeCell ref="A1:P1"/>
    <mergeCell ref="G2:M2"/>
    <mergeCell ref="A2:B2"/>
    <mergeCell ref="D2:E2"/>
    <mergeCell ref="G3:H3"/>
    <mergeCell ref="J3:M3"/>
    <mergeCell ref="O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2017-10-26T19:22:12Z</dcterms:modified>
</cp:coreProperties>
</file>