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870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10" i="1" l="1"/>
  <c r="AA5" i="1"/>
  <c r="AA6" i="1"/>
  <c r="AA7" i="1"/>
  <c r="AA4" i="1"/>
  <c r="Z5" i="1"/>
  <c r="Z6" i="1"/>
  <c r="Z7" i="1"/>
  <c r="Z4" i="1"/>
  <c r="T7" i="1"/>
  <c r="T6" i="1"/>
  <c r="T5" i="1"/>
  <c r="T4" i="1"/>
  <c r="P9" i="1"/>
  <c r="T8" i="1" s="1"/>
  <c r="R7" i="1"/>
  <c r="AB7" i="1" s="1"/>
  <c r="R6" i="1"/>
  <c r="AB6" i="1" s="1"/>
  <c r="R5" i="1"/>
  <c r="AB5" i="1" s="1"/>
  <c r="R4" i="1"/>
  <c r="AB4" i="1" s="1"/>
  <c r="X4" i="1"/>
  <c r="M6" i="1"/>
  <c r="X7" i="1" s="1"/>
  <c r="M5" i="1"/>
  <c r="M4" i="1"/>
  <c r="X5" i="1" s="1"/>
  <c r="M3" i="1"/>
  <c r="X6" i="1"/>
  <c r="U5" i="1"/>
  <c r="U6" i="1"/>
  <c r="U7" i="1"/>
  <c r="U4" i="1"/>
  <c r="N10" i="1" l="1"/>
  <c r="O4" i="1"/>
  <c r="O5" i="1"/>
  <c r="O6" i="1"/>
  <c r="O3" i="1"/>
  <c r="J58" i="1"/>
  <c r="J42" i="1"/>
  <c r="E58" i="1"/>
  <c r="E42" i="1"/>
  <c r="H58" i="1"/>
  <c r="H42" i="1"/>
  <c r="C58" i="1"/>
  <c r="C4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H4" i="1"/>
  <c r="H5" i="1"/>
  <c r="H6" i="1"/>
  <c r="H7" i="1"/>
  <c r="H8" i="1"/>
  <c r="H3" i="1"/>
  <c r="N9" i="1" l="1"/>
  <c r="H26" i="1"/>
  <c r="H10" i="1"/>
  <c r="C26" i="1"/>
  <c r="C10" i="1"/>
</calcChain>
</file>

<file path=xl/sharedStrings.xml><?xml version="1.0" encoding="utf-8"?>
<sst xmlns="http://schemas.openxmlformats.org/spreadsheetml/2006/main" count="50" uniqueCount="35">
  <si>
    <t>Lab X2</t>
  </si>
  <si>
    <t>Trials</t>
  </si>
  <si>
    <t>nA</t>
  </si>
  <si>
    <t>Volts - Blue 436</t>
  </si>
  <si>
    <t>Volts - Green</t>
  </si>
  <si>
    <t>Volts - Incandescent &amp; Red</t>
  </si>
  <si>
    <t>Volts - Laser</t>
  </si>
  <si>
    <t>Linest:</t>
  </si>
  <si>
    <t>Volts^2</t>
  </si>
  <si>
    <t>I am going with x^2 because the linest is the smallest, meaning that the equation holds better.</t>
  </si>
  <si>
    <t>Y-Intercept:</t>
  </si>
  <si>
    <t>1/Wavelength</t>
  </si>
  <si>
    <t>Stopping Voltage</t>
  </si>
  <si>
    <t>Wavelength (nm)</t>
  </si>
  <si>
    <t>Slope:</t>
  </si>
  <si>
    <t>Error Propagation</t>
  </si>
  <si>
    <t>Exp 1</t>
  </si>
  <si>
    <t>Exp 2</t>
  </si>
  <si>
    <t>Exp 3</t>
  </si>
  <si>
    <t>Exp 4</t>
  </si>
  <si>
    <t>Part 5</t>
  </si>
  <si>
    <t>std(volts)</t>
  </si>
  <si>
    <t>std(work)</t>
  </si>
  <si>
    <t>std(wavelength)</t>
  </si>
  <si>
    <t>dh/dv</t>
  </si>
  <si>
    <t>dh/dlambda</t>
  </si>
  <si>
    <t>dh/dphi</t>
  </si>
  <si>
    <t>avg (volts)</t>
  </si>
  <si>
    <t>avg (work)</t>
  </si>
  <si>
    <t>avg (wavelength)</t>
  </si>
  <si>
    <t>Differential</t>
  </si>
  <si>
    <t>Plank's Constant</t>
  </si>
  <si>
    <t>Actual</t>
  </si>
  <si>
    <t>TINV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</si>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</sst>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  <xf numFmtId="0" fontId="0" fillId="0" borderId="0" xfId="0" applyAlignment="1">
      <alignment horizontal="center"/>
    </xf>
    <xf numFmtId="0" fontId="0" fillId="6" borderId="0" xfId="0" applyFill="1" applyAlignment="1"/>
    <xf numFmtId="0" fontId="2" fillId="2" borderId="0" xfId="0" applyFont="1" applyFill="1" applyAlignment="1"/>
    <xf numFmtId="0" fontId="0" fillId="7" borderId="0" xfId="0" applyFill="1" applyAlignment="1"/>
    <xf numFmtId="0" fontId="0" fillId="7" borderId="0" xfId="0" applyFill="1"/>
    <xf numFmtId="0" fontId="0" fillId="5" borderId="0" xfId="0" applyFill="1"/>
    <xf numFmtId="0" fontId="0" fillId="4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Blue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69240"/>
        <c:axId val="375868456"/>
      </c:scatterChart>
      <c:valAx>
        <c:axId val="3758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456"/>
        <c:crosses val="autoZero"/>
        <c:crossBetween val="midCat"/>
      </c:valAx>
      <c:valAx>
        <c:axId val="3758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0.114</c:v>
                </c:pt>
                <c:pt idx="2">
                  <c:v>0.16700000000000001</c:v>
                </c:pt>
                <c:pt idx="3">
                  <c:v>0.224</c:v>
                </c:pt>
                <c:pt idx="4">
                  <c:v>0.34300000000000003</c:v>
                </c:pt>
                <c:pt idx="5">
                  <c:v>0.42899999999999999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3160"/>
        <c:axId val="375873552"/>
      </c:scatterChart>
      <c:valAx>
        <c:axId val="3758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3552"/>
        <c:crosses val="autoZero"/>
        <c:crossBetween val="midCat"/>
      </c:valAx>
      <c:valAx>
        <c:axId val="375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</a:t>
            </a:r>
            <a:r>
              <a:rPr lang="en-US" baseline="0"/>
              <a:t> - 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6376"/>
        <c:axId val="396150296"/>
      </c:scatterChart>
      <c:valAx>
        <c:axId val="3961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0296"/>
        <c:crosses val="autoZero"/>
        <c:crossBetween val="midCat"/>
      </c:valAx>
      <c:valAx>
        <c:axId val="3961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</a:t>
            </a:r>
            <a:r>
              <a:rPr lang="en-US" baseline="0"/>
              <a:t> - Diffused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0.16200000000000001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0.94899999999999995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3472"/>
        <c:axId val="377713864"/>
      </c:scatterChart>
      <c:valAx>
        <c:axId val="3777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3864"/>
        <c:crosses val="autoZero"/>
        <c:crossBetween val="midCat"/>
      </c:valAx>
      <c:valAx>
        <c:axId val="37771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</a:t>
            </a:r>
            <a:r>
              <a:rPr lang="en-US" baseline="0"/>
              <a:t> - Blue V^2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3.4224999999999998E-2</c:v>
                </c:pt>
                <c:pt idx="2">
                  <c:v>9.9856E-2</c:v>
                </c:pt>
                <c:pt idx="3">
                  <c:v>0.18232899999999999</c:v>
                </c:pt>
                <c:pt idx="4">
                  <c:v>0.40704400000000002</c:v>
                </c:pt>
                <c:pt idx="5">
                  <c:v>0.72249999999999992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90392"/>
        <c:axId val="396151864"/>
      </c:scatterChart>
      <c:valAx>
        <c:axId val="3928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864"/>
        <c:crosses val="autoZero"/>
        <c:crossBetween val="midCat"/>
      </c:valAx>
      <c:valAx>
        <c:axId val="3961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 Green 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3.7209999999999999E-3</c:v>
                </c:pt>
                <c:pt idx="1">
                  <c:v>1.2996000000000001E-2</c:v>
                </c:pt>
                <c:pt idx="2">
                  <c:v>2.7889000000000004E-2</c:v>
                </c:pt>
                <c:pt idx="3">
                  <c:v>5.0176000000000005E-2</c:v>
                </c:pt>
                <c:pt idx="4">
                  <c:v>0.11764900000000002</c:v>
                </c:pt>
                <c:pt idx="5">
                  <c:v>0.18404099999999998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2088"/>
        <c:axId val="394083656"/>
      </c:scatterChart>
      <c:valAx>
        <c:axId val="39408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3656"/>
        <c:crosses val="autoZero"/>
        <c:crossBetween val="midCat"/>
      </c:valAx>
      <c:valAx>
        <c:axId val="394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 - Red 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9.6040000000000014E-3</c:v>
                </c:pt>
                <c:pt idx="1">
                  <c:v>1.8496000000000002E-2</c:v>
                </c:pt>
                <c:pt idx="2">
                  <c:v>3.6864000000000001E-2</c:v>
                </c:pt>
                <c:pt idx="3">
                  <c:v>8.294399999999999E-2</c:v>
                </c:pt>
                <c:pt idx="4">
                  <c:v>0.53875600000000001</c:v>
                </c:pt>
                <c:pt idx="5">
                  <c:v>0.82810000000000006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6768"/>
        <c:axId val="396152648"/>
      </c:scatterChart>
      <c:valAx>
        <c:axId val="3961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2648"/>
        <c:crosses val="autoZero"/>
        <c:crossBetween val="midCat"/>
      </c:valAx>
      <c:valAx>
        <c:axId val="3961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 - Diffused</a:t>
            </a:r>
            <a:r>
              <a:rPr lang="en-US" baseline="0"/>
              <a:t> </a:t>
            </a:r>
            <a:r>
              <a:rPr lang="en-US"/>
              <a:t>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2.6009999999999996E-3</c:v>
                </c:pt>
                <c:pt idx="1">
                  <c:v>1.0608999999999999E-2</c:v>
                </c:pt>
                <c:pt idx="2">
                  <c:v>2.6244E-2</c:v>
                </c:pt>
                <c:pt idx="3">
                  <c:v>4.6655999999999996E-2</c:v>
                </c:pt>
                <c:pt idx="4">
                  <c:v>0.11424400000000001</c:v>
                </c:pt>
                <c:pt idx="5">
                  <c:v>0.90060099999999987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91888"/>
        <c:axId val="394086008"/>
      </c:scatterChart>
      <c:valAx>
        <c:axId val="3940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6008"/>
        <c:crosses val="autoZero"/>
        <c:crossBetween val="midCat"/>
      </c:valAx>
      <c:valAx>
        <c:axId val="3940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Voltage</a:t>
            </a:r>
            <a:r>
              <a:rPr lang="en-US" baseline="0"/>
              <a:t> vs Inverse Wavelength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0.60746332328767116</c:v>
                </c:pt>
                <c:pt idx="1">
                  <c:v>0.16119207397260277</c:v>
                </c:pt>
                <c:pt idx="2">
                  <c:v>0.68762428493150685</c:v>
                </c:pt>
                <c:pt idx="3">
                  <c:v>0.53206911232876719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2293577.981651376</c:v>
                </c:pt>
                <c:pt idx="1">
                  <c:v>1831501.8315018313</c:v>
                </c:pt>
                <c:pt idx="2">
                  <c:v>1449275.3623188403</c:v>
                </c:pt>
                <c:pt idx="3">
                  <c:v>1579778.8309636652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4440"/>
        <c:axId val="407969536"/>
      </c:scatterChart>
      <c:valAx>
        <c:axId val="4079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Stopping Voltage(V)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9536"/>
        <c:crosses val="autoZero"/>
        <c:crossBetween val="midCat"/>
      </c:valAx>
      <c:valAx>
        <c:axId val="40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1/Wavelength (nm^-1)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4762</xdr:rowOff>
    </xdr:from>
    <xdr:to>
      <xdr:col>5</xdr:col>
      <xdr:colOff>304800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4762</xdr:rowOff>
    </xdr:from>
    <xdr:to>
      <xdr:col>5</xdr:col>
      <xdr:colOff>304800</xdr:colOff>
      <xdr:row>40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11</xdr:col>
      <xdr:colOff>447675</xdr:colOff>
      <xdr:row>24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11</xdr:col>
      <xdr:colOff>447675</xdr:colOff>
      <xdr:row>40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4762</xdr:rowOff>
    </xdr:from>
    <xdr:to>
      <xdr:col>5</xdr:col>
      <xdr:colOff>304800</xdr:colOff>
      <xdr:row>56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5</xdr:col>
      <xdr:colOff>304800</xdr:colOff>
      <xdr:row>72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142875</xdr:colOff>
      <xdr:row>56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11</xdr:col>
      <xdr:colOff>142875</xdr:colOff>
      <xdr:row>72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10</xdr:row>
      <xdr:rowOff>9525</xdr:rowOff>
    </xdr:from>
    <xdr:to>
      <xdr:col>16</xdr:col>
      <xdr:colOff>228600</xdr:colOff>
      <xdr:row>24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O1" zoomScaleNormal="100" workbookViewId="0">
      <selection activeCell="W15" sqref="W15"/>
    </sheetView>
  </sheetViews>
  <sheetFormatPr defaultRowHeight="15" x14ac:dyDescent="0.25"/>
  <cols>
    <col min="3" max="3" width="14.5703125" customWidth="1"/>
    <col min="4" max="4" width="15.140625" customWidth="1"/>
    <col min="5" max="5" width="25.140625" customWidth="1"/>
    <col min="6" max="6" width="16.28515625" customWidth="1"/>
    <col min="7" max="7" width="11.7109375" customWidth="1"/>
    <col min="8" max="8" width="13" customWidth="1"/>
    <col min="9" max="9" width="12.5703125" customWidth="1"/>
    <col min="10" max="10" width="16" customWidth="1"/>
    <col min="11" max="11" width="13.140625" customWidth="1"/>
    <col min="13" max="13" width="16.7109375" customWidth="1"/>
    <col min="14" max="14" width="19.7109375" customWidth="1"/>
    <col min="15" max="15" width="16.5703125" customWidth="1"/>
    <col min="16" max="16" width="16.7109375" customWidth="1"/>
    <col min="20" max="20" width="16" customWidth="1"/>
    <col min="23" max="23" width="13.28515625" customWidth="1"/>
    <col min="24" max="24" width="12" bestFit="1" customWidth="1"/>
    <col min="26" max="26" width="11" bestFit="1" customWidth="1"/>
    <col min="27" max="27" width="12.7109375" bestFit="1" customWidth="1"/>
    <col min="28" max="28" width="12" bestFit="1" customWidth="1"/>
  </cols>
  <sheetData>
    <row r="1" spans="1:28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8" x14ac:dyDescent="0.25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12"/>
      <c r="H2" s="6" t="s">
        <v>8</v>
      </c>
      <c r="I2" s="6" t="s">
        <v>8</v>
      </c>
      <c r="J2" s="6" t="s">
        <v>8</v>
      </c>
      <c r="K2" s="6" t="s">
        <v>8</v>
      </c>
      <c r="L2" s="5"/>
      <c r="M2" s="6" t="s">
        <v>13</v>
      </c>
      <c r="N2" s="6" t="s">
        <v>12</v>
      </c>
      <c r="O2" s="6" t="s">
        <v>11</v>
      </c>
      <c r="P2" s="1"/>
      <c r="Q2" s="2"/>
      <c r="R2" s="18" t="s">
        <v>15</v>
      </c>
      <c r="S2" s="18"/>
      <c r="T2" s="18"/>
      <c r="U2" s="18"/>
      <c r="V2" s="18"/>
      <c r="W2" s="18"/>
    </row>
    <row r="3" spans="1:28" x14ac:dyDescent="0.25">
      <c r="A3" s="7">
        <v>1</v>
      </c>
      <c r="B3" s="9">
        <v>10</v>
      </c>
      <c r="C3" s="8">
        <v>7.6999999999999999E-2</v>
      </c>
      <c r="D3" s="8">
        <v>6.0999999999999999E-2</v>
      </c>
      <c r="E3" s="8">
        <v>9.8000000000000004E-2</v>
      </c>
      <c r="F3" s="8">
        <v>5.0999999999999997E-2</v>
      </c>
      <c r="G3" s="1"/>
      <c r="H3" s="11">
        <f>C3^2</f>
        <v>5.9290000000000002E-3</v>
      </c>
      <c r="I3" s="11">
        <f t="shared" ref="I3:K8" si="0">D3^2</f>
        <v>3.7209999999999999E-3</v>
      </c>
      <c r="J3" s="11">
        <f t="shared" si="0"/>
        <v>9.6040000000000014E-3</v>
      </c>
      <c r="K3" s="11">
        <f t="shared" si="0"/>
        <v>2.6009999999999996E-3</v>
      </c>
      <c r="L3" s="1"/>
      <c r="M3" s="13">
        <f>436*10^-9</f>
        <v>4.3600000000000004E-7</v>
      </c>
      <c r="N3" s="15">
        <v>0.60746332328767116</v>
      </c>
      <c r="O3" s="16">
        <f>1/M3</f>
        <v>2293577.981651376</v>
      </c>
      <c r="P3" s="2"/>
      <c r="R3" t="s">
        <v>27</v>
      </c>
      <c r="S3" t="s">
        <v>28</v>
      </c>
      <c r="T3" t="s">
        <v>29</v>
      </c>
      <c r="U3" s="2" t="s">
        <v>21</v>
      </c>
      <c r="V3" t="s">
        <v>22</v>
      </c>
      <c r="W3" t="s">
        <v>23</v>
      </c>
      <c r="X3" t="s">
        <v>24</v>
      </c>
      <c r="Y3" t="s">
        <v>26</v>
      </c>
      <c r="Z3" t="s">
        <v>25</v>
      </c>
      <c r="AA3" t="s">
        <v>30</v>
      </c>
      <c r="AB3" t="s">
        <v>32</v>
      </c>
    </row>
    <row r="4" spans="1:28" x14ac:dyDescent="0.25">
      <c r="A4" s="7">
        <v>2</v>
      </c>
      <c r="B4" s="9">
        <v>8</v>
      </c>
      <c r="C4" s="8">
        <v>0.185</v>
      </c>
      <c r="D4" s="8">
        <v>0.114</v>
      </c>
      <c r="E4" s="8">
        <v>0.13600000000000001</v>
      </c>
      <c r="F4" s="8">
        <v>0.10299999999999999</v>
      </c>
      <c r="G4" s="2"/>
      <c r="H4" s="11">
        <f t="shared" ref="H4:H8" si="1">C4^2</f>
        <v>3.4224999999999998E-2</v>
      </c>
      <c r="I4" s="11">
        <f t="shared" si="0"/>
        <v>1.2996000000000001E-2</v>
      </c>
      <c r="J4" s="11">
        <f t="shared" si="0"/>
        <v>1.8496000000000002E-2</v>
      </c>
      <c r="K4" s="11">
        <f t="shared" si="0"/>
        <v>1.0608999999999999E-2</v>
      </c>
      <c r="L4" s="2"/>
      <c r="M4" s="14">
        <f>546*10^-9</f>
        <v>5.4600000000000005E-7</v>
      </c>
      <c r="N4" s="15">
        <v>0.16119207397260277</v>
      </c>
      <c r="O4" s="16">
        <f t="shared" ref="O4:O6" si="2">1/M4</f>
        <v>1831501.8315018313</v>
      </c>
      <c r="P4" s="3"/>
      <c r="Q4" s="2" t="s">
        <v>16</v>
      </c>
      <c r="R4" s="2">
        <f>AVERAGE(C3:C8)</f>
        <v>0.41550000000000004</v>
      </c>
      <c r="S4" s="19"/>
      <c r="T4" s="13">
        <f>436*10^-9</f>
        <v>4.3600000000000004E-7</v>
      </c>
      <c r="U4">
        <f>STDEV(H3:H8)</f>
        <v>0.27596567985802145</v>
      </c>
      <c r="V4" s="19"/>
      <c r="W4" s="19"/>
      <c r="X4">
        <f>M3*(1.602*10^-19)/(3*10^8)</f>
        <v>2.3282400000000003E-34</v>
      </c>
      <c r="Y4" s="19"/>
      <c r="Z4" s="19">
        <f>10*10^-9</f>
        <v>1E-8</v>
      </c>
      <c r="AA4">
        <f>SQRT((X4*R4)^2+(T4*Z4)^2)</f>
        <v>4.3600000000000006E-15</v>
      </c>
      <c r="AB4">
        <f>R4*M3*(1.602*10^-19)/(3*10^8)</f>
        <v>9.6738372000000018E-35</v>
      </c>
    </row>
    <row r="5" spans="1:28" x14ac:dyDescent="0.25">
      <c r="A5" s="7">
        <v>3</v>
      </c>
      <c r="B5" s="9">
        <v>6</v>
      </c>
      <c r="C5" s="8">
        <v>0.316</v>
      </c>
      <c r="D5" s="8">
        <v>0.16700000000000001</v>
      </c>
      <c r="E5" s="8">
        <v>0.192</v>
      </c>
      <c r="F5" s="8">
        <v>0.16200000000000001</v>
      </c>
      <c r="G5" s="2"/>
      <c r="H5" s="11">
        <f t="shared" si="1"/>
        <v>9.9856E-2</v>
      </c>
      <c r="I5" s="11">
        <f t="shared" si="0"/>
        <v>2.7889000000000004E-2</v>
      </c>
      <c r="J5" s="11">
        <f t="shared" si="0"/>
        <v>3.6864000000000001E-2</v>
      </c>
      <c r="K5" s="11">
        <f t="shared" si="0"/>
        <v>2.6244E-2</v>
      </c>
      <c r="L5" s="2"/>
      <c r="M5" s="14">
        <f>690*10^-9</f>
        <v>6.9000000000000006E-7</v>
      </c>
      <c r="N5" s="15">
        <v>0.68762428493150685</v>
      </c>
      <c r="O5" s="16">
        <f t="shared" si="2"/>
        <v>1449275.3623188403</v>
      </c>
      <c r="P5" s="3"/>
      <c r="Q5" s="2" t="s">
        <v>17</v>
      </c>
      <c r="R5" s="2">
        <f>AVERAGE(D3:D8)</f>
        <v>0.223</v>
      </c>
      <c r="S5" s="19"/>
      <c r="T5" s="14">
        <f>546*10^-9</f>
        <v>5.4600000000000005E-7</v>
      </c>
      <c r="U5">
        <f t="shared" ref="U5:U7" si="3">STDEV(H4:H9)</f>
        <v>0.28014322654438739</v>
      </c>
      <c r="V5" s="19"/>
      <c r="W5" s="19"/>
      <c r="X5">
        <f t="shared" ref="X5:X7" si="4">M4*(1.602*10^-19)/(3*10^8)</f>
        <v>2.9156400000000004E-34</v>
      </c>
      <c r="Y5" s="19"/>
      <c r="Z5" s="19">
        <f t="shared" ref="Z5:Z8" si="5">10*10^-9</f>
        <v>1E-8</v>
      </c>
      <c r="AA5">
        <f t="shared" ref="AA5:AA7" si="6">SQRT((X5*R5)^2)</f>
        <v>6.5018772000000015E-35</v>
      </c>
      <c r="AB5">
        <f t="shared" ref="AB5:AB7" si="7">R5*M4*(1.602*10^-19)/(3*10^8)</f>
        <v>6.5018772000000015E-35</v>
      </c>
    </row>
    <row r="6" spans="1:28" x14ac:dyDescent="0.25">
      <c r="A6" s="7">
        <v>4</v>
      </c>
      <c r="B6" s="9">
        <v>4</v>
      </c>
      <c r="C6" s="8">
        <v>0.42699999999999999</v>
      </c>
      <c r="D6" s="8">
        <v>0.224</v>
      </c>
      <c r="E6" s="8">
        <v>0.28799999999999998</v>
      </c>
      <c r="F6" s="8">
        <v>0.216</v>
      </c>
      <c r="G6" s="2"/>
      <c r="H6" s="11">
        <f t="shared" si="1"/>
        <v>0.18232899999999999</v>
      </c>
      <c r="I6" s="11">
        <f t="shared" si="0"/>
        <v>5.0176000000000005E-2</v>
      </c>
      <c r="J6" s="11">
        <f t="shared" si="0"/>
        <v>8.294399999999999E-2</v>
      </c>
      <c r="K6" s="11">
        <f t="shared" si="0"/>
        <v>4.6655999999999996E-2</v>
      </c>
      <c r="L6" s="2"/>
      <c r="M6" s="14">
        <f>633*10^-9</f>
        <v>6.3300000000000002E-7</v>
      </c>
      <c r="N6" s="15">
        <v>0.53206911232876719</v>
      </c>
      <c r="O6" s="16">
        <f t="shared" si="2"/>
        <v>1579778.8309636652</v>
      </c>
      <c r="P6" s="3"/>
      <c r="Q6" s="2" t="s">
        <v>18</v>
      </c>
      <c r="R6" s="2">
        <f>AVERAGE(E3:E8)</f>
        <v>0.39300000000000002</v>
      </c>
      <c r="S6" s="19"/>
      <c r="T6" s="14">
        <f>690*10^-9</f>
        <v>6.9000000000000006E-7</v>
      </c>
      <c r="U6">
        <f t="shared" si="3"/>
        <v>0.28098457714228708</v>
      </c>
      <c r="V6" s="19"/>
      <c r="W6" s="19"/>
      <c r="X6">
        <f t="shared" si="4"/>
        <v>3.6846000000000001E-34</v>
      </c>
      <c r="Y6" s="19"/>
      <c r="Z6" s="19">
        <f t="shared" si="5"/>
        <v>1E-8</v>
      </c>
      <c r="AA6">
        <f t="shared" si="6"/>
        <v>1.4480478E-34</v>
      </c>
      <c r="AB6">
        <f t="shared" si="7"/>
        <v>1.4480478E-34</v>
      </c>
    </row>
    <row r="7" spans="1:28" x14ac:dyDescent="0.25">
      <c r="A7" s="7">
        <v>5</v>
      </c>
      <c r="B7" s="9">
        <v>2</v>
      </c>
      <c r="C7" s="8">
        <v>0.63800000000000001</v>
      </c>
      <c r="D7" s="8">
        <v>0.34300000000000003</v>
      </c>
      <c r="E7" s="8">
        <v>0.73399999999999999</v>
      </c>
      <c r="F7" s="8">
        <v>0.33800000000000002</v>
      </c>
      <c r="G7" s="2"/>
      <c r="H7" s="11">
        <f t="shared" si="1"/>
        <v>0.40704400000000002</v>
      </c>
      <c r="I7" s="11">
        <f t="shared" si="0"/>
        <v>0.11764900000000002</v>
      </c>
      <c r="J7" s="11">
        <f t="shared" si="0"/>
        <v>0.53875600000000001</v>
      </c>
      <c r="K7" s="11">
        <f t="shared" si="0"/>
        <v>0.11424400000000001</v>
      </c>
      <c r="L7" s="2"/>
      <c r="M7" s="2"/>
      <c r="N7" s="2"/>
      <c r="O7" s="3"/>
      <c r="P7" s="3"/>
      <c r="Q7" s="2" t="s">
        <v>19</v>
      </c>
      <c r="R7" s="2">
        <f>AVERAGE(F3:F8)</f>
        <v>0.30316666666666664</v>
      </c>
      <c r="S7" s="19"/>
      <c r="T7" s="14">
        <f>633*10^-9</f>
        <v>6.3300000000000002E-7</v>
      </c>
      <c r="U7">
        <f t="shared" si="3"/>
        <v>0.30074775479583071</v>
      </c>
      <c r="V7" s="19"/>
      <c r="W7" s="19"/>
      <c r="X7">
        <f t="shared" si="4"/>
        <v>3.3802200000000002E-34</v>
      </c>
      <c r="Y7" s="19"/>
      <c r="Z7" s="19">
        <f t="shared" si="5"/>
        <v>1E-8</v>
      </c>
      <c r="AA7">
        <f t="shared" si="6"/>
        <v>1.02477003E-34</v>
      </c>
      <c r="AB7">
        <f t="shared" si="7"/>
        <v>1.02477003E-34</v>
      </c>
    </row>
    <row r="8" spans="1:28" x14ac:dyDescent="0.25">
      <c r="A8" s="7">
        <v>6</v>
      </c>
      <c r="B8" s="9">
        <v>1</v>
      </c>
      <c r="C8" s="8">
        <v>0.85</v>
      </c>
      <c r="D8" s="8">
        <v>0.42899999999999999</v>
      </c>
      <c r="E8" s="8">
        <v>0.91</v>
      </c>
      <c r="F8" s="8">
        <v>0.94899999999999995</v>
      </c>
      <c r="G8" s="2"/>
      <c r="H8" s="11">
        <f t="shared" si="1"/>
        <v>0.72249999999999992</v>
      </c>
      <c r="I8" s="11">
        <f t="shared" si="0"/>
        <v>0.18404099999999998</v>
      </c>
      <c r="J8" s="11">
        <f t="shared" si="0"/>
        <v>0.82810000000000006</v>
      </c>
      <c r="K8" s="11">
        <f t="shared" si="0"/>
        <v>0.90060099999999987</v>
      </c>
      <c r="L8" s="2"/>
      <c r="M8" s="2"/>
      <c r="N8" s="2"/>
      <c r="O8" s="3"/>
      <c r="P8" s="3"/>
      <c r="Q8" s="2" t="s">
        <v>20</v>
      </c>
      <c r="R8" s="2" t="s">
        <v>31</v>
      </c>
      <c r="T8">
        <f>P9*(6.02*10^-19)/(3*10^8)</f>
        <v>-3.7817959880087303E-31</v>
      </c>
      <c r="Z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 t="s">
        <v>7</v>
      </c>
      <c r="N9" s="2">
        <f>LINEST(O3:O6,N3:N6,0,TRUE)</f>
        <v>3063287.4297093749</v>
      </c>
      <c r="O9" s="17" t="s">
        <v>14</v>
      </c>
      <c r="P9" s="3">
        <f>INDEX(LINEST(O3:O6,N3:N6),1)/(10^9)</f>
        <v>-1.884615940868138E-4</v>
      </c>
      <c r="Q9" s="2"/>
      <c r="R9" s="2"/>
      <c r="X9" t="s">
        <v>33</v>
      </c>
      <c r="Y9" t="s">
        <v>34</v>
      </c>
    </row>
    <row r="10" spans="1:28" x14ac:dyDescent="0.25">
      <c r="A10" s="2"/>
      <c r="B10" s="4" t="s">
        <v>7</v>
      </c>
      <c r="C10" s="4">
        <f>LINEST(C3:C8,B3:B8,0,TRUE)</f>
        <v>3.6108597285067871E-2</v>
      </c>
      <c r="D10" s="2"/>
      <c r="E10" s="2"/>
      <c r="F10" s="2"/>
      <c r="G10" s="4" t="s">
        <v>7</v>
      </c>
      <c r="H10" s="4">
        <f>LINEST(E3:E8,B3:B8,0,TRUE)</f>
        <v>3.0542986425339362E-2</v>
      </c>
      <c r="I10" s="2"/>
      <c r="J10" s="2"/>
      <c r="K10" s="2"/>
      <c r="L10" s="2"/>
      <c r="M10" s="4" t="s">
        <v>10</v>
      </c>
      <c r="N10" s="2">
        <f>INDEX(LINEST(O3:O6,N3:N6),2)</f>
        <v>1882215.3474629126</v>
      </c>
      <c r="O10" s="3"/>
      <c r="P10" s="3"/>
      <c r="Q10" s="2"/>
      <c r="R10" s="2"/>
      <c r="X10">
        <f>TINV(0.05,9)</f>
        <v>2.2621571627982053</v>
      </c>
      <c r="Y10">
        <v>0.75</v>
      </c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2"/>
      <c r="R11" s="2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2"/>
      <c r="R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2"/>
      <c r="R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2"/>
      <c r="R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4" t="s">
        <v>7</v>
      </c>
      <c r="C26" s="4">
        <f>LINEST(D3:D8,B3:B8,0,TRUE)</f>
        <v>2.0520361990950222E-2</v>
      </c>
      <c r="D26" s="2"/>
      <c r="E26" s="2"/>
      <c r="F26" s="2"/>
      <c r="G26" s="4" t="s">
        <v>7</v>
      </c>
      <c r="H26" s="4">
        <f>LINEST(F3:F8,B3:B8,0,TRUE)</f>
        <v>2.1696832579185515E-2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4" t="s">
        <v>7</v>
      </c>
      <c r="C42" s="4">
        <f>LINEST(H3:H8,B3:B8,0,TRUE)</f>
        <v>1.4471176470588232E-2</v>
      </c>
      <c r="D42" s="4" t="s">
        <v>10</v>
      </c>
      <c r="E42">
        <f>INDEX(LINEST(H3:H8,B3:B8),2)</f>
        <v>0.60746332328767116</v>
      </c>
      <c r="F42" s="2"/>
      <c r="G42" s="4" t="s">
        <v>7</v>
      </c>
      <c r="H42" s="4">
        <f>LINEST(J3:J8,B3:B8,0,TRUE)</f>
        <v>1.2228868778280539E-2</v>
      </c>
      <c r="I42" s="4" t="s">
        <v>10</v>
      </c>
      <c r="J42">
        <f>INDEX(LINEST(J3:J8,B3:B8),2)</f>
        <v>0.68762428493150685</v>
      </c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8" spans="1:18" x14ac:dyDescent="0.25">
      <c r="B58" s="4" t="s">
        <v>7</v>
      </c>
      <c r="C58" s="4">
        <f>LINEST(I3:I8,B3:B8,0,TRUE)</f>
        <v>4.2016063348416285E-3</v>
      </c>
      <c r="D58" s="4" t="s">
        <v>10</v>
      </c>
      <c r="E58">
        <f>INDEX(LINEST(I3:I8,B3:B8),2)</f>
        <v>0.16119207397260277</v>
      </c>
      <c r="G58" s="4" t="s">
        <v>7</v>
      </c>
      <c r="H58" s="4">
        <f>LINEST(K3:K8,B3:B8,0,TRUE)</f>
        <v>7.1676877828054271E-3</v>
      </c>
      <c r="I58" s="4" t="s">
        <v>10</v>
      </c>
      <c r="J58">
        <f>INDEX(LINEST(K3:K8,B3:B8),2)</f>
        <v>0.53206911232876719</v>
      </c>
    </row>
    <row r="74" spans="2:11" x14ac:dyDescent="0.25">
      <c r="B74" s="10" t="s">
        <v>9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2:1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</row>
  </sheetData>
  <mergeCells count="3">
    <mergeCell ref="A1:P1"/>
    <mergeCell ref="B74:K75"/>
    <mergeCell ref="R2:W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2017-10-30T21:32:23Z</dcterms:modified>
</cp:coreProperties>
</file>