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oimspp.sharepoint.com/sites/NPSVUStatsInternal/Shared Documents/General/PARK FILES/GLCA/"/>
    </mc:Choice>
  </mc:AlternateContent>
  <xr:revisionPtr revIDLastSave="21" documentId="8_{968A9054-7528-4A87-BA56-D962C59787A0}" xr6:coauthVersionLast="47" xr6:coauthVersionMax="47" xr10:uidLastSave="{EBA1A64E-FDCB-4165-94D7-E3015C5B14C5}"/>
  <bookViews>
    <workbookView xWindow="-22770" yWindow="-2535" windowWidth="15375" windowHeight="7875" firstSheet="1" activeTab="1" xr2:uid="{00000000-000D-0000-FFFF-FFFF00000000}"/>
  </bookViews>
  <sheets>
    <sheet name="REC Jul 2021" sheetId="1" r:id="rId1"/>
    <sheet name="RECH Jul 2021" sheetId="10" r:id="rId2"/>
    <sheet name="NREC &amp; NRECH Jul 2021" sheetId="8" r:id="rId3"/>
    <sheet name="Overnight Stays Jul 2021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9" l="1"/>
  <c r="C21" i="10"/>
  <c r="I55" i="10"/>
  <c r="L55" i="10" s="1"/>
  <c r="I65" i="10"/>
  <c r="L65" i="10" s="1"/>
  <c r="F126" i="10"/>
  <c r="I87" i="10"/>
  <c r="I85" i="10"/>
  <c r="I83" i="10"/>
  <c r="I81" i="10"/>
  <c r="I47" i="10"/>
  <c r="F13" i="9"/>
  <c r="F22" i="9"/>
  <c r="I93" i="10"/>
  <c r="L94" i="10" s="1"/>
  <c r="C61" i="10"/>
  <c r="I52" i="10"/>
  <c r="L52" i="10" s="1"/>
  <c r="C11" i="10"/>
  <c r="I99" i="10" s="1"/>
  <c r="C9" i="10"/>
  <c r="I91" i="10" s="1"/>
  <c r="L91" i="10" s="1"/>
  <c r="C5" i="10"/>
  <c r="F102" i="10" s="1"/>
  <c r="C11" i="1"/>
  <c r="I24" i="1"/>
  <c r="L25" i="1" s="1"/>
  <c r="I51" i="1"/>
  <c r="F130" i="10" l="1"/>
  <c r="I131" i="10" s="1"/>
  <c r="I97" i="10"/>
  <c r="L98" i="10" s="1"/>
  <c r="O97" i="10" s="1"/>
  <c r="F124" i="10"/>
  <c r="F60" i="10"/>
  <c r="I60" i="10" s="1"/>
  <c r="L60" i="10" s="1"/>
  <c r="O63" i="10" s="1"/>
  <c r="I45" i="10"/>
  <c r="L42" i="10" s="1"/>
  <c r="O42" i="10" s="1"/>
  <c r="I31" i="10"/>
  <c r="L29" i="10" s="1"/>
  <c r="O29" i="10" s="1"/>
  <c r="F122" i="10"/>
  <c r="I102" i="10"/>
  <c r="F106" i="10"/>
  <c r="I106" i="10" s="1"/>
  <c r="F104" i="10"/>
  <c r="I104" i="10" s="1"/>
  <c r="F71" i="10"/>
  <c r="I71" i="10" s="1"/>
  <c r="F112" i="10"/>
  <c r="I112" i="10" s="1"/>
  <c r="F114" i="10"/>
  <c r="I114" i="10" s="1"/>
  <c r="F108" i="10"/>
  <c r="I108" i="10" s="1"/>
  <c r="F110" i="10"/>
  <c r="I110" i="10" s="1"/>
  <c r="F35" i="10"/>
  <c r="I35" i="10" s="1"/>
  <c r="L82" i="10"/>
  <c r="O82" i="10" s="1"/>
  <c r="O54" i="10"/>
  <c r="O93" i="10"/>
  <c r="I73" i="10"/>
  <c r="I25" i="10"/>
  <c r="O25" i="10" s="1"/>
  <c r="L35" i="10"/>
  <c r="O35" i="10" s="1"/>
  <c r="C5" i="8"/>
  <c r="I23" i="8" s="1"/>
  <c r="C5" i="1"/>
  <c r="I129" i="10" l="1"/>
  <c r="L124" i="10"/>
  <c r="O124" i="10" s="1"/>
  <c r="R95" i="10"/>
  <c r="F67" i="1"/>
  <c r="I67" i="1" s="1"/>
  <c r="F65" i="1"/>
  <c r="I65" i="1" s="1"/>
  <c r="F63" i="1"/>
  <c r="I63" i="1" s="1"/>
  <c r="F39" i="1"/>
  <c r="F19" i="1"/>
  <c r="F61" i="1"/>
  <c r="I61" i="1" s="1"/>
  <c r="F59" i="1"/>
  <c r="I59" i="1" s="1"/>
  <c r="F57" i="1"/>
  <c r="I57" i="1" s="1"/>
  <c r="F55" i="1"/>
  <c r="I55" i="1" s="1"/>
  <c r="L108" i="10"/>
  <c r="O108" i="10" s="1"/>
  <c r="R39" i="10"/>
  <c r="O73" i="10"/>
  <c r="R78" i="10" s="1"/>
  <c r="R27" i="10"/>
  <c r="C9" i="9"/>
  <c r="C7" i="9"/>
  <c r="F48" i="9" l="1"/>
  <c r="L61" i="1"/>
  <c r="F59" i="9"/>
  <c r="F61" i="9"/>
  <c r="F68" i="9"/>
  <c r="F66" i="9"/>
  <c r="F74" i="9"/>
  <c r="F72" i="9"/>
  <c r="F70" i="9"/>
  <c r="F64" i="9"/>
  <c r="R116" i="10"/>
  <c r="U72" i="10" s="1"/>
  <c r="F52" i="9"/>
  <c r="F50" i="9"/>
  <c r="L15" i="1"/>
  <c r="C5" i="9"/>
  <c r="F27" i="8"/>
  <c r="I26" i="8" s="1"/>
  <c r="F21" i="8"/>
  <c r="F19" i="8"/>
  <c r="C33" i="1"/>
  <c r="F32" i="1" s="1"/>
  <c r="C9" i="1"/>
  <c r="I39" i="1" s="1"/>
  <c r="I32" i="1" l="1"/>
  <c r="L33" i="1" s="1"/>
  <c r="I16" i="8"/>
  <c r="I19" i="1"/>
  <c r="L19" i="1" s="1"/>
  <c r="I49" i="1"/>
  <c r="L50" i="1" s="1"/>
  <c r="I41" i="1"/>
  <c r="L42" i="1" s="1"/>
  <c r="F46" i="9"/>
  <c r="I50" i="9" s="1"/>
  <c r="F78" i="9"/>
  <c r="I29" i="8"/>
  <c r="L23" i="8" l="1"/>
  <c r="O38" i="1"/>
  <c r="I79" i="9"/>
  <c r="L59" i="9" s="1"/>
  <c r="I77" i="9"/>
  <c r="L69" i="9" s="1"/>
  <c r="O27" i="8" l="1"/>
</calcChain>
</file>

<file path=xl/sharedStrings.xml><?xml version="1.0" encoding="utf-8"?>
<sst xmlns="http://schemas.openxmlformats.org/spreadsheetml/2006/main" count="574" uniqueCount="235">
  <si>
    <t>Input Field</t>
  </si>
  <si>
    <t>Value</t>
  </si>
  <si>
    <t>Calculation Field</t>
  </si>
  <si>
    <t>Recreation Visits - REC</t>
  </si>
  <si>
    <t>Month</t>
  </si>
  <si>
    <t>Wahweap Rec Visits - F83</t>
  </si>
  <si>
    <t>Halls Crossing Rec Visits - F93</t>
  </si>
  <si>
    <t>Hite Rec Visits - F98</t>
  </si>
  <si>
    <t>Lees Ferry Rec Visits - F103</t>
  </si>
  <si>
    <t>Escalante Rec Visits - F108</t>
  </si>
  <si>
    <t>Traffic Count at Sunrise Point - F2</t>
  </si>
  <si>
    <t>Traffic Count at North Lake Shore - F3</t>
  </si>
  <si>
    <t>Traffic Count at South Lake Shore - F4</t>
  </si>
  <si>
    <t>Traffic Count at Dam Overlook Road - F4A</t>
  </si>
  <si>
    <t>Traffic Count at Antelope Point - F4B</t>
  </si>
  <si>
    <t>Traffic Count at Chains - F1</t>
  </si>
  <si>
    <t>Traffic Count at Chains - F1TC</t>
  </si>
  <si>
    <t>Traffic Count at Lone Rock - F5</t>
  </si>
  <si>
    <t>Traffic Count at Lone Rock - F5TC</t>
  </si>
  <si>
    <t>PPV Wahweap - F46</t>
  </si>
  <si>
    <t>Traffic Count at Bullfrog - F22</t>
  </si>
  <si>
    <t>Traffic Count at Main Entrance Halls Crossing - F38</t>
  </si>
  <si>
    <t>Traffic Count at Hite Access Road - F51</t>
  </si>
  <si>
    <t>Trail Count at Horseshoe Bend - F152</t>
  </si>
  <si>
    <t>Horseshoe Bend Rec Visits - F254</t>
  </si>
  <si>
    <t>Non-Reportable (NPS) Vehicle Adjustment - NREPA</t>
  </si>
  <si>
    <t>Non-Recreation Vehicle Adjustment - F47</t>
  </si>
  <si>
    <t>Persons per Vehicle Other Areas - PPV2</t>
  </si>
  <si>
    <t>Persons per Vehicle Escalante - PPVE</t>
  </si>
  <si>
    <t>Non-Reporable Vehicles Halls Crossing - F47B</t>
  </si>
  <si>
    <t>Average Overnight Stays by Private Vessels - VON</t>
  </si>
  <si>
    <t>Overnight Stay Permits Lone Rock (Station Open) - F160</t>
  </si>
  <si>
    <t>Overnight Stay Permits Lone Rock (Station Closed) - F160A</t>
  </si>
  <si>
    <t>Lone Rock Overnight Stays - F125</t>
  </si>
  <si>
    <t>Recreation Visitor Hours - RECH</t>
  </si>
  <si>
    <t>Persons per Vehicle Non-Rec - PPVNR</t>
  </si>
  <si>
    <t>Wahweap Non-Rec Visits - F84</t>
  </si>
  <si>
    <t>Non - Recreation Visits - REC</t>
  </si>
  <si>
    <t>Bullfrog Non-Rec Visits - F89</t>
  </si>
  <si>
    <t>Halls Crossing Non-Rec Visits - F94</t>
  </si>
  <si>
    <t>Hite Non-Rec Visits - F99</t>
  </si>
  <si>
    <t>Length of Stay Non-Rec- LOSNR</t>
  </si>
  <si>
    <t>Non-Recreation Visitor Hours - NRECH</t>
  </si>
  <si>
    <t xml:space="preserve">Backcountry Overnight Stays - BC </t>
  </si>
  <si>
    <t>Concession Campground Overnight Stays - CCG</t>
  </si>
  <si>
    <t>Concession Lodging Overnight Stays - CL</t>
  </si>
  <si>
    <t>Wahweap Lodge Overnights by Houseboaters - F18</t>
  </si>
  <si>
    <t>Bullfrog Resort Overnights by Houseboaters - F33</t>
  </si>
  <si>
    <t>Miscellaneous Overnight Stays - MISC</t>
  </si>
  <si>
    <t>Lees Ferry RV Overnight Stays - F121</t>
  </si>
  <si>
    <t>NPS Campground RV Overnight Stays - TRVS</t>
  </si>
  <si>
    <t>Lees Ferry Tent Overnight Stays - F122</t>
  </si>
  <si>
    <t>NPS Campground Tent Overnight Stays - TT</t>
  </si>
  <si>
    <t>Wahweap</t>
  </si>
  <si>
    <t>Bullfrog</t>
  </si>
  <si>
    <t>Antelope Point</t>
  </si>
  <si>
    <t>Escalante</t>
  </si>
  <si>
    <t>Halls Crossing</t>
  </si>
  <si>
    <t>Hite</t>
  </si>
  <si>
    <t>Lees Ferry</t>
  </si>
  <si>
    <t>Traffic Count at Hole-in-the-Rock CG - F75</t>
  </si>
  <si>
    <t>Backcountry visitors (from BLM permits) - F76</t>
  </si>
  <si>
    <t>Bullfrog Visits - F88</t>
  </si>
  <si>
    <t>San Juan River Runners - F50A</t>
  </si>
  <si>
    <t>Cataract Canyon River Runners - F60</t>
  </si>
  <si>
    <t>Traffic Count at Lees Ferry - F67</t>
  </si>
  <si>
    <t>Horseshoe Bend length of stay - LOSHB</t>
  </si>
  <si>
    <t>Length of stay Day Use - LOSDY</t>
  </si>
  <si>
    <t>Length of stay Overnights (Lees Ferry) - LOSLF</t>
  </si>
  <si>
    <t>Length of stay Overnights (Escalante) - LOSE</t>
  </si>
  <si>
    <t>Length of say Overnights - LOSON</t>
  </si>
  <si>
    <t>Family Unit Overnight Stays (Bullfrog) - F30A</t>
  </si>
  <si>
    <t>Lake Powell Resort Overnight Stays (Wahweap) - F14</t>
  </si>
  <si>
    <t>Defiance Lodge Overnight Stays (Bullfrog) - F30</t>
  </si>
  <si>
    <t>San Juan River Runners Overnights (Halls Crossing) - F50B</t>
  </si>
  <si>
    <t>Private Boats launching at Main Boat  Ramp - F145</t>
  </si>
  <si>
    <t>Private Boats launching at Stateline  Ramp - F151</t>
  </si>
  <si>
    <t>Private Boats launching at Bullfrog - F165</t>
  </si>
  <si>
    <t>Main Boat Ramp Private Boat Overnight Stays - F123A</t>
  </si>
  <si>
    <t>Stateline Ramp Private Boat Overnight Stays - F124A</t>
  </si>
  <si>
    <t>Bullfrog Private Boat Overnight Stays - F128A</t>
  </si>
  <si>
    <t>Backcountry Overnights(Escalante) - F79</t>
  </si>
  <si>
    <t>Backcountry Overnights (Escalante) - F79</t>
  </si>
  <si>
    <t>Overnight Stays at Orange Cliffs (Hite) - F56</t>
  </si>
  <si>
    <t>Wahweap Marina Overnights by Houseboaters - F18</t>
  </si>
  <si>
    <t>Bullfrog Family Unit Overnight Stays - F30A</t>
  </si>
  <si>
    <t>Halls Crossing Family Units Overnight Stays - F44</t>
  </si>
  <si>
    <t>Bullfrog Marina Overnights by Houseboaters - F33</t>
  </si>
  <si>
    <t>Bullfrog RV Park &amp; Campground overnights - F31A</t>
  </si>
  <si>
    <t>Halls Crossing RV Park &amp; Campground overnights - F45A</t>
  </si>
  <si>
    <t>Sites occupied at Beehive Campground (Wahweap)- F5B</t>
  </si>
  <si>
    <t>Sites occupied at Lees Ferry Campground - F68A</t>
  </si>
  <si>
    <t xml:space="preserve">Traffic count at Alstrom Point turnoff - F8 </t>
  </si>
  <si>
    <t>Visitors at Orange Cliffs - F56A</t>
  </si>
  <si>
    <t>Wahweap RV Park &amp; Campground overnights - F16A</t>
  </si>
  <si>
    <t>Ticaboo Resorts overnights (Hite) - F52A</t>
  </si>
  <si>
    <t>Sites occupied at Stanton Creek Primitive Campground (Bullfrog) - F174</t>
  </si>
  <si>
    <t>Sites occupied at Dirty Devil 1 camping area (Hite) - F175</t>
  </si>
  <si>
    <t>Sites occupied at Dirty Devil 2 camping area (Hite) - F176</t>
  </si>
  <si>
    <t>Antelope Point Marina Overnights by Houseboaters  - F172</t>
  </si>
  <si>
    <t>Antelope Point RV Park &amp; Campground overnights - F171</t>
  </si>
  <si>
    <t>Traffic Count at Hite Overlook Road - F170</t>
  </si>
  <si>
    <t>Private Boats launching at Antelope Point - F156</t>
  </si>
  <si>
    <t>Antelope Point Overnights by Houseboaters - F172</t>
  </si>
  <si>
    <t>Sites occupied at Stanton Creek Primitive Campground - F174</t>
  </si>
  <si>
    <t>Overnight stays at Halls Crossing RV Park &amp; Campground - F45A</t>
  </si>
  <si>
    <t>Overnight stays at Halls Crossing Family Units - F44</t>
  </si>
  <si>
    <t>Ticaboo Resorts overnight stays (Hite) - F52A</t>
  </si>
  <si>
    <t>Traffic count at Warm Creek/Alstrom Point (BLM) - F8</t>
  </si>
  <si>
    <t>Wahweap RV Park &amp; Campground - F16A</t>
  </si>
  <si>
    <t>Antelope Point Visits - F4C</t>
  </si>
  <si>
    <t>Visitors at Hole in the Rock Road - F75A</t>
  </si>
  <si>
    <t>Visitors at Hite Overlook Road - F170A</t>
  </si>
  <si>
    <t>Visitors at Lees Ferry entrance - F67B</t>
  </si>
  <si>
    <t>Adjusted Traffic Count at Sunrise Point - F2A</t>
  </si>
  <si>
    <t>Visitors at Sunrise Point - F2B</t>
  </si>
  <si>
    <t>Adjusted Traffic Count at North Lake Shore - F3A</t>
  </si>
  <si>
    <t>Visitors at North Lake Shore - F3B</t>
  </si>
  <si>
    <t>Adjusted Traffic Count at South Lake Shore - F4D</t>
  </si>
  <si>
    <t>Adjusted Traffic Count at Dam Overlook Road - F4E</t>
  </si>
  <si>
    <t>Visitors at South Lake Shore - F4F</t>
  </si>
  <si>
    <t>Visitors at Dam Overlook Road - F4G</t>
  </si>
  <si>
    <t>Adjusted Traffic Count at Chains - F1A</t>
  </si>
  <si>
    <t>Visitors at Chains - F1B</t>
  </si>
  <si>
    <t>Adjusted Traffic Count at Lone Rock - F5C</t>
  </si>
  <si>
    <t>Visitors at Lone Rock - F5D</t>
  </si>
  <si>
    <t>Adjusted Traffic Count at Warm Creek/Alstrom Point - F8A</t>
  </si>
  <si>
    <t>Visitors at Warm Creek/Alstrom Point - F5B</t>
  </si>
  <si>
    <t>Adjusted Traffic Count at Hite Access Road - F51A</t>
  </si>
  <si>
    <t>Visitors at Hite Access Road - F51B</t>
  </si>
  <si>
    <t>Visitors at Halls Crossing main entrance - F38D</t>
  </si>
  <si>
    <t>Adjusted Traffic Count at Bullfrog - F22A</t>
  </si>
  <si>
    <t>Main Entrance Visitors - F22B</t>
  </si>
  <si>
    <t>Adjusted Traffic Count at Halls Crossing Main Entrance - F38C</t>
  </si>
  <si>
    <t>Antelope Point Private Boat Overnight Stays - F125A</t>
  </si>
  <si>
    <t>Antelope Point Overnights - F127</t>
  </si>
  <si>
    <t>Bullfrog Hours - F92</t>
  </si>
  <si>
    <t>Escalante Hours - F110B</t>
  </si>
  <si>
    <t>Antelope Point Private Boat Overnight Stays - F124</t>
  </si>
  <si>
    <t>Lees Ferry Tent percent split - LFTENT</t>
  </si>
  <si>
    <t>Lees Ferry RV percent split - LFRV</t>
  </si>
  <si>
    <t>Stanton Creek Overnights - F174A</t>
  </si>
  <si>
    <t>Dirty Devil 1 Overnights - F175A</t>
  </si>
  <si>
    <t>Dirty Devil 2 Overnights - F176A</t>
  </si>
  <si>
    <t>Lone Rock RV percent split - LRRV</t>
  </si>
  <si>
    <t>Lone Rock Tent percent split - LRTENT</t>
  </si>
  <si>
    <t>Lone Rock RV Overnight Stays - F125B</t>
  </si>
  <si>
    <t>Beehive Overnights - F180</t>
  </si>
  <si>
    <t>Lone Rock tent Overnight Stays - F125C</t>
  </si>
  <si>
    <t>Sites occupied at Dirty Devil 3 camping area (Hite) - F178</t>
  </si>
  <si>
    <t>Dirty Devil 3 Overnights - F178A</t>
  </si>
  <si>
    <t>Sites occupied at Farley Canyon camping area (Hite) - F179</t>
  </si>
  <si>
    <t>Farley Canyon Overnights - F179A</t>
  </si>
  <si>
    <t>Antelope Point Day Use Hours - F127B</t>
  </si>
  <si>
    <t>Antelope Point Overnight Hours - F127A</t>
  </si>
  <si>
    <t>Antelope Point Hours - F127C</t>
  </si>
  <si>
    <t>RV Overnight Stays at Stanton Creek - F174A</t>
  </si>
  <si>
    <t>Bullfrog Day Use Hours - F88D</t>
  </si>
  <si>
    <t>Escalante Day Use Hours - F75B</t>
  </si>
  <si>
    <t>Halls Crossing Day Use Hours - F38E</t>
  </si>
  <si>
    <t>Halls crossing Hours - F97</t>
  </si>
  <si>
    <t>Hite Day Use Hours - F98C</t>
  </si>
  <si>
    <t>Hite Hours - F102</t>
  </si>
  <si>
    <t>Lees Ferry entrance hours - F67C</t>
  </si>
  <si>
    <t>Horseshoe Bend hours - F254A</t>
  </si>
  <si>
    <t>Lees Ferry Day Use Hours - F184</t>
  </si>
  <si>
    <t>Lees Ferry Hours - F107</t>
  </si>
  <si>
    <t>Overnightstays at Beehive Campground - F180</t>
  </si>
  <si>
    <t>Wahweap Overnights - F133</t>
  </si>
  <si>
    <t>Lees Ferry Overnight Stays - F137</t>
  </si>
  <si>
    <t>Lees Ferry Overnight Hours - F137A</t>
  </si>
  <si>
    <t>Hite Overnights - F136</t>
  </si>
  <si>
    <t>Hite Overnight Hours - F136A</t>
  </si>
  <si>
    <t>Halls Crossing Overnights - F135</t>
  </si>
  <si>
    <t>Halls Crossing Overnight Hours - F135A</t>
  </si>
  <si>
    <t>Escalante Overnights - F138</t>
  </si>
  <si>
    <t>Escalante Overnight Hours - F138A</t>
  </si>
  <si>
    <t>Bullfrog Overnights - F134</t>
  </si>
  <si>
    <t>Bullfrog Overnight Hours - F134A</t>
  </si>
  <si>
    <t>Wahweap Overnight Hours - F133A</t>
  </si>
  <si>
    <t>Wahweap Hours - F87</t>
  </si>
  <si>
    <t>Wahweap Day Use Hours - F83C</t>
  </si>
  <si>
    <t>F47B</t>
  </si>
  <si>
    <t>F75</t>
  </si>
  <si>
    <t/>
  </si>
  <si>
    <t>F56</t>
  </si>
  <si>
    <t>F79</t>
  </si>
  <si>
    <t>F171</t>
  </si>
  <si>
    <t>F31A</t>
  </si>
  <si>
    <t>F45A</t>
  </si>
  <si>
    <t>F16A</t>
  </si>
  <si>
    <t>F52A</t>
  </si>
  <si>
    <t>F14</t>
  </si>
  <si>
    <t>F18</t>
  </si>
  <si>
    <t>F30</t>
  </si>
  <si>
    <t>F30A</t>
  </si>
  <si>
    <t>F33</t>
  </si>
  <si>
    <t>F44</t>
  </si>
  <si>
    <t>F172</t>
  </si>
  <si>
    <t>F145</t>
  </si>
  <si>
    <t>F151</t>
  </si>
  <si>
    <t>F165</t>
  </si>
  <si>
    <t>F156</t>
  </si>
  <si>
    <t>F50B</t>
  </si>
  <si>
    <t>LFTENT</t>
  </si>
  <si>
    <t>F68A</t>
  </si>
  <si>
    <t>LFRV</t>
  </si>
  <si>
    <t>F174</t>
  </si>
  <si>
    <t>F175</t>
  </si>
  <si>
    <t>F176</t>
  </si>
  <si>
    <t>F178</t>
  </si>
  <si>
    <t>F179</t>
  </si>
  <si>
    <t>F5B</t>
  </si>
  <si>
    <t>F160</t>
  </si>
  <si>
    <t>F160A</t>
  </si>
  <si>
    <t>F2</t>
  </si>
  <si>
    <t>F3</t>
  </si>
  <si>
    <t>F4</t>
  </si>
  <si>
    <t>F4A</t>
  </si>
  <si>
    <t>F1</t>
  </si>
  <si>
    <t>F5</t>
  </si>
  <si>
    <t>F22</t>
  </si>
  <si>
    <t>F38</t>
  </si>
  <si>
    <t>F51</t>
  </si>
  <si>
    <t>F4B</t>
  </si>
  <si>
    <t>PPVE</t>
  </si>
  <si>
    <t>F170</t>
  </si>
  <si>
    <t>F60</t>
  </si>
  <si>
    <t>F67</t>
  </si>
  <si>
    <t>F152</t>
  </si>
  <si>
    <t>F8</t>
  </si>
  <si>
    <t>F76</t>
  </si>
  <si>
    <t>F50A</t>
  </si>
  <si>
    <t>F56A</t>
  </si>
  <si>
    <t xml:space="preserve">F8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</si>
</sst>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3" fontId="0" fillId="2" borderId="0" xfId="0" applyNumberFormat="1" applyFill="1"/>
    <xf numFmtId="3" fontId="0" fillId="3" borderId="0" xfId="0" applyNumberFormat="1" applyFill="1"/>
    <xf numFmtId="164" fontId="0" fillId="4" borderId="0" xfId="0" applyNumberFormat="1" applyFill="1"/>
    <xf numFmtId="0" fontId="0" fillId="4" borderId="0" xfId="0" applyFill="1"/>
    <xf numFmtId="3" fontId="1" fillId="3" borderId="2" xfId="0" applyNumberFormat="1" applyFont="1" applyFill="1" applyBorder="1"/>
    <xf numFmtId="0" fontId="0" fillId="5" borderId="0" xfId="0" applyFill="1"/>
    <xf numFmtId="1" fontId="0" fillId="4" borderId="0" xfId="0" applyNumberFormat="1" applyFill="1"/>
    <xf numFmtId="0" fontId="0" fillId="0" borderId="0" xfId="0" applyFont="1" applyFill="1" applyBorder="1"/>
    <xf numFmtId="3" fontId="0" fillId="0" borderId="0" xfId="0" applyNumberFormat="1" applyFont="1" applyFill="1" applyBorder="1"/>
    <xf numFmtId="0" fontId="0" fillId="6" borderId="0" xfId="0" applyFill="1"/>
    <xf numFmtId="0" fontId="0" fillId="0" borderId="1" xfId="0" applyBorder="1"/>
    <xf numFmtId="0" fontId="0" fillId="0" borderId="0" xfId="0" applyFill="1"/>
    <xf numFmtId="0" fontId="0" fillId="3" borderId="0" xfId="0" applyFill="1"/>
    <xf numFmtId="3" fontId="0" fillId="0" borderId="0" xfId="0" applyNumberFormat="1" applyFill="1"/>
    <xf numFmtId="0" fontId="0" fillId="0" borderId="0" xfId="0" applyBorder="1"/>
    <xf numFmtId="3" fontId="0" fillId="3" borderId="0" xfId="0" applyNumberFormat="1" applyFill="1" applyBorder="1"/>
    <xf numFmtId="0" fontId="0" fillId="0" borderId="3" xfId="0" applyBorder="1"/>
    <xf numFmtId="3" fontId="1" fillId="0" borderId="0" xfId="0" applyNumberFormat="1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3" fontId="0" fillId="4" borderId="0" xfId="0" applyNumberFormat="1" applyFill="1" applyBorder="1"/>
    <xf numFmtId="0" fontId="0" fillId="2" borderId="0" xfId="0" applyFill="1"/>
    <xf numFmtId="0" fontId="0" fillId="4" borderId="1" xfId="0" applyFill="1" applyBorder="1"/>
    <xf numFmtId="0" fontId="1" fillId="0" borderId="1" xfId="0" applyFont="1" applyFill="1" applyBorder="1"/>
    <xf numFmtId="0" fontId="0" fillId="0" borderId="1" xfId="0" applyFill="1" applyBorder="1"/>
    <xf numFmtId="0" fontId="1" fillId="0" borderId="0" xfId="0" applyFont="1" applyBorder="1"/>
    <xf numFmtId="3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95251</xdr:colOff>
      <xdr:row>54</xdr:row>
      <xdr:rowOff>76199</xdr:rowOff>
    </xdr:from>
    <xdr:to>
      <xdr:col>9</xdr:col>
      <xdr:colOff>190501</xdr:colOff>
      <xdr:row>67</xdr:row>
      <xdr:rowOff>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581901" y="10382249"/>
          <a:ext cx="95250" cy="27717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161925</xdr:colOff>
      <xdr:row>14</xdr:row>
      <xdr:rowOff>85725</xdr:rowOff>
    </xdr:from>
    <xdr:to>
      <xdr:col>8</xdr:col>
      <xdr:colOff>361950</xdr:colOff>
      <xdr:row>14</xdr:row>
      <xdr:rowOff>85725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5086350" y="2752725"/>
          <a:ext cx="3295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30</xdr:row>
      <xdr:rowOff>104775</xdr:rowOff>
    </xdr:from>
    <xdr:to>
      <xdr:col>9</xdr:col>
      <xdr:colOff>190500</xdr:colOff>
      <xdr:row>34</xdr:row>
      <xdr:rowOff>116681</xdr:rowOff>
    </xdr:to>
    <xdr:sp macro="" textlink="">
      <xdr:nvSpPr>
        <xdr:cNvPr id="14" name="Right Brac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581900" y="5819775"/>
          <a:ext cx="95250" cy="77390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252413</xdr:colOff>
      <xdr:row>34</xdr:row>
      <xdr:rowOff>76201</xdr:rowOff>
    </xdr:from>
    <xdr:to>
      <xdr:col>8</xdr:col>
      <xdr:colOff>452438</xdr:colOff>
      <xdr:row>34</xdr:row>
      <xdr:rowOff>76201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4741069" y="8696326"/>
          <a:ext cx="2521744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197643</xdr:colOff>
      <xdr:row>42</xdr:row>
      <xdr:rowOff>99060</xdr:rowOff>
    </xdr:from>
    <xdr:to>
      <xdr:col>8</xdr:col>
      <xdr:colOff>397668</xdr:colOff>
      <xdr:row>42</xdr:row>
      <xdr:rowOff>99060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5138737" y="10243185"/>
          <a:ext cx="2521744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197643</xdr:colOff>
      <xdr:row>44</xdr:row>
      <xdr:rowOff>95250</xdr:rowOff>
    </xdr:from>
    <xdr:to>
      <xdr:col>8</xdr:col>
      <xdr:colOff>397668</xdr:colOff>
      <xdr:row>44</xdr:row>
      <xdr:rowOff>95250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5138737" y="11001375"/>
          <a:ext cx="2521744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42862</xdr:colOff>
      <xdr:row>38</xdr:row>
      <xdr:rowOff>47624</xdr:rowOff>
    </xdr:from>
    <xdr:to>
      <xdr:col>9</xdr:col>
      <xdr:colOff>200025</xdr:colOff>
      <xdr:row>44</xdr:row>
      <xdr:rowOff>142875</xdr:rowOff>
    </xdr:to>
    <xdr:sp macro="" textlink="">
      <xdr:nvSpPr>
        <xdr:cNvPr id="26" name="Right Brac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672512" y="7486649"/>
          <a:ext cx="157163" cy="124777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73819</xdr:colOff>
      <xdr:row>48</xdr:row>
      <xdr:rowOff>78581</xdr:rowOff>
    </xdr:from>
    <xdr:to>
      <xdr:col>9</xdr:col>
      <xdr:colOff>190501</xdr:colOff>
      <xdr:row>50</xdr:row>
      <xdr:rowOff>130968</xdr:rowOff>
    </xdr:to>
    <xdr:sp macro="" textlink="">
      <xdr:nvSpPr>
        <xdr:cNvPr id="31" name="Right Brac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7560469" y="9241631"/>
          <a:ext cx="116682" cy="43338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159543</xdr:colOff>
      <xdr:row>26</xdr:row>
      <xdr:rowOff>93345</xdr:rowOff>
    </xdr:from>
    <xdr:to>
      <xdr:col>8</xdr:col>
      <xdr:colOff>359568</xdr:colOff>
      <xdr:row>26</xdr:row>
      <xdr:rowOff>93345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5083968" y="5046345"/>
          <a:ext cx="3295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80962</xdr:colOff>
      <xdr:row>22</xdr:row>
      <xdr:rowOff>57150</xdr:rowOff>
    </xdr:from>
    <xdr:to>
      <xdr:col>9</xdr:col>
      <xdr:colOff>247650</xdr:colOff>
      <xdr:row>26</xdr:row>
      <xdr:rowOff>147637</xdr:rowOff>
    </xdr:to>
    <xdr:sp macro="" textlink="">
      <xdr:nvSpPr>
        <xdr:cNvPr id="36" name="Right Brac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7567612" y="4248150"/>
          <a:ext cx="166688" cy="85248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102396</xdr:colOff>
      <xdr:row>13</xdr:row>
      <xdr:rowOff>180975</xdr:rowOff>
    </xdr:from>
    <xdr:to>
      <xdr:col>12</xdr:col>
      <xdr:colOff>238125</xdr:colOff>
      <xdr:row>61</xdr:row>
      <xdr:rowOff>19050</xdr:rowOff>
    </xdr:to>
    <xdr:sp macro="" textlink="">
      <xdr:nvSpPr>
        <xdr:cNvPr id="37" name="Right Brac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0294146" y="2657475"/>
          <a:ext cx="135729" cy="90011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80962</xdr:colOff>
      <xdr:row>22</xdr:row>
      <xdr:rowOff>19050</xdr:rowOff>
    </xdr:from>
    <xdr:to>
      <xdr:col>3</xdr:col>
      <xdr:colOff>228600</xdr:colOff>
      <xdr:row>24</xdr:row>
      <xdr:rowOff>180975</xdr:rowOff>
    </xdr:to>
    <xdr:sp macro="" textlink="">
      <xdr:nvSpPr>
        <xdr:cNvPr id="34" name="Right Brace 33">
          <a:extLst>
            <a:ext uri="{FF2B5EF4-FFF2-40B4-BE49-F238E27FC236}">
              <a16:creationId xmlns:a16="http://schemas.microsoft.com/office/drawing/2014/main" id="{D9303584-4972-4E10-8D7B-FCB9033F3EF5}"/>
            </a:ext>
          </a:extLst>
        </xdr:cNvPr>
        <xdr:cNvSpPr/>
      </xdr:nvSpPr>
      <xdr:spPr>
        <a:xfrm>
          <a:off x="5005387" y="4210050"/>
          <a:ext cx="147638" cy="542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80962</xdr:colOff>
      <xdr:row>30</xdr:row>
      <xdr:rowOff>0</xdr:rowOff>
    </xdr:from>
    <xdr:to>
      <xdr:col>3</xdr:col>
      <xdr:colOff>228600</xdr:colOff>
      <xdr:row>32</xdr:row>
      <xdr:rowOff>161925</xdr:rowOff>
    </xdr:to>
    <xdr:sp macro="" textlink="">
      <xdr:nvSpPr>
        <xdr:cNvPr id="38" name="Right Brace 37">
          <a:extLst>
            <a:ext uri="{FF2B5EF4-FFF2-40B4-BE49-F238E27FC236}">
              <a16:creationId xmlns:a16="http://schemas.microsoft.com/office/drawing/2014/main" id="{E648899B-9133-4F98-BCE1-D52FEFB813F6}"/>
            </a:ext>
          </a:extLst>
        </xdr:cNvPr>
        <xdr:cNvSpPr/>
      </xdr:nvSpPr>
      <xdr:spPr>
        <a:xfrm>
          <a:off x="5005387" y="5715000"/>
          <a:ext cx="147638" cy="542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252413</xdr:colOff>
      <xdr:row>40</xdr:row>
      <xdr:rowOff>114301</xdr:rowOff>
    </xdr:from>
    <xdr:to>
      <xdr:col>6</xdr:col>
      <xdr:colOff>247650</xdr:colOff>
      <xdr:row>40</xdr:row>
      <xdr:rowOff>114301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5CDF87D-F889-4F29-9FA1-A16E10424D91}"/>
            </a:ext>
          </a:extLst>
        </xdr:cNvPr>
        <xdr:cNvCxnSpPr/>
      </xdr:nvCxnSpPr>
      <xdr:spPr>
        <a:xfrm>
          <a:off x="4033838" y="7753351"/>
          <a:ext cx="324326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252413</xdr:colOff>
      <xdr:row>50</xdr:row>
      <xdr:rowOff>104776</xdr:rowOff>
    </xdr:from>
    <xdr:to>
      <xdr:col>6</xdr:col>
      <xdr:colOff>247650</xdr:colOff>
      <xdr:row>50</xdr:row>
      <xdr:rowOff>104776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5C765377-AD57-4326-9BC2-18B806E51E01}"/>
            </a:ext>
          </a:extLst>
        </xdr:cNvPr>
        <xdr:cNvCxnSpPr/>
      </xdr:nvCxnSpPr>
      <xdr:spPr>
        <a:xfrm>
          <a:off x="4033838" y="9648826"/>
          <a:ext cx="324326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252413</xdr:colOff>
      <xdr:row>48</xdr:row>
      <xdr:rowOff>95251</xdr:rowOff>
    </xdr:from>
    <xdr:to>
      <xdr:col>6</xdr:col>
      <xdr:colOff>247650</xdr:colOff>
      <xdr:row>48</xdr:row>
      <xdr:rowOff>95251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689EDEF-25E6-482C-9E75-6A3B957F6D25}"/>
            </a:ext>
          </a:extLst>
        </xdr:cNvPr>
        <xdr:cNvCxnSpPr/>
      </xdr:nvCxnSpPr>
      <xdr:spPr>
        <a:xfrm>
          <a:off x="4033838" y="9258301"/>
          <a:ext cx="396716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95251</xdr:colOff>
      <xdr:row>101</xdr:row>
      <xdr:rowOff>76200</xdr:rowOff>
    </xdr:from>
    <xdr:to>
      <xdr:col>9</xdr:col>
      <xdr:colOff>238125</xdr:colOff>
      <xdr:row>113</xdr:row>
      <xdr:rowOff>161926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EB48E047-D4BC-4E3E-89C6-F8A30C5A4CAD}"/>
            </a:ext>
          </a:extLst>
        </xdr:cNvPr>
        <xdr:cNvSpPr/>
      </xdr:nvSpPr>
      <xdr:spPr>
        <a:xfrm>
          <a:off x="8848726" y="18935700"/>
          <a:ext cx="142874" cy="237172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197643</xdr:colOff>
      <xdr:row>74</xdr:row>
      <xdr:rowOff>99060</xdr:rowOff>
    </xdr:from>
    <xdr:to>
      <xdr:col>8</xdr:col>
      <xdr:colOff>397668</xdr:colOff>
      <xdr:row>74</xdr:row>
      <xdr:rowOff>99060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33F23C7-82D7-4120-AFB7-A9D4BA840FF5}"/>
            </a:ext>
          </a:extLst>
        </xdr:cNvPr>
        <xdr:cNvCxnSpPr/>
      </xdr:nvCxnSpPr>
      <xdr:spPr>
        <a:xfrm>
          <a:off x="3979068" y="8119110"/>
          <a:ext cx="3295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197643</xdr:colOff>
      <xdr:row>76</xdr:row>
      <xdr:rowOff>95250</xdr:rowOff>
    </xdr:from>
    <xdr:to>
      <xdr:col>8</xdr:col>
      <xdr:colOff>397668</xdr:colOff>
      <xdr:row>76</xdr:row>
      <xdr:rowOff>95250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1B34360-CD39-47B7-897C-B5559F7B3D75}"/>
            </a:ext>
          </a:extLst>
        </xdr:cNvPr>
        <xdr:cNvCxnSpPr/>
      </xdr:nvCxnSpPr>
      <xdr:spPr>
        <a:xfrm>
          <a:off x="4779168" y="14192250"/>
          <a:ext cx="37623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42862</xdr:colOff>
      <xdr:row>70</xdr:row>
      <xdr:rowOff>47625</xdr:rowOff>
    </xdr:from>
    <xdr:to>
      <xdr:col>9</xdr:col>
      <xdr:colOff>209550</xdr:colOff>
      <xdr:row>74</xdr:row>
      <xdr:rowOff>171451</xdr:rowOff>
    </xdr:to>
    <xdr:sp macro="" textlink="">
      <xdr:nvSpPr>
        <xdr:cNvPr id="9" name="Right Brace 8">
          <a:extLst>
            <a:ext uri="{FF2B5EF4-FFF2-40B4-BE49-F238E27FC236}">
              <a16:creationId xmlns:a16="http://schemas.microsoft.com/office/drawing/2014/main" id="{0A60C71F-2FC2-4EEA-805B-59BA842BF68D}"/>
            </a:ext>
          </a:extLst>
        </xdr:cNvPr>
        <xdr:cNvSpPr/>
      </xdr:nvSpPr>
      <xdr:spPr>
        <a:xfrm>
          <a:off x="8796337" y="13001625"/>
          <a:ext cx="166688" cy="88582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159547</xdr:colOff>
      <xdr:row>26</xdr:row>
      <xdr:rowOff>47624</xdr:rowOff>
    </xdr:from>
    <xdr:to>
      <xdr:col>18</xdr:col>
      <xdr:colOff>304801</xdr:colOff>
      <xdr:row>116</xdr:row>
      <xdr:rowOff>133349</xdr:rowOff>
    </xdr:to>
    <xdr:sp macro="" textlink="">
      <xdr:nvSpPr>
        <xdr:cNvPr id="13" name="Right Brace 12">
          <a:extLst>
            <a:ext uri="{FF2B5EF4-FFF2-40B4-BE49-F238E27FC236}">
              <a16:creationId xmlns:a16="http://schemas.microsoft.com/office/drawing/2014/main" id="{4D29DA6A-3063-4BB6-AB2C-6599D93F9498}"/>
            </a:ext>
          </a:extLst>
        </xdr:cNvPr>
        <xdr:cNvSpPr/>
      </xdr:nvSpPr>
      <xdr:spPr>
        <a:xfrm>
          <a:off x="17133097" y="4619624"/>
          <a:ext cx="145254" cy="176117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80962</xdr:colOff>
      <xdr:row>50</xdr:row>
      <xdr:rowOff>19050</xdr:rowOff>
    </xdr:from>
    <xdr:to>
      <xdr:col>3</xdr:col>
      <xdr:colOff>228600</xdr:colOff>
      <xdr:row>52</xdr:row>
      <xdr:rowOff>180975</xdr:rowOff>
    </xdr:to>
    <xdr:sp macro="" textlink="">
      <xdr:nvSpPr>
        <xdr:cNvPr id="14" name="Right Brace 13">
          <a:extLst>
            <a:ext uri="{FF2B5EF4-FFF2-40B4-BE49-F238E27FC236}">
              <a16:creationId xmlns:a16="http://schemas.microsoft.com/office/drawing/2014/main" id="{2C08583A-5E59-4A17-8D14-47A4C793475B}"/>
            </a:ext>
          </a:extLst>
        </xdr:cNvPr>
        <xdr:cNvSpPr/>
      </xdr:nvSpPr>
      <xdr:spPr>
        <a:xfrm>
          <a:off x="3862387" y="4210050"/>
          <a:ext cx="147638" cy="542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80962</xdr:colOff>
      <xdr:row>58</xdr:row>
      <xdr:rowOff>0</xdr:rowOff>
    </xdr:from>
    <xdr:to>
      <xdr:col>3</xdr:col>
      <xdr:colOff>228600</xdr:colOff>
      <xdr:row>60</xdr:row>
      <xdr:rowOff>161925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68904490-515C-490F-A121-C3741A224F62}"/>
            </a:ext>
          </a:extLst>
        </xdr:cNvPr>
        <xdr:cNvSpPr/>
      </xdr:nvSpPr>
      <xdr:spPr>
        <a:xfrm>
          <a:off x="3862387" y="5715000"/>
          <a:ext cx="147638" cy="542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114299</xdr:colOff>
      <xdr:row>92</xdr:row>
      <xdr:rowOff>0</xdr:rowOff>
    </xdr:from>
    <xdr:to>
      <xdr:col>9</xdr:col>
      <xdr:colOff>238124</xdr:colOff>
      <xdr:row>94</xdr:row>
      <xdr:rowOff>171450</xdr:rowOff>
    </xdr:to>
    <xdr:sp macro="" textlink="">
      <xdr:nvSpPr>
        <xdr:cNvPr id="18" name="Right Brace 17">
          <a:extLst>
            <a:ext uri="{FF2B5EF4-FFF2-40B4-BE49-F238E27FC236}">
              <a16:creationId xmlns:a16="http://schemas.microsoft.com/office/drawing/2014/main" id="{50B763DF-433C-46FC-95CE-ADEFD7517CC8}"/>
            </a:ext>
          </a:extLst>
        </xdr:cNvPr>
        <xdr:cNvSpPr/>
      </xdr:nvSpPr>
      <xdr:spPr>
        <a:xfrm>
          <a:off x="7600949" y="9525000"/>
          <a:ext cx="123825" cy="5524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66674</xdr:colOff>
      <xdr:row>90</xdr:row>
      <xdr:rowOff>0</xdr:rowOff>
    </xdr:from>
    <xdr:to>
      <xdr:col>12</xdr:col>
      <xdr:colOff>228600</xdr:colOff>
      <xdr:row>95</xdr:row>
      <xdr:rowOff>0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324A61DA-CD71-48E4-92CF-FB6FBB7A6004}"/>
            </a:ext>
          </a:extLst>
        </xdr:cNvPr>
        <xdr:cNvSpPr/>
      </xdr:nvSpPr>
      <xdr:spPr>
        <a:xfrm>
          <a:off x="10258424" y="9144000"/>
          <a:ext cx="161926" cy="952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95250</xdr:colOff>
      <xdr:row>128</xdr:row>
      <xdr:rowOff>47625</xdr:rowOff>
    </xdr:from>
    <xdr:to>
      <xdr:col>3</xdr:col>
      <xdr:colOff>238125</xdr:colOff>
      <xdr:row>130</xdr:row>
      <xdr:rowOff>130969</xdr:rowOff>
    </xdr:to>
    <xdr:sp macro="" textlink="">
      <xdr:nvSpPr>
        <xdr:cNvPr id="23" name="Right Brace 22">
          <a:extLst>
            <a:ext uri="{FF2B5EF4-FFF2-40B4-BE49-F238E27FC236}">
              <a16:creationId xmlns:a16="http://schemas.microsoft.com/office/drawing/2014/main" id="{C98C5957-6472-4537-A185-CD8C71A66D75}"/>
            </a:ext>
          </a:extLst>
        </xdr:cNvPr>
        <xdr:cNvSpPr/>
      </xdr:nvSpPr>
      <xdr:spPr>
        <a:xfrm>
          <a:off x="5019675" y="13858875"/>
          <a:ext cx="142875" cy="4643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85724</xdr:colOff>
      <xdr:row>35</xdr:row>
      <xdr:rowOff>180975</xdr:rowOff>
    </xdr:from>
    <xdr:to>
      <xdr:col>9</xdr:col>
      <xdr:colOff>228600</xdr:colOff>
      <xdr:row>46</xdr:row>
      <xdr:rowOff>171450</xdr:rowOff>
    </xdr:to>
    <xdr:sp macro="" textlink="">
      <xdr:nvSpPr>
        <xdr:cNvPr id="33" name="Right Brace 32">
          <a:extLst>
            <a:ext uri="{FF2B5EF4-FFF2-40B4-BE49-F238E27FC236}">
              <a16:creationId xmlns:a16="http://schemas.microsoft.com/office/drawing/2014/main" id="{9571F059-545E-4EC4-9F5A-61905A217B1A}"/>
            </a:ext>
          </a:extLst>
        </xdr:cNvPr>
        <xdr:cNvSpPr/>
      </xdr:nvSpPr>
      <xdr:spPr>
        <a:xfrm>
          <a:off x="8839199" y="6467475"/>
          <a:ext cx="142876" cy="20859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171450</xdr:colOff>
      <xdr:row>127</xdr:row>
      <xdr:rowOff>76200</xdr:rowOff>
    </xdr:from>
    <xdr:to>
      <xdr:col>6</xdr:col>
      <xdr:colOff>314325</xdr:colOff>
      <xdr:row>129</xdr:row>
      <xdr:rowOff>159544</xdr:rowOff>
    </xdr:to>
    <xdr:sp macro="" textlink="">
      <xdr:nvSpPr>
        <xdr:cNvPr id="34" name="Right Brace 33">
          <a:extLst>
            <a:ext uri="{FF2B5EF4-FFF2-40B4-BE49-F238E27FC236}">
              <a16:creationId xmlns:a16="http://schemas.microsoft.com/office/drawing/2014/main" id="{39D7C30E-92DA-4E44-B83A-BF880C1D4B88}"/>
            </a:ext>
          </a:extLst>
        </xdr:cNvPr>
        <xdr:cNvSpPr/>
      </xdr:nvSpPr>
      <xdr:spPr>
        <a:xfrm>
          <a:off x="8991600" y="13696950"/>
          <a:ext cx="142875" cy="4643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171450</xdr:colOff>
      <xdr:row>129</xdr:row>
      <xdr:rowOff>76200</xdr:rowOff>
    </xdr:from>
    <xdr:to>
      <xdr:col>6</xdr:col>
      <xdr:colOff>314325</xdr:colOff>
      <xdr:row>131</xdr:row>
      <xdr:rowOff>159544</xdr:rowOff>
    </xdr:to>
    <xdr:sp macro="" textlink="">
      <xdr:nvSpPr>
        <xdr:cNvPr id="35" name="Right Brace 34">
          <a:extLst>
            <a:ext uri="{FF2B5EF4-FFF2-40B4-BE49-F238E27FC236}">
              <a16:creationId xmlns:a16="http://schemas.microsoft.com/office/drawing/2014/main" id="{FC1879CD-4DEE-47EA-83D5-544D5A216236}"/>
            </a:ext>
          </a:extLst>
        </xdr:cNvPr>
        <xdr:cNvSpPr/>
      </xdr:nvSpPr>
      <xdr:spPr>
        <a:xfrm>
          <a:off x="8991600" y="14077950"/>
          <a:ext cx="142875" cy="4643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190933</xdr:colOff>
      <xdr:row>125</xdr:row>
      <xdr:rowOff>80963</xdr:rowOff>
    </xdr:from>
    <xdr:to>
      <xdr:col>8</xdr:col>
      <xdr:colOff>494867</xdr:colOff>
      <xdr:row>125</xdr:row>
      <xdr:rowOff>80963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F09A727-5236-4FD4-8A22-4C0126778B67}"/>
            </a:ext>
          </a:extLst>
        </xdr:cNvPr>
        <xdr:cNvCxnSpPr/>
      </xdr:nvCxnSpPr>
      <xdr:spPr>
        <a:xfrm>
          <a:off x="8944408" y="23131463"/>
          <a:ext cx="267565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76</xdr:row>
      <xdr:rowOff>19050</xdr:rowOff>
    </xdr:from>
    <xdr:to>
      <xdr:col>9</xdr:col>
      <xdr:colOff>209550</xdr:colOff>
      <xdr:row>86</xdr:row>
      <xdr:rowOff>190499</xdr:rowOff>
    </xdr:to>
    <xdr:sp macro="" textlink="">
      <xdr:nvSpPr>
        <xdr:cNvPr id="38" name="Right Brace 37">
          <a:extLst>
            <a:ext uri="{FF2B5EF4-FFF2-40B4-BE49-F238E27FC236}">
              <a16:creationId xmlns:a16="http://schemas.microsoft.com/office/drawing/2014/main" id="{20169A26-F0C3-4804-9C3B-89F7559B46B3}"/>
            </a:ext>
          </a:extLst>
        </xdr:cNvPr>
        <xdr:cNvSpPr/>
      </xdr:nvSpPr>
      <xdr:spPr>
        <a:xfrm>
          <a:off x="8858250" y="14116050"/>
          <a:ext cx="104775" cy="207644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57151</xdr:colOff>
      <xdr:row>115</xdr:row>
      <xdr:rowOff>28575</xdr:rowOff>
    </xdr:from>
    <xdr:to>
      <xdr:col>9</xdr:col>
      <xdr:colOff>219075</xdr:colOff>
      <xdr:row>131</xdr:row>
      <xdr:rowOff>161925</xdr:rowOff>
    </xdr:to>
    <xdr:sp macro="" textlink="">
      <xdr:nvSpPr>
        <xdr:cNvPr id="42" name="Right Brace 41">
          <a:extLst>
            <a:ext uri="{FF2B5EF4-FFF2-40B4-BE49-F238E27FC236}">
              <a16:creationId xmlns:a16="http://schemas.microsoft.com/office/drawing/2014/main" id="{580F0A59-9806-40DF-9187-48EF9791AFC3}"/>
            </a:ext>
          </a:extLst>
        </xdr:cNvPr>
        <xdr:cNvSpPr/>
      </xdr:nvSpPr>
      <xdr:spPr>
        <a:xfrm>
          <a:off x="13411201" y="21745575"/>
          <a:ext cx="161924" cy="31813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134899</xdr:colOff>
      <xdr:row>115</xdr:row>
      <xdr:rowOff>90488</xdr:rowOff>
    </xdr:from>
    <xdr:to>
      <xdr:col>8</xdr:col>
      <xdr:colOff>465177</xdr:colOff>
      <xdr:row>115</xdr:row>
      <xdr:rowOff>90488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E479FD0-1CBE-4602-A93E-C405A56B7FB6}"/>
            </a:ext>
          </a:extLst>
        </xdr:cNvPr>
        <xdr:cNvCxnSpPr/>
      </xdr:nvCxnSpPr>
      <xdr:spPr>
        <a:xfrm>
          <a:off x="4716424" y="21807488"/>
          <a:ext cx="849320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114301</xdr:colOff>
      <xdr:row>24</xdr:row>
      <xdr:rowOff>57151</xdr:rowOff>
    </xdr:from>
    <xdr:to>
      <xdr:col>15</xdr:col>
      <xdr:colOff>228601</xdr:colOff>
      <xdr:row>29</xdr:row>
      <xdr:rowOff>1</xdr:rowOff>
    </xdr:to>
    <xdr:sp macro="" textlink="">
      <xdr:nvSpPr>
        <xdr:cNvPr id="48" name="Right Brace 47">
          <a:extLst>
            <a:ext uri="{FF2B5EF4-FFF2-40B4-BE49-F238E27FC236}">
              <a16:creationId xmlns:a16="http://schemas.microsoft.com/office/drawing/2014/main" id="{4E8419F3-8A5C-4317-8F19-AD4C811881DD}"/>
            </a:ext>
          </a:extLst>
        </xdr:cNvPr>
        <xdr:cNvSpPr/>
      </xdr:nvSpPr>
      <xdr:spPr>
        <a:xfrm>
          <a:off x="14868526" y="4248151"/>
          <a:ext cx="114300" cy="8953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95250</xdr:colOff>
      <xdr:row>105</xdr:row>
      <xdr:rowOff>180975</xdr:rowOff>
    </xdr:from>
    <xdr:to>
      <xdr:col>15</xdr:col>
      <xdr:colOff>257175</xdr:colOff>
      <xdr:row>125</xdr:row>
      <xdr:rowOff>19051</xdr:rowOff>
    </xdr:to>
    <xdr:sp macro="" textlink="">
      <xdr:nvSpPr>
        <xdr:cNvPr id="53" name="Right Brace 52">
          <a:extLst>
            <a:ext uri="{FF2B5EF4-FFF2-40B4-BE49-F238E27FC236}">
              <a16:creationId xmlns:a16="http://schemas.microsoft.com/office/drawing/2014/main" id="{E7A51112-D4E6-4818-8896-99E569B4AF40}"/>
            </a:ext>
          </a:extLst>
        </xdr:cNvPr>
        <xdr:cNvSpPr/>
      </xdr:nvSpPr>
      <xdr:spPr>
        <a:xfrm>
          <a:off x="14849475" y="19802475"/>
          <a:ext cx="161925" cy="364807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142874</xdr:colOff>
      <xdr:row>26</xdr:row>
      <xdr:rowOff>28576</xdr:rowOff>
    </xdr:from>
    <xdr:to>
      <xdr:col>9</xdr:col>
      <xdr:colOff>276225</xdr:colOff>
      <xdr:row>31</xdr:row>
      <xdr:rowOff>9526</xdr:rowOff>
    </xdr:to>
    <xdr:sp macro="" textlink="">
      <xdr:nvSpPr>
        <xdr:cNvPr id="54" name="Right Brace 53">
          <a:extLst>
            <a:ext uri="{FF2B5EF4-FFF2-40B4-BE49-F238E27FC236}">
              <a16:creationId xmlns:a16="http://schemas.microsoft.com/office/drawing/2014/main" id="{237C3A17-FC65-4EB9-9634-C7DDD2BBF923}"/>
            </a:ext>
          </a:extLst>
        </xdr:cNvPr>
        <xdr:cNvSpPr/>
      </xdr:nvSpPr>
      <xdr:spPr>
        <a:xfrm>
          <a:off x="8896349" y="4600576"/>
          <a:ext cx="133351" cy="9334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197645</xdr:colOff>
      <xdr:row>26</xdr:row>
      <xdr:rowOff>76200</xdr:rowOff>
    </xdr:from>
    <xdr:to>
      <xdr:col>8</xdr:col>
      <xdr:colOff>402432</xdr:colOff>
      <xdr:row>26</xdr:row>
      <xdr:rowOff>76200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A3E72E36-B677-4EB8-8226-663E85E49977}"/>
            </a:ext>
          </a:extLst>
        </xdr:cNvPr>
        <xdr:cNvCxnSpPr/>
      </xdr:nvCxnSpPr>
      <xdr:spPr>
        <a:xfrm>
          <a:off x="4779170" y="4648200"/>
          <a:ext cx="376713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197645</xdr:colOff>
      <xdr:row>28</xdr:row>
      <xdr:rowOff>104775</xdr:rowOff>
    </xdr:from>
    <xdr:to>
      <xdr:col>8</xdr:col>
      <xdr:colOff>402432</xdr:colOff>
      <xdr:row>28</xdr:row>
      <xdr:rowOff>104775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F6F67869-A1E0-4795-B30F-D4A67E727584}"/>
            </a:ext>
          </a:extLst>
        </xdr:cNvPr>
        <xdr:cNvCxnSpPr/>
      </xdr:nvCxnSpPr>
      <xdr:spPr>
        <a:xfrm>
          <a:off x="4779170" y="5057775"/>
          <a:ext cx="376713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197645</xdr:colOff>
      <xdr:row>36</xdr:row>
      <xdr:rowOff>114300</xdr:rowOff>
    </xdr:from>
    <xdr:to>
      <xdr:col>8</xdr:col>
      <xdr:colOff>402432</xdr:colOff>
      <xdr:row>36</xdr:row>
      <xdr:rowOff>114300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683422C9-C3D8-4C9B-A1CE-C2B19EF8FA20}"/>
            </a:ext>
          </a:extLst>
        </xdr:cNvPr>
        <xdr:cNvCxnSpPr/>
      </xdr:nvCxnSpPr>
      <xdr:spPr>
        <a:xfrm>
          <a:off x="4779170" y="6591300"/>
          <a:ext cx="376713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197645</xdr:colOff>
      <xdr:row>38</xdr:row>
      <xdr:rowOff>114300</xdr:rowOff>
    </xdr:from>
    <xdr:to>
      <xdr:col>8</xdr:col>
      <xdr:colOff>402432</xdr:colOff>
      <xdr:row>38</xdr:row>
      <xdr:rowOff>114300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1C5926BB-A9E5-4249-B2EA-8612CFF5E39A}"/>
            </a:ext>
          </a:extLst>
        </xdr:cNvPr>
        <xdr:cNvCxnSpPr/>
      </xdr:nvCxnSpPr>
      <xdr:spPr>
        <a:xfrm>
          <a:off x="4779170" y="6972300"/>
          <a:ext cx="376713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197645</xdr:colOff>
      <xdr:row>40</xdr:row>
      <xdr:rowOff>104775</xdr:rowOff>
    </xdr:from>
    <xdr:to>
      <xdr:col>8</xdr:col>
      <xdr:colOff>402432</xdr:colOff>
      <xdr:row>40</xdr:row>
      <xdr:rowOff>104775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5DA8550A-7050-4757-9C62-306C95C2277C}"/>
            </a:ext>
          </a:extLst>
        </xdr:cNvPr>
        <xdr:cNvCxnSpPr/>
      </xdr:nvCxnSpPr>
      <xdr:spPr>
        <a:xfrm>
          <a:off x="4779170" y="7343775"/>
          <a:ext cx="376713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197645</xdr:colOff>
      <xdr:row>42</xdr:row>
      <xdr:rowOff>104775</xdr:rowOff>
    </xdr:from>
    <xdr:to>
      <xdr:col>8</xdr:col>
      <xdr:colOff>402432</xdr:colOff>
      <xdr:row>42</xdr:row>
      <xdr:rowOff>104775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8D1A390A-0641-4CC9-A245-E13DEB11EA7A}"/>
            </a:ext>
          </a:extLst>
        </xdr:cNvPr>
        <xdr:cNvCxnSpPr/>
      </xdr:nvCxnSpPr>
      <xdr:spPr>
        <a:xfrm>
          <a:off x="4779170" y="7724775"/>
          <a:ext cx="376713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86395</xdr:colOff>
      <xdr:row>24</xdr:row>
      <xdr:rowOff>104775</xdr:rowOff>
    </xdr:from>
    <xdr:to>
      <xdr:col>12</xdr:col>
      <xdr:colOff>218406</xdr:colOff>
      <xdr:row>24</xdr:row>
      <xdr:rowOff>104775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3D92F4A5-C175-4E0B-B18A-DA7099C5DE06}"/>
            </a:ext>
          </a:extLst>
        </xdr:cNvPr>
        <xdr:cNvCxnSpPr/>
      </xdr:nvCxnSpPr>
      <xdr:spPr>
        <a:xfrm>
          <a:off x="12564145" y="4295775"/>
          <a:ext cx="3113336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80962</xdr:colOff>
      <xdr:row>62</xdr:row>
      <xdr:rowOff>19050</xdr:rowOff>
    </xdr:from>
    <xdr:to>
      <xdr:col>3</xdr:col>
      <xdr:colOff>247650</xdr:colOff>
      <xdr:row>66</xdr:row>
      <xdr:rowOff>180975</xdr:rowOff>
    </xdr:to>
    <xdr:sp macro="" textlink="">
      <xdr:nvSpPr>
        <xdr:cNvPr id="63" name="Right Brace 62">
          <a:extLst>
            <a:ext uri="{FF2B5EF4-FFF2-40B4-BE49-F238E27FC236}">
              <a16:creationId xmlns:a16="http://schemas.microsoft.com/office/drawing/2014/main" id="{506BB4E4-FB6D-46DD-8182-18CCE58EF648}"/>
            </a:ext>
          </a:extLst>
        </xdr:cNvPr>
        <xdr:cNvSpPr/>
      </xdr:nvSpPr>
      <xdr:spPr>
        <a:xfrm>
          <a:off x="4662487" y="11449050"/>
          <a:ext cx="166688" cy="923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80961</xdr:colOff>
      <xdr:row>51</xdr:row>
      <xdr:rowOff>19050</xdr:rowOff>
    </xdr:from>
    <xdr:to>
      <xdr:col>12</xdr:col>
      <xdr:colOff>238124</xdr:colOff>
      <xdr:row>55</xdr:row>
      <xdr:rowOff>142875</xdr:rowOff>
    </xdr:to>
    <xdr:sp macro="" textlink="">
      <xdr:nvSpPr>
        <xdr:cNvPr id="64" name="Right Brace 63">
          <a:extLst>
            <a:ext uri="{FF2B5EF4-FFF2-40B4-BE49-F238E27FC236}">
              <a16:creationId xmlns:a16="http://schemas.microsoft.com/office/drawing/2014/main" id="{E2006F06-ED66-444C-8D14-AB59B52C9358}"/>
            </a:ext>
          </a:extLst>
        </xdr:cNvPr>
        <xdr:cNvSpPr/>
      </xdr:nvSpPr>
      <xdr:spPr>
        <a:xfrm>
          <a:off x="11815761" y="9353550"/>
          <a:ext cx="157163" cy="8858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80961</xdr:colOff>
      <xdr:row>59</xdr:row>
      <xdr:rowOff>0</xdr:rowOff>
    </xdr:from>
    <xdr:to>
      <xdr:col>12</xdr:col>
      <xdr:colOff>247650</xdr:colOff>
      <xdr:row>65</xdr:row>
      <xdr:rowOff>161925</xdr:rowOff>
    </xdr:to>
    <xdr:sp macro="" textlink="">
      <xdr:nvSpPr>
        <xdr:cNvPr id="65" name="Right Brace 64">
          <a:extLst>
            <a:ext uri="{FF2B5EF4-FFF2-40B4-BE49-F238E27FC236}">
              <a16:creationId xmlns:a16="http://schemas.microsoft.com/office/drawing/2014/main" id="{B5F4E86F-D1D7-4B7F-A4D0-AB73D083C957}"/>
            </a:ext>
          </a:extLst>
        </xdr:cNvPr>
        <xdr:cNvSpPr/>
      </xdr:nvSpPr>
      <xdr:spPr>
        <a:xfrm>
          <a:off x="11815761" y="10858500"/>
          <a:ext cx="166689" cy="1304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114301</xdr:colOff>
      <xdr:row>34</xdr:row>
      <xdr:rowOff>9526</xdr:rowOff>
    </xdr:from>
    <xdr:to>
      <xdr:col>15</xdr:col>
      <xdr:colOff>238125</xdr:colOff>
      <xdr:row>42</xdr:row>
      <xdr:rowOff>171450</xdr:rowOff>
    </xdr:to>
    <xdr:sp macro="" textlink="">
      <xdr:nvSpPr>
        <xdr:cNvPr id="66" name="Right Brace 65">
          <a:extLst>
            <a:ext uri="{FF2B5EF4-FFF2-40B4-BE49-F238E27FC236}">
              <a16:creationId xmlns:a16="http://schemas.microsoft.com/office/drawing/2014/main" id="{78FE30A0-1015-4FD0-8A76-0B9F9EF5D59F}"/>
            </a:ext>
          </a:extLst>
        </xdr:cNvPr>
        <xdr:cNvSpPr/>
      </xdr:nvSpPr>
      <xdr:spPr>
        <a:xfrm>
          <a:off x="14868526" y="6105526"/>
          <a:ext cx="123824" cy="168592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197643</xdr:colOff>
      <xdr:row>78</xdr:row>
      <xdr:rowOff>95250</xdr:rowOff>
    </xdr:from>
    <xdr:to>
      <xdr:col>8</xdr:col>
      <xdr:colOff>397668</xdr:colOff>
      <xdr:row>78</xdr:row>
      <xdr:rowOff>95250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3824F8D8-815F-4219-82A1-8AFF1E952B6C}"/>
            </a:ext>
          </a:extLst>
        </xdr:cNvPr>
        <xdr:cNvCxnSpPr/>
      </xdr:nvCxnSpPr>
      <xdr:spPr>
        <a:xfrm>
          <a:off x="4779168" y="14573250"/>
          <a:ext cx="37623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105030</xdr:colOff>
      <xdr:row>72</xdr:row>
      <xdr:rowOff>108585</xdr:rowOff>
    </xdr:from>
    <xdr:to>
      <xdr:col>12</xdr:col>
      <xdr:colOff>233106</xdr:colOff>
      <xdr:row>72</xdr:row>
      <xdr:rowOff>108585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B26E7415-02A3-4133-B7AF-45B2D97EFCBB}"/>
            </a:ext>
          </a:extLst>
        </xdr:cNvPr>
        <xdr:cNvCxnSpPr/>
      </xdr:nvCxnSpPr>
      <xdr:spPr>
        <a:xfrm>
          <a:off x="8858505" y="13443585"/>
          <a:ext cx="3109401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72</xdr:row>
      <xdr:rowOff>38100</xdr:rowOff>
    </xdr:from>
    <xdr:to>
      <xdr:col>15</xdr:col>
      <xdr:colOff>238125</xdr:colOff>
      <xdr:row>82</xdr:row>
      <xdr:rowOff>171450</xdr:rowOff>
    </xdr:to>
    <xdr:sp macro="" textlink="">
      <xdr:nvSpPr>
        <xdr:cNvPr id="69" name="Right Brace 68">
          <a:extLst>
            <a:ext uri="{FF2B5EF4-FFF2-40B4-BE49-F238E27FC236}">
              <a16:creationId xmlns:a16="http://schemas.microsoft.com/office/drawing/2014/main" id="{25AF0859-2B82-40B0-99F7-EF011B7D97A6}"/>
            </a:ext>
          </a:extLst>
        </xdr:cNvPr>
        <xdr:cNvSpPr/>
      </xdr:nvSpPr>
      <xdr:spPr>
        <a:xfrm>
          <a:off x="14811375" y="13373100"/>
          <a:ext cx="180975" cy="20383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134899</xdr:colOff>
      <xdr:row>117</xdr:row>
      <xdr:rowOff>109538</xdr:rowOff>
    </xdr:from>
    <xdr:to>
      <xdr:col>8</xdr:col>
      <xdr:colOff>465177</xdr:colOff>
      <xdr:row>117</xdr:row>
      <xdr:rowOff>109538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6CBE39F2-5283-40CE-8AB8-4BD85D802E76}"/>
            </a:ext>
          </a:extLst>
        </xdr:cNvPr>
        <xdr:cNvCxnSpPr/>
      </xdr:nvCxnSpPr>
      <xdr:spPr>
        <a:xfrm>
          <a:off x="4716424" y="22207538"/>
          <a:ext cx="849320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134899</xdr:colOff>
      <xdr:row>119</xdr:row>
      <xdr:rowOff>80963</xdr:rowOff>
    </xdr:from>
    <xdr:to>
      <xdr:col>8</xdr:col>
      <xdr:colOff>465177</xdr:colOff>
      <xdr:row>119</xdr:row>
      <xdr:rowOff>80963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B4960C91-0520-4E95-887A-7259D6B69038}"/>
            </a:ext>
          </a:extLst>
        </xdr:cNvPr>
        <xdr:cNvCxnSpPr/>
      </xdr:nvCxnSpPr>
      <xdr:spPr>
        <a:xfrm>
          <a:off x="4716424" y="22559963"/>
          <a:ext cx="849320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190933</xdr:colOff>
      <xdr:row>123</xdr:row>
      <xdr:rowOff>90488</xdr:rowOff>
    </xdr:from>
    <xdr:to>
      <xdr:col>8</xdr:col>
      <xdr:colOff>494867</xdr:colOff>
      <xdr:row>123</xdr:row>
      <xdr:rowOff>90488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88278F27-4ABA-40C7-A8C6-1E3770530F05}"/>
            </a:ext>
          </a:extLst>
        </xdr:cNvPr>
        <xdr:cNvCxnSpPr/>
      </xdr:nvCxnSpPr>
      <xdr:spPr>
        <a:xfrm>
          <a:off x="8944408" y="22759988"/>
          <a:ext cx="267565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190933</xdr:colOff>
      <xdr:row>121</xdr:row>
      <xdr:rowOff>90488</xdr:rowOff>
    </xdr:from>
    <xdr:to>
      <xdr:col>8</xdr:col>
      <xdr:colOff>494867</xdr:colOff>
      <xdr:row>121</xdr:row>
      <xdr:rowOff>90488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F3B7C45B-0650-48A8-AC46-C943FB830269}"/>
            </a:ext>
          </a:extLst>
        </xdr:cNvPr>
        <xdr:cNvCxnSpPr/>
      </xdr:nvCxnSpPr>
      <xdr:spPr>
        <a:xfrm>
          <a:off x="8944408" y="22378988"/>
          <a:ext cx="267565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76198</xdr:colOff>
      <xdr:row>92</xdr:row>
      <xdr:rowOff>28574</xdr:rowOff>
    </xdr:from>
    <xdr:to>
      <xdr:col>15</xdr:col>
      <xdr:colOff>247649</xdr:colOff>
      <xdr:row>96</xdr:row>
      <xdr:rowOff>152399</xdr:rowOff>
    </xdr:to>
    <xdr:sp macro="" textlink="">
      <xdr:nvSpPr>
        <xdr:cNvPr id="76" name="Right Brace 75">
          <a:extLst>
            <a:ext uri="{FF2B5EF4-FFF2-40B4-BE49-F238E27FC236}">
              <a16:creationId xmlns:a16="http://schemas.microsoft.com/office/drawing/2014/main" id="{44207E3A-7C50-48EC-BFAC-D685588800C2}"/>
            </a:ext>
          </a:extLst>
        </xdr:cNvPr>
        <xdr:cNvSpPr/>
      </xdr:nvSpPr>
      <xdr:spPr>
        <a:xfrm>
          <a:off x="19430998" y="16983074"/>
          <a:ext cx="171451" cy="8858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108911</xdr:colOff>
      <xdr:row>53</xdr:row>
      <xdr:rowOff>85725</xdr:rowOff>
    </xdr:from>
    <xdr:to>
      <xdr:col>17</xdr:col>
      <xdr:colOff>529266</xdr:colOff>
      <xdr:row>53</xdr:row>
      <xdr:rowOff>85725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5EE539F6-7F77-45EF-AA25-30561551838C}"/>
            </a:ext>
          </a:extLst>
        </xdr:cNvPr>
        <xdr:cNvCxnSpPr/>
      </xdr:nvCxnSpPr>
      <xdr:spPr>
        <a:xfrm>
          <a:off x="14863136" y="9801225"/>
          <a:ext cx="257300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108911</xdr:colOff>
      <xdr:row>62</xdr:row>
      <xdr:rowOff>104775</xdr:rowOff>
    </xdr:from>
    <xdr:to>
      <xdr:col>17</xdr:col>
      <xdr:colOff>529266</xdr:colOff>
      <xdr:row>62</xdr:row>
      <xdr:rowOff>104775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EB089B09-C261-4354-B224-8BAD080FE535}"/>
            </a:ext>
          </a:extLst>
        </xdr:cNvPr>
        <xdr:cNvCxnSpPr/>
      </xdr:nvCxnSpPr>
      <xdr:spPr>
        <a:xfrm>
          <a:off x="14863136" y="11534775"/>
          <a:ext cx="257300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95</xdr:row>
      <xdr:rowOff>47625</xdr:rowOff>
    </xdr:from>
    <xdr:to>
      <xdr:col>3</xdr:col>
      <xdr:colOff>238125</xdr:colOff>
      <xdr:row>97</xdr:row>
      <xdr:rowOff>130969</xdr:rowOff>
    </xdr:to>
    <xdr:sp macro="" textlink="">
      <xdr:nvSpPr>
        <xdr:cNvPr id="46" name="Right Brace 45">
          <a:extLst>
            <a:ext uri="{FF2B5EF4-FFF2-40B4-BE49-F238E27FC236}">
              <a16:creationId xmlns:a16="http://schemas.microsoft.com/office/drawing/2014/main" id="{6B696DC1-45B2-4569-BCFF-ED81858AFD19}"/>
            </a:ext>
          </a:extLst>
        </xdr:cNvPr>
        <xdr:cNvSpPr/>
      </xdr:nvSpPr>
      <xdr:spPr>
        <a:xfrm>
          <a:off x="5019675" y="10982325"/>
          <a:ext cx="142875" cy="4643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95250</xdr:colOff>
      <xdr:row>97</xdr:row>
      <xdr:rowOff>47625</xdr:rowOff>
    </xdr:from>
    <xdr:to>
      <xdr:col>3</xdr:col>
      <xdr:colOff>238125</xdr:colOff>
      <xdr:row>99</xdr:row>
      <xdr:rowOff>130969</xdr:rowOff>
    </xdr:to>
    <xdr:sp macro="" textlink="">
      <xdr:nvSpPr>
        <xdr:cNvPr id="47" name="Right Brace 46">
          <a:extLst>
            <a:ext uri="{FF2B5EF4-FFF2-40B4-BE49-F238E27FC236}">
              <a16:creationId xmlns:a16="http://schemas.microsoft.com/office/drawing/2014/main" id="{1CBEF788-2FC4-41A6-B50D-8A445A998B1F}"/>
            </a:ext>
          </a:extLst>
        </xdr:cNvPr>
        <xdr:cNvSpPr/>
      </xdr:nvSpPr>
      <xdr:spPr>
        <a:xfrm>
          <a:off x="5019675" y="11363325"/>
          <a:ext cx="142875" cy="4643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114299</xdr:colOff>
      <xdr:row>96</xdr:row>
      <xdr:rowOff>28575</xdr:rowOff>
    </xdr:from>
    <xdr:to>
      <xdr:col>9</xdr:col>
      <xdr:colOff>238124</xdr:colOff>
      <xdr:row>99</xdr:row>
      <xdr:rowOff>9525</xdr:rowOff>
    </xdr:to>
    <xdr:sp macro="" textlink="">
      <xdr:nvSpPr>
        <xdr:cNvPr id="49" name="Right Brace 48">
          <a:extLst>
            <a:ext uri="{FF2B5EF4-FFF2-40B4-BE49-F238E27FC236}">
              <a16:creationId xmlns:a16="http://schemas.microsoft.com/office/drawing/2014/main" id="{58DDA7CF-BF1E-45EC-9E60-7373C3644F28}"/>
            </a:ext>
          </a:extLst>
        </xdr:cNvPr>
        <xdr:cNvSpPr/>
      </xdr:nvSpPr>
      <xdr:spPr>
        <a:xfrm>
          <a:off x="8867774" y="17935575"/>
          <a:ext cx="123825" cy="5524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219745</xdr:colOff>
      <xdr:row>24</xdr:row>
      <xdr:rowOff>104775</xdr:rowOff>
    </xdr:from>
    <xdr:to>
      <xdr:col>6</xdr:col>
      <xdr:colOff>19050</xdr:colOff>
      <xdr:row>24</xdr:row>
      <xdr:rowOff>104775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CA7E0AD3-39A8-4847-8ABC-6AE98DF9C15F}"/>
            </a:ext>
          </a:extLst>
        </xdr:cNvPr>
        <xdr:cNvCxnSpPr/>
      </xdr:nvCxnSpPr>
      <xdr:spPr>
        <a:xfrm>
          <a:off x="4801270" y="4295775"/>
          <a:ext cx="35235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219745</xdr:colOff>
      <xdr:row>30</xdr:row>
      <xdr:rowOff>104775</xdr:rowOff>
    </xdr:from>
    <xdr:to>
      <xdr:col>6</xdr:col>
      <xdr:colOff>19050</xdr:colOff>
      <xdr:row>30</xdr:row>
      <xdr:rowOff>104775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6270B9B0-A60A-4FD1-ACB6-10A03C7C3343}"/>
            </a:ext>
          </a:extLst>
        </xdr:cNvPr>
        <xdr:cNvCxnSpPr/>
      </xdr:nvCxnSpPr>
      <xdr:spPr>
        <a:xfrm>
          <a:off x="4801270" y="5438775"/>
          <a:ext cx="35235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219745</xdr:colOff>
      <xdr:row>44</xdr:row>
      <xdr:rowOff>85725</xdr:rowOff>
    </xdr:from>
    <xdr:to>
      <xdr:col>6</xdr:col>
      <xdr:colOff>19050</xdr:colOff>
      <xdr:row>44</xdr:row>
      <xdr:rowOff>85725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6FF9C9A0-354F-41FF-9244-896130F06BFC}"/>
            </a:ext>
          </a:extLst>
        </xdr:cNvPr>
        <xdr:cNvCxnSpPr/>
      </xdr:nvCxnSpPr>
      <xdr:spPr>
        <a:xfrm>
          <a:off x="4801270" y="8086725"/>
          <a:ext cx="35235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219745</xdr:colOff>
      <xdr:row>46</xdr:row>
      <xdr:rowOff>114300</xdr:rowOff>
    </xdr:from>
    <xdr:to>
      <xdr:col>6</xdr:col>
      <xdr:colOff>19050</xdr:colOff>
      <xdr:row>46</xdr:row>
      <xdr:rowOff>114300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3E0E300A-92B8-4DBE-8529-23E43CCFDB0E}"/>
            </a:ext>
          </a:extLst>
        </xdr:cNvPr>
        <xdr:cNvCxnSpPr/>
      </xdr:nvCxnSpPr>
      <xdr:spPr>
        <a:xfrm>
          <a:off x="4801270" y="8496300"/>
          <a:ext cx="35235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219745</xdr:colOff>
      <xdr:row>51</xdr:row>
      <xdr:rowOff>95250</xdr:rowOff>
    </xdr:from>
    <xdr:to>
      <xdr:col>6</xdr:col>
      <xdr:colOff>19050</xdr:colOff>
      <xdr:row>51</xdr:row>
      <xdr:rowOff>95250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DC41A74E-7633-4E7F-9B97-8F1E3C4CC088}"/>
            </a:ext>
          </a:extLst>
        </xdr:cNvPr>
        <xdr:cNvCxnSpPr/>
      </xdr:nvCxnSpPr>
      <xdr:spPr>
        <a:xfrm>
          <a:off x="4801270" y="9429750"/>
          <a:ext cx="43998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219745</xdr:colOff>
      <xdr:row>54</xdr:row>
      <xdr:rowOff>104775</xdr:rowOff>
    </xdr:from>
    <xdr:to>
      <xdr:col>6</xdr:col>
      <xdr:colOff>19050</xdr:colOff>
      <xdr:row>54</xdr:row>
      <xdr:rowOff>104775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122FD55C-FF2B-4393-914E-3A7846A7351F}"/>
            </a:ext>
          </a:extLst>
        </xdr:cNvPr>
        <xdr:cNvCxnSpPr/>
      </xdr:nvCxnSpPr>
      <xdr:spPr>
        <a:xfrm>
          <a:off x="4801270" y="10010775"/>
          <a:ext cx="35235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219745</xdr:colOff>
      <xdr:row>64</xdr:row>
      <xdr:rowOff>95250</xdr:rowOff>
    </xdr:from>
    <xdr:to>
      <xdr:col>6</xdr:col>
      <xdr:colOff>19050</xdr:colOff>
      <xdr:row>64</xdr:row>
      <xdr:rowOff>95250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4F36741B-A42D-48DF-AFC8-2082B6D38B0D}"/>
            </a:ext>
          </a:extLst>
        </xdr:cNvPr>
        <xdr:cNvCxnSpPr/>
      </xdr:nvCxnSpPr>
      <xdr:spPr>
        <a:xfrm>
          <a:off x="4801270" y="11906250"/>
          <a:ext cx="43998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219745</xdr:colOff>
      <xdr:row>72</xdr:row>
      <xdr:rowOff>104775</xdr:rowOff>
    </xdr:from>
    <xdr:to>
      <xdr:col>6</xdr:col>
      <xdr:colOff>19050</xdr:colOff>
      <xdr:row>72</xdr:row>
      <xdr:rowOff>104775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2DE88F60-21D4-419A-875F-7B8A3D866253}"/>
            </a:ext>
          </a:extLst>
        </xdr:cNvPr>
        <xdr:cNvCxnSpPr/>
      </xdr:nvCxnSpPr>
      <xdr:spPr>
        <a:xfrm>
          <a:off x="4801270" y="13439775"/>
          <a:ext cx="43998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219745</xdr:colOff>
      <xdr:row>80</xdr:row>
      <xdr:rowOff>95250</xdr:rowOff>
    </xdr:from>
    <xdr:to>
      <xdr:col>6</xdr:col>
      <xdr:colOff>19050</xdr:colOff>
      <xdr:row>80</xdr:row>
      <xdr:rowOff>95250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9B3867E2-81C0-4A4E-AB81-54CDEC6DF15A}"/>
            </a:ext>
          </a:extLst>
        </xdr:cNvPr>
        <xdr:cNvCxnSpPr/>
      </xdr:nvCxnSpPr>
      <xdr:spPr>
        <a:xfrm>
          <a:off x="4801270" y="14954250"/>
          <a:ext cx="43998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219745</xdr:colOff>
      <xdr:row>82</xdr:row>
      <xdr:rowOff>95250</xdr:rowOff>
    </xdr:from>
    <xdr:to>
      <xdr:col>6</xdr:col>
      <xdr:colOff>19050</xdr:colOff>
      <xdr:row>82</xdr:row>
      <xdr:rowOff>95250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6F582F69-5A7A-49FC-A2F7-8D6385C2D97F}"/>
            </a:ext>
          </a:extLst>
        </xdr:cNvPr>
        <xdr:cNvCxnSpPr/>
      </xdr:nvCxnSpPr>
      <xdr:spPr>
        <a:xfrm>
          <a:off x="4801270" y="15335250"/>
          <a:ext cx="43998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219745</xdr:colOff>
      <xdr:row>84</xdr:row>
      <xdr:rowOff>85725</xdr:rowOff>
    </xdr:from>
    <xdr:to>
      <xdr:col>6</xdr:col>
      <xdr:colOff>19050</xdr:colOff>
      <xdr:row>84</xdr:row>
      <xdr:rowOff>85725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09E8F14A-C1A5-4317-8248-B8F24955146E}"/>
            </a:ext>
          </a:extLst>
        </xdr:cNvPr>
        <xdr:cNvCxnSpPr/>
      </xdr:nvCxnSpPr>
      <xdr:spPr>
        <a:xfrm>
          <a:off x="4801270" y="15706725"/>
          <a:ext cx="43998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219745</xdr:colOff>
      <xdr:row>86</xdr:row>
      <xdr:rowOff>95250</xdr:rowOff>
    </xdr:from>
    <xdr:to>
      <xdr:col>6</xdr:col>
      <xdr:colOff>19050</xdr:colOff>
      <xdr:row>86</xdr:row>
      <xdr:rowOff>95250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7B3B899A-F84A-44E0-8D4E-7D838EC890FB}"/>
            </a:ext>
          </a:extLst>
        </xdr:cNvPr>
        <xdr:cNvCxnSpPr/>
      </xdr:nvCxnSpPr>
      <xdr:spPr>
        <a:xfrm>
          <a:off x="4801270" y="16097250"/>
          <a:ext cx="43998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219745</xdr:colOff>
      <xdr:row>90</xdr:row>
      <xdr:rowOff>104775</xdr:rowOff>
    </xdr:from>
    <xdr:to>
      <xdr:col>6</xdr:col>
      <xdr:colOff>19050</xdr:colOff>
      <xdr:row>90</xdr:row>
      <xdr:rowOff>104775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76873E7F-1C76-4FBF-BB05-062BA1A4ECFC}"/>
            </a:ext>
          </a:extLst>
        </xdr:cNvPr>
        <xdr:cNvCxnSpPr/>
      </xdr:nvCxnSpPr>
      <xdr:spPr>
        <a:xfrm>
          <a:off x="4801270" y="16678275"/>
          <a:ext cx="43998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219745</xdr:colOff>
      <xdr:row>92</xdr:row>
      <xdr:rowOff>95250</xdr:rowOff>
    </xdr:from>
    <xdr:to>
      <xdr:col>6</xdr:col>
      <xdr:colOff>19050</xdr:colOff>
      <xdr:row>92</xdr:row>
      <xdr:rowOff>95250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AD28FD96-8990-4843-98B1-EE18C04F4C8D}"/>
            </a:ext>
          </a:extLst>
        </xdr:cNvPr>
        <xdr:cNvCxnSpPr/>
      </xdr:nvCxnSpPr>
      <xdr:spPr>
        <a:xfrm>
          <a:off x="4801270" y="17049750"/>
          <a:ext cx="43998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219745</xdr:colOff>
      <xdr:row>96</xdr:row>
      <xdr:rowOff>95250</xdr:rowOff>
    </xdr:from>
    <xdr:to>
      <xdr:col>6</xdr:col>
      <xdr:colOff>19050</xdr:colOff>
      <xdr:row>96</xdr:row>
      <xdr:rowOff>95250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D64AF785-77D8-428A-BE7F-F24E479FFABF}"/>
            </a:ext>
          </a:extLst>
        </xdr:cNvPr>
        <xdr:cNvCxnSpPr/>
      </xdr:nvCxnSpPr>
      <xdr:spPr>
        <a:xfrm>
          <a:off x="4801270" y="18002250"/>
          <a:ext cx="43998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219745</xdr:colOff>
      <xdr:row>98</xdr:row>
      <xdr:rowOff>95250</xdr:rowOff>
    </xdr:from>
    <xdr:to>
      <xdr:col>6</xdr:col>
      <xdr:colOff>19050</xdr:colOff>
      <xdr:row>98</xdr:row>
      <xdr:rowOff>95250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244A6E5F-7778-482E-8AE2-FA2DB8AE743B}"/>
            </a:ext>
          </a:extLst>
        </xdr:cNvPr>
        <xdr:cNvCxnSpPr/>
      </xdr:nvCxnSpPr>
      <xdr:spPr>
        <a:xfrm>
          <a:off x="4801270" y="18383250"/>
          <a:ext cx="439988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10</xdr:row>
      <xdr:rowOff>76200</xdr:rowOff>
    </xdr:from>
    <xdr:to>
      <xdr:col>6</xdr:col>
      <xdr:colOff>250031</xdr:colOff>
      <xdr:row>20</xdr:row>
      <xdr:rowOff>119062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90BCA753-E1AF-4022-89F0-9CAC59ABEDC2}"/>
            </a:ext>
          </a:extLst>
        </xdr:cNvPr>
        <xdr:cNvSpPr/>
      </xdr:nvSpPr>
      <xdr:spPr>
        <a:xfrm>
          <a:off x="8724900" y="2362200"/>
          <a:ext cx="154781" cy="270986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161925</xdr:colOff>
      <xdr:row>10</xdr:row>
      <xdr:rowOff>104775</xdr:rowOff>
    </xdr:from>
    <xdr:to>
      <xdr:col>5</xdr:col>
      <xdr:colOff>361950</xdr:colOff>
      <xdr:row>10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8D40164-17D0-4070-A68B-DDC43E952E0C}"/>
            </a:ext>
          </a:extLst>
        </xdr:cNvPr>
        <xdr:cNvCxnSpPr/>
      </xdr:nvCxnSpPr>
      <xdr:spPr>
        <a:xfrm>
          <a:off x="5086350" y="2390775"/>
          <a:ext cx="3295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12</xdr:row>
      <xdr:rowOff>102870</xdr:rowOff>
    </xdr:from>
    <xdr:to>
      <xdr:col>5</xdr:col>
      <xdr:colOff>361950</xdr:colOff>
      <xdr:row>12</xdr:row>
      <xdr:rowOff>102870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9940896-8014-4B26-A4B0-E974103C7431}"/>
            </a:ext>
          </a:extLst>
        </xdr:cNvPr>
        <xdr:cNvCxnSpPr/>
      </xdr:nvCxnSpPr>
      <xdr:spPr>
        <a:xfrm>
          <a:off x="5086350" y="2769870"/>
          <a:ext cx="3295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14</xdr:row>
      <xdr:rowOff>100965</xdr:rowOff>
    </xdr:from>
    <xdr:to>
      <xdr:col>5</xdr:col>
      <xdr:colOff>361950</xdr:colOff>
      <xdr:row>14</xdr:row>
      <xdr:rowOff>100965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95E6225-D110-4254-88E7-50CDB5CD7283}"/>
            </a:ext>
          </a:extLst>
        </xdr:cNvPr>
        <xdr:cNvCxnSpPr/>
      </xdr:nvCxnSpPr>
      <xdr:spPr>
        <a:xfrm>
          <a:off x="5086350" y="3148965"/>
          <a:ext cx="3295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16</xdr:row>
      <xdr:rowOff>97155</xdr:rowOff>
    </xdr:from>
    <xdr:to>
      <xdr:col>5</xdr:col>
      <xdr:colOff>361950</xdr:colOff>
      <xdr:row>16</xdr:row>
      <xdr:rowOff>97155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41F4553-CA1D-4A0C-B101-AA2F9E1DE2F0}"/>
            </a:ext>
          </a:extLst>
        </xdr:cNvPr>
        <xdr:cNvCxnSpPr/>
      </xdr:nvCxnSpPr>
      <xdr:spPr>
        <a:xfrm>
          <a:off x="5086350" y="3907155"/>
          <a:ext cx="3295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226220</xdr:colOff>
      <xdr:row>22</xdr:row>
      <xdr:rowOff>133350</xdr:rowOff>
    </xdr:from>
    <xdr:to>
      <xdr:col>5</xdr:col>
      <xdr:colOff>431007</xdr:colOff>
      <xdr:row>22</xdr:row>
      <xdr:rowOff>133350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8D2111F-1693-41A1-AAD6-56C7B7069987}"/>
            </a:ext>
          </a:extLst>
        </xdr:cNvPr>
        <xdr:cNvCxnSpPr/>
      </xdr:nvCxnSpPr>
      <xdr:spPr>
        <a:xfrm>
          <a:off x="4226720" y="4705350"/>
          <a:ext cx="330041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24</xdr:row>
      <xdr:rowOff>47625</xdr:rowOff>
    </xdr:from>
    <xdr:to>
      <xdr:col>6</xdr:col>
      <xdr:colOff>276225</xdr:colOff>
      <xdr:row>26</xdr:row>
      <xdr:rowOff>133350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0A0A99E7-20FE-4681-8464-38257259D197}"/>
            </a:ext>
          </a:extLst>
        </xdr:cNvPr>
        <xdr:cNvSpPr/>
      </xdr:nvSpPr>
      <xdr:spPr>
        <a:xfrm>
          <a:off x="8724900" y="5762625"/>
          <a:ext cx="180975" cy="4667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238125</xdr:colOff>
      <xdr:row>24</xdr:row>
      <xdr:rowOff>97631</xdr:rowOff>
    </xdr:from>
    <xdr:to>
      <xdr:col>5</xdr:col>
      <xdr:colOff>438150</xdr:colOff>
      <xdr:row>24</xdr:row>
      <xdr:rowOff>97631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21D00A9-8FF1-4D05-9D5B-D86204CDD8E2}"/>
            </a:ext>
          </a:extLst>
        </xdr:cNvPr>
        <xdr:cNvCxnSpPr/>
      </xdr:nvCxnSpPr>
      <xdr:spPr>
        <a:xfrm>
          <a:off x="5162550" y="6574631"/>
          <a:ext cx="3295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197643</xdr:colOff>
      <xdr:row>28</xdr:row>
      <xdr:rowOff>104775</xdr:rowOff>
    </xdr:from>
    <xdr:to>
      <xdr:col>6</xdr:col>
      <xdr:colOff>190500</xdr:colOff>
      <xdr:row>28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AE7461C-9E4C-4B25-BCF5-459A443119D4}"/>
            </a:ext>
          </a:extLst>
        </xdr:cNvPr>
        <xdr:cNvCxnSpPr/>
      </xdr:nvCxnSpPr>
      <xdr:spPr>
        <a:xfrm>
          <a:off x="5122068" y="6581775"/>
          <a:ext cx="369808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83346</xdr:colOff>
      <xdr:row>15</xdr:row>
      <xdr:rowOff>71440</xdr:rowOff>
    </xdr:from>
    <xdr:to>
      <xdr:col>9</xdr:col>
      <xdr:colOff>257176</xdr:colOff>
      <xdr:row>29</xdr:row>
      <xdr:rowOff>0</xdr:rowOff>
    </xdr:to>
    <xdr:sp macro="" textlink="">
      <xdr:nvSpPr>
        <xdr:cNvPr id="29" name="Right Brace 28">
          <a:extLst>
            <a:ext uri="{FF2B5EF4-FFF2-40B4-BE49-F238E27FC236}">
              <a16:creationId xmlns:a16="http://schemas.microsoft.com/office/drawing/2014/main" id="{536553EB-4D94-4E1E-97E5-57F57B35C5C2}"/>
            </a:ext>
          </a:extLst>
        </xdr:cNvPr>
        <xdr:cNvSpPr/>
      </xdr:nvSpPr>
      <xdr:spPr>
        <a:xfrm>
          <a:off x="10894221" y="3309940"/>
          <a:ext cx="173830" cy="263366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57150</xdr:colOff>
      <xdr:row>22</xdr:row>
      <xdr:rowOff>76200</xdr:rowOff>
    </xdr:from>
    <xdr:to>
      <xdr:col>12</xdr:col>
      <xdr:colOff>238125</xdr:colOff>
      <xdr:row>30</xdr:row>
      <xdr:rowOff>142875</xdr:rowOff>
    </xdr:to>
    <xdr:sp macro="" textlink="">
      <xdr:nvSpPr>
        <xdr:cNvPr id="31" name="Right Brace 30">
          <a:extLst>
            <a:ext uri="{FF2B5EF4-FFF2-40B4-BE49-F238E27FC236}">
              <a16:creationId xmlns:a16="http://schemas.microsoft.com/office/drawing/2014/main" id="{9DE31B3D-C0D9-4E29-B758-0E5A2F9F6963}"/>
            </a:ext>
          </a:extLst>
        </xdr:cNvPr>
        <xdr:cNvSpPr/>
      </xdr:nvSpPr>
      <xdr:spPr>
        <a:xfrm>
          <a:off x="13849350" y="4657725"/>
          <a:ext cx="180975" cy="16192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76</xdr:row>
      <xdr:rowOff>47625</xdr:rowOff>
    </xdr:from>
    <xdr:to>
      <xdr:col>3</xdr:col>
      <xdr:colOff>238125</xdr:colOff>
      <xdr:row>78</xdr:row>
      <xdr:rowOff>130969</xdr:rowOff>
    </xdr:to>
    <xdr:sp macro="" textlink="">
      <xdr:nvSpPr>
        <xdr:cNvPr id="30" name="Right Brace 29">
          <a:extLst>
            <a:ext uri="{FF2B5EF4-FFF2-40B4-BE49-F238E27FC236}">
              <a16:creationId xmlns:a16="http://schemas.microsoft.com/office/drawing/2014/main" id="{91EE3C31-77BC-4831-BC88-E897C2ED5093}"/>
            </a:ext>
          </a:extLst>
        </xdr:cNvPr>
        <xdr:cNvSpPr/>
      </xdr:nvSpPr>
      <xdr:spPr>
        <a:xfrm>
          <a:off x="5019675" y="8429625"/>
          <a:ext cx="142875" cy="4643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52389</xdr:colOff>
      <xdr:row>53</xdr:row>
      <xdr:rowOff>100013</xdr:rowOff>
    </xdr:from>
    <xdr:to>
      <xdr:col>6</xdr:col>
      <xdr:colOff>19050</xdr:colOff>
      <xdr:row>53</xdr:row>
      <xdr:rowOff>100013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940536F4-BEFB-4CA4-822C-624F82B617B5}"/>
            </a:ext>
          </a:extLst>
        </xdr:cNvPr>
        <xdr:cNvCxnSpPr/>
      </xdr:nvCxnSpPr>
      <xdr:spPr>
        <a:xfrm>
          <a:off x="5281614" y="10272713"/>
          <a:ext cx="3852861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11</xdr:row>
      <xdr:rowOff>47625</xdr:rowOff>
    </xdr:from>
    <xdr:to>
      <xdr:col>3</xdr:col>
      <xdr:colOff>180975</xdr:colOff>
      <xdr:row>13</xdr:row>
      <xdr:rowOff>180975</xdr:rowOff>
    </xdr:to>
    <xdr:sp macro="" textlink="">
      <xdr:nvSpPr>
        <xdr:cNvPr id="63" name="Right Brace 62">
          <a:extLst>
            <a:ext uri="{FF2B5EF4-FFF2-40B4-BE49-F238E27FC236}">
              <a16:creationId xmlns:a16="http://schemas.microsoft.com/office/drawing/2014/main" id="{325FD4B8-DE2F-4BB8-9EFC-5FFDDDDE748F}"/>
            </a:ext>
          </a:extLst>
        </xdr:cNvPr>
        <xdr:cNvSpPr/>
      </xdr:nvSpPr>
      <xdr:spPr>
        <a:xfrm>
          <a:off x="4991100" y="2143125"/>
          <a:ext cx="114300" cy="5334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17</xdr:row>
      <xdr:rowOff>28575</xdr:rowOff>
    </xdr:from>
    <xdr:to>
      <xdr:col>3</xdr:col>
      <xdr:colOff>219075</xdr:colOff>
      <xdr:row>25</xdr:row>
      <xdr:rowOff>161925</xdr:rowOff>
    </xdr:to>
    <xdr:sp macro="" textlink="">
      <xdr:nvSpPr>
        <xdr:cNvPr id="70" name="Right Brace 69">
          <a:extLst>
            <a:ext uri="{FF2B5EF4-FFF2-40B4-BE49-F238E27FC236}">
              <a16:creationId xmlns:a16="http://schemas.microsoft.com/office/drawing/2014/main" id="{7C45F0AD-80AB-4D4F-9268-79EFD119A95B}"/>
            </a:ext>
          </a:extLst>
        </xdr:cNvPr>
        <xdr:cNvSpPr/>
      </xdr:nvSpPr>
      <xdr:spPr>
        <a:xfrm>
          <a:off x="5010150" y="3286125"/>
          <a:ext cx="133350" cy="16764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66674</xdr:colOff>
      <xdr:row>28</xdr:row>
      <xdr:rowOff>171449</xdr:rowOff>
    </xdr:from>
    <xdr:to>
      <xdr:col>3</xdr:col>
      <xdr:colOff>180975</xdr:colOff>
      <xdr:row>41</xdr:row>
      <xdr:rowOff>180974</xdr:rowOff>
    </xdr:to>
    <xdr:sp macro="" textlink="">
      <xdr:nvSpPr>
        <xdr:cNvPr id="77" name="Right Brace 76">
          <a:extLst>
            <a:ext uri="{FF2B5EF4-FFF2-40B4-BE49-F238E27FC236}">
              <a16:creationId xmlns:a16="http://schemas.microsoft.com/office/drawing/2014/main" id="{D13FF332-38B4-48BB-9399-1BBE7DB71C16}"/>
            </a:ext>
          </a:extLst>
        </xdr:cNvPr>
        <xdr:cNvSpPr/>
      </xdr:nvSpPr>
      <xdr:spPr>
        <a:xfrm>
          <a:off x="4991099" y="5543549"/>
          <a:ext cx="114301" cy="2505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123825</xdr:colOff>
      <xdr:row>45</xdr:row>
      <xdr:rowOff>9525</xdr:rowOff>
    </xdr:from>
    <xdr:to>
      <xdr:col>6</xdr:col>
      <xdr:colOff>276225</xdr:colOff>
      <xdr:row>53</xdr:row>
      <xdr:rowOff>180975</xdr:rowOff>
    </xdr:to>
    <xdr:sp macro="" textlink="">
      <xdr:nvSpPr>
        <xdr:cNvPr id="101" name="Right Brace 100">
          <a:extLst>
            <a:ext uri="{FF2B5EF4-FFF2-40B4-BE49-F238E27FC236}">
              <a16:creationId xmlns:a16="http://schemas.microsoft.com/office/drawing/2014/main" id="{4AC5C0E8-B2A9-4FA2-9F84-9EE8102B4D6C}"/>
            </a:ext>
          </a:extLst>
        </xdr:cNvPr>
        <xdr:cNvSpPr/>
      </xdr:nvSpPr>
      <xdr:spPr>
        <a:xfrm>
          <a:off x="9239250" y="8639175"/>
          <a:ext cx="152400" cy="1714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276225</xdr:colOff>
      <xdr:row>60</xdr:row>
      <xdr:rowOff>0</xdr:rowOff>
    </xdr:from>
    <xdr:to>
      <xdr:col>9</xdr:col>
      <xdr:colOff>409575</xdr:colOff>
      <xdr:row>76</xdr:row>
      <xdr:rowOff>152400</xdr:rowOff>
    </xdr:to>
    <xdr:sp macro="" textlink="">
      <xdr:nvSpPr>
        <xdr:cNvPr id="105" name="Right Brace 104">
          <a:extLst>
            <a:ext uri="{FF2B5EF4-FFF2-40B4-BE49-F238E27FC236}">
              <a16:creationId xmlns:a16="http://schemas.microsoft.com/office/drawing/2014/main" id="{16626B2E-C2F1-4D1E-8F9C-0F207215553D}"/>
            </a:ext>
          </a:extLst>
        </xdr:cNvPr>
        <xdr:cNvSpPr/>
      </xdr:nvSpPr>
      <xdr:spPr>
        <a:xfrm>
          <a:off x="13268325" y="11506200"/>
          <a:ext cx="133350" cy="32194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171450</xdr:colOff>
      <xdr:row>75</xdr:row>
      <xdr:rowOff>76200</xdr:rowOff>
    </xdr:from>
    <xdr:to>
      <xdr:col>6</xdr:col>
      <xdr:colOff>314325</xdr:colOff>
      <xdr:row>77</xdr:row>
      <xdr:rowOff>159544</xdr:rowOff>
    </xdr:to>
    <xdr:sp macro="" textlink="">
      <xdr:nvSpPr>
        <xdr:cNvPr id="46" name="Right Brace 45">
          <a:extLst>
            <a:ext uri="{FF2B5EF4-FFF2-40B4-BE49-F238E27FC236}">
              <a16:creationId xmlns:a16="http://schemas.microsoft.com/office/drawing/2014/main" id="{299C7ABF-0254-48DF-BF63-5388B492EBEB}"/>
            </a:ext>
          </a:extLst>
        </xdr:cNvPr>
        <xdr:cNvSpPr/>
      </xdr:nvSpPr>
      <xdr:spPr>
        <a:xfrm>
          <a:off x="8991600" y="13696950"/>
          <a:ext cx="142875" cy="4643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171450</xdr:colOff>
      <xdr:row>77</xdr:row>
      <xdr:rowOff>76200</xdr:rowOff>
    </xdr:from>
    <xdr:to>
      <xdr:col>6</xdr:col>
      <xdr:colOff>314325</xdr:colOff>
      <xdr:row>79</xdr:row>
      <xdr:rowOff>159544</xdr:rowOff>
    </xdr:to>
    <xdr:sp macro="" textlink="">
      <xdr:nvSpPr>
        <xdr:cNvPr id="47" name="Right Brace 46">
          <a:extLst>
            <a:ext uri="{FF2B5EF4-FFF2-40B4-BE49-F238E27FC236}">
              <a16:creationId xmlns:a16="http://schemas.microsoft.com/office/drawing/2014/main" id="{65BB5281-1E9F-4821-9809-911F87866FC2}"/>
            </a:ext>
          </a:extLst>
        </xdr:cNvPr>
        <xdr:cNvSpPr/>
      </xdr:nvSpPr>
      <xdr:spPr>
        <a:xfrm>
          <a:off x="8991600" y="14077950"/>
          <a:ext cx="142875" cy="4643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19050</xdr:colOff>
      <xdr:row>58</xdr:row>
      <xdr:rowOff>100013</xdr:rowOff>
    </xdr:from>
    <xdr:to>
      <xdr:col>10</xdr:col>
      <xdr:colOff>0</xdr:colOff>
      <xdr:row>58</xdr:row>
      <xdr:rowOff>100013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4C24192F-A864-4DB2-9FCE-71B8A6307AD2}"/>
            </a:ext>
          </a:extLst>
        </xdr:cNvPr>
        <xdr:cNvCxnSpPr/>
      </xdr:nvCxnSpPr>
      <xdr:spPr>
        <a:xfrm>
          <a:off x="9134475" y="11225213"/>
          <a:ext cx="42862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57</xdr:row>
      <xdr:rowOff>47625</xdr:rowOff>
    </xdr:from>
    <xdr:to>
      <xdr:col>3</xdr:col>
      <xdr:colOff>238125</xdr:colOff>
      <xdr:row>59</xdr:row>
      <xdr:rowOff>130969</xdr:rowOff>
    </xdr:to>
    <xdr:sp macro="" textlink="">
      <xdr:nvSpPr>
        <xdr:cNvPr id="34" name="Right Brace 33">
          <a:extLst>
            <a:ext uri="{FF2B5EF4-FFF2-40B4-BE49-F238E27FC236}">
              <a16:creationId xmlns:a16="http://schemas.microsoft.com/office/drawing/2014/main" id="{F19BA5FF-B68B-4A21-85DD-DD98D4027291}"/>
            </a:ext>
          </a:extLst>
        </xdr:cNvPr>
        <xdr:cNvSpPr/>
      </xdr:nvSpPr>
      <xdr:spPr>
        <a:xfrm>
          <a:off x="5019675" y="10982325"/>
          <a:ext cx="142875" cy="4643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95250</xdr:colOff>
      <xdr:row>59</xdr:row>
      <xdr:rowOff>47625</xdr:rowOff>
    </xdr:from>
    <xdr:to>
      <xdr:col>3</xdr:col>
      <xdr:colOff>238125</xdr:colOff>
      <xdr:row>61</xdr:row>
      <xdr:rowOff>130969</xdr:rowOff>
    </xdr:to>
    <xdr:sp macro="" textlink="">
      <xdr:nvSpPr>
        <xdr:cNvPr id="35" name="Right Brace 34">
          <a:extLst>
            <a:ext uri="{FF2B5EF4-FFF2-40B4-BE49-F238E27FC236}">
              <a16:creationId xmlns:a16="http://schemas.microsoft.com/office/drawing/2014/main" id="{A17B3793-D4F4-461E-887D-C232C1434047}"/>
            </a:ext>
          </a:extLst>
        </xdr:cNvPr>
        <xdr:cNvSpPr/>
      </xdr:nvSpPr>
      <xdr:spPr>
        <a:xfrm>
          <a:off x="5019675" y="11363325"/>
          <a:ext cx="142875" cy="4643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131888</xdr:colOff>
      <xdr:row>58</xdr:row>
      <xdr:rowOff>95250</xdr:rowOff>
    </xdr:from>
    <xdr:to>
      <xdr:col>9</xdr:col>
      <xdr:colOff>131888</xdr:colOff>
      <xdr:row>78</xdr:row>
      <xdr:rowOff>104776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A42EC4AB-E8A5-4969-8AE9-CC55C6E1A1DE}"/>
            </a:ext>
          </a:extLst>
        </xdr:cNvPr>
        <xdr:cNvCxnSpPr/>
      </xdr:nvCxnSpPr>
      <xdr:spPr>
        <a:xfrm flipV="1">
          <a:off x="13123988" y="11229975"/>
          <a:ext cx="0" cy="38481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144751</xdr:colOff>
      <xdr:row>60</xdr:row>
      <xdr:rowOff>71438</xdr:rowOff>
    </xdr:from>
    <xdr:to>
      <xdr:col>9</xdr:col>
      <xdr:colOff>245774</xdr:colOff>
      <xdr:row>60</xdr:row>
      <xdr:rowOff>71438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D36DF6D8-3C7A-4B00-9753-A0E8BCEC6BE1}"/>
            </a:ext>
          </a:extLst>
        </xdr:cNvPr>
        <xdr:cNvCxnSpPr/>
      </xdr:nvCxnSpPr>
      <xdr:spPr>
        <a:xfrm>
          <a:off x="9260176" y="11577638"/>
          <a:ext cx="397769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144751</xdr:colOff>
      <xdr:row>63</xdr:row>
      <xdr:rowOff>90488</xdr:rowOff>
    </xdr:from>
    <xdr:to>
      <xdr:col>9</xdr:col>
      <xdr:colOff>245774</xdr:colOff>
      <xdr:row>63</xdr:row>
      <xdr:rowOff>90488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6FE75197-C843-4FD7-8D23-055BE5745725}"/>
            </a:ext>
          </a:extLst>
        </xdr:cNvPr>
        <xdr:cNvCxnSpPr/>
      </xdr:nvCxnSpPr>
      <xdr:spPr>
        <a:xfrm>
          <a:off x="9260176" y="12168188"/>
          <a:ext cx="397769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144751</xdr:colOff>
      <xdr:row>65</xdr:row>
      <xdr:rowOff>80963</xdr:rowOff>
    </xdr:from>
    <xdr:to>
      <xdr:col>9</xdr:col>
      <xdr:colOff>245774</xdr:colOff>
      <xdr:row>65</xdr:row>
      <xdr:rowOff>80963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627B9580-2179-4876-98C2-E805A3867491}"/>
            </a:ext>
          </a:extLst>
        </xdr:cNvPr>
        <xdr:cNvCxnSpPr/>
      </xdr:nvCxnSpPr>
      <xdr:spPr>
        <a:xfrm>
          <a:off x="9260176" y="12539663"/>
          <a:ext cx="397769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144751</xdr:colOff>
      <xdr:row>67</xdr:row>
      <xdr:rowOff>90488</xdr:rowOff>
    </xdr:from>
    <xdr:to>
      <xdr:col>9</xdr:col>
      <xdr:colOff>245774</xdr:colOff>
      <xdr:row>67</xdr:row>
      <xdr:rowOff>90488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D1E83C7F-3756-487B-82EB-CF89D5240AEF}"/>
            </a:ext>
          </a:extLst>
        </xdr:cNvPr>
        <xdr:cNvCxnSpPr/>
      </xdr:nvCxnSpPr>
      <xdr:spPr>
        <a:xfrm>
          <a:off x="9260176" y="12939713"/>
          <a:ext cx="397769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144751</xdr:colOff>
      <xdr:row>69</xdr:row>
      <xdr:rowOff>100013</xdr:rowOff>
    </xdr:from>
    <xdr:to>
      <xdr:col>9</xdr:col>
      <xdr:colOff>245774</xdr:colOff>
      <xdr:row>69</xdr:row>
      <xdr:rowOff>100013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67A115CA-0796-4C90-9839-5638FFE5BAE1}"/>
            </a:ext>
          </a:extLst>
        </xdr:cNvPr>
        <xdr:cNvCxnSpPr/>
      </xdr:nvCxnSpPr>
      <xdr:spPr>
        <a:xfrm>
          <a:off x="9260176" y="13339763"/>
          <a:ext cx="397769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144751</xdr:colOff>
      <xdr:row>71</xdr:row>
      <xdr:rowOff>90488</xdr:rowOff>
    </xdr:from>
    <xdr:to>
      <xdr:col>9</xdr:col>
      <xdr:colOff>245774</xdr:colOff>
      <xdr:row>71</xdr:row>
      <xdr:rowOff>90488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92D4F483-4388-4C66-9FCB-93AE9CBFC978}"/>
            </a:ext>
          </a:extLst>
        </xdr:cNvPr>
        <xdr:cNvCxnSpPr/>
      </xdr:nvCxnSpPr>
      <xdr:spPr>
        <a:xfrm>
          <a:off x="9260176" y="13711238"/>
          <a:ext cx="397769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144751</xdr:colOff>
      <xdr:row>73</xdr:row>
      <xdr:rowOff>109538</xdr:rowOff>
    </xdr:from>
    <xdr:to>
      <xdr:col>9</xdr:col>
      <xdr:colOff>245774</xdr:colOff>
      <xdr:row>73</xdr:row>
      <xdr:rowOff>109538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BC904D03-7338-4F60-A370-1C57EF1E3159}"/>
            </a:ext>
          </a:extLst>
        </xdr:cNvPr>
        <xdr:cNvCxnSpPr/>
      </xdr:nvCxnSpPr>
      <xdr:spPr>
        <a:xfrm>
          <a:off x="9260176" y="14111288"/>
          <a:ext cx="397769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580225</xdr:colOff>
      <xdr:row>78</xdr:row>
      <xdr:rowOff>90488</xdr:rowOff>
    </xdr:from>
    <xdr:to>
      <xdr:col>9</xdr:col>
      <xdr:colOff>132274</xdr:colOff>
      <xdr:row>78</xdr:row>
      <xdr:rowOff>90488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20B10A12-DDCC-471B-85CC-FAF929865916}"/>
            </a:ext>
          </a:extLst>
        </xdr:cNvPr>
        <xdr:cNvCxnSpPr/>
      </xdr:nvCxnSpPr>
      <xdr:spPr>
        <a:xfrm>
          <a:off x="12962725" y="15063788"/>
          <a:ext cx="16164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8"/>
  <sheetViews>
    <sheetView topLeftCell="A43" zoomScaleNormal="100" workbookViewId="0">
      <selection activeCell="C4" sqref="C4"/>
    </sheetView>
  </sheetViews>
  <sheetFormatPr defaultRowHeight="15" x14ac:dyDescent="0.25"/>
  <cols>
    <col min="1" max="1" width="5.5703125" bestFit="1" customWidth="1"/>
    <col min="2" max="2" width="47.5703125" bestFit="1" customWidth="1"/>
    <col min="4" max="4" width="4.5703125" customWidth="1"/>
    <col min="5" max="5" width="55.7109375" bestFit="1" customWidth="1"/>
    <col min="6" max="6" width="8.42578125" bestFit="1" customWidth="1"/>
    <col min="7" max="7" width="4.5703125" customWidth="1"/>
    <col min="8" max="8" width="41.85546875" bestFit="1" customWidth="1"/>
    <col min="10" max="10" width="4.28515625" customWidth="1"/>
    <col min="11" max="11" width="27.140625" bestFit="1" customWidth="1"/>
    <col min="13" max="13" width="5" customWidth="1"/>
    <col min="14" max="14" width="21" bestFit="1" customWidth="1"/>
  </cols>
  <sheetData>
    <row r="1" spans="1:15" s="1" customFormat="1" x14ac:dyDescent="0.25">
      <c r="B1" s="1" t="s">
        <v>0</v>
      </c>
      <c r="C1" s="1" t="s">
        <v>1</v>
      </c>
      <c r="H1" s="1" t="s">
        <v>2</v>
      </c>
      <c r="I1" s="1" t="s">
        <v>1</v>
      </c>
      <c r="K1" s="1" t="s">
        <v>2</v>
      </c>
      <c r="L1" s="1" t="s">
        <v>1</v>
      </c>
      <c r="N1" s="1" t="s">
        <v>2</v>
      </c>
      <c r="O1" s="1" t="s">
        <v>1</v>
      </c>
    </row>
    <row r="3" spans="1:15" x14ac:dyDescent="0.25">
      <c r="B3" t="s">
        <v>4</v>
      </c>
      <c r="C3" s="7">
        <v>7</v>
      </c>
    </row>
    <row r="4" spans="1:15" x14ac:dyDescent="0.25">
      <c r="C4" t="s">
        <v>217</v>
      </c>
    </row>
    <row r="5" spans="1:15" x14ac:dyDescent="0.25">
      <c r="B5" t="s">
        <v>26</v>
      </c>
      <c r="C5" s="5">
        <f>IF(OR(C3&lt;=2,C3&gt;=12),0.97,IF(AND(C3&gt;=6,C3&lt;=8),0.99,0.98))</f>
        <v>0.99</v>
      </c>
    </row>
    <row r="7" spans="1:15" x14ac:dyDescent="0.25">
      <c r="B7" t="s">
        <v>25</v>
      </c>
      <c r="C7" s="5">
        <v>0.98</v>
      </c>
    </row>
    <row r="9" spans="1:15" x14ac:dyDescent="0.25">
      <c r="B9" t="s">
        <v>27</v>
      </c>
      <c r="C9" s="4">
        <f>IF(OR(C3=12,C3=1,C3=2),1.7,IF(OR(C3=6,C3=7,C3=8),2.7,2.5))</f>
        <v>2.7</v>
      </c>
    </row>
    <row r="11" spans="1:15" x14ac:dyDescent="0.25">
      <c r="B11" t="s">
        <v>19</v>
      </c>
      <c r="C11" s="4">
        <f>IF(OR(C3=12,C3&lt;=2),1.7,IF(AND(C3&gt;5,C3&lt;9),2.7,2))</f>
        <v>2.7</v>
      </c>
    </row>
    <row r="13" spans="1:15" x14ac:dyDescent="0.25">
      <c r="B13" s="1" t="s">
        <v>55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5" spans="1:15" x14ac:dyDescent="0.25">
      <c r="A15" t="s">
        <v>224</v>
      </c>
      <c r="B15" t="s">
        <v>14</v>
      </c>
      <c r="C15" s="2">
        <v>70000</v>
      </c>
      <c r="K15" s="13" t="s">
        <v>110</v>
      </c>
      <c r="L15" s="3">
        <f>C15*C11</f>
        <v>189000</v>
      </c>
    </row>
    <row r="16" spans="1:15" x14ac:dyDescent="0.25">
      <c r="A16" t="s">
        <v>184</v>
      </c>
    </row>
    <row r="17" spans="1:12" x14ac:dyDescent="0.25">
      <c r="A17" t="s">
        <v>184</v>
      </c>
      <c r="B17" s="1" t="s">
        <v>54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x14ac:dyDescent="0.25">
      <c r="A18" t="s">
        <v>184</v>
      </c>
    </row>
    <row r="19" spans="1:12" x14ac:dyDescent="0.25">
      <c r="A19" t="s">
        <v>221</v>
      </c>
      <c r="B19" t="s">
        <v>20</v>
      </c>
      <c r="C19" s="2">
        <v>9432</v>
      </c>
      <c r="E19" s="13" t="s">
        <v>131</v>
      </c>
      <c r="F19" s="3">
        <f>((C19*C7)*C5)</f>
        <v>9150.9264000000003</v>
      </c>
      <c r="H19" t="s">
        <v>132</v>
      </c>
      <c r="I19" s="3">
        <f>F19*C9</f>
        <v>24707.501280000004</v>
      </c>
      <c r="K19" s="13" t="s">
        <v>62</v>
      </c>
      <c r="L19" s="3">
        <f>I19</f>
        <v>24707.501280000004</v>
      </c>
    </row>
    <row r="20" spans="1:12" x14ac:dyDescent="0.25">
      <c r="A20" t="s">
        <v>184</v>
      </c>
    </row>
    <row r="21" spans="1:12" x14ac:dyDescent="0.25">
      <c r="A21" t="s">
        <v>184</v>
      </c>
      <c r="B21" s="1" t="s">
        <v>56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x14ac:dyDescent="0.25">
      <c r="A22" t="s">
        <v>184</v>
      </c>
      <c r="C22" s="13"/>
      <c r="D22" s="13"/>
      <c r="E22" s="13"/>
      <c r="F22" s="13"/>
      <c r="G22" s="13"/>
      <c r="H22" s="13"/>
      <c r="I22" s="13"/>
    </row>
    <row r="23" spans="1:12" x14ac:dyDescent="0.25">
      <c r="A23" t="s">
        <v>183</v>
      </c>
      <c r="B23" t="s">
        <v>60</v>
      </c>
      <c r="C23" s="2">
        <v>160</v>
      </c>
      <c r="D23" s="13"/>
      <c r="E23" s="13"/>
      <c r="F23" s="13"/>
      <c r="G23" s="13"/>
    </row>
    <row r="24" spans="1:12" x14ac:dyDescent="0.25">
      <c r="A24" t="s">
        <v>184</v>
      </c>
      <c r="C24" s="13"/>
      <c r="D24" s="13"/>
      <c r="E24" s="13"/>
      <c r="F24" s="13"/>
      <c r="G24" s="13"/>
      <c r="H24" s="13" t="s">
        <v>111</v>
      </c>
      <c r="I24" s="3">
        <f>C23*C25</f>
        <v>432</v>
      </c>
    </row>
    <row r="25" spans="1:12" x14ac:dyDescent="0.25">
      <c r="A25" t="s">
        <v>225</v>
      </c>
      <c r="B25" t="s">
        <v>28</v>
      </c>
      <c r="C25" s="5">
        <v>2.7</v>
      </c>
      <c r="K25" t="s">
        <v>9</v>
      </c>
      <c r="L25" s="3">
        <f>C27+I24</f>
        <v>432</v>
      </c>
    </row>
    <row r="26" spans="1:12" x14ac:dyDescent="0.25">
      <c r="A26" t="s">
        <v>184</v>
      </c>
    </row>
    <row r="27" spans="1:12" x14ac:dyDescent="0.25">
      <c r="A27" t="s">
        <v>231</v>
      </c>
      <c r="B27" s="13" t="s">
        <v>61</v>
      </c>
      <c r="C27" s="2">
        <v>0</v>
      </c>
    </row>
    <row r="28" spans="1:12" x14ac:dyDescent="0.25">
      <c r="A28" t="s">
        <v>184</v>
      </c>
    </row>
    <row r="29" spans="1:12" x14ac:dyDescent="0.25">
      <c r="A29" t="s">
        <v>184</v>
      </c>
      <c r="B29" s="1" t="s">
        <v>57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 x14ac:dyDescent="0.25">
      <c r="A30" t="s">
        <v>184</v>
      </c>
    </row>
    <row r="31" spans="1:12" x14ac:dyDescent="0.25">
      <c r="A31" t="s">
        <v>222</v>
      </c>
      <c r="B31" t="s">
        <v>21</v>
      </c>
      <c r="C31" s="2">
        <v>650</v>
      </c>
    </row>
    <row r="32" spans="1:12" x14ac:dyDescent="0.25">
      <c r="A32" t="s">
        <v>184</v>
      </c>
      <c r="E32" s="13" t="s">
        <v>133</v>
      </c>
      <c r="F32" s="3">
        <f>(IF(C31&lt;2*C33,C31-(C31/2),C31-C33)*C5)</f>
        <v>465.3</v>
      </c>
      <c r="H32" s="13" t="s">
        <v>130</v>
      </c>
      <c r="I32" s="3">
        <f>F32*C9</f>
        <v>1256.3100000000002</v>
      </c>
    </row>
    <row r="33" spans="1:15" x14ac:dyDescent="0.25">
      <c r="A33" t="s">
        <v>182</v>
      </c>
      <c r="B33" t="s">
        <v>29</v>
      </c>
      <c r="C33" s="5">
        <f>IF(OR(C3&lt;=3,C3&gt;=11),61,IF(C3=4,63,IF(C3=5,150,IF(OR(C3=6,C3=7,C3=8),180,IF(C3=9,162,IF(C3=10,108,0))))))</f>
        <v>180</v>
      </c>
      <c r="K33" t="s">
        <v>6</v>
      </c>
      <c r="L33" s="3">
        <f>I32+C35</f>
        <v>1256.3100000000002</v>
      </c>
    </row>
    <row r="34" spans="1:15" x14ac:dyDescent="0.25">
      <c r="A34" t="s">
        <v>184</v>
      </c>
    </row>
    <row r="35" spans="1:15" x14ac:dyDescent="0.25">
      <c r="A35" t="s">
        <v>232</v>
      </c>
      <c r="B35" t="s">
        <v>63</v>
      </c>
      <c r="C35" s="2">
        <v>0</v>
      </c>
    </row>
    <row r="36" spans="1:15" x14ac:dyDescent="0.25">
      <c r="A36" t="s">
        <v>184</v>
      </c>
    </row>
    <row r="37" spans="1:15" ht="15.75" thickBot="1" x14ac:dyDescent="0.3">
      <c r="A37" t="s">
        <v>184</v>
      </c>
      <c r="B37" s="1" t="s">
        <v>58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 spans="1:15" ht="15.75" thickBot="1" x14ac:dyDescent="0.3">
      <c r="A38" t="s">
        <v>184</v>
      </c>
      <c r="N38" t="s">
        <v>3</v>
      </c>
      <c r="O38" s="6">
        <f>L15+L61+L19+L33+L42+L50+L25</f>
        <v>531019.28157000011</v>
      </c>
    </row>
    <row r="39" spans="1:15" x14ac:dyDescent="0.25">
      <c r="A39" t="s">
        <v>223</v>
      </c>
      <c r="B39" t="s">
        <v>22</v>
      </c>
      <c r="C39" s="2">
        <v>1500</v>
      </c>
      <c r="E39" s="13" t="s">
        <v>128</v>
      </c>
      <c r="F39" s="3">
        <f>((C39*C7)*C5)</f>
        <v>1455.3</v>
      </c>
      <c r="H39" s="13" t="s">
        <v>129</v>
      </c>
      <c r="I39" s="3">
        <f>F39*C9</f>
        <v>3929.31</v>
      </c>
    </row>
    <row r="40" spans="1:15" x14ac:dyDescent="0.25">
      <c r="A40" t="s">
        <v>184</v>
      </c>
    </row>
    <row r="41" spans="1:15" x14ac:dyDescent="0.25">
      <c r="A41" t="s">
        <v>226</v>
      </c>
      <c r="B41" s="13" t="s">
        <v>101</v>
      </c>
      <c r="C41" s="2">
        <v>0</v>
      </c>
      <c r="H41" s="13" t="s">
        <v>112</v>
      </c>
      <c r="I41" s="3">
        <f>C41*C9</f>
        <v>0</v>
      </c>
    </row>
    <row r="42" spans="1:15" x14ac:dyDescent="0.25">
      <c r="A42" t="s">
        <v>184</v>
      </c>
      <c r="K42" t="s">
        <v>7</v>
      </c>
      <c r="L42" s="3">
        <f>I39+I41+C43+C45</f>
        <v>3929.31</v>
      </c>
    </row>
    <row r="43" spans="1:15" x14ac:dyDescent="0.25">
      <c r="A43" t="s">
        <v>227</v>
      </c>
      <c r="B43" t="s">
        <v>64</v>
      </c>
      <c r="C43" s="2">
        <v>0</v>
      </c>
    </row>
    <row r="44" spans="1:15" x14ac:dyDescent="0.25">
      <c r="A44" t="s">
        <v>184</v>
      </c>
    </row>
    <row r="45" spans="1:15" x14ac:dyDescent="0.25">
      <c r="A45" t="s">
        <v>233</v>
      </c>
      <c r="B45" s="13" t="s">
        <v>93</v>
      </c>
      <c r="C45" s="2">
        <v>0</v>
      </c>
    </row>
    <row r="46" spans="1:15" x14ac:dyDescent="0.25">
      <c r="A46" t="s">
        <v>184</v>
      </c>
    </row>
    <row r="47" spans="1:15" x14ac:dyDescent="0.25">
      <c r="A47" t="s">
        <v>184</v>
      </c>
      <c r="B47" s="1" t="s">
        <v>59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5" x14ac:dyDescent="0.25">
      <c r="A48" t="s">
        <v>184</v>
      </c>
    </row>
    <row r="49" spans="1:12" x14ac:dyDescent="0.25">
      <c r="A49" t="s">
        <v>228</v>
      </c>
      <c r="B49" t="s">
        <v>65</v>
      </c>
      <c r="C49" s="2">
        <v>35000</v>
      </c>
      <c r="H49" s="13" t="s">
        <v>113</v>
      </c>
      <c r="I49" s="3">
        <f>C49*C9</f>
        <v>94500</v>
      </c>
    </row>
    <row r="50" spans="1:12" x14ac:dyDescent="0.25">
      <c r="A50" t="s">
        <v>184</v>
      </c>
      <c r="K50" t="s">
        <v>8</v>
      </c>
      <c r="L50" s="3">
        <f>I49+I51</f>
        <v>153897</v>
      </c>
    </row>
    <row r="51" spans="1:12" x14ac:dyDescent="0.25">
      <c r="A51" t="s">
        <v>229</v>
      </c>
      <c r="B51" t="s">
        <v>23</v>
      </c>
      <c r="C51" s="2">
        <v>59397</v>
      </c>
      <c r="H51" t="s">
        <v>24</v>
      </c>
      <c r="I51" s="3">
        <f>C51</f>
        <v>59397</v>
      </c>
    </row>
    <row r="52" spans="1:12" x14ac:dyDescent="0.25">
      <c r="A52" t="s">
        <v>184</v>
      </c>
    </row>
    <row r="53" spans="1:12" x14ac:dyDescent="0.25">
      <c r="A53" t="s">
        <v>184</v>
      </c>
      <c r="B53" s="1" t="s">
        <v>53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5">
      <c r="A54" t="s">
        <v>184</v>
      </c>
    </row>
    <row r="55" spans="1:12" x14ac:dyDescent="0.25">
      <c r="A55" t="s">
        <v>215</v>
      </c>
      <c r="B55" t="s">
        <v>10</v>
      </c>
      <c r="C55" s="2">
        <v>6500</v>
      </c>
      <c r="E55" s="13" t="s">
        <v>114</v>
      </c>
      <c r="F55" s="3">
        <f>C55*$C$7*$C$5</f>
        <v>6306.3</v>
      </c>
      <c r="H55" s="13" t="s">
        <v>115</v>
      </c>
      <c r="I55" s="3">
        <f>F55*$C$11</f>
        <v>17027.010000000002</v>
      </c>
    </row>
    <row r="56" spans="1:12" x14ac:dyDescent="0.25">
      <c r="A56" t="s">
        <v>184</v>
      </c>
      <c r="E56" s="13"/>
      <c r="H56" s="13"/>
    </row>
    <row r="57" spans="1:12" x14ac:dyDescent="0.25">
      <c r="A57" t="s">
        <v>216</v>
      </c>
      <c r="B57" t="s">
        <v>11</v>
      </c>
      <c r="C57" s="2">
        <v>19617</v>
      </c>
      <c r="E57" s="13" t="s">
        <v>116</v>
      </c>
      <c r="F57" s="3">
        <f>C57*$C$7*$C$5</f>
        <v>19032.413400000001</v>
      </c>
      <c r="H57" s="13" t="s">
        <v>117</v>
      </c>
      <c r="I57" s="3">
        <f>F57*$C$11</f>
        <v>51387.516180000006</v>
      </c>
    </row>
    <row r="58" spans="1:12" x14ac:dyDescent="0.25">
      <c r="A58" t="s">
        <v>184</v>
      </c>
      <c r="E58" s="13"/>
      <c r="H58" s="13"/>
    </row>
    <row r="59" spans="1:12" x14ac:dyDescent="0.25">
      <c r="A59" t="s">
        <v>217</v>
      </c>
      <c r="B59" t="s">
        <v>12</v>
      </c>
      <c r="C59" s="2">
        <v>21573</v>
      </c>
      <c r="E59" s="13" t="s">
        <v>118</v>
      </c>
      <c r="F59" s="3">
        <f>C59*$C$7*$C$5</f>
        <v>20930.124599999999</v>
      </c>
      <c r="H59" s="13" t="s">
        <v>120</v>
      </c>
      <c r="I59" s="3">
        <f>F59*$C$11</f>
        <v>56511.33642</v>
      </c>
    </row>
    <row r="60" spans="1:12" x14ac:dyDescent="0.25">
      <c r="A60" t="s">
        <v>184</v>
      </c>
      <c r="E60" s="13"/>
      <c r="H60" s="13"/>
    </row>
    <row r="61" spans="1:12" x14ac:dyDescent="0.25">
      <c r="A61" t="s">
        <v>218</v>
      </c>
      <c r="B61" t="s">
        <v>13</v>
      </c>
      <c r="C61" s="2">
        <v>5500</v>
      </c>
      <c r="E61" s="13" t="s">
        <v>119</v>
      </c>
      <c r="F61" s="3">
        <f>C61*$C$7*$C$5</f>
        <v>5336.1</v>
      </c>
      <c r="H61" s="13" t="s">
        <v>121</v>
      </c>
      <c r="I61" s="3">
        <f>F61*$C$11</f>
        <v>14407.470000000001</v>
      </c>
      <c r="K61" t="s">
        <v>5</v>
      </c>
      <c r="L61" s="3">
        <f>I55+I57+I59+I61+I63+I65+I67</f>
        <v>157797.16029000003</v>
      </c>
    </row>
    <row r="62" spans="1:12" x14ac:dyDescent="0.25">
      <c r="A62" t="s">
        <v>184</v>
      </c>
      <c r="E62" s="13"/>
      <c r="H62" s="13"/>
    </row>
    <row r="63" spans="1:12" x14ac:dyDescent="0.25">
      <c r="A63" t="s">
        <v>219</v>
      </c>
      <c r="B63" t="s">
        <v>15</v>
      </c>
      <c r="C63" s="2">
        <v>600</v>
      </c>
      <c r="E63" s="13" t="s">
        <v>122</v>
      </c>
      <c r="F63" s="3">
        <f>C63/2*$C$5*$C$7</f>
        <v>291.06</v>
      </c>
      <c r="H63" s="13" t="s">
        <v>123</v>
      </c>
      <c r="I63" s="3">
        <f>F63*$C$11</f>
        <v>785.86200000000008</v>
      </c>
    </row>
    <row r="64" spans="1:12" x14ac:dyDescent="0.25">
      <c r="A64" t="s">
        <v>184</v>
      </c>
      <c r="E64" s="13"/>
      <c r="H64" s="13"/>
    </row>
    <row r="65" spans="1:9" x14ac:dyDescent="0.25">
      <c r="A65" t="s">
        <v>220</v>
      </c>
      <c r="B65" t="s">
        <v>17</v>
      </c>
      <c r="C65" s="2">
        <v>13497</v>
      </c>
      <c r="E65" s="13" t="s">
        <v>124</v>
      </c>
      <c r="F65" s="3">
        <f>C65/2*$C$5*$C$7</f>
        <v>6547.3946999999998</v>
      </c>
      <c r="H65" s="13" t="s">
        <v>125</v>
      </c>
      <c r="I65" s="3">
        <f>F65*$C$11</f>
        <v>17677.965690000001</v>
      </c>
    </row>
    <row r="66" spans="1:9" x14ac:dyDescent="0.25">
      <c r="A66" t="s">
        <v>184</v>
      </c>
      <c r="E66" s="13"/>
      <c r="H66" s="13"/>
    </row>
    <row r="67" spans="1:9" x14ac:dyDescent="0.25">
      <c r="A67" t="s">
        <v>234</v>
      </c>
      <c r="B67" s="13" t="s">
        <v>92</v>
      </c>
      <c r="C67" s="2">
        <v>0</v>
      </c>
      <c r="E67" s="13" t="s">
        <v>126</v>
      </c>
      <c r="F67" s="3">
        <f>C67*$C$5*$C$7</f>
        <v>0</v>
      </c>
      <c r="H67" s="13" t="s">
        <v>127</v>
      </c>
      <c r="I67" s="3">
        <f>F67*$C$11</f>
        <v>0</v>
      </c>
    </row>
    <row r="68" spans="1:9" x14ac:dyDescent="0.25">
      <c r="H68" s="13"/>
    </row>
  </sheetData>
  <pageMargins left="0.7" right="0.7" top="0.75" bottom="0.75" header="0.3" footer="0.3"/>
  <pageSetup paperSize="17" scale="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1C73-6686-42FE-8244-0B03B0645338}">
  <sheetPr>
    <pageSetUpPr fitToPage="1"/>
  </sheetPr>
  <dimension ref="A1:U159"/>
  <sheetViews>
    <sheetView tabSelected="1" topLeftCell="F68" zoomScaleNormal="100" workbookViewId="0">
      <selection activeCell="H84" sqref="H84"/>
    </sheetView>
  </sheetViews>
  <sheetFormatPr defaultRowHeight="15" x14ac:dyDescent="0.25"/>
  <cols>
    <col min="2" max="2" width="59.5703125" bestFit="1" customWidth="1"/>
    <col min="4" max="4" width="4.5703125" customWidth="1"/>
    <col min="5" max="5" width="55.7109375" bestFit="1" customWidth="1"/>
    <col min="6" max="6" width="10.140625" bestFit="1" customWidth="1"/>
    <col min="7" max="7" width="4.5703125" customWidth="1"/>
    <col min="8" max="8" width="48" bestFit="1" customWidth="1"/>
    <col min="9" max="9" width="10.140625" bestFit="1" customWidth="1"/>
    <col min="10" max="10" width="4.28515625" customWidth="1"/>
    <col min="11" max="11" width="35.7109375" bestFit="1" customWidth="1"/>
    <col min="12" max="12" width="10.140625" bestFit="1" customWidth="1"/>
    <col min="13" max="13" width="5" customWidth="1"/>
    <col min="14" max="14" width="37" bestFit="1" customWidth="1"/>
    <col min="16" max="16" width="5.42578125" customWidth="1"/>
    <col min="17" max="17" width="27.28515625" bestFit="1" customWidth="1"/>
    <col min="18" max="18" width="9.140625" bestFit="1" customWidth="1"/>
    <col min="19" max="19" width="5.5703125" customWidth="1"/>
    <col min="20" max="20" width="29.140625" bestFit="1" customWidth="1"/>
  </cols>
  <sheetData>
    <row r="1" spans="2:20" s="1" customFormat="1" x14ac:dyDescent="0.25">
      <c r="B1" s="1" t="s">
        <v>0</v>
      </c>
      <c r="C1" s="1" t="s">
        <v>1</v>
      </c>
      <c r="H1" s="1" t="s">
        <v>2</v>
      </c>
      <c r="I1" s="1" t="s">
        <v>1</v>
      </c>
      <c r="K1" s="1" t="s">
        <v>2</v>
      </c>
      <c r="L1" s="1" t="s">
        <v>1</v>
      </c>
      <c r="N1" s="1" t="s">
        <v>2</v>
      </c>
      <c r="O1" s="1" t="s">
        <v>1</v>
      </c>
      <c r="Q1" s="1" t="s">
        <v>2</v>
      </c>
      <c r="R1" s="1" t="s">
        <v>1</v>
      </c>
    </row>
    <row r="3" spans="2:20" x14ac:dyDescent="0.25">
      <c r="B3" t="s">
        <v>4</v>
      </c>
      <c r="C3" s="7">
        <v>7</v>
      </c>
      <c r="S3" s="16"/>
      <c r="T3" s="16"/>
    </row>
    <row r="4" spans="2:20" x14ac:dyDescent="0.25">
      <c r="S4" s="16"/>
      <c r="T4" s="16"/>
    </row>
    <row r="5" spans="2:20" x14ac:dyDescent="0.25">
      <c r="B5" t="s">
        <v>26</v>
      </c>
      <c r="C5" s="5">
        <f>IF(OR(C3&lt;=2,C3&gt;=12),0.97,IF(AND(C3&gt;=6,C3&lt;=8),0.99,0.98))</f>
        <v>0.99</v>
      </c>
      <c r="S5" s="16"/>
      <c r="T5" s="16"/>
    </row>
    <row r="6" spans="2:20" x14ac:dyDescent="0.25">
      <c r="S6" s="16"/>
      <c r="T6" s="16"/>
    </row>
    <row r="7" spans="2:20" x14ac:dyDescent="0.25">
      <c r="B7" t="s">
        <v>25</v>
      </c>
      <c r="C7" s="5">
        <v>0.98</v>
      </c>
      <c r="S7" s="16"/>
      <c r="T7" s="16"/>
    </row>
    <row r="8" spans="2:20" x14ac:dyDescent="0.25">
      <c r="S8" s="16"/>
      <c r="T8" s="16"/>
    </row>
    <row r="9" spans="2:20" x14ac:dyDescent="0.25">
      <c r="B9" t="s">
        <v>27</v>
      </c>
      <c r="C9" s="4">
        <f>IF(OR(C3=12,C3=1,C3=2),1.7,IF(OR(C3=6,C3=7,C3=8),2.7,2.5))</f>
        <v>2.7</v>
      </c>
      <c r="S9" s="16"/>
      <c r="T9" s="16"/>
    </row>
    <row r="10" spans="2:20" x14ac:dyDescent="0.25">
      <c r="S10" s="16"/>
      <c r="T10" s="16"/>
    </row>
    <row r="11" spans="2:20" x14ac:dyDescent="0.25">
      <c r="B11" t="s">
        <v>19</v>
      </c>
      <c r="C11" s="4">
        <f>IF(OR(C3=12,C3&lt;=2),1.7,IF(AND(C3&gt;5,C3&lt;9),2.7,2))</f>
        <v>2.7</v>
      </c>
      <c r="S11" s="16"/>
      <c r="T11" s="16"/>
    </row>
    <row r="12" spans="2:20" x14ac:dyDescent="0.25">
      <c r="S12" s="16"/>
      <c r="T12" s="16"/>
    </row>
    <row r="13" spans="2:20" x14ac:dyDescent="0.25">
      <c r="B13" s="13" t="s">
        <v>67</v>
      </c>
      <c r="C13" s="8">
        <v>6</v>
      </c>
      <c r="S13" s="16"/>
      <c r="T13" s="16"/>
    </row>
    <row r="14" spans="2:20" x14ac:dyDescent="0.25">
      <c r="S14" s="16"/>
      <c r="T14" s="16"/>
    </row>
    <row r="15" spans="2:20" x14ac:dyDescent="0.25">
      <c r="B15" t="s">
        <v>70</v>
      </c>
      <c r="C15" s="5">
        <v>21</v>
      </c>
      <c r="S15" s="16"/>
      <c r="T15" s="16"/>
    </row>
    <row r="16" spans="2:20" x14ac:dyDescent="0.25">
      <c r="S16" s="16"/>
      <c r="T16" s="16"/>
    </row>
    <row r="17" spans="1:20" x14ac:dyDescent="0.25">
      <c r="B17" t="s">
        <v>68</v>
      </c>
      <c r="C17" s="5">
        <v>12</v>
      </c>
      <c r="S17" s="16"/>
      <c r="T17" s="16"/>
    </row>
    <row r="18" spans="1:20" x14ac:dyDescent="0.25">
      <c r="S18" s="16"/>
      <c r="T18" s="16"/>
    </row>
    <row r="19" spans="1:20" x14ac:dyDescent="0.25">
      <c r="B19" t="s">
        <v>69</v>
      </c>
      <c r="C19" s="5">
        <v>12</v>
      </c>
      <c r="S19" s="16"/>
      <c r="T19" s="16"/>
    </row>
    <row r="20" spans="1:20" x14ac:dyDescent="0.25">
      <c r="S20" s="16"/>
      <c r="T20" s="16"/>
    </row>
    <row r="21" spans="1:20" x14ac:dyDescent="0.25">
      <c r="B21" t="s">
        <v>30</v>
      </c>
      <c r="C21" s="5">
        <f>IF(OR(C3&lt;=2, C3&gt;=11), 2, 7)</f>
        <v>7</v>
      </c>
      <c r="S21" s="16"/>
      <c r="T21" s="16"/>
    </row>
    <row r="22" spans="1:20" x14ac:dyDescent="0.25">
      <c r="A22" t="s">
        <v>184</v>
      </c>
      <c r="S22" s="16"/>
      <c r="T22" s="16"/>
    </row>
    <row r="23" spans="1:20" x14ac:dyDescent="0.25">
      <c r="A23" t="s">
        <v>184</v>
      </c>
      <c r="B23" s="1" t="s">
        <v>55</v>
      </c>
      <c r="C23" s="12"/>
      <c r="D23" s="12"/>
      <c r="E23" s="12"/>
      <c r="F23" s="12"/>
      <c r="G23" s="12"/>
      <c r="H23" s="12"/>
      <c r="I23" s="12"/>
      <c r="J23" s="12"/>
      <c r="K23" s="12"/>
      <c r="L23" s="16"/>
      <c r="S23" s="16"/>
      <c r="T23" s="16"/>
    </row>
    <row r="24" spans="1:20" x14ac:dyDescent="0.25">
      <c r="A24" t="s">
        <v>184</v>
      </c>
      <c r="L24" s="18"/>
      <c r="M24" s="18"/>
      <c r="N24" s="18"/>
      <c r="O24" s="18"/>
      <c r="P24" s="18"/>
      <c r="Q24" s="18"/>
      <c r="R24" s="18"/>
      <c r="S24" s="16"/>
      <c r="T24" s="16"/>
    </row>
    <row r="25" spans="1:20" x14ac:dyDescent="0.25">
      <c r="A25" t="s">
        <v>224</v>
      </c>
      <c r="B25" t="s">
        <v>14</v>
      </c>
      <c r="C25" s="2">
        <v>70000</v>
      </c>
      <c r="H25" s="13" t="s">
        <v>110</v>
      </c>
      <c r="I25" s="14">
        <f>C25*C11</f>
        <v>189000</v>
      </c>
      <c r="N25" s="13" t="s">
        <v>153</v>
      </c>
      <c r="O25" s="3">
        <f>I25*$C$13</f>
        <v>1134000</v>
      </c>
      <c r="S25" s="16"/>
      <c r="T25" s="16"/>
    </row>
    <row r="26" spans="1:20" x14ac:dyDescent="0.25">
      <c r="A26" t="s">
        <v>184</v>
      </c>
      <c r="S26" s="16"/>
      <c r="T26" s="16"/>
    </row>
    <row r="27" spans="1:20" x14ac:dyDescent="0.25">
      <c r="A27" t="s">
        <v>187</v>
      </c>
      <c r="B27" s="13" t="s">
        <v>100</v>
      </c>
      <c r="C27" s="2">
        <v>0</v>
      </c>
      <c r="Q27" s="13" t="s">
        <v>155</v>
      </c>
      <c r="R27" s="3">
        <f>O25+O29</f>
        <v>1431675</v>
      </c>
      <c r="S27" s="16"/>
      <c r="T27" s="16"/>
    </row>
    <row r="28" spans="1:20" s="20" customFormat="1" x14ac:dyDescent="0.25">
      <c r="A28" t="s">
        <v>184</v>
      </c>
    </row>
    <row r="29" spans="1:20" x14ac:dyDescent="0.25">
      <c r="A29" t="s">
        <v>198</v>
      </c>
      <c r="B29" s="13" t="s">
        <v>103</v>
      </c>
      <c r="C29" s="2">
        <v>0</v>
      </c>
      <c r="H29" s="13"/>
      <c r="I29" s="15"/>
      <c r="K29" s="13" t="s">
        <v>135</v>
      </c>
      <c r="L29" s="3">
        <f>C27+C29+I31</f>
        <v>14175.000000000002</v>
      </c>
      <c r="N29" s="13" t="s">
        <v>154</v>
      </c>
      <c r="O29" s="3">
        <f>L29*C15</f>
        <v>297675.00000000006</v>
      </c>
      <c r="S29" s="16"/>
      <c r="T29" s="16"/>
    </row>
    <row r="30" spans="1:20" x14ac:dyDescent="0.25">
      <c r="A30" t="s">
        <v>184</v>
      </c>
      <c r="B30" s="13"/>
      <c r="C30" s="15"/>
      <c r="S30" s="16"/>
      <c r="T30" s="16"/>
    </row>
    <row r="31" spans="1:20" x14ac:dyDescent="0.25">
      <c r="A31" t="s">
        <v>202</v>
      </c>
      <c r="B31" s="13" t="s">
        <v>102</v>
      </c>
      <c r="C31" s="2">
        <v>750</v>
      </c>
      <c r="H31" s="13" t="s">
        <v>134</v>
      </c>
      <c r="I31" s="3">
        <f>C31*$C$11*$C$21</f>
        <v>14175.000000000002</v>
      </c>
      <c r="K31" s="13"/>
      <c r="L31" s="15"/>
      <c r="S31" s="16"/>
      <c r="T31" s="16"/>
    </row>
    <row r="32" spans="1:20" x14ac:dyDescent="0.25">
      <c r="A32" t="s">
        <v>184</v>
      </c>
      <c r="B32" s="13"/>
      <c r="S32" s="16"/>
      <c r="T32" s="16"/>
    </row>
    <row r="33" spans="1:20" x14ac:dyDescent="0.25">
      <c r="A33" t="s">
        <v>184</v>
      </c>
      <c r="B33" s="25" t="s">
        <v>54</v>
      </c>
      <c r="C33" s="12"/>
      <c r="D33" s="12"/>
      <c r="E33" s="12"/>
      <c r="F33" s="12"/>
      <c r="G33" s="12"/>
      <c r="H33" s="12"/>
      <c r="I33" s="12"/>
      <c r="J33" s="12"/>
      <c r="K33" s="12"/>
      <c r="L33" s="16"/>
      <c r="S33" s="16"/>
      <c r="T33" s="16"/>
    </row>
    <row r="34" spans="1:20" x14ac:dyDescent="0.25">
      <c r="A34" t="s">
        <v>184</v>
      </c>
      <c r="B34" s="13"/>
      <c r="L34" s="18"/>
      <c r="M34" s="18"/>
      <c r="N34" s="18"/>
      <c r="O34" s="18"/>
      <c r="P34" s="18"/>
      <c r="Q34" s="18"/>
      <c r="R34" s="18"/>
      <c r="S34" s="16"/>
      <c r="T34" s="16"/>
    </row>
    <row r="35" spans="1:20" x14ac:dyDescent="0.25">
      <c r="A35" t="s">
        <v>221</v>
      </c>
      <c r="B35" s="13" t="s">
        <v>20</v>
      </c>
      <c r="C35" s="2">
        <v>9432</v>
      </c>
      <c r="E35" s="13" t="s">
        <v>131</v>
      </c>
      <c r="F35" s="3">
        <f>((C35*C7)*C5)</f>
        <v>9150.9264000000003</v>
      </c>
      <c r="H35" t="s">
        <v>132</v>
      </c>
      <c r="I35" s="3">
        <f>F35*C9</f>
        <v>24707.501280000004</v>
      </c>
      <c r="K35" t="s">
        <v>62</v>
      </c>
      <c r="L35" s="3">
        <f>((C35*C7)*C5)*C9</f>
        <v>24707.501280000004</v>
      </c>
      <c r="N35" s="13" t="s">
        <v>157</v>
      </c>
      <c r="O35" s="3">
        <f>L35*$C$13</f>
        <v>148245.00768000004</v>
      </c>
      <c r="S35" s="16"/>
      <c r="T35" s="16"/>
    </row>
    <row r="36" spans="1:20" x14ac:dyDescent="0.25">
      <c r="A36" t="s">
        <v>184</v>
      </c>
      <c r="B36" s="13"/>
      <c r="S36" s="16"/>
      <c r="T36" s="16"/>
    </row>
    <row r="37" spans="1:20" x14ac:dyDescent="0.25">
      <c r="A37" t="s">
        <v>188</v>
      </c>
      <c r="B37" s="13" t="s">
        <v>88</v>
      </c>
      <c r="C37" s="2">
        <v>643</v>
      </c>
      <c r="S37" s="16"/>
      <c r="T37" s="16"/>
    </row>
    <row r="38" spans="1:20" x14ac:dyDescent="0.25">
      <c r="A38" t="s">
        <v>184</v>
      </c>
      <c r="B38" s="13"/>
      <c r="S38" s="16"/>
      <c r="T38" s="16"/>
    </row>
    <row r="39" spans="1:20" x14ac:dyDescent="0.25">
      <c r="A39" t="s">
        <v>194</v>
      </c>
      <c r="B39" s="13" t="s">
        <v>73</v>
      </c>
      <c r="C39" s="2">
        <v>1528</v>
      </c>
      <c r="Q39" s="13" t="s">
        <v>136</v>
      </c>
      <c r="R39" s="3">
        <f>O35+O42</f>
        <v>1025436.00768</v>
      </c>
      <c r="S39" s="16"/>
      <c r="T39" s="16"/>
    </row>
    <row r="40" spans="1:20" x14ac:dyDescent="0.25">
      <c r="A40" t="s">
        <v>184</v>
      </c>
      <c r="B40" s="13"/>
      <c r="H40" s="13"/>
      <c r="I40" s="15"/>
      <c r="S40" s="16"/>
      <c r="T40" s="16"/>
    </row>
    <row r="41" spans="1:20" x14ac:dyDescent="0.25">
      <c r="A41" t="s">
        <v>195</v>
      </c>
      <c r="B41" s="13" t="s">
        <v>71</v>
      </c>
      <c r="C41" s="2">
        <v>261</v>
      </c>
      <c r="S41" s="16"/>
      <c r="T41" s="16"/>
    </row>
    <row r="42" spans="1:20" x14ac:dyDescent="0.25">
      <c r="A42" t="s">
        <v>184</v>
      </c>
      <c r="B42" s="13"/>
      <c r="C42" s="15"/>
      <c r="D42" s="13"/>
      <c r="E42" s="13"/>
      <c r="F42" s="13"/>
      <c r="G42" s="13"/>
      <c r="H42" s="13"/>
      <c r="I42" s="13"/>
      <c r="J42" s="13"/>
      <c r="K42" s="13" t="s">
        <v>177</v>
      </c>
      <c r="L42" s="3">
        <f>C37+C39+C41+C43+I45+I47</f>
        <v>41771</v>
      </c>
      <c r="M42" s="13"/>
      <c r="N42" s="13" t="s">
        <v>178</v>
      </c>
      <c r="O42" s="3">
        <f>L42*$C$15</f>
        <v>877191</v>
      </c>
      <c r="P42" s="13"/>
      <c r="Q42" s="13"/>
      <c r="R42" s="13"/>
      <c r="S42" s="16"/>
      <c r="T42" s="16"/>
    </row>
    <row r="43" spans="1:20" x14ac:dyDescent="0.25">
      <c r="A43" t="s">
        <v>196</v>
      </c>
      <c r="B43" s="13" t="s">
        <v>47</v>
      </c>
      <c r="C43" s="2">
        <v>1539</v>
      </c>
      <c r="S43" s="16"/>
      <c r="T43" s="16"/>
    </row>
    <row r="44" spans="1:20" x14ac:dyDescent="0.25">
      <c r="A44" t="s">
        <v>184</v>
      </c>
      <c r="B44" s="13"/>
      <c r="C44" s="15"/>
      <c r="S44" s="16"/>
      <c r="T44" s="16"/>
    </row>
    <row r="45" spans="1:20" x14ac:dyDescent="0.25">
      <c r="A45" t="s">
        <v>201</v>
      </c>
      <c r="B45" s="13" t="s">
        <v>77</v>
      </c>
      <c r="C45" s="2">
        <v>2000</v>
      </c>
      <c r="H45" t="s">
        <v>80</v>
      </c>
      <c r="I45" s="3">
        <f>C45*$C$11*$C$21</f>
        <v>37800</v>
      </c>
      <c r="K45" s="13"/>
      <c r="L45" s="15"/>
      <c r="N45" s="9"/>
      <c r="O45" s="10"/>
      <c r="S45" s="16"/>
      <c r="T45" s="16"/>
    </row>
    <row r="46" spans="1:20" x14ac:dyDescent="0.25">
      <c r="A46" t="s">
        <v>184</v>
      </c>
      <c r="B46" s="13"/>
      <c r="S46" s="16"/>
      <c r="T46" s="16"/>
    </row>
    <row r="47" spans="1:20" x14ac:dyDescent="0.25">
      <c r="A47" t="s">
        <v>207</v>
      </c>
      <c r="B47" s="13" t="s">
        <v>104</v>
      </c>
      <c r="C47" s="2">
        <v>0</v>
      </c>
      <c r="H47" s="13" t="s">
        <v>156</v>
      </c>
      <c r="I47" s="3">
        <f>C47*$C$7</f>
        <v>0</v>
      </c>
      <c r="K47" s="13"/>
      <c r="L47" s="15"/>
      <c r="S47" s="16"/>
      <c r="T47" s="16"/>
    </row>
    <row r="48" spans="1:20" x14ac:dyDescent="0.25">
      <c r="A48" t="s">
        <v>184</v>
      </c>
      <c r="B48" s="13"/>
      <c r="S48" s="16"/>
      <c r="T48" s="16"/>
    </row>
    <row r="49" spans="1:20" x14ac:dyDescent="0.25">
      <c r="A49" t="s">
        <v>184</v>
      </c>
      <c r="B49" s="25" t="s">
        <v>56</v>
      </c>
      <c r="C49" s="12"/>
      <c r="D49" s="12"/>
      <c r="E49" s="12"/>
      <c r="F49" s="12"/>
      <c r="G49" s="12"/>
      <c r="H49" s="12"/>
      <c r="I49" s="12"/>
      <c r="J49" s="12"/>
      <c r="K49" s="12"/>
      <c r="L49" s="16"/>
      <c r="S49" s="16"/>
      <c r="T49" s="16"/>
    </row>
    <row r="50" spans="1:20" x14ac:dyDescent="0.25">
      <c r="A50" t="s">
        <v>184</v>
      </c>
      <c r="B50" s="13"/>
      <c r="C50" s="13"/>
      <c r="D50" s="13"/>
      <c r="E50" s="13"/>
      <c r="F50" s="13"/>
      <c r="G50" s="13"/>
      <c r="H50" s="13"/>
      <c r="I50" s="13"/>
      <c r="L50" s="18"/>
      <c r="M50" s="18"/>
      <c r="N50" s="18"/>
      <c r="O50" s="18"/>
      <c r="P50" s="18"/>
      <c r="Q50" s="18"/>
      <c r="R50" s="18"/>
      <c r="S50" s="16"/>
      <c r="T50" s="16"/>
    </row>
    <row r="51" spans="1:20" x14ac:dyDescent="0.25">
      <c r="A51" t="s">
        <v>183</v>
      </c>
      <c r="B51" s="13" t="s">
        <v>60</v>
      </c>
      <c r="C51" s="2">
        <v>160</v>
      </c>
      <c r="D51" s="13"/>
      <c r="E51" s="13"/>
      <c r="F51" s="13"/>
      <c r="G51" s="13"/>
      <c r="S51" s="16"/>
      <c r="T51" s="16"/>
    </row>
    <row r="52" spans="1:20" x14ac:dyDescent="0.25">
      <c r="A52" t="s">
        <v>184</v>
      </c>
      <c r="B52" s="13"/>
      <c r="C52" s="13"/>
      <c r="D52" s="13"/>
      <c r="E52" s="13"/>
      <c r="F52" s="13"/>
      <c r="G52" s="13"/>
      <c r="H52" s="13" t="s">
        <v>111</v>
      </c>
      <c r="I52" s="3">
        <f>C51*C53</f>
        <v>432</v>
      </c>
      <c r="K52" s="13" t="s">
        <v>158</v>
      </c>
      <c r="L52" s="3">
        <f>I52*C13</f>
        <v>2592</v>
      </c>
      <c r="S52" s="16"/>
      <c r="T52" s="16"/>
    </row>
    <row r="53" spans="1:20" x14ac:dyDescent="0.25">
      <c r="A53" t="s">
        <v>225</v>
      </c>
      <c r="B53" s="13" t="s">
        <v>28</v>
      </c>
      <c r="C53" s="5">
        <v>2.7</v>
      </c>
      <c r="S53" s="16"/>
      <c r="T53" s="16"/>
    </row>
    <row r="54" spans="1:20" x14ac:dyDescent="0.25">
      <c r="A54" t="s">
        <v>184</v>
      </c>
      <c r="B54" s="13"/>
      <c r="N54" s="13" t="s">
        <v>137</v>
      </c>
      <c r="O54" s="3">
        <f>L52+L55</f>
        <v>4380</v>
      </c>
      <c r="S54" s="16"/>
      <c r="T54" s="16"/>
    </row>
    <row r="55" spans="1:20" x14ac:dyDescent="0.25">
      <c r="A55" t="s">
        <v>186</v>
      </c>
      <c r="B55" s="13" t="s">
        <v>81</v>
      </c>
      <c r="C55" s="2">
        <v>149</v>
      </c>
      <c r="H55" s="13" t="s">
        <v>175</v>
      </c>
      <c r="I55" s="3">
        <f>C55</f>
        <v>149</v>
      </c>
      <c r="K55" s="13" t="s">
        <v>176</v>
      </c>
      <c r="L55" s="3">
        <f>I55*C19</f>
        <v>1788</v>
      </c>
      <c r="S55" s="16"/>
      <c r="T55" s="16"/>
    </row>
    <row r="56" spans="1:20" x14ac:dyDescent="0.25">
      <c r="A56" t="s">
        <v>184</v>
      </c>
      <c r="B56" s="13"/>
      <c r="H56" s="13"/>
      <c r="S56" s="16"/>
      <c r="T56" s="16"/>
    </row>
    <row r="57" spans="1:20" x14ac:dyDescent="0.25">
      <c r="A57" t="s">
        <v>184</v>
      </c>
      <c r="B57" s="25" t="s">
        <v>57</v>
      </c>
      <c r="C57" s="12"/>
      <c r="D57" s="12"/>
      <c r="E57" s="12"/>
      <c r="F57" s="12"/>
      <c r="G57" s="12"/>
      <c r="H57" s="12"/>
      <c r="I57" s="12"/>
      <c r="J57" s="12"/>
      <c r="K57" s="12"/>
      <c r="L57" s="16"/>
      <c r="S57" s="16"/>
      <c r="T57" s="16"/>
    </row>
    <row r="58" spans="1:20" x14ac:dyDescent="0.25">
      <c r="A58" t="s">
        <v>184</v>
      </c>
      <c r="B58" s="13"/>
      <c r="L58" s="18"/>
      <c r="M58" s="18"/>
      <c r="N58" s="18"/>
      <c r="O58" s="18"/>
      <c r="P58" s="18"/>
      <c r="Q58" s="18"/>
      <c r="R58" s="18"/>
      <c r="S58" s="16"/>
      <c r="T58" s="16"/>
    </row>
    <row r="59" spans="1:20" x14ac:dyDescent="0.25">
      <c r="A59" t="s">
        <v>222</v>
      </c>
      <c r="B59" s="13" t="s">
        <v>21</v>
      </c>
      <c r="C59" s="2">
        <v>650</v>
      </c>
      <c r="S59" s="16"/>
      <c r="T59" s="16"/>
    </row>
    <row r="60" spans="1:20" x14ac:dyDescent="0.25">
      <c r="A60" t="s">
        <v>184</v>
      </c>
      <c r="B60" s="13"/>
      <c r="E60" s="13" t="s">
        <v>133</v>
      </c>
      <c r="F60" s="3">
        <f>(IF(C59&lt;2*C61,C59-(C59/2),C59-C61))*C5</f>
        <v>465.3</v>
      </c>
      <c r="H60" s="13" t="s">
        <v>130</v>
      </c>
      <c r="I60" s="3">
        <f>F60*C9</f>
        <v>1256.3100000000002</v>
      </c>
      <c r="K60" s="13" t="s">
        <v>159</v>
      </c>
      <c r="L60" s="3">
        <f>I60*$C$13</f>
        <v>7537.8600000000006</v>
      </c>
      <c r="S60" s="16"/>
      <c r="T60" s="16"/>
    </row>
    <row r="61" spans="1:20" x14ac:dyDescent="0.25">
      <c r="A61" t="s">
        <v>182</v>
      </c>
      <c r="B61" s="13" t="s">
        <v>29</v>
      </c>
      <c r="C61" s="5">
        <f>IF(OR(C3&lt;=3,C3&gt;=11),61,IF(C3=4,63,IF(C3=5,150,IF(OR(C3=6,C3=7,C3=8),180,IF(C3=9,162,IF(C3=10,108,0))))))</f>
        <v>180</v>
      </c>
      <c r="S61" s="16"/>
      <c r="T61" s="16"/>
    </row>
    <row r="62" spans="1:20" x14ac:dyDescent="0.25">
      <c r="A62" t="s">
        <v>184</v>
      </c>
      <c r="B62" s="13"/>
      <c r="S62" s="16"/>
      <c r="T62" s="16"/>
    </row>
    <row r="63" spans="1:20" x14ac:dyDescent="0.25">
      <c r="A63" t="s">
        <v>189</v>
      </c>
      <c r="B63" s="13" t="s">
        <v>105</v>
      </c>
      <c r="C63" s="2">
        <v>307</v>
      </c>
      <c r="I63" s="19"/>
      <c r="N63" s="13" t="s">
        <v>160</v>
      </c>
      <c r="O63" s="3">
        <f>L60+L65</f>
        <v>17260.86</v>
      </c>
      <c r="S63" s="16"/>
      <c r="T63" s="16"/>
    </row>
    <row r="64" spans="1:20" x14ac:dyDescent="0.25">
      <c r="A64" t="s">
        <v>184</v>
      </c>
      <c r="B64" s="13"/>
      <c r="S64" s="16"/>
      <c r="T64" s="16"/>
    </row>
    <row r="65" spans="1:21" x14ac:dyDescent="0.25">
      <c r="A65" t="s">
        <v>197</v>
      </c>
      <c r="B65" s="13" t="s">
        <v>106</v>
      </c>
      <c r="C65" s="2">
        <v>156</v>
      </c>
      <c r="H65" s="13" t="s">
        <v>173</v>
      </c>
      <c r="I65" s="3">
        <f>C63+C65+C67</f>
        <v>463</v>
      </c>
      <c r="K65" s="13" t="s">
        <v>174</v>
      </c>
      <c r="L65" s="3">
        <f>I65*C15</f>
        <v>9723</v>
      </c>
      <c r="S65" s="16"/>
      <c r="T65" s="16"/>
    </row>
    <row r="66" spans="1:21" x14ac:dyDescent="0.25">
      <c r="A66" t="s">
        <v>184</v>
      </c>
      <c r="B66" s="13"/>
      <c r="S66" s="16"/>
      <c r="T66" s="16"/>
    </row>
    <row r="67" spans="1:21" x14ac:dyDescent="0.25">
      <c r="A67" t="s">
        <v>203</v>
      </c>
      <c r="B67" s="13" t="s">
        <v>74</v>
      </c>
      <c r="C67" s="2">
        <v>0</v>
      </c>
      <c r="H67" s="13"/>
      <c r="I67" s="15"/>
      <c r="S67" s="16"/>
      <c r="T67" s="16"/>
    </row>
    <row r="68" spans="1:21" x14ac:dyDescent="0.25">
      <c r="A68" t="s">
        <v>184</v>
      </c>
      <c r="B68" s="13"/>
      <c r="S68" s="16"/>
      <c r="T68" s="16"/>
    </row>
    <row r="69" spans="1:21" x14ac:dyDescent="0.25">
      <c r="A69" t="s">
        <v>184</v>
      </c>
      <c r="B69" s="25" t="s">
        <v>58</v>
      </c>
      <c r="C69" s="12"/>
      <c r="D69" s="12"/>
      <c r="E69" s="12"/>
      <c r="F69" s="12"/>
      <c r="G69" s="12"/>
      <c r="H69" s="12"/>
      <c r="I69" s="12"/>
      <c r="J69" s="12"/>
      <c r="K69" s="16"/>
      <c r="L69" s="16"/>
      <c r="S69" s="16"/>
      <c r="T69" s="16"/>
    </row>
    <row r="70" spans="1:21" x14ac:dyDescent="0.25">
      <c r="A70" t="s">
        <v>184</v>
      </c>
      <c r="B70" s="13"/>
      <c r="K70" s="18"/>
      <c r="L70" s="18"/>
      <c r="M70" s="18"/>
      <c r="N70" s="18"/>
      <c r="O70" s="18"/>
      <c r="P70" s="18"/>
      <c r="Q70" s="18"/>
      <c r="R70" s="18"/>
      <c r="S70" s="16"/>
      <c r="T70" s="16"/>
    </row>
    <row r="71" spans="1:21" x14ac:dyDescent="0.25">
      <c r="A71" t="s">
        <v>223</v>
      </c>
      <c r="B71" s="13" t="s">
        <v>22</v>
      </c>
      <c r="C71" s="2">
        <v>1500</v>
      </c>
      <c r="E71" s="13" t="s">
        <v>128</v>
      </c>
      <c r="F71" s="3">
        <f>((C71*C7)*C5)</f>
        <v>1455.3</v>
      </c>
      <c r="H71" s="13" t="s">
        <v>129</v>
      </c>
      <c r="I71" s="3">
        <f>F71*C9</f>
        <v>3929.31</v>
      </c>
      <c r="O71" s="19"/>
      <c r="S71" s="16"/>
      <c r="T71" s="16"/>
    </row>
    <row r="72" spans="1:21" x14ac:dyDescent="0.25">
      <c r="A72" t="s">
        <v>184</v>
      </c>
      <c r="B72" s="13"/>
      <c r="H72" s="13"/>
      <c r="S72" s="16"/>
      <c r="T72" s="27" t="s">
        <v>34</v>
      </c>
      <c r="U72" s="28">
        <f>R27+R39+O54+O63+R78+R95+R116</f>
        <v>7341256.6894199997</v>
      </c>
    </row>
    <row r="73" spans="1:21" x14ac:dyDescent="0.25">
      <c r="A73" t="s">
        <v>226</v>
      </c>
      <c r="B73" s="13" t="s">
        <v>101</v>
      </c>
      <c r="C73" s="2">
        <v>0</v>
      </c>
      <c r="H73" s="13" t="s">
        <v>112</v>
      </c>
      <c r="I73" s="3">
        <f>C73*C9</f>
        <v>0</v>
      </c>
      <c r="N73" s="13" t="s">
        <v>161</v>
      </c>
      <c r="O73" s="3">
        <f>(I71+I73+C75)*C13</f>
        <v>23575.86</v>
      </c>
      <c r="S73" s="16"/>
    </row>
    <row r="74" spans="1:21" x14ac:dyDescent="0.25">
      <c r="A74" t="s">
        <v>184</v>
      </c>
      <c r="B74" s="13"/>
      <c r="S74" s="16"/>
      <c r="T74" s="16"/>
    </row>
    <row r="75" spans="1:21" x14ac:dyDescent="0.25">
      <c r="A75" t="s">
        <v>227</v>
      </c>
      <c r="B75" s="13" t="s">
        <v>64</v>
      </c>
      <c r="C75" s="2">
        <v>0</v>
      </c>
      <c r="S75" s="16"/>
      <c r="T75" s="16"/>
    </row>
    <row r="76" spans="1:21" x14ac:dyDescent="0.25">
      <c r="A76" t="s">
        <v>184</v>
      </c>
      <c r="B76" s="13"/>
      <c r="S76" s="16"/>
      <c r="T76" s="16"/>
    </row>
    <row r="77" spans="1:21" x14ac:dyDescent="0.25">
      <c r="A77" t="s">
        <v>185</v>
      </c>
      <c r="B77" s="13" t="s">
        <v>83</v>
      </c>
      <c r="C77" s="2">
        <v>0</v>
      </c>
      <c r="S77" s="16"/>
      <c r="T77" s="16"/>
    </row>
    <row r="78" spans="1:21" x14ac:dyDescent="0.25">
      <c r="A78" t="s">
        <v>184</v>
      </c>
      <c r="B78" s="13"/>
      <c r="Q78" s="13" t="s">
        <v>162</v>
      </c>
      <c r="R78" s="3">
        <f>O73+O82</f>
        <v>26137.86</v>
      </c>
      <c r="S78" s="16"/>
      <c r="T78" s="16"/>
    </row>
    <row r="79" spans="1:21" x14ac:dyDescent="0.25">
      <c r="A79" t="s">
        <v>191</v>
      </c>
      <c r="B79" s="13" t="s">
        <v>107</v>
      </c>
      <c r="C79" s="2">
        <v>122</v>
      </c>
      <c r="S79" s="16"/>
      <c r="T79" s="16"/>
    </row>
    <row r="80" spans="1:21" x14ac:dyDescent="0.25">
      <c r="A80" t="s">
        <v>184</v>
      </c>
      <c r="B80" s="13"/>
      <c r="S80" s="16"/>
      <c r="T80" s="16"/>
    </row>
    <row r="81" spans="1:20" x14ac:dyDescent="0.25">
      <c r="A81" t="s">
        <v>208</v>
      </c>
      <c r="B81" s="13" t="s">
        <v>97</v>
      </c>
      <c r="C81" s="2">
        <v>0</v>
      </c>
      <c r="H81" s="13" t="s">
        <v>142</v>
      </c>
      <c r="I81" s="3">
        <f>C81*$C$7</f>
        <v>0</v>
      </c>
      <c r="S81" s="16"/>
      <c r="T81" s="16"/>
    </row>
    <row r="82" spans="1:20" x14ac:dyDescent="0.25">
      <c r="A82" t="s">
        <v>184</v>
      </c>
      <c r="B82" s="13"/>
      <c r="H82" s="13"/>
      <c r="K82" s="13" t="s">
        <v>171</v>
      </c>
      <c r="L82" s="3">
        <f>C79+I81+I83+I85+I87</f>
        <v>122</v>
      </c>
      <c r="N82" s="13" t="s">
        <v>172</v>
      </c>
      <c r="O82" s="3">
        <f>L82*C15</f>
        <v>2562</v>
      </c>
      <c r="S82" s="16"/>
      <c r="T82" s="16"/>
    </row>
    <row r="83" spans="1:20" x14ac:dyDescent="0.25">
      <c r="A83" t="s">
        <v>209</v>
      </c>
      <c r="B83" s="13" t="s">
        <v>98</v>
      </c>
      <c r="C83" s="2">
        <v>0</v>
      </c>
      <c r="H83" s="13" t="s">
        <v>143</v>
      </c>
      <c r="I83" s="3">
        <f>C83*$C$7</f>
        <v>0</v>
      </c>
      <c r="S83" s="16"/>
      <c r="T83" s="16"/>
    </row>
    <row r="84" spans="1:20" x14ac:dyDescent="0.25">
      <c r="A84" t="s">
        <v>184</v>
      </c>
      <c r="B84" s="13"/>
      <c r="H84" s="13"/>
      <c r="Q84" s="9"/>
      <c r="R84" s="10"/>
      <c r="S84" s="16"/>
      <c r="T84" s="16"/>
    </row>
    <row r="85" spans="1:20" x14ac:dyDescent="0.25">
      <c r="A85" t="s">
        <v>210</v>
      </c>
      <c r="B85" s="13" t="s">
        <v>149</v>
      </c>
      <c r="C85" s="2">
        <v>0</v>
      </c>
      <c r="H85" s="13" t="s">
        <v>150</v>
      </c>
      <c r="I85" s="3">
        <f>C85*$C$7</f>
        <v>0</v>
      </c>
      <c r="S85" s="16"/>
      <c r="T85" s="16"/>
    </row>
    <row r="86" spans="1:20" x14ac:dyDescent="0.25">
      <c r="A86" t="s">
        <v>184</v>
      </c>
      <c r="B86" s="13"/>
      <c r="H86" s="13"/>
      <c r="S86" s="16"/>
      <c r="T86" s="16"/>
    </row>
    <row r="87" spans="1:20" x14ac:dyDescent="0.25">
      <c r="A87" t="s">
        <v>211</v>
      </c>
      <c r="B87" s="13" t="s">
        <v>151</v>
      </c>
      <c r="C87" s="2">
        <v>0</v>
      </c>
      <c r="H87" s="13" t="s">
        <v>152</v>
      </c>
      <c r="I87" s="3">
        <f>C87*$C$7</f>
        <v>0</v>
      </c>
      <c r="S87" s="16"/>
      <c r="T87" s="16"/>
    </row>
    <row r="88" spans="1:20" x14ac:dyDescent="0.25">
      <c r="B88" s="13"/>
      <c r="C88" s="15"/>
      <c r="H88" s="13"/>
      <c r="I88" s="15"/>
      <c r="S88" s="16"/>
      <c r="T88" s="16"/>
    </row>
    <row r="89" spans="1:20" x14ac:dyDescent="0.25">
      <c r="A89" t="s">
        <v>184</v>
      </c>
      <c r="B89" s="1" t="s">
        <v>59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S89" s="16"/>
      <c r="T89" s="16"/>
    </row>
    <row r="90" spans="1:20" x14ac:dyDescent="0.25">
      <c r="A90" t="s">
        <v>184</v>
      </c>
      <c r="M90" s="18"/>
      <c r="N90" s="18"/>
      <c r="O90" s="18"/>
      <c r="P90" s="18"/>
      <c r="Q90" s="18"/>
      <c r="R90" s="18"/>
      <c r="S90" s="16"/>
      <c r="T90" s="16"/>
    </row>
    <row r="91" spans="1:20" x14ac:dyDescent="0.25">
      <c r="A91" t="s">
        <v>228</v>
      </c>
      <c r="B91" t="s">
        <v>65</v>
      </c>
      <c r="C91" s="2">
        <v>35000</v>
      </c>
      <c r="H91" s="13" t="s">
        <v>113</v>
      </c>
      <c r="I91" s="3">
        <f>C91*C9</f>
        <v>94500</v>
      </c>
      <c r="K91" s="13" t="s">
        <v>163</v>
      </c>
      <c r="L91" s="3">
        <f>I91*$C$13</f>
        <v>567000</v>
      </c>
      <c r="S91" s="16"/>
      <c r="T91" s="16"/>
    </row>
    <row r="92" spans="1:20" x14ac:dyDescent="0.25">
      <c r="A92" t="s">
        <v>184</v>
      </c>
      <c r="S92" s="16"/>
      <c r="T92" s="16"/>
    </row>
    <row r="93" spans="1:20" x14ac:dyDescent="0.25">
      <c r="A93" t="s">
        <v>229</v>
      </c>
      <c r="B93" s="16" t="s">
        <v>23</v>
      </c>
      <c r="C93" s="2">
        <v>59397</v>
      </c>
      <c r="D93" s="16"/>
      <c r="E93" s="16"/>
      <c r="F93" s="16"/>
      <c r="G93" s="16"/>
      <c r="H93" s="16" t="s">
        <v>24</v>
      </c>
      <c r="I93" s="17">
        <f>C93</f>
        <v>59397</v>
      </c>
      <c r="J93" s="16"/>
      <c r="K93" s="16"/>
      <c r="L93" s="16"/>
      <c r="M93" s="16"/>
      <c r="N93" s="13" t="s">
        <v>165</v>
      </c>
      <c r="O93" s="3">
        <f>L91+L94</f>
        <v>745191</v>
      </c>
      <c r="S93" s="16"/>
      <c r="T93" s="16"/>
    </row>
    <row r="94" spans="1:20" s="13" customFormat="1" x14ac:dyDescent="0.25">
      <c r="A94" t="s">
        <v>184</v>
      </c>
      <c r="B94" s="20"/>
      <c r="C94" s="21"/>
      <c r="D94" s="20"/>
      <c r="E94" s="20"/>
      <c r="F94" s="20"/>
      <c r="G94" s="20"/>
      <c r="H94" s="20"/>
      <c r="I94" s="21"/>
      <c r="J94" s="20"/>
      <c r="K94" s="13" t="s">
        <v>164</v>
      </c>
      <c r="L94" s="3">
        <f>I93*I95</f>
        <v>178191</v>
      </c>
      <c r="M94" s="20"/>
      <c r="S94" s="20"/>
      <c r="T94" s="20"/>
    </row>
    <row r="95" spans="1:20" s="13" customFormat="1" x14ac:dyDescent="0.25">
      <c r="A95" t="s">
        <v>184</v>
      </c>
      <c r="B95" s="20"/>
      <c r="C95" s="21"/>
      <c r="D95" s="20"/>
      <c r="E95" s="20"/>
      <c r="F95" s="20"/>
      <c r="G95" s="20"/>
      <c r="H95" s="13" t="s">
        <v>66</v>
      </c>
      <c r="I95" s="22">
        <v>3</v>
      </c>
      <c r="J95" s="20"/>
      <c r="K95" s="20"/>
      <c r="L95" s="20"/>
      <c r="M95" s="20"/>
      <c r="Q95" s="13" t="s">
        <v>166</v>
      </c>
      <c r="R95" s="3">
        <f>O93+O97</f>
        <v>749727</v>
      </c>
    </row>
    <row r="96" spans="1:20" x14ac:dyDescent="0.25">
      <c r="A96" t="s">
        <v>204</v>
      </c>
      <c r="B96" s="13" t="s">
        <v>139</v>
      </c>
      <c r="C96" s="5">
        <v>0.5</v>
      </c>
    </row>
    <row r="97" spans="1:20" x14ac:dyDescent="0.25">
      <c r="A97" t="s">
        <v>184</v>
      </c>
      <c r="H97" s="13" t="s">
        <v>51</v>
      </c>
      <c r="I97" s="3">
        <f>C98*C96*C11</f>
        <v>189</v>
      </c>
      <c r="N97" s="13" t="s">
        <v>170</v>
      </c>
      <c r="O97" s="3">
        <f>L98*C17</f>
        <v>4536</v>
      </c>
    </row>
    <row r="98" spans="1:20" x14ac:dyDescent="0.25">
      <c r="A98" t="s">
        <v>205</v>
      </c>
      <c r="B98" t="s">
        <v>91</v>
      </c>
      <c r="C98" s="2">
        <v>140</v>
      </c>
      <c r="K98" t="s">
        <v>169</v>
      </c>
      <c r="L98" s="3">
        <f>I97+I99</f>
        <v>378</v>
      </c>
    </row>
    <row r="99" spans="1:20" x14ac:dyDescent="0.25">
      <c r="A99" t="s">
        <v>184</v>
      </c>
      <c r="H99" s="13" t="s">
        <v>49</v>
      </c>
      <c r="I99" s="3">
        <f>C98*C100*C11</f>
        <v>189</v>
      </c>
      <c r="T99" s="20"/>
    </row>
    <row r="100" spans="1:20" x14ac:dyDescent="0.25">
      <c r="A100" t="s">
        <v>206</v>
      </c>
      <c r="B100" s="26" t="s">
        <v>140</v>
      </c>
      <c r="C100" s="24">
        <v>0.5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6"/>
      <c r="T100" s="20"/>
    </row>
    <row r="101" spans="1:20" x14ac:dyDescent="0.25">
      <c r="A101" t="s">
        <v>184</v>
      </c>
      <c r="M101" s="16"/>
      <c r="N101" s="16"/>
      <c r="O101" s="16"/>
      <c r="P101" s="16"/>
      <c r="Q101" s="16"/>
      <c r="R101" s="16"/>
      <c r="S101" s="16"/>
      <c r="T101" s="20"/>
    </row>
    <row r="102" spans="1:20" x14ac:dyDescent="0.25">
      <c r="A102" t="s">
        <v>215</v>
      </c>
      <c r="B102" t="s">
        <v>10</v>
      </c>
      <c r="C102" s="2">
        <v>6500</v>
      </c>
      <c r="E102" s="13" t="s">
        <v>114</v>
      </c>
      <c r="F102" s="3">
        <f>C102*$C$7*$C$5</f>
        <v>6306.3</v>
      </c>
      <c r="H102" s="13" t="s">
        <v>115</v>
      </c>
      <c r="I102" s="3">
        <f>F102*$C$11</f>
        <v>17027.010000000002</v>
      </c>
    </row>
    <row r="103" spans="1:20" x14ac:dyDescent="0.25">
      <c r="A103" t="s">
        <v>184</v>
      </c>
      <c r="E103" s="13"/>
      <c r="H103" s="13"/>
    </row>
    <row r="104" spans="1:20" x14ac:dyDescent="0.25">
      <c r="A104" t="s">
        <v>216</v>
      </c>
      <c r="B104" t="s">
        <v>11</v>
      </c>
      <c r="C104" s="2">
        <v>19617</v>
      </c>
      <c r="E104" s="13" t="s">
        <v>116</v>
      </c>
      <c r="F104" s="3">
        <f>C104*$C$7*$C$5</f>
        <v>19032.413400000001</v>
      </c>
      <c r="H104" s="13" t="s">
        <v>117</v>
      </c>
      <c r="I104" s="3">
        <f>F104*$C$11</f>
        <v>51387.516180000006</v>
      </c>
    </row>
    <row r="105" spans="1:20" x14ac:dyDescent="0.25">
      <c r="A105" t="s">
        <v>184</v>
      </c>
      <c r="E105" s="13"/>
      <c r="H105" s="13"/>
    </row>
    <row r="106" spans="1:20" x14ac:dyDescent="0.25">
      <c r="A106" t="s">
        <v>217</v>
      </c>
      <c r="B106" t="s">
        <v>12</v>
      </c>
      <c r="C106" s="2">
        <v>21573</v>
      </c>
      <c r="E106" s="13" t="s">
        <v>118</v>
      </c>
      <c r="F106" s="3">
        <f>C106*$C$7*$C$5</f>
        <v>20930.124599999999</v>
      </c>
      <c r="H106" s="13" t="s">
        <v>120</v>
      </c>
      <c r="I106" s="3">
        <f>F106*$C$11</f>
        <v>56511.33642</v>
      </c>
    </row>
    <row r="107" spans="1:20" x14ac:dyDescent="0.25">
      <c r="A107" t="s">
        <v>184</v>
      </c>
      <c r="E107" s="13"/>
      <c r="H107" s="13"/>
    </row>
    <row r="108" spans="1:20" x14ac:dyDescent="0.25">
      <c r="A108" t="s">
        <v>218</v>
      </c>
      <c r="B108" t="s">
        <v>13</v>
      </c>
      <c r="C108" s="2">
        <v>5500</v>
      </c>
      <c r="E108" s="13" t="s">
        <v>119</v>
      </c>
      <c r="F108" s="3">
        <f>C108*$C$7*$C$5</f>
        <v>5336.1</v>
      </c>
      <c r="H108" s="13" t="s">
        <v>121</v>
      </c>
      <c r="I108" s="3">
        <f>F108*$C$11</f>
        <v>14407.470000000001</v>
      </c>
      <c r="K108" t="s">
        <v>5</v>
      </c>
      <c r="L108" s="3">
        <f>I102+I104+I106+I108+I110+I112+I114</f>
        <v>157797.16029000003</v>
      </c>
      <c r="N108" s="13" t="s">
        <v>181</v>
      </c>
      <c r="O108" s="3">
        <f>L108*$C$13</f>
        <v>946782.96174000017</v>
      </c>
    </row>
    <row r="109" spans="1:20" x14ac:dyDescent="0.25">
      <c r="A109" t="s">
        <v>184</v>
      </c>
      <c r="E109" s="13"/>
      <c r="H109" s="13"/>
    </row>
    <row r="110" spans="1:20" x14ac:dyDescent="0.25">
      <c r="A110" t="s">
        <v>219</v>
      </c>
      <c r="B110" t="s">
        <v>15</v>
      </c>
      <c r="C110" s="2">
        <v>600</v>
      </c>
      <c r="E110" s="13" t="s">
        <v>122</v>
      </c>
      <c r="F110" s="3">
        <f>C110/2*$C$5*$C$7</f>
        <v>291.06</v>
      </c>
      <c r="H110" s="13" t="s">
        <v>123</v>
      </c>
      <c r="I110" s="3">
        <f>F110*$C$11</f>
        <v>785.86200000000008</v>
      </c>
    </row>
    <row r="111" spans="1:20" x14ac:dyDescent="0.25">
      <c r="A111" t="s">
        <v>184</v>
      </c>
      <c r="E111" s="13"/>
      <c r="H111" s="13"/>
    </row>
    <row r="112" spans="1:20" x14ac:dyDescent="0.25">
      <c r="A112" t="s">
        <v>220</v>
      </c>
      <c r="B112" t="s">
        <v>17</v>
      </c>
      <c r="C112" s="2">
        <v>13497</v>
      </c>
      <c r="E112" s="13" t="s">
        <v>124</v>
      </c>
      <c r="F112" s="3">
        <f>C112/2*$C$5*$C$7</f>
        <v>6547.3946999999998</v>
      </c>
      <c r="H112" s="13" t="s">
        <v>125</v>
      </c>
      <c r="I112" s="3">
        <f>F112*$C$11</f>
        <v>17677.965690000001</v>
      </c>
    </row>
    <row r="113" spans="1:18" x14ac:dyDescent="0.25">
      <c r="A113" t="s">
        <v>184</v>
      </c>
      <c r="E113" s="13"/>
      <c r="H113" s="13"/>
    </row>
    <row r="114" spans="1:18" x14ac:dyDescent="0.25">
      <c r="A114" t="s">
        <v>230</v>
      </c>
      <c r="B114" s="13" t="s">
        <v>108</v>
      </c>
      <c r="C114" s="2">
        <v>0</v>
      </c>
      <c r="E114" s="13" t="s">
        <v>126</v>
      </c>
      <c r="F114" s="3">
        <f>C114*$C$5*$C$7</f>
        <v>0</v>
      </c>
      <c r="H114" s="13" t="s">
        <v>127</v>
      </c>
      <c r="I114" s="3">
        <f>F114*$C$11</f>
        <v>0</v>
      </c>
    </row>
    <row r="115" spans="1:18" x14ac:dyDescent="0.25">
      <c r="A115" t="s">
        <v>184</v>
      </c>
      <c r="B115" s="13"/>
    </row>
    <row r="116" spans="1:18" x14ac:dyDescent="0.25">
      <c r="A116" t="s">
        <v>192</v>
      </c>
      <c r="B116" s="13" t="s">
        <v>72</v>
      </c>
      <c r="C116" s="2">
        <v>6377</v>
      </c>
      <c r="Q116" s="13" t="s">
        <v>180</v>
      </c>
      <c r="R116" s="3">
        <f>O108+O124</f>
        <v>4086639.9617400002</v>
      </c>
    </row>
    <row r="117" spans="1:18" x14ac:dyDescent="0.25">
      <c r="A117" t="s">
        <v>184</v>
      </c>
      <c r="B117" s="13"/>
      <c r="H117" s="13"/>
      <c r="I117" s="15"/>
    </row>
    <row r="118" spans="1:18" x14ac:dyDescent="0.25">
      <c r="A118" t="s">
        <v>193</v>
      </c>
      <c r="B118" s="13" t="s">
        <v>46</v>
      </c>
      <c r="C118" s="2">
        <v>3108</v>
      </c>
    </row>
    <row r="119" spans="1:18" s="16" customFormat="1" x14ac:dyDescent="0.25">
      <c r="A119" t="s">
        <v>184</v>
      </c>
      <c r="B119" s="20"/>
    </row>
    <row r="120" spans="1:18" s="16" customFormat="1" x14ac:dyDescent="0.25">
      <c r="A120" t="s">
        <v>190</v>
      </c>
      <c r="B120" s="13" t="s">
        <v>109</v>
      </c>
      <c r="C120" s="2">
        <v>6787</v>
      </c>
    </row>
    <row r="121" spans="1:18" s="16" customFormat="1" x14ac:dyDescent="0.25">
      <c r="A121" t="s">
        <v>184</v>
      </c>
      <c r="B121" s="20"/>
    </row>
    <row r="122" spans="1:18" s="16" customFormat="1" x14ac:dyDescent="0.25">
      <c r="A122" t="s">
        <v>199</v>
      </c>
      <c r="B122" s="13" t="s">
        <v>75</v>
      </c>
      <c r="C122" s="2">
        <v>3500</v>
      </c>
      <c r="D122"/>
      <c r="E122" s="13" t="s">
        <v>78</v>
      </c>
      <c r="F122" s="3">
        <f>C122*$C$11*$C$21</f>
        <v>66150</v>
      </c>
      <c r="G122"/>
      <c r="N122"/>
      <c r="O122"/>
    </row>
    <row r="123" spans="1:18" s="16" customFormat="1" x14ac:dyDescent="0.25">
      <c r="A123" t="s">
        <v>184</v>
      </c>
      <c r="B123" s="13"/>
      <c r="C123"/>
      <c r="D123"/>
      <c r="E123"/>
      <c r="F123"/>
      <c r="G123"/>
      <c r="H123" s="13"/>
      <c r="I123" s="15"/>
    </row>
    <row r="124" spans="1:18" s="16" customFormat="1" x14ac:dyDescent="0.25">
      <c r="A124" t="s">
        <v>200</v>
      </c>
      <c r="B124" s="13" t="s">
        <v>76</v>
      </c>
      <c r="C124" s="2">
        <v>3000</v>
      </c>
      <c r="D124"/>
      <c r="E124" s="13" t="s">
        <v>79</v>
      </c>
      <c r="F124" s="3">
        <f>C124*$C$11*$C$21</f>
        <v>56700.000000000007</v>
      </c>
      <c r="G124"/>
      <c r="H124"/>
      <c r="I124"/>
      <c r="K124" s="13" t="s">
        <v>168</v>
      </c>
      <c r="L124" s="3">
        <f>C116+C118+C120+F122+F124+F126+I129+I131</f>
        <v>149517</v>
      </c>
      <c r="N124" s="13" t="s">
        <v>179</v>
      </c>
      <c r="O124" s="3">
        <f>L124*C15</f>
        <v>3139857</v>
      </c>
    </row>
    <row r="125" spans="1:18" s="16" customFormat="1" x14ac:dyDescent="0.25">
      <c r="A125" t="s">
        <v>184</v>
      </c>
      <c r="B125" s="20"/>
    </row>
    <row r="126" spans="1:18" x14ac:dyDescent="0.25">
      <c r="A126" t="s">
        <v>212</v>
      </c>
      <c r="B126" s="13" t="s">
        <v>90</v>
      </c>
      <c r="C126" s="2">
        <v>0</v>
      </c>
      <c r="E126" s="13" t="s">
        <v>167</v>
      </c>
      <c r="F126" s="3">
        <f>C126*$C$7</f>
        <v>0</v>
      </c>
    </row>
    <row r="127" spans="1:18" x14ac:dyDescent="0.25">
      <c r="A127" t="s">
        <v>184</v>
      </c>
      <c r="N127" s="13"/>
      <c r="O127" s="15"/>
    </row>
    <row r="128" spans="1:18" x14ac:dyDescent="0.25">
      <c r="A128" t="s">
        <v>184</v>
      </c>
      <c r="E128" s="13" t="s">
        <v>144</v>
      </c>
      <c r="F128" s="5">
        <v>0.5</v>
      </c>
      <c r="N128" s="13"/>
      <c r="O128" s="13"/>
    </row>
    <row r="129" spans="1:15" x14ac:dyDescent="0.25">
      <c r="A129" t="s">
        <v>213</v>
      </c>
      <c r="B129" t="s">
        <v>31</v>
      </c>
      <c r="C129" s="2">
        <v>3000</v>
      </c>
      <c r="H129" s="13" t="s">
        <v>146</v>
      </c>
      <c r="I129" s="3">
        <f>F130*F128</f>
        <v>5197.5</v>
      </c>
      <c r="N129" s="13"/>
      <c r="O129" s="13"/>
    </row>
    <row r="130" spans="1:15" x14ac:dyDescent="0.25">
      <c r="A130" t="s">
        <v>184</v>
      </c>
      <c r="E130" t="s">
        <v>33</v>
      </c>
      <c r="F130" s="3">
        <f>(C129+C131)*C11</f>
        <v>10395</v>
      </c>
      <c r="N130" s="13"/>
      <c r="O130" s="13"/>
    </row>
    <row r="131" spans="1:15" x14ac:dyDescent="0.25">
      <c r="A131" t="s">
        <v>214</v>
      </c>
      <c r="B131" t="s">
        <v>32</v>
      </c>
      <c r="C131" s="2">
        <v>850</v>
      </c>
      <c r="H131" s="13" t="s">
        <v>148</v>
      </c>
      <c r="I131" s="3">
        <f>F130*F132</f>
        <v>5197.5</v>
      </c>
      <c r="N131" s="13"/>
      <c r="O131" s="15"/>
    </row>
    <row r="132" spans="1:15" x14ac:dyDescent="0.25">
      <c r="E132" s="13" t="s">
        <v>145</v>
      </c>
      <c r="F132" s="5">
        <v>0.5</v>
      </c>
    </row>
    <row r="133" spans="1:15" x14ac:dyDescent="0.25">
      <c r="H133" s="13"/>
      <c r="I133" s="13"/>
    </row>
    <row r="134" spans="1:15" x14ac:dyDescent="0.25">
      <c r="H134" s="13"/>
      <c r="I134" s="13"/>
    </row>
    <row r="135" spans="1:15" x14ac:dyDescent="0.25">
      <c r="H135" s="13"/>
      <c r="I135" s="13"/>
    </row>
    <row r="136" spans="1:15" x14ac:dyDescent="0.25">
      <c r="H136" s="13"/>
      <c r="I136" s="13"/>
    </row>
    <row r="137" spans="1:15" x14ac:dyDescent="0.25">
      <c r="H137" s="13"/>
      <c r="I137" s="13"/>
    </row>
    <row r="138" spans="1:15" x14ac:dyDescent="0.25">
      <c r="H138" s="13"/>
      <c r="I138" s="13"/>
    </row>
    <row r="139" spans="1:15" x14ac:dyDescent="0.25">
      <c r="H139" s="13"/>
      <c r="I139" s="13"/>
    </row>
    <row r="159" spans="17:18" x14ac:dyDescent="0.25">
      <c r="Q159" s="20"/>
      <c r="R159" s="19"/>
    </row>
  </sheetData>
  <pageMargins left="0.7" right="0.7" top="0.75" bottom="0.75" header="0.3" footer="0.3"/>
  <pageSetup paperSize="17" scale="9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DB0D-DD2D-4EFD-B85E-97F9A5048C46}">
  <sheetPr>
    <pageSetUpPr fitToPage="1"/>
  </sheetPr>
  <dimension ref="A1:O31"/>
  <sheetViews>
    <sheetView zoomScaleNormal="100" workbookViewId="0">
      <selection activeCell="C4" sqref="C4"/>
    </sheetView>
  </sheetViews>
  <sheetFormatPr defaultRowHeight="15" x14ac:dyDescent="0.25"/>
  <cols>
    <col min="2" max="2" width="50.85546875" bestFit="1" customWidth="1"/>
    <col min="4" max="4" width="4.5703125" customWidth="1"/>
    <col min="5" max="5" width="41.85546875" bestFit="1" customWidth="1"/>
    <col min="7" max="7" width="5.7109375" customWidth="1"/>
    <col min="8" max="8" width="31.7109375" bestFit="1" customWidth="1"/>
    <col min="10" max="10" width="6.5703125" customWidth="1"/>
    <col min="11" max="11" width="29" bestFit="1" customWidth="1"/>
    <col min="13" max="13" width="6.140625" customWidth="1"/>
    <col min="14" max="14" width="35.28515625" bestFit="1" customWidth="1"/>
  </cols>
  <sheetData>
    <row r="1" spans="1:15" s="1" customFormat="1" x14ac:dyDescent="0.25">
      <c r="B1" s="1" t="s">
        <v>0</v>
      </c>
      <c r="C1" s="1" t="s">
        <v>1</v>
      </c>
      <c r="E1" s="1" t="s">
        <v>2</v>
      </c>
      <c r="F1" s="1" t="s">
        <v>1</v>
      </c>
      <c r="H1" s="1" t="s">
        <v>2</v>
      </c>
      <c r="I1" s="1" t="s">
        <v>1</v>
      </c>
      <c r="K1" s="1" t="s">
        <v>2</v>
      </c>
      <c r="L1" s="1" t="s">
        <v>1</v>
      </c>
      <c r="N1" s="1" t="s">
        <v>2</v>
      </c>
      <c r="O1" s="1" t="s">
        <v>1</v>
      </c>
    </row>
    <row r="3" spans="1:15" x14ac:dyDescent="0.25">
      <c r="B3" t="s">
        <v>4</v>
      </c>
      <c r="C3" s="7">
        <v>7</v>
      </c>
    </row>
    <row r="5" spans="1:15" x14ac:dyDescent="0.25">
      <c r="B5" t="s">
        <v>26</v>
      </c>
      <c r="C5" s="5">
        <f>IF(OR(C3&lt;=2,C3&gt;=12),0.97,IF(AND(C3&gt;=6,C3&lt;=8),0.99,0.98))</f>
        <v>0.99</v>
      </c>
    </row>
    <row r="7" spans="1:15" x14ac:dyDescent="0.25">
      <c r="B7" t="s">
        <v>25</v>
      </c>
      <c r="C7" s="5">
        <v>0.98</v>
      </c>
    </row>
    <row r="9" spans="1:15" x14ac:dyDescent="0.25">
      <c r="B9" t="s">
        <v>35</v>
      </c>
      <c r="C9" s="4">
        <v>2</v>
      </c>
    </row>
    <row r="11" spans="1:15" x14ac:dyDescent="0.25">
      <c r="A11" t="s">
        <v>215</v>
      </c>
      <c r="B11" t="s">
        <v>10</v>
      </c>
      <c r="C11" s="2">
        <v>6500</v>
      </c>
    </row>
    <row r="12" spans="1:15" x14ac:dyDescent="0.25">
      <c r="A12" t="s">
        <v>184</v>
      </c>
    </row>
    <row r="13" spans="1:15" x14ac:dyDescent="0.25">
      <c r="A13" t="s">
        <v>216</v>
      </c>
      <c r="B13" t="s">
        <v>11</v>
      </c>
      <c r="C13" s="2">
        <v>19617</v>
      </c>
    </row>
    <row r="14" spans="1:15" x14ac:dyDescent="0.25">
      <c r="A14" t="s">
        <v>184</v>
      </c>
    </row>
    <row r="15" spans="1:15" x14ac:dyDescent="0.25">
      <c r="A15" t="s">
        <v>217</v>
      </c>
      <c r="B15" t="s">
        <v>12</v>
      </c>
      <c r="C15" s="2">
        <v>21573</v>
      </c>
    </row>
    <row r="16" spans="1:15" x14ac:dyDescent="0.25">
      <c r="A16" t="s">
        <v>184</v>
      </c>
      <c r="H16" t="s">
        <v>36</v>
      </c>
      <c r="I16" s="3">
        <f>(((C11+C13+C15+C17+F19+F21)*C7)*(1-C5))*C9</f>
        <v>1180.674600000001</v>
      </c>
    </row>
    <row r="17" spans="1:15" x14ac:dyDescent="0.25">
      <c r="A17" t="s">
        <v>218</v>
      </c>
      <c r="B17" t="s">
        <v>13</v>
      </c>
      <c r="C17" s="2">
        <v>5500</v>
      </c>
    </row>
    <row r="18" spans="1:15" x14ac:dyDescent="0.25">
      <c r="A18" t="s">
        <v>184</v>
      </c>
    </row>
    <row r="19" spans="1:15" x14ac:dyDescent="0.25">
      <c r="A19" t="s">
        <v>219</v>
      </c>
      <c r="B19" t="s">
        <v>15</v>
      </c>
      <c r="C19" s="2">
        <v>600</v>
      </c>
      <c r="E19" t="s">
        <v>16</v>
      </c>
      <c r="F19" s="3">
        <f>C19/2</f>
        <v>300</v>
      </c>
    </row>
    <row r="20" spans="1:15" x14ac:dyDescent="0.25">
      <c r="A20" t="s">
        <v>184</v>
      </c>
    </row>
    <row r="21" spans="1:15" x14ac:dyDescent="0.25">
      <c r="A21" t="s">
        <v>220</v>
      </c>
      <c r="B21" t="s">
        <v>17</v>
      </c>
      <c r="C21" s="2">
        <v>13497</v>
      </c>
      <c r="E21" t="s">
        <v>18</v>
      </c>
      <c r="F21" s="3">
        <f>C21/2</f>
        <v>6748.5</v>
      </c>
    </row>
    <row r="22" spans="1:15" ht="15.75" thickBot="1" x14ac:dyDescent="0.3">
      <c r="A22" t="s">
        <v>184</v>
      </c>
    </row>
    <row r="23" spans="1:15" ht="15.75" thickBot="1" x14ac:dyDescent="0.3">
      <c r="A23" t="s">
        <v>221</v>
      </c>
      <c r="B23" t="s">
        <v>20</v>
      </c>
      <c r="C23" s="2">
        <v>9432</v>
      </c>
      <c r="H23" t="s">
        <v>38</v>
      </c>
      <c r="I23" s="3">
        <f>IF(((C23*C7)*(1-C5))*C9&gt;0,(C23*C7*(1-C5))*C9,0)</f>
        <v>184.86720000000017</v>
      </c>
      <c r="K23" t="s">
        <v>37</v>
      </c>
      <c r="L23" s="6">
        <f>I16+I23+I26+I29</f>
        <v>1404.3418000000013</v>
      </c>
    </row>
    <row r="24" spans="1:15" x14ac:dyDescent="0.25">
      <c r="A24" t="s">
        <v>184</v>
      </c>
    </row>
    <row r="25" spans="1:15" x14ac:dyDescent="0.25">
      <c r="A25" t="s">
        <v>222</v>
      </c>
      <c r="B25" t="s">
        <v>21</v>
      </c>
      <c r="C25" s="2">
        <v>650</v>
      </c>
    </row>
    <row r="26" spans="1:15" ht="15.75" thickBot="1" x14ac:dyDescent="0.3">
      <c r="A26" t="s">
        <v>184</v>
      </c>
      <c r="H26" t="s">
        <v>39</v>
      </c>
      <c r="I26" s="3">
        <f>IF(C25&lt;2*F27,(C25 -(C25/2)),(C25-F27))*(1-C5)*C9</f>
        <v>9.4000000000000092</v>
      </c>
    </row>
    <row r="27" spans="1:15" ht="15.75" thickBot="1" x14ac:dyDescent="0.3">
      <c r="A27" t="s">
        <v>184</v>
      </c>
      <c r="E27" t="s">
        <v>29</v>
      </c>
      <c r="F27" s="5">
        <f>IF(OR(C3&lt;=3,C3&gt;=11),61,IF(C3=4,63,IF(C3=5,150,IF(OR(C3=6,C3=7,C3=8),180,IF(C3=9,162,IF(C3=10,108,0))))))</f>
        <v>180</v>
      </c>
      <c r="N27" t="s">
        <v>42</v>
      </c>
      <c r="O27" s="6">
        <f>L23*L31</f>
        <v>16852.101600000016</v>
      </c>
    </row>
    <row r="28" spans="1:15" x14ac:dyDescent="0.25">
      <c r="A28" t="s">
        <v>184</v>
      </c>
    </row>
    <row r="29" spans="1:15" x14ac:dyDescent="0.25">
      <c r="A29" t="s">
        <v>223</v>
      </c>
      <c r="B29" t="s">
        <v>22</v>
      </c>
      <c r="C29" s="2">
        <v>1500</v>
      </c>
      <c r="H29" t="s">
        <v>40</v>
      </c>
      <c r="I29" s="3">
        <f>(C29*C7)*(1-C5)*C9</f>
        <v>29.400000000000027</v>
      </c>
    </row>
    <row r="31" spans="1:15" x14ac:dyDescent="0.25">
      <c r="K31" t="s">
        <v>41</v>
      </c>
      <c r="L31" s="5">
        <v>12</v>
      </c>
    </row>
  </sheetData>
  <pageMargins left="0.7" right="0.7" top="0.75" bottom="0.75" header="0.3" footer="0.3"/>
  <pageSetup paperSize="17" scale="7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AEF0-7FF8-4EDE-AEBF-C5E2FF7E9D92}">
  <sheetPr>
    <pageSetUpPr fitToPage="1"/>
  </sheetPr>
  <dimension ref="A1:O82"/>
  <sheetViews>
    <sheetView topLeftCell="B36" zoomScaleNormal="100" zoomScaleSheetLayoutView="50" workbookViewId="0">
      <selection activeCell="E72" sqref="E72"/>
    </sheetView>
  </sheetViews>
  <sheetFormatPr defaultRowHeight="15" x14ac:dyDescent="0.25"/>
  <cols>
    <col min="2" max="2" width="64.7109375" bestFit="1" customWidth="1"/>
    <col min="4" max="4" width="4.5703125" customWidth="1"/>
    <col min="5" max="5" width="49.140625" bestFit="1" customWidth="1"/>
    <col min="7" max="7" width="5.7109375" customWidth="1"/>
    <col min="8" max="8" width="43.28515625" bestFit="1" customWidth="1"/>
    <col min="10" max="10" width="6.42578125" customWidth="1"/>
    <col min="11" max="11" width="43.28515625" bestFit="1" customWidth="1"/>
    <col min="13" max="13" width="5.85546875" customWidth="1"/>
    <col min="14" max="14" width="40.42578125" bestFit="1" customWidth="1"/>
  </cols>
  <sheetData>
    <row r="1" spans="1:15" s="1" customFormat="1" x14ac:dyDescent="0.25">
      <c r="B1" s="1" t="s">
        <v>0</v>
      </c>
      <c r="C1" s="1" t="s">
        <v>1</v>
      </c>
      <c r="E1" s="1" t="s">
        <v>2</v>
      </c>
      <c r="F1" s="1" t="s">
        <v>1</v>
      </c>
      <c r="H1" s="1" t="s">
        <v>2</v>
      </c>
      <c r="I1" s="1" t="s">
        <v>1</v>
      </c>
      <c r="K1" s="1" t="s">
        <v>2</v>
      </c>
      <c r="L1" s="1" t="s">
        <v>1</v>
      </c>
      <c r="N1" s="1" t="s">
        <v>2</v>
      </c>
      <c r="O1" s="1" t="s">
        <v>1</v>
      </c>
    </row>
    <row r="3" spans="1:15" x14ac:dyDescent="0.25">
      <c r="B3" t="s">
        <v>4</v>
      </c>
      <c r="C3" s="7">
        <v>7</v>
      </c>
    </row>
    <row r="5" spans="1:15" x14ac:dyDescent="0.25">
      <c r="B5" t="s">
        <v>27</v>
      </c>
      <c r="C5" s="4">
        <f>IF(OR(C3=12,C3=1,C3=2),1.7,IF(OR(C3=6,C3=7,C3=8),2.7,2.5))</f>
        <v>2.7</v>
      </c>
    </row>
    <row r="7" spans="1:15" x14ac:dyDescent="0.25">
      <c r="B7" t="s">
        <v>19</v>
      </c>
      <c r="C7" s="4">
        <f>IF(OR(C3=12,C3&lt;=2),1.7,IF(AND(C3&gt;5,C3&lt;9),2.7,2))</f>
        <v>2.7</v>
      </c>
    </row>
    <row r="9" spans="1:15" x14ac:dyDescent="0.25">
      <c r="B9" t="s">
        <v>30</v>
      </c>
      <c r="C9" s="8">
        <f>IF(OR(C3&lt;=2,C3&gt;=11),2,7)</f>
        <v>7</v>
      </c>
    </row>
    <row r="11" spans="1:15" x14ac:dyDescent="0.25">
      <c r="A11" t="s">
        <v>184</v>
      </c>
    </row>
    <row r="12" spans="1:15" ht="15.75" thickBot="1" x14ac:dyDescent="0.3">
      <c r="A12" t="s">
        <v>185</v>
      </c>
      <c r="B12" t="s">
        <v>83</v>
      </c>
      <c r="C12" s="23">
        <v>0</v>
      </c>
    </row>
    <row r="13" spans="1:15" ht="15.75" thickBot="1" x14ac:dyDescent="0.3">
      <c r="A13" t="s">
        <v>184</v>
      </c>
      <c r="E13" t="s">
        <v>43</v>
      </c>
      <c r="F13" s="6">
        <f>C12+C14</f>
        <v>149</v>
      </c>
    </row>
    <row r="14" spans="1:15" x14ac:dyDescent="0.25">
      <c r="A14" t="s">
        <v>186</v>
      </c>
      <c r="B14" t="s">
        <v>82</v>
      </c>
      <c r="C14" s="23">
        <v>149</v>
      </c>
    </row>
    <row r="15" spans="1:15" x14ac:dyDescent="0.25">
      <c r="A15" t="s">
        <v>184</v>
      </c>
    </row>
    <row r="16" spans="1:15" s="11" customFormat="1" x14ac:dyDescent="0.25">
      <c r="A16" t="s">
        <v>184</v>
      </c>
    </row>
    <row r="17" spans="1:6" x14ac:dyDescent="0.25">
      <c r="A17" t="s">
        <v>184</v>
      </c>
    </row>
    <row r="18" spans="1:6" x14ac:dyDescent="0.25">
      <c r="A18" t="s">
        <v>187</v>
      </c>
      <c r="B18" s="13" t="s">
        <v>100</v>
      </c>
      <c r="C18" s="23">
        <v>0</v>
      </c>
    </row>
    <row r="19" spans="1:6" x14ac:dyDescent="0.25">
      <c r="A19" t="s">
        <v>184</v>
      </c>
    </row>
    <row r="20" spans="1:6" x14ac:dyDescent="0.25">
      <c r="A20" t="s">
        <v>188</v>
      </c>
      <c r="B20" s="13" t="s">
        <v>88</v>
      </c>
      <c r="C20" s="23">
        <v>643</v>
      </c>
    </row>
    <row r="21" spans="1:6" ht="15.75" thickBot="1" x14ac:dyDescent="0.3">
      <c r="A21" t="s">
        <v>184</v>
      </c>
      <c r="B21" s="13"/>
    </row>
    <row r="22" spans="1:6" ht="15.75" thickBot="1" x14ac:dyDescent="0.3">
      <c r="A22" t="s">
        <v>189</v>
      </c>
      <c r="B22" s="13" t="s">
        <v>89</v>
      </c>
      <c r="C22" s="23">
        <v>307</v>
      </c>
      <c r="E22" s="13" t="s">
        <v>44</v>
      </c>
      <c r="F22" s="6">
        <f>C18+C20+C22+C24+C26</f>
        <v>7859</v>
      </c>
    </row>
    <row r="23" spans="1:6" x14ac:dyDescent="0.25">
      <c r="A23" t="s">
        <v>184</v>
      </c>
      <c r="B23" s="13"/>
    </row>
    <row r="24" spans="1:6" x14ac:dyDescent="0.25">
      <c r="A24" t="s">
        <v>190</v>
      </c>
      <c r="B24" s="13" t="s">
        <v>94</v>
      </c>
      <c r="C24" s="23">
        <v>6787</v>
      </c>
    </row>
    <row r="25" spans="1:6" x14ac:dyDescent="0.25">
      <c r="A25" t="s">
        <v>184</v>
      </c>
    </row>
    <row r="26" spans="1:6" x14ac:dyDescent="0.25">
      <c r="A26" t="s">
        <v>191</v>
      </c>
      <c r="B26" s="13" t="s">
        <v>95</v>
      </c>
      <c r="C26" s="23">
        <v>122</v>
      </c>
    </row>
    <row r="27" spans="1:6" x14ac:dyDescent="0.25">
      <c r="A27" t="s">
        <v>184</v>
      </c>
    </row>
    <row r="28" spans="1:6" s="11" customFormat="1" x14ac:dyDescent="0.25">
      <c r="A28" t="s">
        <v>184</v>
      </c>
    </row>
    <row r="29" spans="1:6" x14ac:dyDescent="0.25">
      <c r="A29" t="s">
        <v>184</v>
      </c>
    </row>
    <row r="30" spans="1:6" x14ac:dyDescent="0.25">
      <c r="A30" t="s">
        <v>192</v>
      </c>
      <c r="B30" t="s">
        <v>72</v>
      </c>
      <c r="C30" s="23">
        <v>6377</v>
      </c>
    </row>
    <row r="31" spans="1:6" x14ac:dyDescent="0.25">
      <c r="A31" t="s">
        <v>184</v>
      </c>
      <c r="E31" s="13"/>
      <c r="F31" s="15"/>
    </row>
    <row r="32" spans="1:6" x14ac:dyDescent="0.25">
      <c r="A32" t="s">
        <v>193</v>
      </c>
      <c r="B32" t="s">
        <v>84</v>
      </c>
      <c r="C32" s="23">
        <v>3108</v>
      </c>
      <c r="F32" s="13"/>
    </row>
    <row r="33" spans="1:9" x14ac:dyDescent="0.25">
      <c r="A33" t="s">
        <v>184</v>
      </c>
      <c r="F33" s="13"/>
    </row>
    <row r="34" spans="1:9" x14ac:dyDescent="0.25">
      <c r="A34" t="s">
        <v>194</v>
      </c>
      <c r="B34" t="s">
        <v>73</v>
      </c>
      <c r="C34" s="23">
        <v>1528</v>
      </c>
      <c r="F34" s="13"/>
    </row>
    <row r="35" spans="1:9" ht="15.75" thickBot="1" x14ac:dyDescent="0.3">
      <c r="A35" t="s">
        <v>184</v>
      </c>
      <c r="F35" s="13"/>
    </row>
    <row r="36" spans="1:9" ht="15.75" thickBot="1" x14ac:dyDescent="0.3">
      <c r="A36" t="s">
        <v>195</v>
      </c>
      <c r="B36" s="13" t="s">
        <v>85</v>
      </c>
      <c r="C36" s="23">
        <v>261</v>
      </c>
      <c r="E36" s="13" t="s">
        <v>45</v>
      </c>
      <c r="F36" s="6">
        <f>C30+C32+C34+C36+C38+C40+C42</f>
        <v>12969</v>
      </c>
    </row>
    <row r="37" spans="1:9" s="13" customFormat="1" x14ac:dyDescent="0.25">
      <c r="A37" t="s">
        <v>184</v>
      </c>
      <c r="C37" s="15"/>
    </row>
    <row r="38" spans="1:9" x14ac:dyDescent="0.25">
      <c r="A38" t="s">
        <v>196</v>
      </c>
      <c r="B38" t="s">
        <v>87</v>
      </c>
      <c r="C38" s="23">
        <v>1539</v>
      </c>
    </row>
    <row r="39" spans="1:9" x14ac:dyDescent="0.25">
      <c r="A39" t="s">
        <v>184</v>
      </c>
      <c r="C39" s="15"/>
    </row>
    <row r="40" spans="1:9" x14ac:dyDescent="0.25">
      <c r="A40" t="s">
        <v>197</v>
      </c>
      <c r="B40" s="13" t="s">
        <v>86</v>
      </c>
      <c r="C40" s="23">
        <v>156</v>
      </c>
      <c r="E40" s="13"/>
      <c r="F40" s="15"/>
    </row>
    <row r="41" spans="1:9" x14ac:dyDescent="0.25">
      <c r="A41" t="s">
        <v>184</v>
      </c>
      <c r="E41" s="13"/>
      <c r="F41" s="13"/>
    </row>
    <row r="42" spans="1:9" x14ac:dyDescent="0.25">
      <c r="A42" t="s">
        <v>198</v>
      </c>
      <c r="B42" s="13" t="s">
        <v>99</v>
      </c>
      <c r="C42" s="23">
        <v>0</v>
      </c>
      <c r="E42" s="13"/>
      <c r="F42" s="15"/>
    </row>
    <row r="43" spans="1:9" x14ac:dyDescent="0.25">
      <c r="A43" t="s">
        <v>184</v>
      </c>
      <c r="C43" s="15"/>
    </row>
    <row r="44" spans="1:9" s="11" customFormat="1" x14ac:dyDescent="0.25">
      <c r="A44" t="s">
        <v>184</v>
      </c>
    </row>
    <row r="45" spans="1:9" x14ac:dyDescent="0.25">
      <c r="A45" t="s">
        <v>184</v>
      </c>
    </row>
    <row r="46" spans="1:9" x14ac:dyDescent="0.25">
      <c r="A46" t="s">
        <v>199</v>
      </c>
      <c r="B46" s="13" t="s">
        <v>75</v>
      </c>
      <c r="C46" s="23">
        <v>3500</v>
      </c>
      <c r="E46" s="13" t="s">
        <v>78</v>
      </c>
      <c r="F46" s="3">
        <f>C46*C7*C9</f>
        <v>66150</v>
      </c>
    </row>
    <row r="47" spans="1:9" x14ac:dyDescent="0.25">
      <c r="A47" t="s">
        <v>184</v>
      </c>
      <c r="B47" s="13"/>
      <c r="E47" s="13"/>
      <c r="I47" s="15"/>
    </row>
    <row r="48" spans="1:9" x14ac:dyDescent="0.25">
      <c r="A48" t="s">
        <v>200</v>
      </c>
      <c r="B48" s="13" t="s">
        <v>76</v>
      </c>
      <c r="C48" s="23">
        <v>3000</v>
      </c>
      <c r="E48" s="13" t="s">
        <v>79</v>
      </c>
      <c r="F48" s="3">
        <f>C48*C7*C9</f>
        <v>56700.000000000007</v>
      </c>
    </row>
    <row r="49" spans="1:12" ht="15.75" thickBot="1" x14ac:dyDescent="0.3">
      <c r="A49" t="s">
        <v>184</v>
      </c>
    </row>
    <row r="50" spans="1:12" ht="15.75" thickBot="1" x14ac:dyDescent="0.3">
      <c r="A50" t="s">
        <v>201</v>
      </c>
      <c r="B50" t="s">
        <v>77</v>
      </c>
      <c r="C50" s="23">
        <v>2000</v>
      </c>
      <c r="E50" t="s">
        <v>80</v>
      </c>
      <c r="F50" s="3">
        <f>C50*$C$7*$C$9</f>
        <v>37800</v>
      </c>
      <c r="H50" t="s">
        <v>48</v>
      </c>
      <c r="I50" s="6">
        <f>F46+F48+F50+F52+C54</f>
        <v>174825</v>
      </c>
    </row>
    <row r="51" spans="1:12" x14ac:dyDescent="0.25">
      <c r="A51" t="s">
        <v>184</v>
      </c>
    </row>
    <row r="52" spans="1:12" x14ac:dyDescent="0.25">
      <c r="A52" t="s">
        <v>202</v>
      </c>
      <c r="B52" s="13" t="s">
        <v>102</v>
      </c>
      <c r="C52" s="23">
        <v>750</v>
      </c>
      <c r="E52" s="13" t="s">
        <v>138</v>
      </c>
      <c r="F52" s="3">
        <f>C52*$C$7*$C$9</f>
        <v>14175.000000000002</v>
      </c>
      <c r="H52" s="13"/>
      <c r="I52" s="15"/>
    </row>
    <row r="53" spans="1:12" x14ac:dyDescent="0.25">
      <c r="A53" t="s">
        <v>184</v>
      </c>
      <c r="H53" s="13"/>
      <c r="I53" s="13"/>
    </row>
    <row r="54" spans="1:12" x14ac:dyDescent="0.25">
      <c r="A54" t="s">
        <v>203</v>
      </c>
      <c r="B54" t="s">
        <v>74</v>
      </c>
      <c r="C54" s="23">
        <v>0</v>
      </c>
      <c r="H54" s="13"/>
      <c r="I54" s="15"/>
    </row>
    <row r="55" spans="1:12" x14ac:dyDescent="0.25">
      <c r="A55" t="s">
        <v>184</v>
      </c>
    </row>
    <row r="56" spans="1:12" s="11" customFormat="1" x14ac:dyDescent="0.25">
      <c r="A56" t="s">
        <v>184</v>
      </c>
    </row>
    <row r="57" spans="1:12" x14ac:dyDescent="0.25">
      <c r="A57" t="s">
        <v>184</v>
      </c>
    </row>
    <row r="58" spans="1:12" ht="15.75" thickBot="1" x14ac:dyDescent="0.3">
      <c r="A58" t="s">
        <v>204</v>
      </c>
      <c r="B58" s="13" t="s">
        <v>139</v>
      </c>
      <c r="C58" s="5">
        <v>0.5</v>
      </c>
    </row>
    <row r="59" spans="1:12" ht="15.75" thickBot="1" x14ac:dyDescent="0.3">
      <c r="A59" t="s">
        <v>184</v>
      </c>
      <c r="E59" s="13" t="s">
        <v>51</v>
      </c>
      <c r="F59" s="3">
        <f>C60*C58*C7</f>
        <v>189</v>
      </c>
      <c r="K59" t="s">
        <v>52</v>
      </c>
      <c r="L59" s="6">
        <f>F59+I79</f>
        <v>5386.5</v>
      </c>
    </row>
    <row r="60" spans="1:12" x14ac:dyDescent="0.25">
      <c r="A60" t="s">
        <v>205</v>
      </c>
      <c r="B60" t="s">
        <v>91</v>
      </c>
      <c r="C60" s="23">
        <v>140</v>
      </c>
    </row>
    <row r="61" spans="1:12" x14ac:dyDescent="0.25">
      <c r="A61" t="s">
        <v>184</v>
      </c>
      <c r="E61" s="13" t="s">
        <v>49</v>
      </c>
      <c r="F61" s="3">
        <f>C60*C62*C7</f>
        <v>189</v>
      </c>
      <c r="K61" s="13"/>
      <c r="L61" s="15"/>
    </row>
    <row r="62" spans="1:12" x14ac:dyDescent="0.25">
      <c r="A62" t="s">
        <v>206</v>
      </c>
      <c r="B62" s="13" t="s">
        <v>140</v>
      </c>
      <c r="C62" s="5">
        <v>0.5</v>
      </c>
    </row>
    <row r="63" spans="1:12" x14ac:dyDescent="0.25">
      <c r="A63" t="s">
        <v>184</v>
      </c>
    </row>
    <row r="64" spans="1:12" x14ac:dyDescent="0.25">
      <c r="A64" t="s">
        <v>207</v>
      </c>
      <c r="B64" s="13" t="s">
        <v>96</v>
      </c>
      <c r="C64" s="23">
        <v>0</v>
      </c>
      <c r="E64" s="13" t="s">
        <v>141</v>
      </c>
      <c r="F64" s="3">
        <f>C64*$C$7</f>
        <v>0</v>
      </c>
      <c r="K64" s="13"/>
      <c r="L64" s="15"/>
    </row>
    <row r="65" spans="1:12" x14ac:dyDescent="0.25">
      <c r="A65" t="s">
        <v>184</v>
      </c>
      <c r="B65" s="13"/>
    </row>
    <row r="66" spans="1:12" x14ac:dyDescent="0.25">
      <c r="A66" t="s">
        <v>208</v>
      </c>
      <c r="B66" s="13" t="s">
        <v>97</v>
      </c>
      <c r="C66" s="23">
        <v>0</v>
      </c>
      <c r="E66" s="13" t="s">
        <v>142</v>
      </c>
      <c r="F66" s="3">
        <f>C66*$C$7</f>
        <v>0</v>
      </c>
    </row>
    <row r="67" spans="1:12" x14ac:dyDescent="0.25">
      <c r="A67" t="s">
        <v>184</v>
      </c>
      <c r="B67" s="13"/>
      <c r="E67" s="13"/>
    </row>
    <row r="68" spans="1:12" ht="15.75" thickBot="1" x14ac:dyDescent="0.3">
      <c r="A68" t="s">
        <v>209</v>
      </c>
      <c r="B68" s="13" t="s">
        <v>98</v>
      </c>
      <c r="C68" s="23">
        <v>0</v>
      </c>
      <c r="E68" s="13" t="s">
        <v>143</v>
      </c>
      <c r="F68" s="3">
        <f>C68*$C$7</f>
        <v>0</v>
      </c>
    </row>
    <row r="69" spans="1:12" ht="15.75" thickBot="1" x14ac:dyDescent="0.3">
      <c r="A69" t="s">
        <v>184</v>
      </c>
      <c r="B69" s="13"/>
      <c r="E69" s="13"/>
      <c r="K69" t="s">
        <v>50</v>
      </c>
      <c r="L69" s="6">
        <f>F61+F64+F66+F68+F70+F72+F74+I77</f>
        <v>5386.5</v>
      </c>
    </row>
    <row r="70" spans="1:12" x14ac:dyDescent="0.25">
      <c r="A70" t="s">
        <v>210</v>
      </c>
      <c r="B70" s="13" t="s">
        <v>149</v>
      </c>
      <c r="C70" s="23">
        <v>0</v>
      </c>
      <c r="E70" s="13" t="s">
        <v>150</v>
      </c>
      <c r="F70" s="3">
        <f>C70*$C$7</f>
        <v>0</v>
      </c>
      <c r="K70" s="13"/>
      <c r="L70" s="13"/>
    </row>
    <row r="71" spans="1:12" x14ac:dyDescent="0.25">
      <c r="A71" t="s">
        <v>184</v>
      </c>
      <c r="B71" s="13"/>
      <c r="E71" s="13"/>
      <c r="K71" s="13"/>
      <c r="L71" s="13"/>
    </row>
    <row r="72" spans="1:12" x14ac:dyDescent="0.25">
      <c r="A72" t="s">
        <v>211</v>
      </c>
      <c r="B72" s="13" t="s">
        <v>151</v>
      </c>
      <c r="C72" s="23">
        <v>0</v>
      </c>
      <c r="E72" s="13" t="s">
        <v>152</v>
      </c>
      <c r="F72" s="3">
        <f>C72*$C$7</f>
        <v>0</v>
      </c>
      <c r="K72" s="13"/>
      <c r="L72" s="13"/>
    </row>
    <row r="73" spans="1:12" x14ac:dyDescent="0.25">
      <c r="A73" t="s">
        <v>184</v>
      </c>
      <c r="B73" s="13"/>
      <c r="E73" s="13"/>
      <c r="K73" s="13"/>
      <c r="L73" s="13"/>
    </row>
    <row r="74" spans="1:12" x14ac:dyDescent="0.25">
      <c r="A74" t="s">
        <v>212</v>
      </c>
      <c r="B74" s="13" t="s">
        <v>90</v>
      </c>
      <c r="C74" s="23">
        <v>0</v>
      </c>
      <c r="E74" s="13" t="s">
        <v>147</v>
      </c>
      <c r="F74" s="3">
        <f>C74*$C$7</f>
        <v>0</v>
      </c>
      <c r="K74" s="13"/>
      <c r="L74" s="13"/>
    </row>
    <row r="75" spans="1:12" x14ac:dyDescent="0.25">
      <c r="A75" t="s">
        <v>184</v>
      </c>
      <c r="E75" s="13"/>
      <c r="K75" s="13"/>
      <c r="L75" s="15"/>
    </row>
    <row r="76" spans="1:12" x14ac:dyDescent="0.25">
      <c r="A76" t="s">
        <v>184</v>
      </c>
      <c r="E76" s="13" t="s">
        <v>144</v>
      </c>
      <c r="F76" s="5">
        <v>0.5</v>
      </c>
      <c r="K76" s="13"/>
      <c r="L76" s="13"/>
    </row>
    <row r="77" spans="1:12" x14ac:dyDescent="0.25">
      <c r="A77" t="s">
        <v>213</v>
      </c>
      <c r="B77" t="s">
        <v>31</v>
      </c>
      <c r="C77" s="23">
        <v>3000</v>
      </c>
      <c r="H77" s="13" t="s">
        <v>146</v>
      </c>
      <c r="I77" s="3">
        <f>F78*F76</f>
        <v>5197.5</v>
      </c>
      <c r="K77" s="13"/>
      <c r="L77" s="13"/>
    </row>
    <row r="78" spans="1:12" x14ac:dyDescent="0.25">
      <c r="A78" t="s">
        <v>184</v>
      </c>
      <c r="E78" t="s">
        <v>33</v>
      </c>
      <c r="F78" s="3">
        <f>(C77+C79)*C7</f>
        <v>10395</v>
      </c>
      <c r="K78" s="13"/>
      <c r="L78" s="13"/>
    </row>
    <row r="79" spans="1:12" x14ac:dyDescent="0.25">
      <c r="A79" t="s">
        <v>214</v>
      </c>
      <c r="B79" t="s">
        <v>32</v>
      </c>
      <c r="C79" s="23">
        <v>850</v>
      </c>
      <c r="H79" s="13" t="s">
        <v>148</v>
      </c>
      <c r="I79" s="3">
        <f>F78*F80</f>
        <v>5197.5</v>
      </c>
      <c r="K79" s="13"/>
      <c r="L79" s="15"/>
    </row>
    <row r="80" spans="1:12" x14ac:dyDescent="0.25">
      <c r="E80" s="13" t="s">
        <v>145</v>
      </c>
      <c r="F80" s="5">
        <v>0.5</v>
      </c>
      <c r="K80" s="13"/>
      <c r="L80" s="13"/>
    </row>
    <row r="81" spans="2:12" x14ac:dyDescent="0.25">
      <c r="K81" s="13"/>
      <c r="L81" s="13"/>
    </row>
    <row r="82" spans="2:12" x14ac:dyDescent="0.25">
      <c r="B82" s="13"/>
      <c r="C82" s="15"/>
      <c r="K82" s="13"/>
      <c r="L82" s="15"/>
    </row>
  </sheetData>
  <pageMargins left="0.7" right="0.7" top="0.75" bottom="0.75" header="0.3" footer="0.3"/>
  <pageSetup paperSize="17" scale="79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6A8672B9E6C743AEB9B4B9A2185CEF" ma:contentTypeVersion="16" ma:contentTypeDescription="Create a new document." ma:contentTypeScope="" ma:versionID="00290e097834918a51343a8a1bdfb675">
  <xsd:schema xmlns:xsd="http://www.w3.org/2001/XMLSchema" xmlns:xs="http://www.w3.org/2001/XMLSchema" xmlns:p="http://schemas.microsoft.com/office/2006/metadata/properties" xmlns:ns1="http://schemas.microsoft.com/sharepoint/v3" xmlns:ns2="b3de26ab-9e37-4dbf-a313-f6ffca46f3e6" xmlns:ns3="dd12ed5a-c724-4094-bd9a-b3a2cf71ce96" xmlns:ns4="31062a0d-ede8-4112-b4bb-00a9c1bc8e16" targetNamespace="http://schemas.microsoft.com/office/2006/metadata/properties" ma:root="true" ma:fieldsID="f6be92361a9990b6e3369539af4bce59" ns1:_="" ns2:_="" ns3:_="" ns4:_="">
    <xsd:import namespace="http://schemas.microsoft.com/sharepoint/v3"/>
    <xsd:import namespace="b3de26ab-9e37-4dbf-a313-f6ffca46f3e6"/>
    <xsd:import namespace="dd12ed5a-c724-4094-bd9a-b3a2cf71ce96"/>
    <xsd:import namespace="31062a0d-ede8-4112-b4bb-00a9c1bc8e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de26ab-9e37-4dbf-a313-f6ffca46f3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c5df3ad-b4e5-45d1-88c9-23db5f1fe6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12ed5a-c724-4094-bd9a-b3a2cf71ce9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62a0d-ede8-4112-b4bb-00a9c1bc8e1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339e5d9-c30d-4e3d-9c9b-f4fae7e4ab27}" ma:internalName="TaxCatchAll" ma:showField="CatchAllData" ma:web="dd12ed5a-c724-4094-bd9a-b3a2cf71ce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b3de26ab-9e37-4dbf-a313-f6ffca46f3e6">
      <Terms xmlns="http://schemas.microsoft.com/office/infopath/2007/PartnerControls"/>
    </lcf76f155ced4ddcb4097134ff3c332f>
    <TaxCatchAll xmlns="31062a0d-ede8-4112-b4bb-00a9c1bc8e16" xsi:nil="true"/>
  </documentManagement>
</p:properties>
</file>

<file path=customXml/itemProps1.xml><?xml version="1.0" encoding="utf-8"?>
<ds:datastoreItem xmlns:ds="http://schemas.openxmlformats.org/officeDocument/2006/customXml" ds:itemID="{C3C4E6BD-5958-48DC-B62B-2C48F8C233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3de26ab-9e37-4dbf-a313-f6ffca46f3e6"/>
    <ds:schemaRef ds:uri="dd12ed5a-c724-4094-bd9a-b3a2cf71ce96"/>
    <ds:schemaRef ds:uri="31062a0d-ede8-4112-b4bb-00a9c1bc8e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4FD8E2-8FCB-4D63-9D34-C5A393BC6D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311AD4-E5E1-4582-8A75-2C84C95B3F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b3de26ab-9e37-4dbf-a313-f6ffca46f3e6"/>
    <ds:schemaRef ds:uri="31062a0d-ede8-4112-b4bb-00a9c1bc8e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 Jul 2021</vt:lpstr>
      <vt:lpstr>RECH Jul 2021</vt:lpstr>
      <vt:lpstr>NREC &amp; NRECH Jul 2021</vt:lpstr>
      <vt:lpstr>Overnight Stays Jul 2021</vt:lpstr>
    </vt:vector>
  </TitlesOfParts>
  <Company>National Park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Ziesler, Pamela Sue</dc:creator>
  <cp:lastModifiedBy>Lackey, Austin B</cp:lastModifiedBy>
  <cp:lastPrinted>2020-03-10T20:14:10Z</cp:lastPrinted>
  <dcterms:created xsi:type="dcterms:W3CDTF">2017-01-30T15:20:27Z</dcterms:created>
  <dcterms:modified xsi:type="dcterms:W3CDTF">2022-08-28T23:43:50Z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0x010100D66A8672B9E6C743AEB9B4B9A2185CEF</vt:lpwstr>
  </property>
  <property fmtid="{D5CDD505-2E9C-101B-9397-08002B2CF9AE}" pid="3" name="MediaServiceImageTags">
    <vt:lpwstr/>
  </property>
</Properties>
</file>