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D:\012Yeung\github\Yeung\inside\office\excel\"/>
    </mc:Choice>
  </mc:AlternateContent>
  <xr:revisionPtr revIDLastSave="0" documentId="13_ncr:1_{9280FD02-1642-4AC0-A45E-8BF5680B49B4}" xr6:coauthVersionLast="36" xr6:coauthVersionMax="36" xr10:uidLastSave="{00000000-0000-0000-0000-000000000000}"/>
  <bookViews>
    <workbookView xWindow="0" yWindow="0" windowWidth="22260" windowHeight="12645" activeTab="7" xr2:uid="{00000000-000D-0000-FFFF-FFFF00000000}"/>
  </bookViews>
  <sheets>
    <sheet name="Sheet1" sheetId="1" r:id="rId1"/>
    <sheet name="1-3" sheetId="2" r:id="rId2"/>
    <sheet name="1-6" sheetId="3" r:id="rId3"/>
    <sheet name="1-8" sheetId="4" r:id="rId4"/>
    <sheet name="1-10" sheetId="5" r:id="rId5"/>
    <sheet name="Sheet2" sheetId="6" r:id="rId6"/>
    <sheet name="steam" sheetId="8" r:id="rId7"/>
    <sheet name="1-5" sheetId="11" r:id="rId8"/>
  </sheets>
  <definedNames>
    <definedName name="_xlnm._FilterDatabase" localSheetId="4" hidden="1">'1-10'!$A$2:$K$18</definedName>
    <definedName name="_xlnm._FilterDatabase" localSheetId="1" hidden="1">'1-3'!$A$2:$L$14</definedName>
    <definedName name="_xlnm._FilterDatabase" localSheetId="7" hidden="1">'1-5'!$A$2:$L$17</definedName>
    <definedName name="_xlnm._FilterDatabase" localSheetId="2" hidden="1">'1-6'!$A$2:$M$18</definedName>
    <definedName name="_xlnm._FilterDatabase" localSheetId="3" hidden="1">'1-8'!$A$2:$L$18</definedName>
    <definedName name="_xlnm._FilterDatabase" localSheetId="5" hidden="1">Sheet2!$A$2:$K$18</definedName>
    <definedName name="_xlnm._FilterDatabase" localSheetId="6" hidden="1">steam!$A$2:$L$18</definedName>
    <definedName name="aa">'1-6'!$A$2:$M$18</definedName>
    <definedName name="bb">'1-8'!$A$2:$L$18</definedName>
    <definedName name="ee">'1-10'!$A$2:$K$18</definedName>
    <definedName name="yang1">Sheet2!$A$2:$K$18</definedName>
    <definedName name="yang5">'1-5'!$A$2:$L$17</definedName>
    <definedName name="yang8">steam!$A$2:$L$18</definedName>
    <definedName name="主張諸手当計算表">'1-3'!$A$2:$L$14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11" l="1"/>
  <c r="E42" i="11"/>
  <c r="E41" i="11"/>
  <c r="C34" i="11"/>
  <c r="D34" i="11"/>
  <c r="C35" i="11"/>
  <c r="D35" i="11"/>
  <c r="C36" i="11"/>
  <c r="D36" i="11"/>
  <c r="C37" i="11"/>
  <c r="D37" i="11"/>
  <c r="C38" i="11"/>
  <c r="D38" i="11"/>
  <c r="B35" i="11"/>
  <c r="B34" i="11"/>
  <c r="B38" i="11"/>
  <c r="B37" i="11"/>
  <c r="B36" i="11"/>
  <c r="F30" i="11"/>
  <c r="G30" i="11"/>
  <c r="H30" i="11"/>
  <c r="I30" i="11"/>
  <c r="J30" i="11"/>
  <c r="K30" i="11"/>
  <c r="E30" i="11"/>
  <c r="E19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3" i="11"/>
  <c r="F4" i="11"/>
  <c r="F5" i="11"/>
  <c r="J5" i="11" s="1"/>
  <c r="F6" i="11"/>
  <c r="F7" i="11"/>
  <c r="F8" i="11"/>
  <c r="F9" i="11"/>
  <c r="F10" i="11"/>
  <c r="F11" i="11"/>
  <c r="F12" i="11"/>
  <c r="F13" i="11"/>
  <c r="F14" i="11"/>
  <c r="F15" i="11"/>
  <c r="F16" i="11"/>
  <c r="F17" i="11"/>
  <c r="J17" i="11" s="1"/>
  <c r="F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3" i="11"/>
  <c r="G42" i="8"/>
  <c r="G41" i="8"/>
  <c r="G40" i="8"/>
  <c r="C35" i="8"/>
  <c r="D35" i="8"/>
  <c r="C36" i="8"/>
  <c r="D36" i="8"/>
  <c r="C37" i="8"/>
  <c r="D37" i="8"/>
  <c r="C38" i="8"/>
  <c r="D38" i="8"/>
  <c r="B38" i="8"/>
  <c r="B37" i="8"/>
  <c r="B36" i="8"/>
  <c r="B35" i="8"/>
  <c r="I31" i="8"/>
  <c r="J31" i="8"/>
  <c r="K31" i="8"/>
  <c r="E31" i="8"/>
  <c r="E20" i="8"/>
  <c r="F4" i="8"/>
  <c r="G4" i="8" s="1"/>
  <c r="H4" i="8" s="1"/>
  <c r="I4" i="8" s="1"/>
  <c r="F5" i="8"/>
  <c r="G5" i="8" s="1"/>
  <c r="H5" i="8" s="1"/>
  <c r="I5" i="8" s="1"/>
  <c r="F6" i="8"/>
  <c r="G6" i="8" s="1"/>
  <c r="H6" i="8" s="1"/>
  <c r="I6" i="8" s="1"/>
  <c r="F7" i="8"/>
  <c r="G7" i="8" s="1"/>
  <c r="H7" i="8" s="1"/>
  <c r="I7" i="8" s="1"/>
  <c r="F8" i="8"/>
  <c r="G8" i="8" s="1"/>
  <c r="H8" i="8" s="1"/>
  <c r="I8" i="8" s="1"/>
  <c r="F9" i="8"/>
  <c r="G9" i="8" s="1"/>
  <c r="H9" i="8" s="1"/>
  <c r="I9" i="8" s="1"/>
  <c r="F10" i="8"/>
  <c r="G10" i="8" s="1"/>
  <c r="H10" i="8" s="1"/>
  <c r="I10" i="8" s="1"/>
  <c r="F11" i="8"/>
  <c r="G11" i="8" s="1"/>
  <c r="H11" i="8" s="1"/>
  <c r="I11" i="8" s="1"/>
  <c r="F12" i="8"/>
  <c r="G12" i="8" s="1"/>
  <c r="H12" i="8" s="1"/>
  <c r="I12" i="8" s="1"/>
  <c r="F13" i="8"/>
  <c r="G13" i="8" s="1"/>
  <c r="H13" i="8" s="1"/>
  <c r="I13" i="8" s="1"/>
  <c r="F14" i="8"/>
  <c r="G14" i="8" s="1"/>
  <c r="H14" i="8" s="1"/>
  <c r="I14" i="8" s="1"/>
  <c r="F15" i="8"/>
  <c r="G15" i="8" s="1"/>
  <c r="H15" i="8" s="1"/>
  <c r="I15" i="8" s="1"/>
  <c r="F16" i="8"/>
  <c r="G16" i="8" s="1"/>
  <c r="H16" i="8" s="1"/>
  <c r="I16" i="8" s="1"/>
  <c r="F17" i="8"/>
  <c r="G17" i="8" s="1"/>
  <c r="H17" i="8" s="1"/>
  <c r="I17" i="8" s="1"/>
  <c r="F18" i="8"/>
  <c r="G18" i="8" s="1"/>
  <c r="H18" i="8" s="1"/>
  <c r="I18" i="8" s="1"/>
  <c r="F3" i="8"/>
  <c r="G3" i="8" s="1"/>
  <c r="H3" i="8" s="1"/>
  <c r="I3" i="8" s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3" i="8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3" i="6"/>
  <c r="K3" i="6"/>
  <c r="F42" i="6"/>
  <c r="B38" i="6"/>
  <c r="B37" i="6"/>
  <c r="B36" i="6"/>
  <c r="B35" i="6"/>
  <c r="J31" i="6"/>
  <c r="K31" i="6"/>
  <c r="H31" i="6"/>
  <c r="H20" i="6"/>
  <c r="G12" i="6"/>
  <c r="J12" i="6" s="1"/>
  <c r="E4" i="6"/>
  <c r="G4" i="6" s="1"/>
  <c r="E5" i="6"/>
  <c r="G5" i="6" s="1"/>
  <c r="E6" i="6"/>
  <c r="G6" i="6" s="1"/>
  <c r="E7" i="6"/>
  <c r="G7" i="6" s="1"/>
  <c r="E8" i="6"/>
  <c r="G8" i="6" s="1"/>
  <c r="E9" i="6"/>
  <c r="G9" i="6" s="1"/>
  <c r="E10" i="6"/>
  <c r="G10" i="6" s="1"/>
  <c r="J10" i="6" s="1"/>
  <c r="E11" i="6"/>
  <c r="G11" i="6" s="1"/>
  <c r="E12" i="6"/>
  <c r="E13" i="6"/>
  <c r="G13" i="6" s="1"/>
  <c r="E14" i="6"/>
  <c r="G14" i="6" s="1"/>
  <c r="E15" i="6"/>
  <c r="G15" i="6" s="1"/>
  <c r="E16" i="6"/>
  <c r="G16" i="6" s="1"/>
  <c r="E17" i="6"/>
  <c r="G17" i="6" s="1"/>
  <c r="E18" i="6"/>
  <c r="G18" i="6" s="1"/>
  <c r="E3" i="6"/>
  <c r="G3" i="6" s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3" i="6"/>
  <c r="J8" i="11" l="1"/>
  <c r="J16" i="11"/>
  <c r="J4" i="11"/>
  <c r="K4" i="11" s="1"/>
  <c r="L4" i="11" s="1"/>
  <c r="G19" i="11"/>
  <c r="I19" i="11"/>
  <c r="J15" i="11"/>
  <c r="K15" i="11" s="1"/>
  <c r="L15" i="11" s="1"/>
  <c r="J14" i="11"/>
  <c r="K14" i="11" s="1"/>
  <c r="L14" i="11" s="1"/>
  <c r="J13" i="11"/>
  <c r="K13" i="11" s="1"/>
  <c r="L13" i="11" s="1"/>
  <c r="F19" i="11"/>
  <c r="J6" i="11"/>
  <c r="K6" i="11" s="1"/>
  <c r="L6" i="11" s="1"/>
  <c r="K8" i="11"/>
  <c r="L8" i="11" s="1"/>
  <c r="J12" i="11"/>
  <c r="K12" i="11" s="1"/>
  <c r="L12" i="11" s="1"/>
  <c r="J11" i="11"/>
  <c r="K11" i="11" s="1"/>
  <c r="L11" i="11" s="1"/>
  <c r="J10" i="11"/>
  <c r="K10" i="11" s="1"/>
  <c r="L10" i="11" s="1"/>
  <c r="K17" i="11"/>
  <c r="L17" i="11" s="1"/>
  <c r="J9" i="11"/>
  <c r="K9" i="11" s="1"/>
  <c r="L9" i="11" s="1"/>
  <c r="J7" i="11"/>
  <c r="K7" i="11" s="1"/>
  <c r="L7" i="11" s="1"/>
  <c r="K5" i="11"/>
  <c r="L5" i="11" s="1"/>
  <c r="K16" i="11"/>
  <c r="L16" i="11" s="1"/>
  <c r="J3" i="11"/>
  <c r="K3" i="11" s="1"/>
  <c r="K9" i="8"/>
  <c r="J9" i="8"/>
  <c r="L9" i="8" s="1"/>
  <c r="K12" i="8"/>
  <c r="J12" i="8"/>
  <c r="L12" i="8" s="1"/>
  <c r="K8" i="8"/>
  <c r="J8" i="8"/>
  <c r="L8" i="8" s="1"/>
  <c r="J6" i="8"/>
  <c r="L6" i="8" s="1"/>
  <c r="K6" i="8"/>
  <c r="K10" i="8"/>
  <c r="J10" i="8"/>
  <c r="L10" i="8" s="1"/>
  <c r="J5" i="8"/>
  <c r="L5" i="8" s="1"/>
  <c r="K5" i="8"/>
  <c r="I20" i="8"/>
  <c r="J3" i="8"/>
  <c r="K3" i="8"/>
  <c r="J7" i="8"/>
  <c r="L7" i="8" s="1"/>
  <c r="K7" i="8"/>
  <c r="K15" i="8"/>
  <c r="J15" i="8"/>
  <c r="L15" i="8" s="1"/>
  <c r="J18" i="8"/>
  <c r="L18" i="8" s="1"/>
  <c r="K18" i="8"/>
  <c r="J14" i="8"/>
  <c r="L14" i="8" s="1"/>
  <c r="K14" i="8"/>
  <c r="K11" i="8"/>
  <c r="J11" i="8"/>
  <c r="L11" i="8" s="1"/>
  <c r="J17" i="8"/>
  <c r="L17" i="8" s="1"/>
  <c r="K17" i="8"/>
  <c r="J16" i="8"/>
  <c r="L16" i="8" s="1"/>
  <c r="K16" i="8"/>
  <c r="J4" i="8"/>
  <c r="L4" i="8" s="1"/>
  <c r="K4" i="8"/>
  <c r="K13" i="8"/>
  <c r="J13" i="8"/>
  <c r="L13" i="8" s="1"/>
  <c r="F41" i="6"/>
  <c r="K7" i="6"/>
  <c r="D36" i="6" s="1"/>
  <c r="J7" i="6"/>
  <c r="C36" i="6" s="1"/>
  <c r="K15" i="6"/>
  <c r="D38" i="6" s="1"/>
  <c r="J15" i="6"/>
  <c r="C38" i="6" s="1"/>
  <c r="K4" i="6"/>
  <c r="J4" i="6"/>
  <c r="K14" i="6"/>
  <c r="J14" i="6"/>
  <c r="J18" i="6"/>
  <c r="K18" i="6"/>
  <c r="K5" i="6"/>
  <c r="J5" i="6"/>
  <c r="K13" i="6"/>
  <c r="J13" i="6"/>
  <c r="K8" i="6"/>
  <c r="J8" i="6"/>
  <c r="K6" i="6"/>
  <c r="J6" i="6"/>
  <c r="K16" i="6"/>
  <c r="J16" i="6"/>
  <c r="J11" i="6"/>
  <c r="C37" i="6" s="1"/>
  <c r="K11" i="6"/>
  <c r="D37" i="6" s="1"/>
  <c r="J3" i="6"/>
  <c r="K17" i="6"/>
  <c r="J17" i="6"/>
  <c r="J9" i="6"/>
  <c r="K9" i="6"/>
  <c r="K12" i="6"/>
  <c r="K10" i="6"/>
  <c r="F42" i="5"/>
  <c r="F41" i="5"/>
  <c r="F40" i="5"/>
  <c r="C35" i="5"/>
  <c r="D35" i="5"/>
  <c r="C36" i="5"/>
  <c r="D36" i="5"/>
  <c r="C37" i="5"/>
  <c r="D37" i="5"/>
  <c r="C38" i="5"/>
  <c r="D38" i="5"/>
  <c r="B38" i="5"/>
  <c r="B37" i="5"/>
  <c r="B36" i="5"/>
  <c r="B35" i="5"/>
  <c r="J31" i="5"/>
  <c r="K31" i="5"/>
  <c r="H31" i="5"/>
  <c r="H20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3" i="5"/>
  <c r="E4" i="5"/>
  <c r="G4" i="5" s="1"/>
  <c r="E5" i="5"/>
  <c r="G5" i="5" s="1"/>
  <c r="E6" i="5"/>
  <c r="G6" i="5" s="1"/>
  <c r="E7" i="5"/>
  <c r="G7" i="5" s="1"/>
  <c r="E8" i="5"/>
  <c r="G8" i="5" s="1"/>
  <c r="E9" i="5"/>
  <c r="G9" i="5" s="1"/>
  <c r="E10" i="5"/>
  <c r="G10" i="5" s="1"/>
  <c r="J10" i="5" s="1"/>
  <c r="E11" i="5"/>
  <c r="G11" i="5" s="1"/>
  <c r="E12" i="5"/>
  <c r="G12" i="5" s="1"/>
  <c r="J12" i="5" s="1"/>
  <c r="E13" i="5"/>
  <c r="G13" i="5" s="1"/>
  <c r="E14" i="5"/>
  <c r="G14" i="5" s="1"/>
  <c r="E15" i="5"/>
  <c r="G15" i="5" s="1"/>
  <c r="E16" i="5"/>
  <c r="G16" i="5" s="1"/>
  <c r="E17" i="5"/>
  <c r="G17" i="5" s="1"/>
  <c r="E18" i="5"/>
  <c r="G18" i="5" s="1"/>
  <c r="E3" i="5"/>
  <c r="G3" i="5" s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3" i="5"/>
  <c r="K19" i="11" l="1"/>
  <c r="L3" i="11"/>
  <c r="J19" i="11"/>
  <c r="K20" i="8"/>
  <c r="J20" i="8"/>
  <c r="L3" i="8"/>
  <c r="D35" i="6"/>
  <c r="F40" i="6"/>
  <c r="J20" i="6"/>
  <c r="C35" i="6"/>
  <c r="K20" i="6"/>
  <c r="K8" i="5"/>
  <c r="J8" i="5"/>
  <c r="K6" i="5"/>
  <c r="J6" i="5"/>
  <c r="K5" i="5"/>
  <c r="J5" i="5"/>
  <c r="K16" i="5"/>
  <c r="J16" i="5"/>
  <c r="K15" i="5"/>
  <c r="J15" i="5"/>
  <c r="K14" i="5"/>
  <c r="J14" i="5"/>
  <c r="K13" i="5"/>
  <c r="J13" i="5"/>
  <c r="K7" i="5"/>
  <c r="J7" i="5"/>
  <c r="K4" i="5"/>
  <c r="J4" i="5"/>
  <c r="K18" i="5"/>
  <c r="J18" i="5"/>
  <c r="K3" i="5"/>
  <c r="J3" i="5"/>
  <c r="J20" i="5" s="1"/>
  <c r="K17" i="5"/>
  <c r="J17" i="5"/>
  <c r="J11" i="5"/>
  <c r="K11" i="5"/>
  <c r="J9" i="5"/>
  <c r="K9" i="5"/>
  <c r="K12" i="5"/>
  <c r="K10" i="5"/>
  <c r="F4" i="4"/>
  <c r="F5" i="4"/>
  <c r="F6" i="4"/>
  <c r="F7" i="4"/>
  <c r="F8" i="4"/>
  <c r="F9" i="4"/>
  <c r="F10" i="4"/>
  <c r="F11" i="4"/>
  <c r="G11" i="4" s="1"/>
  <c r="H11" i="4" s="1"/>
  <c r="I11" i="4" s="1"/>
  <c r="F12" i="4"/>
  <c r="G12" i="4" s="1"/>
  <c r="H12" i="4" s="1"/>
  <c r="I12" i="4" s="1"/>
  <c r="F13" i="4"/>
  <c r="G13" i="4" s="1"/>
  <c r="H13" i="4" s="1"/>
  <c r="I13" i="4" s="1"/>
  <c r="F14" i="4"/>
  <c r="G14" i="4" s="1"/>
  <c r="H14" i="4" s="1"/>
  <c r="I14" i="4" s="1"/>
  <c r="C38" i="4" s="1"/>
  <c r="F15" i="4"/>
  <c r="G15" i="4" s="1"/>
  <c r="H15" i="4" s="1"/>
  <c r="I15" i="4" s="1"/>
  <c r="F16" i="4"/>
  <c r="F17" i="4"/>
  <c r="F18" i="4"/>
  <c r="F3" i="4"/>
  <c r="B38" i="4"/>
  <c r="B37" i="4"/>
  <c r="B36" i="4"/>
  <c r="B35" i="4"/>
  <c r="I31" i="4"/>
  <c r="J31" i="4"/>
  <c r="K31" i="4"/>
  <c r="E31" i="4"/>
  <c r="E20" i="4"/>
  <c r="G4" i="4"/>
  <c r="H4" i="4" s="1"/>
  <c r="I4" i="4" s="1"/>
  <c r="G5" i="4"/>
  <c r="H5" i="4" s="1"/>
  <c r="I5" i="4" s="1"/>
  <c r="G6" i="4"/>
  <c r="H6" i="4" s="1"/>
  <c r="I6" i="4" s="1"/>
  <c r="G7" i="4"/>
  <c r="H7" i="4" s="1"/>
  <c r="I7" i="4" s="1"/>
  <c r="G8" i="4"/>
  <c r="H8" i="4" s="1"/>
  <c r="I8" i="4" s="1"/>
  <c r="G9" i="4"/>
  <c r="H9" i="4" s="1"/>
  <c r="I9" i="4" s="1"/>
  <c r="G10" i="4"/>
  <c r="H10" i="4" s="1"/>
  <c r="I10" i="4" s="1"/>
  <c r="G16" i="4"/>
  <c r="H16" i="4" s="1"/>
  <c r="I16" i="4" s="1"/>
  <c r="G17" i="4"/>
  <c r="H17" i="4" s="1"/>
  <c r="I17" i="4" s="1"/>
  <c r="G18" i="4"/>
  <c r="H18" i="4" s="1"/>
  <c r="I18" i="4" s="1"/>
  <c r="G3" i="4"/>
  <c r="H3" i="4" s="1"/>
  <c r="I3" i="4" s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3" i="4"/>
  <c r="E30" i="3"/>
  <c r="I30" i="3"/>
  <c r="K30" i="3"/>
  <c r="L30" i="3"/>
  <c r="G40" i="3"/>
  <c r="B37" i="3"/>
  <c r="B36" i="3"/>
  <c r="B35" i="3"/>
  <c r="B34" i="3"/>
  <c r="E20" i="3"/>
  <c r="J4" i="3"/>
  <c r="K4" i="3" s="1"/>
  <c r="J5" i="3"/>
  <c r="K5" i="3" s="1"/>
  <c r="J6" i="3"/>
  <c r="K6" i="3" s="1"/>
  <c r="J7" i="3"/>
  <c r="K7" i="3" s="1"/>
  <c r="J8" i="3"/>
  <c r="K8" i="3" s="1"/>
  <c r="J9" i="3"/>
  <c r="K9" i="3" s="1"/>
  <c r="J10" i="3"/>
  <c r="K10" i="3" s="1"/>
  <c r="J11" i="3"/>
  <c r="K11" i="3" s="1"/>
  <c r="J12" i="3"/>
  <c r="K12" i="3" s="1"/>
  <c r="J13" i="3"/>
  <c r="K13" i="3" s="1"/>
  <c r="J14" i="3"/>
  <c r="K14" i="3" s="1"/>
  <c r="J15" i="3"/>
  <c r="K15" i="3" s="1"/>
  <c r="J16" i="3"/>
  <c r="K16" i="3" s="1"/>
  <c r="J17" i="3"/>
  <c r="K17" i="3" s="1"/>
  <c r="J18" i="3"/>
  <c r="K18" i="3" s="1"/>
  <c r="J3" i="3"/>
  <c r="K3" i="3" s="1"/>
  <c r="F4" i="3"/>
  <c r="G4" i="3" s="1"/>
  <c r="F5" i="3"/>
  <c r="G5" i="3" s="1"/>
  <c r="F6" i="3"/>
  <c r="G6" i="3" s="1"/>
  <c r="F7" i="3"/>
  <c r="G7" i="3" s="1"/>
  <c r="H7" i="3" s="1"/>
  <c r="F8" i="3"/>
  <c r="G8" i="3" s="1"/>
  <c r="H8" i="3" s="1"/>
  <c r="F9" i="3"/>
  <c r="G9" i="3" s="1"/>
  <c r="H9" i="3" s="1"/>
  <c r="F10" i="3"/>
  <c r="G10" i="3" s="1"/>
  <c r="H10" i="3" s="1"/>
  <c r="F11" i="3"/>
  <c r="G11" i="3" s="1"/>
  <c r="H11" i="3" s="1"/>
  <c r="F12" i="3"/>
  <c r="G12" i="3" s="1"/>
  <c r="H12" i="3" s="1"/>
  <c r="F13" i="3"/>
  <c r="G13" i="3" s="1"/>
  <c r="H13" i="3" s="1"/>
  <c r="F14" i="3"/>
  <c r="G14" i="3" s="1"/>
  <c r="H14" i="3" s="1"/>
  <c r="F15" i="3"/>
  <c r="G15" i="3" s="1"/>
  <c r="H15" i="3" s="1"/>
  <c r="F16" i="3"/>
  <c r="G16" i="3" s="1"/>
  <c r="F17" i="3"/>
  <c r="G17" i="3" s="1"/>
  <c r="F18" i="3"/>
  <c r="G18" i="3" s="1"/>
  <c r="H18" i="3" s="1"/>
  <c r="F3" i="3"/>
  <c r="G3" i="3" s="1"/>
  <c r="H3" i="3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3" i="3"/>
  <c r="B3" i="3"/>
  <c r="D26" i="2"/>
  <c r="E26" i="2"/>
  <c r="F26" i="2"/>
  <c r="H26" i="2"/>
  <c r="J26" i="2"/>
  <c r="K26" i="2"/>
  <c r="F35" i="2"/>
  <c r="F37" i="2"/>
  <c r="F36" i="2"/>
  <c r="C30" i="2"/>
  <c r="D30" i="2"/>
  <c r="C31" i="2"/>
  <c r="D31" i="2"/>
  <c r="C32" i="2"/>
  <c r="D32" i="2"/>
  <c r="C33" i="2"/>
  <c r="D33" i="2"/>
  <c r="B33" i="2"/>
  <c r="B32" i="2"/>
  <c r="B31" i="2"/>
  <c r="B30" i="2"/>
  <c r="E16" i="2"/>
  <c r="F16" i="2"/>
  <c r="I3" i="2"/>
  <c r="I4" i="2"/>
  <c r="I5" i="2"/>
  <c r="I6" i="2"/>
  <c r="I7" i="2"/>
  <c r="I8" i="2"/>
  <c r="I9" i="2"/>
  <c r="I10" i="2"/>
  <c r="I11" i="2"/>
  <c r="I12" i="2"/>
  <c r="I13" i="2"/>
  <c r="I14" i="2"/>
  <c r="H3" i="2"/>
  <c r="H4" i="2"/>
  <c r="H5" i="2"/>
  <c r="H6" i="2"/>
  <c r="H7" i="2"/>
  <c r="H8" i="2"/>
  <c r="H9" i="2"/>
  <c r="H10" i="2"/>
  <c r="H11" i="2"/>
  <c r="H12" i="2"/>
  <c r="H13" i="2"/>
  <c r="H14" i="2"/>
  <c r="G4" i="2"/>
  <c r="G5" i="2"/>
  <c r="G6" i="2"/>
  <c r="G7" i="2"/>
  <c r="G8" i="2"/>
  <c r="G9" i="2"/>
  <c r="L9" i="2" s="1"/>
  <c r="G10" i="2"/>
  <c r="G11" i="2"/>
  <c r="G12" i="2"/>
  <c r="G13" i="2"/>
  <c r="G14" i="2"/>
  <c r="G3" i="2"/>
  <c r="D3" i="2"/>
  <c r="D4" i="2"/>
  <c r="D5" i="2"/>
  <c r="D6" i="2"/>
  <c r="D7" i="2"/>
  <c r="D8" i="2"/>
  <c r="D9" i="2"/>
  <c r="D10" i="2"/>
  <c r="D11" i="2"/>
  <c r="D12" i="2"/>
  <c r="D13" i="2"/>
  <c r="D14" i="2"/>
  <c r="B3" i="2"/>
  <c r="B4" i="2"/>
  <c r="B5" i="2"/>
  <c r="B6" i="2"/>
  <c r="B7" i="2"/>
  <c r="B8" i="2"/>
  <c r="B9" i="2"/>
  <c r="B10" i="2"/>
  <c r="B11" i="2"/>
  <c r="B12" i="2"/>
  <c r="B13" i="2"/>
  <c r="B14" i="2"/>
  <c r="K20" i="5" l="1"/>
  <c r="C35" i="4"/>
  <c r="C37" i="4"/>
  <c r="C36" i="4"/>
  <c r="G41" i="4"/>
  <c r="L12" i="4"/>
  <c r="J12" i="4"/>
  <c r="K12" i="4"/>
  <c r="J11" i="4"/>
  <c r="K11" i="4"/>
  <c r="L11" i="4"/>
  <c r="L13" i="4"/>
  <c r="J13" i="4"/>
  <c r="K13" i="4"/>
  <c r="J9" i="4"/>
  <c r="K9" i="4"/>
  <c r="L9" i="4"/>
  <c r="J8" i="4"/>
  <c r="K8" i="4"/>
  <c r="L8" i="4"/>
  <c r="I20" i="4"/>
  <c r="K3" i="4"/>
  <c r="J3" i="4"/>
  <c r="L3" i="4"/>
  <c r="K7" i="4"/>
  <c r="J7" i="4"/>
  <c r="L7" i="4"/>
  <c r="J10" i="4"/>
  <c r="K10" i="4"/>
  <c r="L10" i="4"/>
  <c r="K6" i="4"/>
  <c r="L6" i="4"/>
  <c r="J6" i="4"/>
  <c r="K5" i="4"/>
  <c r="L5" i="4"/>
  <c r="J5" i="4"/>
  <c r="D37" i="4" s="1"/>
  <c r="K18" i="4"/>
  <c r="L18" i="4"/>
  <c r="J18" i="4"/>
  <c r="L4" i="4"/>
  <c r="K4" i="4"/>
  <c r="J4" i="4"/>
  <c r="D36" i="4" s="1"/>
  <c r="K17" i="4"/>
  <c r="L17" i="4"/>
  <c r="J17" i="4"/>
  <c r="L15" i="4"/>
  <c r="J15" i="4"/>
  <c r="K15" i="4"/>
  <c r="K16" i="4"/>
  <c r="L16" i="4"/>
  <c r="J16" i="4"/>
  <c r="L14" i="4"/>
  <c r="J14" i="4"/>
  <c r="K14" i="4"/>
  <c r="I13" i="3"/>
  <c r="I10" i="3"/>
  <c r="M10" i="3" s="1"/>
  <c r="I15" i="3"/>
  <c r="L15" i="3" s="1"/>
  <c r="I12" i="3"/>
  <c r="I11" i="3"/>
  <c r="C36" i="3" s="1"/>
  <c r="I9" i="3"/>
  <c r="M9" i="3" s="1"/>
  <c r="H6" i="3"/>
  <c r="I6" i="3" s="1"/>
  <c r="I18" i="3"/>
  <c r="I8" i="3"/>
  <c r="H17" i="3"/>
  <c r="I17" i="3" s="1"/>
  <c r="H5" i="3"/>
  <c r="I5" i="3" s="1"/>
  <c r="I14" i="3"/>
  <c r="M14" i="3" s="1"/>
  <c r="I3" i="3"/>
  <c r="I7" i="3"/>
  <c r="C35" i="3" s="1"/>
  <c r="H16" i="3"/>
  <c r="I16" i="3" s="1"/>
  <c r="H4" i="3"/>
  <c r="I4" i="3" s="1"/>
  <c r="L9" i="3"/>
  <c r="M18" i="3"/>
  <c r="L18" i="3"/>
  <c r="M12" i="3"/>
  <c r="L12" i="3"/>
  <c r="K20" i="3"/>
  <c r="M13" i="3"/>
  <c r="L13" i="3"/>
  <c r="L11" i="3"/>
  <c r="M11" i="3"/>
  <c r="L10" i="3"/>
  <c r="L8" i="3"/>
  <c r="M8" i="3"/>
  <c r="M3" i="3"/>
  <c r="M7" i="3"/>
  <c r="L7" i="3"/>
  <c r="D35" i="3" s="1"/>
  <c r="L7" i="2"/>
  <c r="H16" i="2"/>
  <c r="L13" i="2"/>
  <c r="L8" i="2"/>
  <c r="L6" i="2"/>
  <c r="L5" i="2"/>
  <c r="L4" i="2"/>
  <c r="D16" i="2"/>
  <c r="L3" i="2"/>
  <c r="L14" i="2"/>
  <c r="J9" i="2"/>
  <c r="K9" i="2" s="1"/>
  <c r="L12" i="2"/>
  <c r="L11" i="2"/>
  <c r="L10" i="2"/>
  <c r="J8" i="2"/>
  <c r="K8" i="2" s="1"/>
  <c r="J7" i="2"/>
  <c r="K7" i="2" s="1"/>
  <c r="J6" i="2"/>
  <c r="K6" i="2" s="1"/>
  <c r="J5" i="2"/>
  <c r="K5" i="2" s="1"/>
  <c r="J4" i="2"/>
  <c r="K4" i="2" s="1"/>
  <c r="J3" i="2"/>
  <c r="J14" i="2"/>
  <c r="K14" i="2" s="1"/>
  <c r="J13" i="2"/>
  <c r="K13" i="2" s="1"/>
  <c r="J12" i="2"/>
  <c r="K12" i="2" s="1"/>
  <c r="J11" i="2"/>
  <c r="K11" i="2" s="1"/>
  <c r="J10" i="2"/>
  <c r="K10" i="2" s="1"/>
  <c r="G20" i="1"/>
  <c r="J20" i="1"/>
  <c r="K20" i="1"/>
  <c r="L20" i="1"/>
  <c r="F20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H3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1"/>
  <c r="D38" i="4" l="1"/>
  <c r="G42" i="4"/>
  <c r="D35" i="4"/>
  <c r="G40" i="4"/>
  <c r="J20" i="4"/>
  <c r="K20" i="4"/>
  <c r="L14" i="3"/>
  <c r="D36" i="3"/>
  <c r="I20" i="3"/>
  <c r="M17" i="3"/>
  <c r="L17" i="3"/>
  <c r="M5" i="3"/>
  <c r="L5" i="3"/>
  <c r="M6" i="3"/>
  <c r="L6" i="3"/>
  <c r="L4" i="3"/>
  <c r="M4" i="3"/>
  <c r="C34" i="3"/>
  <c r="D37" i="3"/>
  <c r="L16" i="3"/>
  <c r="M16" i="3"/>
  <c r="L3" i="3"/>
  <c r="C37" i="3"/>
  <c r="M15" i="3"/>
  <c r="G39" i="3"/>
  <c r="J16" i="2"/>
  <c r="K3" i="2"/>
  <c r="K16" i="2" s="1"/>
  <c r="D34" i="3" l="1"/>
  <c r="G41" i="3"/>
  <c r="L20" i="3"/>
</calcChain>
</file>

<file path=xl/sharedStrings.xml><?xml version="1.0" encoding="utf-8"?>
<sst xmlns="http://schemas.openxmlformats.org/spreadsheetml/2006/main" count="668" uniqueCount="239">
  <si>
    <t>得意先別売上一覧表</t>
    <rPh sb="0" eb="2">
      <t>トクイ</t>
    </rPh>
    <rPh sb="2" eb="4">
      <t>サキベツ</t>
    </rPh>
    <rPh sb="4" eb="9">
      <t>ウリアゲイチランヒョウ</t>
    </rPh>
    <phoneticPr fontId="2"/>
  </si>
  <si>
    <t>得ＣＯ</t>
    <rPh sb="0" eb="1">
      <t>トク</t>
    </rPh>
    <phoneticPr fontId="2"/>
  </si>
  <si>
    <t>得意先名</t>
    <rPh sb="0" eb="2">
      <t>トクイ</t>
    </rPh>
    <rPh sb="2" eb="3">
      <t>サキ</t>
    </rPh>
    <rPh sb="3" eb="4">
      <t>メイ</t>
    </rPh>
    <phoneticPr fontId="2"/>
  </si>
  <si>
    <t>商ＣＯ</t>
    <rPh sb="0" eb="1">
      <t>ショウ</t>
    </rPh>
    <phoneticPr fontId="2"/>
  </si>
  <si>
    <t>商品名</t>
    <rPh sb="0" eb="3">
      <t>ショウヒンメイ</t>
    </rPh>
    <phoneticPr fontId="2"/>
  </si>
  <si>
    <t>定価</t>
    <rPh sb="0" eb="2">
      <t>テイカ</t>
    </rPh>
    <phoneticPr fontId="2"/>
  </si>
  <si>
    <t>売上数</t>
    <rPh sb="0" eb="2">
      <t>ウリアゲ</t>
    </rPh>
    <rPh sb="2" eb="3">
      <t>スウ</t>
    </rPh>
    <phoneticPr fontId="2"/>
  </si>
  <si>
    <t>売上額</t>
    <rPh sb="0" eb="3">
      <t>ウリアゲガク</t>
    </rPh>
    <phoneticPr fontId="2"/>
  </si>
  <si>
    <t>区分</t>
    <rPh sb="0" eb="2">
      <t>クブン</t>
    </rPh>
    <phoneticPr fontId="2"/>
  </si>
  <si>
    <t>値引率</t>
    <rPh sb="0" eb="3">
      <t>ネビキリツ</t>
    </rPh>
    <phoneticPr fontId="2"/>
  </si>
  <si>
    <t>値引額</t>
    <rPh sb="0" eb="3">
      <t>ネビキガク</t>
    </rPh>
    <phoneticPr fontId="2"/>
  </si>
  <si>
    <t>請求額</t>
    <rPh sb="0" eb="3">
      <t>セイキュウガク</t>
    </rPh>
    <phoneticPr fontId="2"/>
  </si>
  <si>
    <t>増量数</t>
    <rPh sb="0" eb="3">
      <t>ゾウリョウスウ</t>
    </rPh>
    <phoneticPr fontId="2"/>
  </si>
  <si>
    <t>評価</t>
    <rPh sb="0" eb="2">
      <t>ヒョウカ</t>
    </rPh>
    <phoneticPr fontId="2"/>
  </si>
  <si>
    <t>V101</t>
    <phoneticPr fontId="2"/>
  </si>
  <si>
    <t>V102</t>
  </si>
  <si>
    <t>W201</t>
    <phoneticPr fontId="2"/>
  </si>
  <si>
    <t>W202</t>
  </si>
  <si>
    <t>長谷川総業</t>
    <rPh sb="0" eb="3">
      <t>ハセガワ</t>
    </rPh>
    <rPh sb="3" eb="5">
      <t>ソウギョウ</t>
    </rPh>
    <phoneticPr fontId="2"/>
  </si>
  <si>
    <t>浅野ストア</t>
    <rPh sb="0" eb="2">
      <t>アサノ</t>
    </rPh>
    <phoneticPr fontId="2"/>
  </si>
  <si>
    <t>徳川百貨店</t>
    <rPh sb="0" eb="2">
      <t>トクガワ</t>
    </rPh>
    <rPh sb="2" eb="5">
      <t>ヒャッカテン</t>
    </rPh>
    <phoneticPr fontId="2"/>
  </si>
  <si>
    <t>マキノ商事</t>
    <rPh sb="3" eb="5">
      <t>ショウジ</t>
    </rPh>
    <phoneticPr fontId="2"/>
  </si>
  <si>
    <t>商品</t>
    <rPh sb="0" eb="2">
      <t>ショウヒン</t>
    </rPh>
    <phoneticPr fontId="2"/>
  </si>
  <si>
    <t>原価</t>
    <rPh sb="0" eb="2">
      <t>ゲンカ</t>
    </rPh>
    <phoneticPr fontId="2"/>
  </si>
  <si>
    <t>A</t>
    <phoneticPr fontId="2"/>
  </si>
  <si>
    <t>B</t>
    <phoneticPr fontId="2"/>
  </si>
  <si>
    <t>C</t>
    <phoneticPr fontId="2"/>
  </si>
  <si>
    <t>D</t>
    <phoneticPr fontId="2"/>
  </si>
  <si>
    <t>V</t>
    <phoneticPr fontId="2"/>
  </si>
  <si>
    <t>W</t>
    <phoneticPr fontId="2"/>
  </si>
  <si>
    <t>合計</t>
    <rPh sb="0" eb="2">
      <t>ゴウケイ</t>
    </rPh>
    <phoneticPr fontId="2"/>
  </si>
  <si>
    <t>主張諸手当計算表</t>
    <rPh sb="0" eb="2">
      <t>シュチョウ</t>
    </rPh>
    <rPh sb="2" eb="3">
      <t>ショ</t>
    </rPh>
    <rPh sb="3" eb="5">
      <t>テアテ</t>
    </rPh>
    <rPh sb="5" eb="8">
      <t>ケイサンヒョウ</t>
    </rPh>
    <phoneticPr fontId="2"/>
  </si>
  <si>
    <t>CO</t>
    <phoneticPr fontId="2"/>
  </si>
  <si>
    <t>社員名</t>
    <rPh sb="0" eb="2">
      <t>シャイン</t>
    </rPh>
    <rPh sb="2" eb="3">
      <t>メイ</t>
    </rPh>
    <phoneticPr fontId="2"/>
  </si>
  <si>
    <t>日数</t>
    <rPh sb="0" eb="2">
      <t>ヒスウ</t>
    </rPh>
    <phoneticPr fontId="2"/>
  </si>
  <si>
    <t>出張手当</t>
    <rPh sb="0" eb="2">
      <t>シュッチョウ</t>
    </rPh>
    <rPh sb="2" eb="4">
      <t>テアテ</t>
    </rPh>
    <phoneticPr fontId="2"/>
  </si>
  <si>
    <t>契約数</t>
    <rPh sb="0" eb="3">
      <t>ケイヤクスウ</t>
    </rPh>
    <phoneticPr fontId="2"/>
  </si>
  <si>
    <t>契約額(万)</t>
    <phoneticPr fontId="2"/>
  </si>
  <si>
    <t>平均契約額</t>
    <rPh sb="0" eb="2">
      <t>ヘイキン</t>
    </rPh>
    <phoneticPr fontId="2"/>
  </si>
  <si>
    <t>営業手当</t>
    <rPh sb="0" eb="2">
      <t>エイギョウ</t>
    </rPh>
    <rPh sb="2" eb="4">
      <t>テアテ</t>
    </rPh>
    <phoneticPr fontId="2"/>
  </si>
  <si>
    <t>査定</t>
    <rPh sb="0" eb="2">
      <t>サテイ</t>
    </rPh>
    <phoneticPr fontId="2"/>
  </si>
  <si>
    <t>奨励金</t>
    <rPh sb="0" eb="3">
      <t>ショウレイキン</t>
    </rPh>
    <phoneticPr fontId="2"/>
  </si>
  <si>
    <t>総支給額</t>
    <rPh sb="0" eb="1">
      <t>ソウ</t>
    </rPh>
    <rPh sb="1" eb="4">
      <t>シキュウガク</t>
    </rPh>
    <phoneticPr fontId="2"/>
  </si>
  <si>
    <t>101C</t>
    <phoneticPr fontId="2"/>
  </si>
  <si>
    <t>102B</t>
    <phoneticPr fontId="2"/>
  </si>
  <si>
    <t>103A</t>
    <phoneticPr fontId="2"/>
  </si>
  <si>
    <t>104B</t>
    <phoneticPr fontId="2"/>
  </si>
  <si>
    <t>田島　洋平</t>
  </si>
  <si>
    <t>田島　洋平</t>
    <rPh sb="0" eb="2">
      <t>タシマ</t>
    </rPh>
    <rPh sb="3" eb="5">
      <t>ヨウヘイ</t>
    </rPh>
    <phoneticPr fontId="2"/>
  </si>
  <si>
    <t>佐藤　緑子</t>
  </si>
  <si>
    <t>佐藤　緑子</t>
    <rPh sb="0" eb="2">
      <t>サトウ</t>
    </rPh>
    <rPh sb="3" eb="5">
      <t>ミドリコ</t>
    </rPh>
    <phoneticPr fontId="2"/>
  </si>
  <si>
    <t>久保田　光</t>
  </si>
  <si>
    <t>久保田　光</t>
    <rPh sb="0" eb="3">
      <t>クボタ</t>
    </rPh>
    <rPh sb="4" eb="5">
      <t>ヒカリ</t>
    </rPh>
    <phoneticPr fontId="2"/>
  </si>
  <si>
    <t>南　さくら</t>
  </si>
  <si>
    <t>南　さくら</t>
    <rPh sb="0" eb="1">
      <t>ミナミ</t>
    </rPh>
    <phoneticPr fontId="2"/>
  </si>
  <si>
    <t>B</t>
  </si>
  <si>
    <t>C</t>
  </si>
  <si>
    <t>**</t>
  </si>
  <si>
    <t>主張諸手当計算表(契約数160未満・奨励金17,000円以上)</t>
    <rPh sb="0" eb="2">
      <t>シュチョウ</t>
    </rPh>
    <rPh sb="2" eb="3">
      <t>ショ</t>
    </rPh>
    <rPh sb="3" eb="5">
      <t>テアテ</t>
    </rPh>
    <rPh sb="5" eb="8">
      <t>ケイサンヒョウ</t>
    </rPh>
    <rPh sb="15" eb="17">
      <t>ミマン</t>
    </rPh>
    <rPh sb="18" eb="21">
      <t>ショウレイキン</t>
    </rPh>
    <rPh sb="27" eb="28">
      <t>エン</t>
    </rPh>
    <rPh sb="28" eb="30">
      <t>イジョウ</t>
    </rPh>
    <phoneticPr fontId="2"/>
  </si>
  <si>
    <t>社員別集計表</t>
    <rPh sb="0" eb="2">
      <t>シャイン</t>
    </rPh>
    <rPh sb="2" eb="3">
      <t>ベツ</t>
    </rPh>
    <rPh sb="3" eb="6">
      <t>シュウケイヒョウ</t>
    </rPh>
    <phoneticPr fontId="2"/>
  </si>
  <si>
    <t>契約数が95以上の営業手当の最大</t>
    <rPh sb="0" eb="2">
      <t>ケイヤク</t>
    </rPh>
    <rPh sb="2" eb="3">
      <t>スウ</t>
    </rPh>
    <rPh sb="6" eb="8">
      <t>イジョウ</t>
    </rPh>
    <rPh sb="9" eb="11">
      <t>エイギョウ</t>
    </rPh>
    <rPh sb="11" eb="13">
      <t>テアテ</t>
    </rPh>
    <rPh sb="14" eb="16">
      <t>サイダイ</t>
    </rPh>
    <phoneticPr fontId="2"/>
  </si>
  <si>
    <t>平均契約額が27万円以下で査定が102以上の件数</t>
    <rPh sb="8" eb="10">
      <t>マンエン</t>
    </rPh>
    <rPh sb="10" eb="12">
      <t>イカ</t>
    </rPh>
    <rPh sb="13" eb="15">
      <t>サテイ</t>
    </rPh>
    <rPh sb="19" eb="21">
      <t>イジョウ</t>
    </rPh>
    <rPh sb="22" eb="24">
      <t>ケンスウ</t>
    </rPh>
    <phoneticPr fontId="2"/>
  </si>
  <si>
    <t>COが102B以外で日数が8日未満の総支給額の平均</t>
    <rPh sb="7" eb="9">
      <t>イガイ</t>
    </rPh>
    <rPh sb="10" eb="12">
      <t>ヒスウ</t>
    </rPh>
    <rPh sb="14" eb="15">
      <t>ニチ</t>
    </rPh>
    <rPh sb="15" eb="17">
      <t>ミマン</t>
    </rPh>
    <rPh sb="18" eb="19">
      <t>ソウ</t>
    </rPh>
    <rPh sb="19" eb="22">
      <t>シキュウガク</t>
    </rPh>
    <rPh sb="23" eb="25">
      <t>ヘイキン</t>
    </rPh>
    <phoneticPr fontId="2"/>
  </si>
  <si>
    <t>&gt;=95</t>
    <phoneticPr fontId="2"/>
  </si>
  <si>
    <t>&lt;=270000</t>
    <phoneticPr fontId="2"/>
  </si>
  <si>
    <t>&gt;=102</t>
    <phoneticPr fontId="2"/>
  </si>
  <si>
    <t>&lt;&gt;102B</t>
    <phoneticPr fontId="2"/>
  </si>
  <si>
    <t>&lt;8</t>
    <phoneticPr fontId="2"/>
  </si>
  <si>
    <t>輸入品利益額一覧表</t>
    <rPh sb="0" eb="3">
      <t>ユニュウヒン</t>
    </rPh>
    <rPh sb="3" eb="5">
      <t>リエキ</t>
    </rPh>
    <rPh sb="5" eb="6">
      <t>ガク</t>
    </rPh>
    <rPh sb="6" eb="9">
      <t>イチランヒョウ</t>
    </rPh>
    <phoneticPr fontId="2"/>
  </si>
  <si>
    <t>販ＣＯ</t>
    <rPh sb="0" eb="1">
      <t>ハン</t>
    </rPh>
    <phoneticPr fontId="2"/>
  </si>
  <si>
    <t>販売先名</t>
    <rPh sb="0" eb="4">
      <t>ハンバイサキメイ</t>
    </rPh>
    <phoneticPr fontId="2"/>
  </si>
  <si>
    <t>売価</t>
    <rPh sb="0" eb="2">
      <t>バイカ</t>
    </rPh>
    <phoneticPr fontId="2"/>
  </si>
  <si>
    <t>売上額</t>
    <rPh sb="0" eb="2">
      <t>ウリアゲ</t>
    </rPh>
    <rPh sb="2" eb="3">
      <t>ガク</t>
    </rPh>
    <phoneticPr fontId="2"/>
  </si>
  <si>
    <t>増量率</t>
    <rPh sb="0" eb="3">
      <t>ゾウリョウリツ</t>
    </rPh>
    <phoneticPr fontId="2"/>
  </si>
  <si>
    <t>増量数</t>
    <rPh sb="0" eb="2">
      <t>ゾウリョウ</t>
    </rPh>
    <rPh sb="2" eb="3">
      <t>スウ</t>
    </rPh>
    <phoneticPr fontId="2"/>
  </si>
  <si>
    <t>利益額</t>
    <rPh sb="0" eb="3">
      <t>リエキガク</t>
    </rPh>
    <phoneticPr fontId="2"/>
  </si>
  <si>
    <t>森山商店</t>
  </si>
  <si>
    <t>森山商店</t>
    <rPh sb="0" eb="2">
      <t>モリヤマ</t>
    </rPh>
    <rPh sb="2" eb="4">
      <t>ショウテン</t>
    </rPh>
    <phoneticPr fontId="2"/>
  </si>
  <si>
    <t>東海物産</t>
  </si>
  <si>
    <t>東海物産</t>
    <rPh sb="0" eb="2">
      <t>トウカイ</t>
    </rPh>
    <rPh sb="2" eb="4">
      <t>ブッサン</t>
    </rPh>
    <phoneticPr fontId="2"/>
  </si>
  <si>
    <t>ＳＢ商事</t>
  </si>
  <si>
    <t>ＳＢ商事</t>
    <rPh sb="2" eb="4">
      <t>ショウジ</t>
    </rPh>
    <phoneticPr fontId="2"/>
  </si>
  <si>
    <t>富士見屋</t>
    <rPh sb="0" eb="3">
      <t>フジミ</t>
    </rPh>
    <rPh sb="3" eb="4">
      <t>ヤ</t>
    </rPh>
    <phoneticPr fontId="2"/>
  </si>
  <si>
    <t>商品W</t>
    <phoneticPr fontId="2"/>
  </si>
  <si>
    <t>商品X</t>
  </si>
  <si>
    <t>商品X</t>
    <phoneticPr fontId="2"/>
  </si>
  <si>
    <t>商品Y</t>
  </si>
  <si>
    <t>商品Y</t>
    <phoneticPr fontId="2"/>
  </si>
  <si>
    <t>商品Z</t>
  </si>
  <si>
    <t>商品Z</t>
    <phoneticPr fontId="2"/>
  </si>
  <si>
    <t>適用為替</t>
    <rPh sb="0" eb="2">
      <t>テキヨウ</t>
    </rPh>
    <rPh sb="2" eb="4">
      <t>カワセ</t>
    </rPh>
    <phoneticPr fontId="2"/>
  </si>
  <si>
    <t>輸入品利益額一覧表(売上額110万円以上150万円未満)</t>
    <rPh sb="0" eb="3">
      <t>ユニュウヒン</t>
    </rPh>
    <rPh sb="3" eb="5">
      <t>リエキ</t>
    </rPh>
    <rPh sb="5" eb="6">
      <t>ガク</t>
    </rPh>
    <rPh sb="6" eb="9">
      <t>イチランヒョウ</t>
    </rPh>
    <rPh sb="10" eb="12">
      <t>ウリアゲ</t>
    </rPh>
    <rPh sb="12" eb="13">
      <t>ガク</t>
    </rPh>
    <rPh sb="17" eb="20">
      <t>エンイジョウ</t>
    </rPh>
    <rPh sb="23" eb="25">
      <t>マンエン</t>
    </rPh>
    <rPh sb="25" eb="27">
      <t>ミマン</t>
    </rPh>
    <phoneticPr fontId="2"/>
  </si>
  <si>
    <t>販売先別集計表</t>
    <rPh sb="0" eb="2">
      <t>ハンバイ</t>
    </rPh>
    <rPh sb="2" eb="4">
      <t>サキベツ</t>
    </rPh>
    <rPh sb="4" eb="7">
      <t>シュウケイヒョウ</t>
    </rPh>
    <phoneticPr fontId="2"/>
  </si>
  <si>
    <t>売上額が120万円以上で評価がB以外の利益額の最小</t>
    <rPh sb="7" eb="9">
      <t>マンエン</t>
    </rPh>
    <rPh sb="9" eb="11">
      <t>イジョウ</t>
    </rPh>
    <rPh sb="12" eb="14">
      <t>ヒョウカ</t>
    </rPh>
    <rPh sb="16" eb="18">
      <t>イガイ</t>
    </rPh>
    <rPh sb="19" eb="22">
      <t>リエキガク</t>
    </rPh>
    <rPh sb="23" eb="25">
      <t>サイショウ</t>
    </rPh>
    <phoneticPr fontId="2"/>
  </si>
  <si>
    <t>売上数570より多く670より少ない件数</t>
    <rPh sb="2" eb="3">
      <t>スウ</t>
    </rPh>
    <rPh sb="8" eb="9">
      <t>オオ</t>
    </rPh>
    <rPh sb="15" eb="16">
      <t>スク</t>
    </rPh>
    <rPh sb="18" eb="20">
      <t>ケンスウ</t>
    </rPh>
    <phoneticPr fontId="2"/>
  </si>
  <si>
    <t>増量数が30以上または利益額34万円以上の売上額の平均</t>
    <rPh sb="0" eb="2">
      <t>ゾウリョウ</t>
    </rPh>
    <rPh sb="2" eb="3">
      <t>スウ</t>
    </rPh>
    <rPh sb="6" eb="8">
      <t>イジョウ</t>
    </rPh>
    <rPh sb="11" eb="14">
      <t>リエキガク</t>
    </rPh>
    <rPh sb="16" eb="18">
      <t>マンエン</t>
    </rPh>
    <rPh sb="18" eb="20">
      <t>イジョウ</t>
    </rPh>
    <rPh sb="21" eb="24">
      <t>ウリアゲガク</t>
    </rPh>
    <rPh sb="25" eb="27">
      <t>ヘイキン</t>
    </rPh>
    <phoneticPr fontId="2"/>
  </si>
  <si>
    <t>&gt;=1200000</t>
    <phoneticPr fontId="2"/>
  </si>
  <si>
    <t>&lt;&gt;B</t>
    <phoneticPr fontId="2"/>
  </si>
  <si>
    <t>&gt;570</t>
    <phoneticPr fontId="2"/>
  </si>
  <si>
    <t>&lt;670</t>
    <phoneticPr fontId="2"/>
  </si>
  <si>
    <t>&gt;=30</t>
    <phoneticPr fontId="2"/>
  </si>
  <si>
    <t>&gt;=340000</t>
    <phoneticPr fontId="2"/>
  </si>
  <si>
    <t>取引先別販売一覧表</t>
    <rPh sb="0" eb="4">
      <t>トリヒキサキベツ</t>
    </rPh>
    <rPh sb="4" eb="6">
      <t>ハンバイ</t>
    </rPh>
    <rPh sb="6" eb="9">
      <t>イチランヒョウ</t>
    </rPh>
    <phoneticPr fontId="2"/>
  </si>
  <si>
    <t>取ＣＯ</t>
    <rPh sb="0" eb="1">
      <t>トリ</t>
    </rPh>
    <phoneticPr fontId="2"/>
  </si>
  <si>
    <t>取引先名</t>
    <rPh sb="3" eb="4">
      <t>メイ</t>
    </rPh>
    <phoneticPr fontId="2"/>
  </si>
  <si>
    <t>販売数</t>
    <rPh sb="0" eb="3">
      <t>ハンバイスウ</t>
    </rPh>
    <phoneticPr fontId="2"/>
  </si>
  <si>
    <t>利益率</t>
    <rPh sb="0" eb="3">
      <t>リエキリツ</t>
    </rPh>
    <phoneticPr fontId="2"/>
  </si>
  <si>
    <t>販売額</t>
    <rPh sb="0" eb="3">
      <t>ハンバイガク</t>
    </rPh>
    <phoneticPr fontId="2"/>
  </si>
  <si>
    <t>ポイント</t>
    <phoneticPr fontId="2"/>
  </si>
  <si>
    <t>判定</t>
    <rPh sb="0" eb="2">
      <t>ハンテイ</t>
    </rPh>
    <phoneticPr fontId="2"/>
  </si>
  <si>
    <t>東海ストア</t>
  </si>
  <si>
    <t>東海ストア</t>
    <rPh sb="0" eb="2">
      <t>トウカイ</t>
    </rPh>
    <phoneticPr fontId="2"/>
  </si>
  <si>
    <t>ＢＩＧ商事</t>
  </si>
  <si>
    <t>ＢＩＧ商事</t>
    <rPh sb="3" eb="5">
      <t>ショウジ</t>
    </rPh>
    <phoneticPr fontId="2"/>
  </si>
  <si>
    <t>マルハ商店</t>
  </si>
  <si>
    <t>マルハ商店</t>
    <rPh sb="3" eb="5">
      <t>ショウテン</t>
    </rPh>
    <phoneticPr fontId="2"/>
  </si>
  <si>
    <t>三共百貨店</t>
    <rPh sb="0" eb="1">
      <t>ミ</t>
    </rPh>
    <rPh sb="1" eb="2">
      <t>トモ</t>
    </rPh>
    <rPh sb="2" eb="5">
      <t>ヒャッカテン</t>
    </rPh>
    <phoneticPr fontId="2"/>
  </si>
  <si>
    <t>J商品</t>
    <phoneticPr fontId="2"/>
  </si>
  <si>
    <t>K商品</t>
  </si>
  <si>
    <t>K商品</t>
    <phoneticPr fontId="2"/>
  </si>
  <si>
    <t>L商品</t>
  </si>
  <si>
    <t>L商品</t>
    <phoneticPr fontId="2"/>
  </si>
  <si>
    <t>M商品</t>
  </si>
  <si>
    <t>M商品</t>
    <phoneticPr fontId="2"/>
  </si>
  <si>
    <t>良好</t>
  </si>
  <si>
    <t>取引先別販売一覧表（三共百貨店以外・販売額130万円未満）</t>
    <rPh sb="0" eb="4">
      <t>トリヒキサキベツ</t>
    </rPh>
    <rPh sb="4" eb="6">
      <t>ハンバイ</t>
    </rPh>
    <rPh sb="6" eb="9">
      <t>イチランヒョウ</t>
    </rPh>
    <rPh sb="15" eb="17">
      <t>イガイ</t>
    </rPh>
    <rPh sb="18" eb="21">
      <t>ハンバイガク</t>
    </rPh>
    <rPh sb="24" eb="26">
      <t>マンエン</t>
    </rPh>
    <rPh sb="26" eb="28">
      <t>ミマン</t>
    </rPh>
    <phoneticPr fontId="2"/>
  </si>
  <si>
    <t>取引先別集計表</t>
    <rPh sb="0" eb="3">
      <t>トリヒキサキ</t>
    </rPh>
    <rPh sb="3" eb="4">
      <t>ベツ</t>
    </rPh>
    <rPh sb="4" eb="7">
      <t>シュウケイヒョウ</t>
    </rPh>
    <phoneticPr fontId="2"/>
  </si>
  <si>
    <t>商品名がK商品以外の利益額の合計</t>
    <rPh sb="0" eb="3">
      <t>ショウヒンメイ</t>
    </rPh>
    <rPh sb="5" eb="7">
      <t>ショウヒン</t>
    </rPh>
    <rPh sb="7" eb="9">
      <t>イガイ</t>
    </rPh>
    <rPh sb="10" eb="13">
      <t>リエキガク</t>
    </rPh>
    <rPh sb="14" eb="16">
      <t>ゴウケイ</t>
    </rPh>
    <phoneticPr fontId="2"/>
  </si>
  <si>
    <t>販売数が510未満で売価が3,000円未満の販売額の最大</t>
    <rPh sb="0" eb="2">
      <t>ハンバイ</t>
    </rPh>
    <rPh sb="2" eb="3">
      <t>スウ</t>
    </rPh>
    <rPh sb="7" eb="9">
      <t>ミマン</t>
    </rPh>
    <rPh sb="10" eb="12">
      <t>バイカ</t>
    </rPh>
    <rPh sb="18" eb="19">
      <t>エン</t>
    </rPh>
    <rPh sb="19" eb="21">
      <t>ミマン</t>
    </rPh>
    <rPh sb="22" eb="25">
      <t>ハンバイガク</t>
    </rPh>
    <rPh sb="26" eb="28">
      <t>サイダイ</t>
    </rPh>
    <phoneticPr fontId="2"/>
  </si>
  <si>
    <t>利益率が24％超でポイントが20,000以上の件数</t>
    <rPh sb="0" eb="3">
      <t>リエキリツ</t>
    </rPh>
    <rPh sb="7" eb="8">
      <t>コ</t>
    </rPh>
    <rPh sb="16" eb="22">
      <t>000イジョウ</t>
    </rPh>
    <rPh sb="23" eb="25">
      <t>ケンスウ</t>
    </rPh>
    <phoneticPr fontId="2"/>
  </si>
  <si>
    <t>&lt;&gt;K商品</t>
    <phoneticPr fontId="2"/>
  </si>
  <si>
    <t>&lt;510</t>
    <phoneticPr fontId="2"/>
  </si>
  <si>
    <t>&lt;3000</t>
    <phoneticPr fontId="2"/>
  </si>
  <si>
    <t>&gt;24%</t>
    <phoneticPr fontId="2"/>
  </si>
  <si>
    <t>&gt;=20000</t>
    <phoneticPr fontId="2"/>
  </si>
  <si>
    <t>輸出品販売一覧表</t>
    <rPh sb="0" eb="3">
      <t>ユシュツヒン</t>
    </rPh>
    <rPh sb="3" eb="7">
      <t>ハンバイイチラン</t>
    </rPh>
    <rPh sb="7" eb="8">
      <t>ヒョウ</t>
    </rPh>
    <phoneticPr fontId="2"/>
  </si>
  <si>
    <t>決済日</t>
    <rPh sb="0" eb="2">
      <t>ケッサイ</t>
    </rPh>
    <rPh sb="2" eb="3">
      <t>ビ</t>
    </rPh>
    <phoneticPr fontId="2"/>
  </si>
  <si>
    <t>手数料率</t>
    <rPh sb="0" eb="3">
      <t>テスウリョウ</t>
    </rPh>
    <rPh sb="3" eb="4">
      <t>リツ</t>
    </rPh>
    <phoneticPr fontId="2"/>
  </si>
  <si>
    <t>売価(＄)</t>
    <rPh sb="0" eb="2">
      <t>バイカ</t>
    </rPh>
    <phoneticPr fontId="2"/>
  </si>
  <si>
    <t>手数料(＄)</t>
    <rPh sb="0" eb="3">
      <t>テスウリョウ</t>
    </rPh>
    <phoneticPr fontId="2"/>
  </si>
  <si>
    <t>販売額(＄)</t>
    <rPh sb="0" eb="3">
      <t>ハンバイガク</t>
    </rPh>
    <phoneticPr fontId="2"/>
  </si>
  <si>
    <t>協栄物産</t>
  </si>
  <si>
    <t>協栄物産</t>
    <rPh sb="0" eb="2">
      <t>キョウエイ</t>
    </rPh>
    <rPh sb="2" eb="4">
      <t>ブッサン</t>
    </rPh>
    <phoneticPr fontId="2"/>
  </si>
  <si>
    <t>中川商事</t>
  </si>
  <si>
    <t>中川商事</t>
    <rPh sb="0" eb="2">
      <t>ナカカワ</t>
    </rPh>
    <rPh sb="2" eb="4">
      <t>ショウジ</t>
    </rPh>
    <phoneticPr fontId="2"/>
  </si>
  <si>
    <t>ＳＫ貿易</t>
  </si>
  <si>
    <t>ＳＫ貿易</t>
    <rPh sb="2" eb="4">
      <t>ボウエキ</t>
    </rPh>
    <phoneticPr fontId="2"/>
  </si>
  <si>
    <t>東海総業</t>
  </si>
  <si>
    <t>東海総業</t>
    <rPh sb="0" eb="2">
      <t>トウカイ</t>
    </rPh>
    <rPh sb="2" eb="4">
      <t>ソウギョウ</t>
    </rPh>
    <phoneticPr fontId="2"/>
  </si>
  <si>
    <t>P商品</t>
  </si>
  <si>
    <t>P商品</t>
    <rPh sb="1" eb="3">
      <t>ショウヒン</t>
    </rPh>
    <phoneticPr fontId="2"/>
  </si>
  <si>
    <t>Q商品</t>
  </si>
  <si>
    <t>Q商品</t>
    <rPh sb="1" eb="3">
      <t>ショウヒン</t>
    </rPh>
    <phoneticPr fontId="2"/>
  </si>
  <si>
    <t>R商品</t>
  </si>
  <si>
    <t>R商品</t>
    <rPh sb="1" eb="3">
      <t>ショウヒン</t>
    </rPh>
    <phoneticPr fontId="2"/>
  </si>
  <si>
    <t>S商品</t>
  </si>
  <si>
    <t>S商品</t>
    <rPh sb="1" eb="3">
      <t>ショウヒン</t>
    </rPh>
    <phoneticPr fontId="2"/>
  </si>
  <si>
    <t>輸出品販売一覧表（販売数530以上630未満）</t>
    <rPh sb="0" eb="3">
      <t>ユシュツヒン</t>
    </rPh>
    <rPh sb="3" eb="7">
      <t>ハンバイイチラン</t>
    </rPh>
    <rPh sb="7" eb="8">
      <t>ヒョウ</t>
    </rPh>
    <rPh sb="9" eb="12">
      <t>ハンバイスウ</t>
    </rPh>
    <rPh sb="15" eb="17">
      <t>イジョウ</t>
    </rPh>
    <rPh sb="20" eb="22">
      <t>ミマン</t>
    </rPh>
    <phoneticPr fontId="2"/>
  </si>
  <si>
    <t>販売先別集計表</t>
    <rPh sb="0" eb="3">
      <t>ハンバイサキ</t>
    </rPh>
    <rPh sb="3" eb="4">
      <t>ベツ</t>
    </rPh>
    <rPh sb="4" eb="7">
      <t>シュウケイヒョウ</t>
    </rPh>
    <phoneticPr fontId="2"/>
  </si>
  <si>
    <t>商品名がR商品以外の販売額($)の平均</t>
    <rPh sb="0" eb="3">
      <t>ショウヒンメイ</t>
    </rPh>
    <rPh sb="5" eb="7">
      <t>ショウヒン</t>
    </rPh>
    <rPh sb="7" eb="9">
      <t>イガイ</t>
    </rPh>
    <rPh sb="10" eb="13">
      <t>ハンバイガク</t>
    </rPh>
    <rPh sb="17" eb="19">
      <t>ヘイキン</t>
    </rPh>
    <phoneticPr fontId="2"/>
  </si>
  <si>
    <t>販売数が630未満で手数料率が5.1%以上の件数</t>
    <rPh sb="0" eb="3">
      <t>ハンバイスウ</t>
    </rPh>
    <rPh sb="7" eb="9">
      <t>ミマン</t>
    </rPh>
    <rPh sb="10" eb="13">
      <t>テスウリョウ</t>
    </rPh>
    <rPh sb="13" eb="14">
      <t>リツ</t>
    </rPh>
    <rPh sb="19" eb="21">
      <t>イジョウ</t>
    </rPh>
    <rPh sb="22" eb="23">
      <t>ケン</t>
    </rPh>
    <rPh sb="23" eb="24">
      <t>スウ</t>
    </rPh>
    <phoneticPr fontId="2"/>
  </si>
  <si>
    <t>販売先名が中川商事または東海総業の販売数の最小</t>
    <rPh sb="0" eb="3">
      <t>ハンバイサキ</t>
    </rPh>
    <rPh sb="3" eb="4">
      <t>メイ</t>
    </rPh>
    <rPh sb="5" eb="7">
      <t>ナカガワ</t>
    </rPh>
    <rPh sb="7" eb="9">
      <t>ショウジ</t>
    </rPh>
    <rPh sb="12" eb="14">
      <t>トウカイ</t>
    </rPh>
    <rPh sb="14" eb="16">
      <t>ソウギョウ</t>
    </rPh>
    <rPh sb="17" eb="19">
      <t>ハンバイ</t>
    </rPh>
    <rPh sb="19" eb="20">
      <t>スウ</t>
    </rPh>
    <rPh sb="21" eb="23">
      <t>サイショウ</t>
    </rPh>
    <phoneticPr fontId="2"/>
  </si>
  <si>
    <t>&lt;&gt;R商品</t>
    <rPh sb="3" eb="5">
      <t>ショウヒン</t>
    </rPh>
    <phoneticPr fontId="2"/>
  </si>
  <si>
    <t>&lt;630</t>
    <phoneticPr fontId="2"/>
  </si>
  <si>
    <t>&gt;=5.1%</t>
    <phoneticPr fontId="2"/>
  </si>
  <si>
    <t>輸出品販売一覧表</t>
    <rPh sb="0" eb="2">
      <t>ユシュツ</t>
    </rPh>
    <rPh sb="2" eb="3">
      <t>ヒン</t>
    </rPh>
    <rPh sb="3" eb="5">
      <t>ハンバイ</t>
    </rPh>
    <rPh sb="5" eb="8">
      <t>イチランヒョウ</t>
    </rPh>
    <phoneticPr fontId="2"/>
  </si>
  <si>
    <t>売価($)</t>
    <rPh sb="0" eb="2">
      <t>バイカ</t>
    </rPh>
    <phoneticPr fontId="2"/>
  </si>
  <si>
    <t>手数料率</t>
    <rPh sb="0" eb="4">
      <t>テスウリョウリツ</t>
    </rPh>
    <phoneticPr fontId="2"/>
  </si>
  <si>
    <t>手数料($)</t>
    <rPh sb="0" eb="3">
      <t>テスウリョウ</t>
    </rPh>
    <phoneticPr fontId="2"/>
  </si>
  <si>
    <t>販売額($)</t>
    <rPh sb="0" eb="3">
      <t>ハンバイガク</t>
    </rPh>
    <phoneticPr fontId="2"/>
  </si>
  <si>
    <t>東海総業</t>
    <rPh sb="0" eb="4">
      <t>トウカイソウギョウ</t>
    </rPh>
    <phoneticPr fontId="2"/>
  </si>
  <si>
    <t>P商品</t>
    <phoneticPr fontId="2"/>
  </si>
  <si>
    <t>Q商品</t>
    <phoneticPr fontId="2"/>
  </si>
  <si>
    <t>R商品</t>
    <phoneticPr fontId="2"/>
  </si>
  <si>
    <t>S商品</t>
    <phoneticPr fontId="2"/>
  </si>
  <si>
    <t>輸出品販売一覧表（販売数が530以上630未満）</t>
    <rPh sb="0" eb="2">
      <t>ユシュツ</t>
    </rPh>
    <rPh sb="2" eb="3">
      <t>ヒン</t>
    </rPh>
    <rPh sb="3" eb="5">
      <t>ハンバイ</t>
    </rPh>
    <rPh sb="5" eb="8">
      <t>イチランヒョウ</t>
    </rPh>
    <rPh sb="16" eb="18">
      <t>イジョウ</t>
    </rPh>
    <rPh sb="21" eb="23">
      <t>ミマン</t>
    </rPh>
    <phoneticPr fontId="2"/>
  </si>
  <si>
    <t>販売先別集計表</t>
    <rPh sb="0" eb="4">
      <t>ハンバイサキベツ</t>
    </rPh>
    <rPh sb="4" eb="7">
      <t>シュウケイヒョウ</t>
    </rPh>
    <phoneticPr fontId="2"/>
  </si>
  <si>
    <t>販ＣＯ</t>
    <phoneticPr fontId="2"/>
  </si>
  <si>
    <t>平均</t>
    <rPh sb="0" eb="2">
      <t>ヘイキン</t>
    </rPh>
    <phoneticPr fontId="2"/>
  </si>
  <si>
    <t>件数</t>
    <rPh sb="0" eb="2">
      <t>ケンスウ</t>
    </rPh>
    <phoneticPr fontId="2"/>
  </si>
  <si>
    <t>最小</t>
    <rPh sb="0" eb="2">
      <t>サイショウ</t>
    </rPh>
    <phoneticPr fontId="2"/>
  </si>
  <si>
    <t>中川商事</t>
    <phoneticPr fontId="2"/>
  </si>
  <si>
    <t>東海総業</t>
    <phoneticPr fontId="2"/>
  </si>
  <si>
    <t>&lt;&gt;R商品</t>
    <phoneticPr fontId="2"/>
  </si>
  <si>
    <t>取引先別販売一覧表</t>
    <rPh sb="0" eb="2">
      <t>トリヒキ</t>
    </rPh>
    <rPh sb="2" eb="4">
      <t>サキベツ</t>
    </rPh>
    <rPh sb="4" eb="6">
      <t>ハンバイ</t>
    </rPh>
    <rPh sb="6" eb="9">
      <t>イチランヒョウ</t>
    </rPh>
    <phoneticPr fontId="2"/>
  </si>
  <si>
    <t>取CO</t>
    <rPh sb="0" eb="1">
      <t>トリ</t>
    </rPh>
    <phoneticPr fontId="2"/>
  </si>
  <si>
    <t>商CO</t>
    <rPh sb="0" eb="1">
      <t>ショウ</t>
    </rPh>
    <phoneticPr fontId="2"/>
  </si>
  <si>
    <t>取引先名</t>
    <rPh sb="0" eb="2">
      <t>トリヒキ</t>
    </rPh>
    <rPh sb="2" eb="4">
      <t>サキメイ</t>
    </rPh>
    <phoneticPr fontId="2"/>
  </si>
  <si>
    <t>三共百貨店</t>
    <rPh sb="0" eb="1">
      <t>サン</t>
    </rPh>
    <rPh sb="1" eb="2">
      <t>キョウ</t>
    </rPh>
    <rPh sb="2" eb="5">
      <t>ヒャッカテン</t>
    </rPh>
    <phoneticPr fontId="2"/>
  </si>
  <si>
    <t>努力</t>
  </si>
  <si>
    <t>取引先別集計表</t>
    <rPh sb="0" eb="4">
      <t>トリヒキサキベツ</t>
    </rPh>
    <rPh sb="4" eb="7">
      <t>シュウケイヒョウ</t>
    </rPh>
    <phoneticPr fontId="2"/>
  </si>
  <si>
    <t>商品名がK商品以外の利益額の合計</t>
    <rPh sb="0" eb="3">
      <t>ショウヒンメイ</t>
    </rPh>
    <rPh sb="5" eb="7">
      <t>ショウヒン</t>
    </rPh>
    <rPh sb="7" eb="9">
      <t>イガイ</t>
    </rPh>
    <rPh sb="10" eb="12">
      <t>リエキ</t>
    </rPh>
    <rPh sb="12" eb="13">
      <t>ガク</t>
    </rPh>
    <rPh sb="14" eb="16">
      <t>ゴウケイ</t>
    </rPh>
    <phoneticPr fontId="2"/>
  </si>
  <si>
    <t>販売数が510未満で売価が3,000円未満の販売額の最大</t>
    <rPh sb="0" eb="3">
      <t>ハンバイスウ</t>
    </rPh>
    <rPh sb="7" eb="9">
      <t>ミマン</t>
    </rPh>
    <rPh sb="10" eb="12">
      <t>バイカ</t>
    </rPh>
    <rPh sb="18" eb="19">
      <t>エン</t>
    </rPh>
    <rPh sb="19" eb="21">
      <t>ミマン</t>
    </rPh>
    <rPh sb="22" eb="25">
      <t>ハンバイガク</t>
    </rPh>
    <rPh sb="26" eb="28">
      <t>サイダイ</t>
    </rPh>
    <phoneticPr fontId="2"/>
  </si>
  <si>
    <t>利益率が24％超でポイントが20,000以上の件数</t>
    <rPh sb="0" eb="3">
      <t>リエキリツ</t>
    </rPh>
    <rPh sb="7" eb="8">
      <t>コ</t>
    </rPh>
    <rPh sb="20" eb="22">
      <t>イジョウ</t>
    </rPh>
    <rPh sb="23" eb="25">
      <t>ケンスウ</t>
    </rPh>
    <phoneticPr fontId="2"/>
  </si>
  <si>
    <t>取引先別販売一覧表（）</t>
    <rPh sb="0" eb="2">
      <t>トリヒキ</t>
    </rPh>
    <rPh sb="2" eb="4">
      <t>サキベツ</t>
    </rPh>
    <rPh sb="4" eb="6">
      <t>ハンバイ</t>
    </rPh>
    <rPh sb="6" eb="9">
      <t>イチランヒョウ</t>
    </rPh>
    <phoneticPr fontId="2"/>
  </si>
  <si>
    <t>貸会議室料金一覧表</t>
    <rPh sb="0" eb="1">
      <t>カシ</t>
    </rPh>
    <rPh sb="1" eb="4">
      <t>カイギシツ</t>
    </rPh>
    <rPh sb="4" eb="6">
      <t>リョウキン</t>
    </rPh>
    <rPh sb="6" eb="9">
      <t>イチランヒョウ</t>
    </rPh>
    <phoneticPr fontId="2"/>
  </si>
  <si>
    <t>会員名</t>
    <rPh sb="0" eb="2">
      <t>カイイン</t>
    </rPh>
    <rPh sb="2" eb="3">
      <t>メイ</t>
    </rPh>
    <phoneticPr fontId="2"/>
  </si>
  <si>
    <t>番号</t>
    <rPh sb="0" eb="2">
      <t>バンゴウ</t>
    </rPh>
    <phoneticPr fontId="2"/>
  </si>
  <si>
    <t>会議室名</t>
    <rPh sb="0" eb="3">
      <t>カイギシツ</t>
    </rPh>
    <rPh sb="3" eb="4">
      <t>メイ</t>
    </rPh>
    <phoneticPr fontId="2"/>
  </si>
  <si>
    <t>時間</t>
    <rPh sb="0" eb="2">
      <t>ジカン</t>
    </rPh>
    <phoneticPr fontId="2"/>
  </si>
  <si>
    <t>基本料金</t>
    <rPh sb="0" eb="2">
      <t>キホン</t>
    </rPh>
    <rPh sb="2" eb="4">
      <t>リョウキン</t>
    </rPh>
    <phoneticPr fontId="2"/>
  </si>
  <si>
    <t>超過料金</t>
    <rPh sb="0" eb="2">
      <t>チョウカ</t>
    </rPh>
    <rPh sb="2" eb="4">
      <t>リョウキン</t>
    </rPh>
    <phoneticPr fontId="2"/>
  </si>
  <si>
    <t>備CO</t>
    <rPh sb="0" eb="1">
      <t>ビ</t>
    </rPh>
    <phoneticPr fontId="2"/>
  </si>
  <si>
    <t>備品料金</t>
    <rPh sb="0" eb="2">
      <t>ビヒン</t>
    </rPh>
    <rPh sb="2" eb="4">
      <t>リョウキン</t>
    </rPh>
    <phoneticPr fontId="2"/>
  </si>
  <si>
    <t>光熱費</t>
    <rPh sb="0" eb="3">
      <t>コウネツヒ</t>
    </rPh>
    <phoneticPr fontId="2"/>
  </si>
  <si>
    <t>割引券</t>
    <rPh sb="0" eb="3">
      <t>ワリビキケン</t>
    </rPh>
    <phoneticPr fontId="2"/>
  </si>
  <si>
    <t>101D</t>
    <phoneticPr fontId="2"/>
  </si>
  <si>
    <t>102S</t>
    <phoneticPr fontId="2"/>
  </si>
  <si>
    <t>103G</t>
    <phoneticPr fontId="2"/>
  </si>
  <si>
    <t>104D</t>
    <phoneticPr fontId="2"/>
  </si>
  <si>
    <t>105G</t>
    <phoneticPr fontId="2"/>
  </si>
  <si>
    <t>東海工業会</t>
  </si>
  <si>
    <t>東海工業会</t>
    <rPh sb="0" eb="2">
      <t>トウカイ</t>
    </rPh>
    <rPh sb="2" eb="5">
      <t>コウギョウカイ</t>
    </rPh>
    <phoneticPr fontId="2"/>
  </si>
  <si>
    <t>ABS銀行</t>
    <rPh sb="3" eb="5">
      <t>ギンコウ</t>
    </rPh>
    <phoneticPr fontId="2"/>
  </si>
  <si>
    <t>たびクラブ</t>
    <phoneticPr fontId="2"/>
  </si>
  <si>
    <t>栄市商工会</t>
  </si>
  <si>
    <t>栄市商工会</t>
    <rPh sb="0" eb="1">
      <t>エイ</t>
    </rPh>
    <rPh sb="1" eb="2">
      <t>シ</t>
    </rPh>
    <rPh sb="2" eb="5">
      <t>ショウコウカイ</t>
    </rPh>
    <phoneticPr fontId="2"/>
  </si>
  <si>
    <t>久保田物産</t>
  </si>
  <si>
    <t>久保田物産</t>
    <rPh sb="0" eb="3">
      <t>クボタ</t>
    </rPh>
    <rPh sb="3" eb="5">
      <t>ブッサン</t>
    </rPh>
    <phoneticPr fontId="2"/>
  </si>
  <si>
    <t>大</t>
    <rPh sb="0" eb="1">
      <t>ダイ</t>
    </rPh>
    <phoneticPr fontId="2"/>
  </si>
  <si>
    <t>中</t>
    <rPh sb="0" eb="1">
      <t>チュウ</t>
    </rPh>
    <phoneticPr fontId="2"/>
  </si>
  <si>
    <t>小</t>
    <rPh sb="0" eb="1">
      <t>ショウ</t>
    </rPh>
    <phoneticPr fontId="2"/>
  </si>
  <si>
    <t>G</t>
    <phoneticPr fontId="2"/>
  </si>
  <si>
    <t>S</t>
    <phoneticPr fontId="2"/>
  </si>
  <si>
    <t>大11会議室</t>
  </si>
  <si>
    <t>中22会議室</t>
  </si>
  <si>
    <t>大13会議室</t>
  </si>
  <si>
    <t>中24会議室</t>
  </si>
  <si>
    <t>中25会議室</t>
  </si>
  <si>
    <t>大12会議室</t>
  </si>
  <si>
    <t>会員別集計表</t>
    <rPh sb="0" eb="2">
      <t>カイイン</t>
    </rPh>
    <rPh sb="2" eb="3">
      <t>ベツ</t>
    </rPh>
    <rPh sb="3" eb="6">
      <t>シュウケイヒョウ</t>
    </rPh>
    <phoneticPr fontId="2"/>
  </si>
  <si>
    <t>&gt;5</t>
    <phoneticPr fontId="2"/>
  </si>
  <si>
    <t>&gt;=5000</t>
    <phoneticPr fontId="2"/>
  </si>
  <si>
    <t>&gt;=20</t>
    <phoneticPr fontId="2"/>
  </si>
  <si>
    <t>番号が20番台の請求額の合計</t>
    <rPh sb="0" eb="2">
      <t>バンゴウ</t>
    </rPh>
    <rPh sb="5" eb="6">
      <t>バン</t>
    </rPh>
    <rPh sb="6" eb="7">
      <t>ダイ</t>
    </rPh>
    <rPh sb="8" eb="10">
      <t>セイキュウ</t>
    </rPh>
    <rPh sb="10" eb="11">
      <t>ガク</t>
    </rPh>
    <rPh sb="12" eb="14">
      <t>ゴウケイ</t>
    </rPh>
    <phoneticPr fontId="2"/>
  </si>
  <si>
    <t>時間が5より多く8より少ない光熱費の平均</t>
    <rPh sb="0" eb="2">
      <t>ジカン</t>
    </rPh>
    <rPh sb="6" eb="7">
      <t>オオ</t>
    </rPh>
    <rPh sb="11" eb="12">
      <t>スク</t>
    </rPh>
    <rPh sb="14" eb="17">
      <t>コウネツヒ</t>
    </rPh>
    <rPh sb="18" eb="20">
      <t>ヘイキン</t>
    </rPh>
    <phoneticPr fontId="2"/>
  </si>
  <si>
    <t>備品料金が5,000円以上の請求額の最大</t>
    <rPh sb="0" eb="2">
      <t>ビヒン</t>
    </rPh>
    <rPh sb="2" eb="4">
      <t>リョウキン</t>
    </rPh>
    <rPh sb="10" eb="13">
      <t>エンイジョウ</t>
    </rPh>
    <rPh sb="14" eb="17">
      <t>セイキュウガク</t>
    </rPh>
    <rPh sb="18" eb="20">
      <t>サイダイ</t>
    </rPh>
    <phoneticPr fontId="2"/>
  </si>
  <si>
    <t>貸会議室料金一覧表（ABS銀行以外・請求額10万円以上）</t>
    <rPh sb="0" eb="1">
      <t>カシ</t>
    </rPh>
    <rPh sb="1" eb="4">
      <t>カイギシツ</t>
    </rPh>
    <rPh sb="4" eb="6">
      <t>リョウキン</t>
    </rPh>
    <rPh sb="6" eb="9">
      <t>イチランヒョウ</t>
    </rPh>
    <rPh sb="13" eb="15">
      <t>ギンコウ</t>
    </rPh>
    <rPh sb="15" eb="17">
      <t>イガイ</t>
    </rPh>
    <rPh sb="18" eb="21">
      <t>セイキュウガク</t>
    </rPh>
    <rPh sb="23" eb="25">
      <t>マンエン</t>
    </rPh>
    <rPh sb="25" eb="27">
      <t>イジョウ</t>
    </rPh>
    <phoneticPr fontId="2"/>
  </si>
  <si>
    <t>&lt;30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</si>
</sst>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6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38" fontId="0" fillId="0" borderId="0" xfId="1" applyFont="1" applyAlignment="1"/>
    <xf numFmtId="0" fontId="0" fillId="0" borderId="1" xfId="0" applyBorder="1"/>
    <xf numFmtId="38" fontId="0" fillId="0" borderId="1" xfId="1" applyFont="1" applyBorder="1" applyAlignment="1"/>
    <xf numFmtId="176" fontId="0" fillId="0" borderId="1" xfId="2" applyNumberFormat="1" applyFont="1" applyBorder="1" applyAlignment="1"/>
    <xf numFmtId="38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38" fontId="0" fillId="0" borderId="8" xfId="1" applyFont="1" applyBorder="1" applyAlignment="1"/>
    <xf numFmtId="0" fontId="0" fillId="0" borderId="9" xfId="0" applyBorder="1"/>
    <xf numFmtId="38" fontId="0" fillId="0" borderId="0" xfId="0" applyNumberFormat="1"/>
    <xf numFmtId="38" fontId="0" fillId="0" borderId="8" xfId="0" applyNumberFormat="1" applyBorder="1"/>
    <xf numFmtId="0" fontId="0" fillId="0" borderId="0" xfId="0" applyBorder="1" applyAlignment="1">
      <alignment horizontal="center"/>
    </xf>
    <xf numFmtId="38" fontId="0" fillId="0" borderId="6" xfId="1" applyFont="1" applyBorder="1" applyAlignment="1"/>
    <xf numFmtId="38" fontId="0" fillId="0" borderId="9" xfId="1" applyFont="1" applyBorder="1" applyAlignment="1"/>
    <xf numFmtId="0" fontId="0" fillId="0" borderId="1" xfId="0" applyBorder="1"/>
    <xf numFmtId="38" fontId="0" fillId="0" borderId="4" xfId="1" applyFont="1" applyBorder="1" applyAlignment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9" fontId="0" fillId="0" borderId="0" xfId="0" applyNumberFormat="1"/>
    <xf numFmtId="9" fontId="0" fillId="0" borderId="1" xfId="2" applyNumberFormat="1" applyFont="1" applyBorder="1" applyAlignment="1"/>
    <xf numFmtId="0" fontId="0" fillId="0" borderId="5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56" fontId="0" fillId="0" borderId="0" xfId="0" applyNumberFormat="1"/>
    <xf numFmtId="56" fontId="0" fillId="0" borderId="1" xfId="0" applyNumberFormat="1" applyBorder="1"/>
    <xf numFmtId="40" fontId="0" fillId="0" borderId="8" xfId="1" applyNumberFormat="1" applyFont="1" applyBorder="1" applyAlignment="1"/>
    <xf numFmtId="40" fontId="0" fillId="0" borderId="9" xfId="1" applyNumberFormat="1" applyFont="1" applyBorder="1" applyAlignment="1"/>
    <xf numFmtId="2" fontId="0" fillId="0" borderId="4" xfId="0" applyNumberFormat="1" applyBorder="1"/>
    <xf numFmtId="0" fontId="0" fillId="0" borderId="11" xfId="0" applyBorder="1" applyAlignment="1">
      <alignment horizontal="center"/>
    </xf>
    <xf numFmtId="0" fontId="0" fillId="0" borderId="0" xfId="0" applyBorder="1"/>
    <xf numFmtId="40" fontId="0" fillId="0" borderId="1" xfId="1" applyNumberFormat="1" applyFont="1" applyBorder="1" applyAlignment="1"/>
    <xf numFmtId="40" fontId="0" fillId="0" borderId="6" xfId="1" applyNumberFormat="1" applyFont="1" applyBorder="1" applyAlignment="1"/>
    <xf numFmtId="0" fontId="0" fillId="0" borderId="0" xfId="0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0" xfId="0" applyBorder="1" applyAlignment="1">
      <alignment horizontal="center"/>
    </xf>
    <xf numFmtId="38" fontId="0" fillId="0" borderId="8" xfId="1" applyNumberFormat="1" applyFont="1" applyBorder="1" applyAlignment="1"/>
    <xf numFmtId="9" fontId="0" fillId="0" borderId="1" xfId="2" applyFont="1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社員別の集計グラフ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'1-3'!$B$29</c:f>
              <c:strCache>
                <c:ptCount val="1"/>
                <c:pt idx="0">
                  <c:v>出張手当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'1-3'!$A$30:$A$33</c:f>
              <c:strCache>
                <c:ptCount val="4"/>
                <c:pt idx="0">
                  <c:v>田島　洋平</c:v>
                </c:pt>
                <c:pt idx="1">
                  <c:v>佐藤　緑子</c:v>
                </c:pt>
                <c:pt idx="2">
                  <c:v>久保田　光</c:v>
                </c:pt>
                <c:pt idx="3">
                  <c:v>南　さくら</c:v>
                </c:pt>
              </c:strCache>
            </c:strRef>
          </c:cat>
          <c:val>
            <c:numRef>
              <c:f>'1-3'!$B$30:$B$33</c:f>
              <c:numCache>
                <c:formatCode>#,##0_);[Red]\(#,##0\)</c:formatCode>
                <c:ptCount val="4"/>
                <c:pt idx="0">
                  <c:v>41580</c:v>
                </c:pt>
                <c:pt idx="1">
                  <c:v>45320</c:v>
                </c:pt>
                <c:pt idx="2">
                  <c:v>45570</c:v>
                </c:pt>
                <c:pt idx="3">
                  <c:v>45320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D-455F-B08B-87C3EDA7EF4C}"/>
            </c:ext>
          </c:extLst>
        </c:ser>
        <c:ser>
          <c:idx val="1"/>
          <c:order val="1"/>
          <c:tx>
            <c:strRef>
              <c:f>'1-3'!$C$29</c:f>
              <c:strCache>
                <c:ptCount val="1"/>
                <c:pt idx="0">
                  <c:v>営業手当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'1-3'!$A$30:$A$33</c:f>
              <c:strCache>
                <c:ptCount val="4"/>
                <c:pt idx="0">
                  <c:v>田島　洋平</c:v>
                </c:pt>
                <c:pt idx="1">
                  <c:v>佐藤　緑子</c:v>
                </c:pt>
                <c:pt idx="2">
                  <c:v>久保田　光</c:v>
                </c:pt>
                <c:pt idx="3">
                  <c:v>南　さくら</c:v>
                </c:pt>
              </c:strCache>
            </c:strRef>
          </c:cat>
          <c:val>
            <c:numRef>
              <c:f>'1-3'!$C$30:$C$33</c:f>
              <c:numCache>
                <c:formatCode>#,##0_);[Red]\(#,##0\)</c:formatCode>
                <c:ptCount val="4"/>
                <c:pt idx="0">
                  <c:v>158400</c:v>
                </c:pt>
                <c:pt idx="1">
                  <c:v>187550</c:v>
                </c:pt>
                <c:pt idx="2">
                  <c:v>200690</c:v>
                </c:pt>
                <c:pt idx="3">
                  <c:v>195830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D-455F-B08B-87C3EDA7EF4C}"/>
            </c:ext>
          </c:extLst>
        </c:ser>
        <c:ser>
          <c:idx val="2"/>
          <c:order val="2"/>
          <c:tx>
            <c:strRef>
              <c:f>'1-3'!$D$29</c:f>
              <c:strCache>
                <c:ptCount val="1"/>
                <c:pt idx="0">
                  <c:v>奨励金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'1-3'!$A$30:$A$33</c:f>
              <c:strCache>
                <c:ptCount val="4"/>
                <c:pt idx="0">
                  <c:v>田島　洋平</c:v>
                </c:pt>
                <c:pt idx="1">
                  <c:v>佐藤　緑子</c:v>
                </c:pt>
                <c:pt idx="2">
                  <c:v>久保田　光</c:v>
                </c:pt>
                <c:pt idx="3">
                  <c:v>南　さくら</c:v>
                </c:pt>
              </c:strCache>
            </c:strRef>
          </c:cat>
          <c:val>
            <c:numRef>
              <c:f>'1-3'!$D$30:$D$33</c:f>
              <c:numCache>
                <c:formatCode>#,##0_);[Red]\(#,##0\)</c:formatCode>
                <c:ptCount val="4"/>
                <c:pt idx="0">
                  <c:v>53460</c:v>
                </c:pt>
                <c:pt idx="1">
                  <c:v>54650</c:v>
                </c:pt>
                <c:pt idx="2">
                  <c:v>55410</c:v>
                </c:pt>
                <c:pt idx="3">
                  <c:v>54510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BD-455F-B08B-87C3EDA7E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554319"/>
        <c:axId val="388316703"/>
      </c:barChart>
      <c:catAx>
        <c:axId val="181554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8316703"/>
        <c:crosses val="autoZero"/>
        <c:auto val="1"/>
        <c:lblAlgn val="ctr"/>
        <c:lblOffset val="100"/>
        <c:noMultiLvlLbl val="0"/>
      </c:catAx>
      <c:valAx>
        <c:axId val="38831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55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利益額の構成比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'1-6'!$D$33</c:f>
              <c:strCache>
                <c:ptCount val="1"/>
                <c:pt idx="0">
                  <c:v>利益額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E5-4151-81DB-C4205C635D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E5-4151-81DB-C4205C635D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6E5-4151-81DB-C4205C635DB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6E5-4151-81DB-C4205C635DBA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'1-6'!$A$34:$A$37</c:f>
              <c:strCache>
                <c:ptCount val="4"/>
                <c:pt idx="0">
                  <c:v>森山商店</c:v>
                </c:pt>
                <c:pt idx="1">
                  <c:v>東海物産</c:v>
                </c:pt>
                <c:pt idx="2">
                  <c:v>ＳＢ商事</c:v>
                </c:pt>
                <c:pt idx="3">
                  <c:v>富士見屋</c:v>
                </c:pt>
              </c:strCache>
            </c:strRef>
          </c:cat>
          <c:val>
            <c:numRef>
              <c:f>'1-6'!$D$34:$D$37</c:f>
              <c:numCache>
                <c:formatCode>#,##0_);[Red]\(#,##0\)</c:formatCode>
                <c:ptCount val="4"/>
                <c:pt idx="0">
                  <c:v>1122251</c:v>
                </c:pt>
                <c:pt idx="1">
                  <c:v>1280197</c:v>
                </c:pt>
                <c:pt idx="2">
                  <c:v>1323971</c:v>
                </c:pt>
                <c:pt idx="3">
                  <c:v>1421898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3-4873-8A9D-468DC21A2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取引先別の利益額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'1-8'!$D$34</c:f>
              <c:strCache>
                <c:ptCount val="1"/>
                <c:pt idx="0">
                  <c:v>利益額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'1-8'!$A$35:$A$38</c:f>
              <c:strCache>
                <c:ptCount val="4"/>
                <c:pt idx="0">
                  <c:v>東海ストア</c:v>
                </c:pt>
                <c:pt idx="1">
                  <c:v>ＢＩＧ商事</c:v>
                </c:pt>
                <c:pt idx="2">
                  <c:v>マルハ商店</c:v>
                </c:pt>
                <c:pt idx="3">
                  <c:v>三共百貨店</c:v>
                </c:pt>
              </c:strCache>
            </c:strRef>
          </c:cat>
          <c:val>
            <c:numRef>
              <c:f>'1-8'!$D$35:$D$38</c:f>
              <c:numCache>
                <c:formatCode>#,##0_);[Red]\(#,##0\)</c:formatCode>
                <c:ptCount val="4"/>
                <c:pt idx="0">
                  <c:v>792099</c:v>
                </c:pt>
                <c:pt idx="1">
                  <c:v>671912</c:v>
                </c:pt>
                <c:pt idx="2">
                  <c:v>736402</c:v>
                </c:pt>
                <c:pt idx="3">
                  <c:v>777985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1-4839-9C0E-264984092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9457487"/>
        <c:axId val="388307967"/>
      </c:barChart>
      <c:catAx>
        <c:axId val="389457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8307967"/>
        <c:crosses val="autoZero"/>
        <c:auto val="1"/>
        <c:lblAlgn val="ctr"/>
        <c:lblOffset val="100"/>
        <c:noMultiLvlLbl val="0"/>
      </c:catAx>
      <c:valAx>
        <c:axId val="38830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945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販売額</a:t>
            </a:r>
            <a:r>
              <a:rPr lang="en-US" altLang="ja-JP"/>
              <a:t>(</a:t>
            </a:r>
            <a:r>
              <a:rPr lang="ja-JP" altLang="en-US"/>
              <a:t>＄</a:t>
            </a:r>
            <a:r>
              <a:rPr lang="en-US" altLang="ja-JP"/>
              <a:t>)</a:t>
            </a:r>
            <a:r>
              <a:rPr lang="ja-JP" altLang="en-US"/>
              <a:t>の構成比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'1-10'!$D$34</c:f>
              <c:strCache>
                <c:ptCount val="1"/>
                <c:pt idx="0">
                  <c:v>販売額(＄)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2E-44F2-A7FE-673FD8B1A5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2E-44F2-A7FE-673FD8B1A5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2E-44F2-A7FE-673FD8B1A5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2E-44F2-A7FE-673FD8B1A5D6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'1-10'!$A$35:$A$38</c:f>
              <c:strCache>
                <c:ptCount val="4"/>
                <c:pt idx="0">
                  <c:v>協栄物産</c:v>
                </c:pt>
                <c:pt idx="1">
                  <c:v>中川商事</c:v>
                </c:pt>
                <c:pt idx="2">
                  <c:v>ＳＫ貿易</c:v>
                </c:pt>
                <c:pt idx="3">
                  <c:v>東海総業</c:v>
                </c:pt>
              </c:strCache>
            </c:strRef>
          </c:cat>
          <c:val>
            <c:numRef>
              <c:f>'1-10'!$D$35:$D$38</c:f>
              <c:numCache>
                <c:formatCode>#,##0.00_);[Red]\(#,##0.00\)</c:formatCode>
                <c:ptCount val="4"/>
                <c:pt idx="0">
                  <c:v>39033.93</c:v>
                </c:pt>
                <c:pt idx="1">
                  <c:v>46239.740000000005</c:v>
                </c:pt>
                <c:pt idx="2">
                  <c:v>45717.08</c:v>
                </c:pt>
                <c:pt idx="3">
                  <c:v>49994.2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3-4585-B98D-B583517022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販売額</a:t>
            </a:r>
            <a:r>
              <a:rPr lang="en-US" altLang="ja-JP"/>
              <a:t>($)</a:t>
            </a:r>
            <a:r>
              <a:rPr lang="ja-JP" altLang="en-US"/>
              <a:t>の構成比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Sheet2!$D$34</c:f>
              <c:strCache>
                <c:ptCount val="1"/>
                <c:pt idx="0">
                  <c:v>販売額($)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Sheet2!$A$35:$A$38</c:f>
              <c:strCache>
                <c:ptCount val="4"/>
                <c:pt idx="0">
                  <c:v>協栄物産</c:v>
                </c:pt>
                <c:pt idx="1">
                  <c:v>中川商事</c:v>
                </c:pt>
                <c:pt idx="2">
                  <c:v>ＳＫ貿易</c:v>
                </c:pt>
                <c:pt idx="3">
                  <c:v>東海総業</c:v>
                </c:pt>
              </c:strCache>
            </c:strRef>
          </c:cat>
          <c:val>
            <c:numRef>
              <c:f>Sheet2!$D$35:$D$38</c:f>
              <c:numCache>
                <c:formatCode>#,##0.00_);[Red]\(#,##0.00\)</c:formatCode>
                <c:ptCount val="4"/>
                <c:pt idx="0">
                  <c:v>39033.93</c:v>
                </c:pt>
                <c:pt idx="1">
                  <c:v>46239.740000000005</c:v>
                </c:pt>
                <c:pt idx="2">
                  <c:v>45717.08</c:v>
                </c:pt>
                <c:pt idx="3">
                  <c:v>49994.2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D-465D-8581-5C0B890A63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landscape" horizontalDpi="1200" verticalDpi="12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取引先別の利益額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steam!$D$34</c:f>
              <c:strCache>
                <c:ptCount val="1"/>
                <c:pt idx="0">
                  <c:v>利益額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steam!$A$35:$A$38</c:f>
              <c:strCache>
                <c:ptCount val="4"/>
                <c:pt idx="0">
                  <c:v>東海ストア</c:v>
                </c:pt>
                <c:pt idx="1">
                  <c:v>ＢＩＧ商事</c:v>
                </c:pt>
                <c:pt idx="2">
                  <c:v>マルハ商店</c:v>
                </c:pt>
                <c:pt idx="3">
                  <c:v>三共百貨店</c:v>
                </c:pt>
              </c:strCache>
            </c:strRef>
          </c:cat>
          <c:val>
            <c:numRef>
              <c:f>steam!$D$35:$D$38</c:f>
              <c:numCache>
                <c:formatCode>#,##0_);[Red]\(#,##0\)</c:formatCode>
                <c:ptCount val="4"/>
                <c:pt idx="0">
                  <c:v>792099</c:v>
                </c:pt>
                <c:pt idx="1">
                  <c:v>671912</c:v>
                </c:pt>
                <c:pt idx="2">
                  <c:v>736402</c:v>
                </c:pt>
                <c:pt idx="3">
                  <c:v>777985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A-4453-BA11-8814B4832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17114607"/>
        <c:axId val="1035320831"/>
      </c:barChart>
      <c:catAx>
        <c:axId val="1317114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320831"/>
        <c:crosses val="autoZero"/>
        <c:auto val="1"/>
        <c:lblAlgn val="ctr"/>
        <c:lblOffset val="100"/>
        <c:noMultiLvlLbl val="0"/>
      </c:catAx>
      <c:valAx>
        <c:axId val="103532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711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会員別の集計グラフ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'1-5'!$B$33</c:f>
              <c:strCache>
                <c:ptCount val="1"/>
                <c:pt idx="0">
                  <c:v>基本料金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'1-5'!$A$34:$A$38</c:f>
              <c:strCache>
                <c:ptCount val="5"/>
                <c:pt idx="0">
                  <c:v>東海工業会</c:v>
                </c:pt>
                <c:pt idx="1">
                  <c:v>ABS銀行</c:v>
                </c:pt>
                <c:pt idx="2">
                  <c:v>たびクラブ</c:v>
                </c:pt>
                <c:pt idx="3">
                  <c:v>栄市商工会</c:v>
                </c:pt>
                <c:pt idx="4">
                  <c:v>久保田物産</c:v>
                </c:pt>
              </c:strCache>
            </c:strRef>
          </c:cat>
          <c:val>
            <c:numRef>
              <c:f>'1-5'!$B$34:$B$38</c:f>
              <c:numCache>
                <c:formatCode>#,##0_);[Red]\(#,##0\)</c:formatCode>
                <c:ptCount val="5"/>
                <c:pt idx="0">
                  <c:v>367740</c:v>
                </c:pt>
                <c:pt idx="1">
                  <c:v>367740</c:v>
                </c:pt>
                <c:pt idx="2">
                  <c:v>147360</c:v>
                </c:pt>
                <c:pt idx="3">
                  <c:v>235230</c:v>
                </c:pt>
                <c:pt idx="4">
                  <c:v>235230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A-496E-B64B-D304D0475541}"/>
            </c:ext>
          </c:extLst>
        </c:ser>
        <c:ser>
          <c:idx val="1"/>
          <c:order val="1"/>
          <c:tx>
            <c:strRef>
              <c:f>'1-5'!$C$33</c:f>
              <c:strCache>
                <c:ptCount val="1"/>
                <c:pt idx="0">
                  <c:v>超過料金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'1-5'!$A$34:$A$38</c:f>
              <c:strCache>
                <c:ptCount val="5"/>
                <c:pt idx="0">
                  <c:v>東海工業会</c:v>
                </c:pt>
                <c:pt idx="1">
                  <c:v>ABS銀行</c:v>
                </c:pt>
                <c:pt idx="2">
                  <c:v>たびクラブ</c:v>
                </c:pt>
                <c:pt idx="3">
                  <c:v>栄市商工会</c:v>
                </c:pt>
                <c:pt idx="4">
                  <c:v>久保田物産</c:v>
                </c:pt>
              </c:strCache>
            </c:strRef>
          </c:cat>
          <c:val>
            <c:numRef>
              <c:f>'1-5'!$C$34:$C$38</c:f>
              <c:numCache>
                <c:formatCode>#,##0_);[Red]\(#,##0\)</c:formatCode>
                <c:ptCount val="5"/>
                <c:pt idx="0">
                  <c:v>35310</c:v>
                </c:pt>
                <c:pt idx="1">
                  <c:v>0</c:v>
                </c:pt>
                <c:pt idx="2">
                  <c:v>51870</c:v>
                </c:pt>
                <c:pt idx="3">
                  <c:v>45160</c:v>
                </c:pt>
                <c:pt idx="4">
                  <c:v>37630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8A-496E-B64B-D304D0475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5640911"/>
        <c:axId val="1324026415"/>
      </c:barChart>
      <c:catAx>
        <c:axId val="131564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4026415"/>
        <c:crosses val="autoZero"/>
        <c:auto val="1"/>
        <c:lblAlgn val="ctr"/>
        <c:lblOffset val="100"/>
        <c:noMultiLvlLbl val="0"/>
      </c:catAx>
      <c:valAx>
        <c:axId val="132402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564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</xdr:colOff>
      <xdr:row>38</xdr:row>
      <xdr:rowOff>219075</xdr:rowOff>
    </xdr:from>
    <xdr:to>
      <xdr:col>6</xdr:col>
      <xdr:colOff>309562</xdr:colOff>
      <xdr:row>50</xdr:row>
      <xdr:rowOff>104775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5E940BE-5117-44FD-A10B-5A6B664C9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47625</xdr:rowOff>
    </xdr:from>
    <xdr:to>
      <xdr:col>6</xdr:col>
      <xdr:colOff>514350</xdr:colOff>
      <xdr:row>53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FFA0DDA-076A-477E-AE39-B62A8E65A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19050</xdr:rowOff>
    </xdr:from>
    <xdr:to>
      <xdr:col>6</xdr:col>
      <xdr:colOff>180975</xdr:colOff>
      <xdr:row>54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088E08B-19CA-4F5E-89F2-1D96008F0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47625</xdr:rowOff>
    </xdr:from>
    <xdr:to>
      <xdr:col>6</xdr:col>
      <xdr:colOff>457200</xdr:colOff>
      <xdr:row>54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8BFEEB3-1CCE-4038-AF17-DEFB05A21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0</xdr:rowOff>
    </xdr:from>
    <xdr:to>
      <xdr:col>6</xdr:col>
      <xdr:colOff>457200</xdr:colOff>
      <xdr:row>54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DEAE1C6-AD0A-4BF9-9B98-510FAE69E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43</xdr:row>
      <xdr:rowOff>0</xdr:rowOff>
    </xdr:from>
    <xdr:to>
      <xdr:col>7</xdr:col>
      <xdr:colOff>447675</xdr:colOff>
      <xdr:row>54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08A0A4E-C2D6-4C67-A13E-0B3CD1F21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43</xdr:row>
      <xdr:rowOff>9525</xdr:rowOff>
    </xdr:from>
    <xdr:to>
      <xdr:col>7</xdr:col>
      <xdr:colOff>352425</xdr:colOff>
      <xdr:row>54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AE5EC33-E0C5-425F-9A97-348C62329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workbookViewId="0">
      <selection activeCell="L22" sqref="L22"/>
    </sheetView>
  </sheetViews>
  <sheetFormatPr defaultRowHeight="18.75"/>
  <cols>
    <col min="1" max="1" width="7.125" bestFit="1" customWidth="1"/>
    <col min="2" max="2" width="11" bestFit="1" customWidth="1"/>
    <col min="3" max="4" width="7.125" bestFit="1" customWidth="1"/>
    <col min="5" max="5" width="6" bestFit="1" customWidth="1"/>
    <col min="6" max="6" width="7.125" bestFit="1" customWidth="1"/>
    <col min="7" max="7" width="10.5" bestFit="1" customWidth="1"/>
    <col min="8" max="8" width="5.25" bestFit="1" customWidth="1"/>
    <col min="9" max="9" width="7.125" bestFit="1" customWidth="1"/>
    <col min="10" max="10" width="9.5" bestFit="1" customWidth="1"/>
    <col min="11" max="11" width="10.5" bestFit="1" customWidth="1"/>
    <col min="12" max="12" width="7.125" bestFit="1" customWidth="1"/>
    <col min="13" max="13" width="5.25" bestFit="1" customWidth="1"/>
    <col min="15" max="15" width="7.125" bestFit="1" customWidth="1"/>
    <col min="16" max="16" width="11" bestFit="1" customWidth="1"/>
    <col min="17" max="17" width="6" bestFit="1" customWidth="1"/>
  </cols>
  <sheetData>
    <row r="1" spans="1:17" ht="19.5" thickBot="1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7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10" t="s">
        <v>13</v>
      </c>
      <c r="O2" t="s">
        <v>1</v>
      </c>
      <c r="P2" t="s">
        <v>2</v>
      </c>
    </row>
    <row r="3" spans="1:17">
      <c r="A3" s="11" t="s">
        <v>14</v>
      </c>
      <c r="B3" s="4" t="str">
        <f>VLOOKUP(A3,$O$2:$P$6,2,0)</f>
        <v>長谷川総業</v>
      </c>
      <c r="C3" s="4">
        <v>11</v>
      </c>
      <c r="D3" s="4" t="str">
        <f>VLOOKUP(C3,$O$8:$Q$12,2,0)&amp;"商品"</f>
        <v>A商品</v>
      </c>
      <c r="E3" s="5">
        <f>ROUND(VLOOKUP(C3,$O$8:$Q$12,3,FALSE)*1.3,-1)</f>
        <v>1890</v>
      </c>
      <c r="F3" s="4">
        <v>627</v>
      </c>
      <c r="G3" s="5">
        <f>E3*F3</f>
        <v>1185030</v>
      </c>
      <c r="H3" s="4" t="str">
        <f>LEFT(A3,1)</f>
        <v>V</v>
      </c>
      <c r="I3" s="6">
        <f>IF(F3&lt;=580, 5.1%,VLOOKUP(H3,$O$14:$P$16,2,0))</f>
        <v>7.2999999999999995E-2</v>
      </c>
      <c r="J3" s="5">
        <f>ROUNDUP(G3*I3,-2)</f>
        <v>86600</v>
      </c>
      <c r="K3" s="7">
        <f>G3-J3</f>
        <v>1098430</v>
      </c>
      <c r="L3" s="4">
        <f>INT(IF(F3&gt;630,F3*5.8%,F3*4.9%))</f>
        <v>30</v>
      </c>
      <c r="M3" s="12" t="str">
        <f>IF(AND(F3&lt;760,K3&gt;=1120000),"***",IF(AND(F3&lt;760,K3&gt;=870000),"**","*"))</f>
        <v>**</v>
      </c>
      <c r="O3" t="s">
        <v>14</v>
      </c>
      <c r="P3" t="s">
        <v>18</v>
      </c>
    </row>
    <row r="4" spans="1:17">
      <c r="A4" s="11" t="s">
        <v>14</v>
      </c>
      <c r="B4" s="4" t="str">
        <f t="shared" ref="B4:B18" si="0">VLOOKUP(A4,$O$2:$P$6,2,0)</f>
        <v>長谷川総業</v>
      </c>
      <c r="C4" s="4">
        <v>12</v>
      </c>
      <c r="D4" s="4" t="str">
        <f t="shared" ref="D4:D18" si="1">VLOOKUP(C4,$O$8:$Q$12,2,0)&amp;"商品"</f>
        <v>B商品</v>
      </c>
      <c r="E4" s="5">
        <f t="shared" ref="E4:E18" si="2">ROUND(VLOOKUP(C4,$O$8:$Q$12,3,FALSE)*1.3,-1)</f>
        <v>1810</v>
      </c>
      <c r="F4" s="4">
        <v>729</v>
      </c>
      <c r="G4" s="5">
        <f t="shared" ref="G4:G18" si="3">E4*F4</f>
        <v>1319490</v>
      </c>
      <c r="H4" s="4" t="str">
        <f t="shared" ref="H4:H18" si="4">LEFT(A4,1)</f>
        <v>V</v>
      </c>
      <c r="I4" s="6">
        <f t="shared" ref="I4:I18" si="5">IF(F4&lt;=580, 5.1%,VLOOKUP(H4,$O$14:$P$16,2,0))</f>
        <v>7.2999999999999995E-2</v>
      </c>
      <c r="J4" s="5">
        <f t="shared" ref="J4:J18" si="6">ROUNDUP(G4*I4,-2)</f>
        <v>96400</v>
      </c>
      <c r="K4" s="7">
        <f t="shared" ref="K4:K18" si="7">G4-J4</f>
        <v>1223090</v>
      </c>
      <c r="L4" s="4">
        <f t="shared" ref="L4:L18" si="8">INT(IF(F4&gt;630,F4*5.8%,F4*4.9%))</f>
        <v>42</v>
      </c>
      <c r="M4" s="12" t="str">
        <f t="shared" ref="M4:M18" si="9">IF(AND(F4&lt;760,K4&gt;=1120000),"***",IF(AND(F4&lt;760,K4&gt;=870000),"**","*"))</f>
        <v>***</v>
      </c>
      <c r="O4" t="s">
        <v>15</v>
      </c>
      <c r="P4" t="s">
        <v>19</v>
      </c>
    </row>
    <row r="5" spans="1:17">
      <c r="A5" s="11" t="s">
        <v>14</v>
      </c>
      <c r="B5" s="4" t="str">
        <f t="shared" si="0"/>
        <v>長谷川総業</v>
      </c>
      <c r="C5" s="4">
        <v>13</v>
      </c>
      <c r="D5" s="4" t="str">
        <f t="shared" si="1"/>
        <v>C商品</v>
      </c>
      <c r="E5" s="5">
        <f t="shared" si="2"/>
        <v>1670</v>
      </c>
      <c r="F5" s="4">
        <v>540</v>
      </c>
      <c r="G5" s="5">
        <f t="shared" si="3"/>
        <v>901800</v>
      </c>
      <c r="H5" s="4" t="str">
        <f t="shared" si="4"/>
        <v>V</v>
      </c>
      <c r="I5" s="6">
        <f t="shared" si="5"/>
        <v>5.0999999999999997E-2</v>
      </c>
      <c r="J5" s="5">
        <f t="shared" si="6"/>
        <v>46000</v>
      </c>
      <c r="K5" s="7">
        <f t="shared" si="7"/>
        <v>855800</v>
      </c>
      <c r="L5" s="4">
        <f t="shared" si="8"/>
        <v>26</v>
      </c>
      <c r="M5" s="12" t="str">
        <f t="shared" si="9"/>
        <v>*</v>
      </c>
      <c r="O5" t="s">
        <v>16</v>
      </c>
      <c r="P5" t="s">
        <v>20</v>
      </c>
    </row>
    <row r="6" spans="1:17">
      <c r="A6" s="11" t="s">
        <v>14</v>
      </c>
      <c r="B6" s="4" t="str">
        <f t="shared" si="0"/>
        <v>長谷川総業</v>
      </c>
      <c r="C6" s="4">
        <v>14</v>
      </c>
      <c r="D6" s="4" t="str">
        <f t="shared" si="1"/>
        <v>D商品</v>
      </c>
      <c r="E6" s="5">
        <f t="shared" si="2"/>
        <v>2010</v>
      </c>
      <c r="F6" s="4">
        <v>557</v>
      </c>
      <c r="G6" s="5">
        <f t="shared" si="3"/>
        <v>1119570</v>
      </c>
      <c r="H6" s="4" t="str">
        <f t="shared" si="4"/>
        <v>V</v>
      </c>
      <c r="I6" s="6">
        <f t="shared" si="5"/>
        <v>5.0999999999999997E-2</v>
      </c>
      <c r="J6" s="5">
        <f t="shared" si="6"/>
        <v>57100</v>
      </c>
      <c r="K6" s="7">
        <f t="shared" si="7"/>
        <v>1062470</v>
      </c>
      <c r="L6" s="4">
        <f t="shared" si="8"/>
        <v>27</v>
      </c>
      <c r="M6" s="12" t="str">
        <f t="shared" si="9"/>
        <v>**</v>
      </c>
      <c r="O6" t="s">
        <v>17</v>
      </c>
      <c r="P6" t="s">
        <v>21</v>
      </c>
    </row>
    <row r="7" spans="1:17">
      <c r="A7" s="11" t="s">
        <v>15</v>
      </c>
      <c r="B7" s="4" t="str">
        <f t="shared" si="0"/>
        <v>浅野ストア</v>
      </c>
      <c r="C7" s="4">
        <v>11</v>
      </c>
      <c r="D7" s="4" t="str">
        <f t="shared" si="1"/>
        <v>A商品</v>
      </c>
      <c r="E7" s="5">
        <f t="shared" si="2"/>
        <v>1890</v>
      </c>
      <c r="F7" s="4">
        <v>460</v>
      </c>
      <c r="G7" s="5">
        <f t="shared" si="3"/>
        <v>869400</v>
      </c>
      <c r="H7" s="4" t="str">
        <f t="shared" si="4"/>
        <v>V</v>
      </c>
      <c r="I7" s="6">
        <f t="shared" si="5"/>
        <v>5.0999999999999997E-2</v>
      </c>
      <c r="J7" s="5">
        <f t="shared" si="6"/>
        <v>44400</v>
      </c>
      <c r="K7" s="7">
        <f t="shared" si="7"/>
        <v>825000</v>
      </c>
      <c r="L7" s="4">
        <f t="shared" si="8"/>
        <v>22</v>
      </c>
      <c r="M7" s="12" t="str">
        <f t="shared" si="9"/>
        <v>*</v>
      </c>
    </row>
    <row r="8" spans="1:17">
      <c r="A8" s="11" t="s">
        <v>15</v>
      </c>
      <c r="B8" s="4" t="str">
        <f t="shared" si="0"/>
        <v>浅野ストア</v>
      </c>
      <c r="C8" s="4">
        <v>12</v>
      </c>
      <c r="D8" s="4" t="str">
        <f t="shared" si="1"/>
        <v>B商品</v>
      </c>
      <c r="E8" s="5">
        <f t="shared" si="2"/>
        <v>1810</v>
      </c>
      <c r="F8" s="4">
        <v>734</v>
      </c>
      <c r="G8" s="5">
        <f t="shared" si="3"/>
        <v>1328540</v>
      </c>
      <c r="H8" s="4" t="str">
        <f t="shared" si="4"/>
        <v>V</v>
      </c>
      <c r="I8" s="6">
        <f t="shared" si="5"/>
        <v>7.2999999999999995E-2</v>
      </c>
      <c r="J8" s="5">
        <f t="shared" si="6"/>
        <v>97000</v>
      </c>
      <c r="K8" s="7">
        <f t="shared" si="7"/>
        <v>1231540</v>
      </c>
      <c r="L8" s="4">
        <f t="shared" si="8"/>
        <v>42</v>
      </c>
      <c r="M8" s="12" t="str">
        <f t="shared" si="9"/>
        <v>***</v>
      </c>
      <c r="O8" t="s">
        <v>3</v>
      </c>
      <c r="P8" t="s">
        <v>22</v>
      </c>
      <c r="Q8" t="s">
        <v>23</v>
      </c>
    </row>
    <row r="9" spans="1:17">
      <c r="A9" s="11" t="s">
        <v>15</v>
      </c>
      <c r="B9" s="4" t="str">
        <f t="shared" si="0"/>
        <v>浅野ストア</v>
      </c>
      <c r="C9" s="4">
        <v>13</v>
      </c>
      <c r="D9" s="4" t="str">
        <f t="shared" si="1"/>
        <v>C商品</v>
      </c>
      <c r="E9" s="5">
        <f t="shared" si="2"/>
        <v>1670</v>
      </c>
      <c r="F9" s="4">
        <v>634</v>
      </c>
      <c r="G9" s="5">
        <f t="shared" si="3"/>
        <v>1058780</v>
      </c>
      <c r="H9" s="4" t="str">
        <f t="shared" si="4"/>
        <v>V</v>
      </c>
      <c r="I9" s="6">
        <f t="shared" si="5"/>
        <v>7.2999999999999995E-2</v>
      </c>
      <c r="J9" s="5">
        <f t="shared" si="6"/>
        <v>77300</v>
      </c>
      <c r="K9" s="7">
        <f t="shared" si="7"/>
        <v>981480</v>
      </c>
      <c r="L9" s="4">
        <f t="shared" si="8"/>
        <v>36</v>
      </c>
      <c r="M9" s="12" t="str">
        <f t="shared" si="9"/>
        <v>**</v>
      </c>
      <c r="O9">
        <v>11</v>
      </c>
      <c r="P9" t="s">
        <v>24</v>
      </c>
      <c r="Q9" s="3">
        <v>1456</v>
      </c>
    </row>
    <row r="10" spans="1:17">
      <c r="A10" s="11" t="s">
        <v>15</v>
      </c>
      <c r="B10" s="4" t="str">
        <f t="shared" si="0"/>
        <v>浅野ストア</v>
      </c>
      <c r="C10" s="4">
        <v>14</v>
      </c>
      <c r="D10" s="4" t="str">
        <f t="shared" si="1"/>
        <v>D商品</v>
      </c>
      <c r="E10" s="5">
        <f t="shared" si="2"/>
        <v>2010</v>
      </c>
      <c r="F10" s="4">
        <v>685</v>
      </c>
      <c r="G10" s="5">
        <f t="shared" si="3"/>
        <v>1376850</v>
      </c>
      <c r="H10" s="4" t="str">
        <f t="shared" si="4"/>
        <v>V</v>
      </c>
      <c r="I10" s="6">
        <f t="shared" si="5"/>
        <v>7.2999999999999995E-2</v>
      </c>
      <c r="J10" s="5">
        <f t="shared" si="6"/>
        <v>100600</v>
      </c>
      <c r="K10" s="7">
        <f t="shared" si="7"/>
        <v>1276250</v>
      </c>
      <c r="L10" s="4">
        <f t="shared" si="8"/>
        <v>39</v>
      </c>
      <c r="M10" s="12" t="str">
        <f t="shared" si="9"/>
        <v>***</v>
      </c>
      <c r="O10">
        <v>12</v>
      </c>
      <c r="P10" t="s">
        <v>25</v>
      </c>
      <c r="Q10" s="3">
        <v>1394</v>
      </c>
    </row>
    <row r="11" spans="1:17">
      <c r="A11" s="11" t="s">
        <v>16</v>
      </c>
      <c r="B11" s="4" t="str">
        <f t="shared" si="0"/>
        <v>徳川百貨店</v>
      </c>
      <c r="C11" s="4">
        <v>11</v>
      </c>
      <c r="D11" s="4" t="str">
        <f t="shared" si="1"/>
        <v>A商品</v>
      </c>
      <c r="E11" s="5">
        <f t="shared" si="2"/>
        <v>1890</v>
      </c>
      <c r="F11" s="4">
        <v>482</v>
      </c>
      <c r="G11" s="5">
        <f t="shared" si="3"/>
        <v>910980</v>
      </c>
      <c r="H11" s="4" t="str">
        <f t="shared" si="4"/>
        <v>W</v>
      </c>
      <c r="I11" s="6">
        <f t="shared" si="5"/>
        <v>5.0999999999999997E-2</v>
      </c>
      <c r="J11" s="5">
        <f t="shared" si="6"/>
        <v>46500</v>
      </c>
      <c r="K11" s="7">
        <f t="shared" si="7"/>
        <v>864480</v>
      </c>
      <c r="L11" s="4">
        <f t="shared" si="8"/>
        <v>23</v>
      </c>
      <c r="M11" s="12" t="str">
        <f t="shared" si="9"/>
        <v>*</v>
      </c>
      <c r="O11">
        <v>13</v>
      </c>
      <c r="P11" t="s">
        <v>26</v>
      </c>
      <c r="Q11" s="3">
        <v>1283</v>
      </c>
    </row>
    <row r="12" spans="1:17">
      <c r="A12" s="11" t="s">
        <v>16</v>
      </c>
      <c r="B12" s="4" t="str">
        <f t="shared" si="0"/>
        <v>徳川百貨店</v>
      </c>
      <c r="C12" s="4">
        <v>12</v>
      </c>
      <c r="D12" s="4" t="str">
        <f t="shared" si="1"/>
        <v>B商品</v>
      </c>
      <c r="E12" s="5">
        <f t="shared" si="2"/>
        <v>1810</v>
      </c>
      <c r="F12" s="4">
        <v>760</v>
      </c>
      <c r="G12" s="5">
        <f t="shared" si="3"/>
        <v>1375600</v>
      </c>
      <c r="H12" s="4" t="str">
        <f t="shared" si="4"/>
        <v>W</v>
      </c>
      <c r="I12" s="6">
        <f t="shared" si="5"/>
        <v>6.2E-2</v>
      </c>
      <c r="J12" s="5">
        <f t="shared" si="6"/>
        <v>85300</v>
      </c>
      <c r="K12" s="7">
        <f t="shared" si="7"/>
        <v>1290300</v>
      </c>
      <c r="L12" s="4">
        <f t="shared" si="8"/>
        <v>44</v>
      </c>
      <c r="M12" s="12" t="str">
        <f t="shared" si="9"/>
        <v>*</v>
      </c>
      <c r="O12">
        <v>14</v>
      </c>
      <c r="P12" t="s">
        <v>27</v>
      </c>
      <c r="Q12" s="3">
        <v>1547</v>
      </c>
    </row>
    <row r="13" spans="1:17">
      <c r="A13" s="11" t="s">
        <v>16</v>
      </c>
      <c r="B13" s="4" t="str">
        <f t="shared" si="0"/>
        <v>徳川百貨店</v>
      </c>
      <c r="C13" s="4">
        <v>13</v>
      </c>
      <c r="D13" s="4" t="str">
        <f t="shared" si="1"/>
        <v>C商品</v>
      </c>
      <c r="E13" s="5">
        <f t="shared" si="2"/>
        <v>1670</v>
      </c>
      <c r="F13" s="4">
        <v>650</v>
      </c>
      <c r="G13" s="5">
        <f t="shared" si="3"/>
        <v>1085500</v>
      </c>
      <c r="H13" s="4" t="str">
        <f t="shared" si="4"/>
        <v>W</v>
      </c>
      <c r="I13" s="6">
        <f t="shared" si="5"/>
        <v>6.2E-2</v>
      </c>
      <c r="J13" s="5">
        <f t="shared" si="6"/>
        <v>67400</v>
      </c>
      <c r="K13" s="7">
        <f t="shared" si="7"/>
        <v>1018100</v>
      </c>
      <c r="L13" s="4">
        <f t="shared" si="8"/>
        <v>37</v>
      </c>
      <c r="M13" s="12" t="str">
        <f t="shared" si="9"/>
        <v>**</v>
      </c>
    </row>
    <row r="14" spans="1:17">
      <c r="A14" s="11" t="s">
        <v>16</v>
      </c>
      <c r="B14" s="4" t="str">
        <f t="shared" si="0"/>
        <v>徳川百貨店</v>
      </c>
      <c r="C14" s="4">
        <v>14</v>
      </c>
      <c r="D14" s="4" t="str">
        <f t="shared" si="1"/>
        <v>D商品</v>
      </c>
      <c r="E14" s="5">
        <f t="shared" si="2"/>
        <v>2010</v>
      </c>
      <c r="F14" s="4">
        <v>630</v>
      </c>
      <c r="G14" s="5">
        <f t="shared" si="3"/>
        <v>1266300</v>
      </c>
      <c r="H14" s="4" t="str">
        <f t="shared" si="4"/>
        <v>W</v>
      </c>
      <c r="I14" s="6">
        <f t="shared" si="5"/>
        <v>6.2E-2</v>
      </c>
      <c r="J14" s="5">
        <f t="shared" si="6"/>
        <v>78600</v>
      </c>
      <c r="K14" s="7">
        <f t="shared" si="7"/>
        <v>1187700</v>
      </c>
      <c r="L14" s="4">
        <f t="shared" si="8"/>
        <v>30</v>
      </c>
      <c r="M14" s="12" t="str">
        <f t="shared" si="9"/>
        <v>***</v>
      </c>
      <c r="O14" t="s">
        <v>8</v>
      </c>
      <c r="P14" t="s">
        <v>9</v>
      </c>
    </row>
    <row r="15" spans="1:17">
      <c r="A15" s="11" t="s">
        <v>17</v>
      </c>
      <c r="B15" s="4" t="str">
        <f t="shared" si="0"/>
        <v>マキノ商事</v>
      </c>
      <c r="C15" s="4">
        <v>11</v>
      </c>
      <c r="D15" s="4" t="str">
        <f t="shared" si="1"/>
        <v>A商品</v>
      </c>
      <c r="E15" s="5">
        <f t="shared" si="2"/>
        <v>1890</v>
      </c>
      <c r="F15" s="4">
        <v>580</v>
      </c>
      <c r="G15" s="5">
        <f t="shared" si="3"/>
        <v>1096200</v>
      </c>
      <c r="H15" s="4" t="str">
        <f t="shared" si="4"/>
        <v>W</v>
      </c>
      <c r="I15" s="6">
        <f t="shared" si="5"/>
        <v>5.0999999999999997E-2</v>
      </c>
      <c r="J15" s="5">
        <f t="shared" si="6"/>
        <v>56000</v>
      </c>
      <c r="K15" s="7">
        <f t="shared" si="7"/>
        <v>1040200</v>
      </c>
      <c r="L15" s="4">
        <f t="shared" si="8"/>
        <v>28</v>
      </c>
      <c r="M15" s="12" t="str">
        <f t="shared" si="9"/>
        <v>**</v>
      </c>
      <c r="O15" t="s">
        <v>28</v>
      </c>
      <c r="P15" s="2">
        <v>7.2999999999999995E-2</v>
      </c>
    </row>
    <row r="16" spans="1:17">
      <c r="A16" s="11" t="s">
        <v>17</v>
      </c>
      <c r="B16" s="4" t="str">
        <f t="shared" si="0"/>
        <v>マキノ商事</v>
      </c>
      <c r="C16" s="4">
        <v>12</v>
      </c>
      <c r="D16" s="4" t="str">
        <f t="shared" si="1"/>
        <v>B商品</v>
      </c>
      <c r="E16" s="5">
        <f t="shared" si="2"/>
        <v>1810</v>
      </c>
      <c r="F16" s="4">
        <v>761</v>
      </c>
      <c r="G16" s="5">
        <f t="shared" si="3"/>
        <v>1377410</v>
      </c>
      <c r="H16" s="4" t="str">
        <f t="shared" si="4"/>
        <v>W</v>
      </c>
      <c r="I16" s="6">
        <f t="shared" si="5"/>
        <v>6.2E-2</v>
      </c>
      <c r="J16" s="5">
        <f t="shared" si="6"/>
        <v>85400</v>
      </c>
      <c r="K16" s="7">
        <f t="shared" si="7"/>
        <v>1292010</v>
      </c>
      <c r="L16" s="4">
        <f t="shared" si="8"/>
        <v>44</v>
      </c>
      <c r="M16" s="12" t="str">
        <f t="shared" si="9"/>
        <v>*</v>
      </c>
      <c r="O16" t="s">
        <v>29</v>
      </c>
      <c r="P16" s="2">
        <v>6.2E-2</v>
      </c>
    </row>
    <row r="17" spans="1:13">
      <c r="A17" s="11" t="s">
        <v>17</v>
      </c>
      <c r="B17" s="4" t="str">
        <f t="shared" si="0"/>
        <v>マキノ商事</v>
      </c>
      <c r="C17" s="4">
        <v>13</v>
      </c>
      <c r="D17" s="4" t="str">
        <f t="shared" si="1"/>
        <v>C商品</v>
      </c>
      <c r="E17" s="5">
        <f t="shared" si="2"/>
        <v>1670</v>
      </c>
      <c r="F17" s="4">
        <v>628</v>
      </c>
      <c r="G17" s="5">
        <f t="shared" si="3"/>
        <v>1048760</v>
      </c>
      <c r="H17" s="4" t="str">
        <f t="shared" si="4"/>
        <v>W</v>
      </c>
      <c r="I17" s="6">
        <f t="shared" si="5"/>
        <v>6.2E-2</v>
      </c>
      <c r="J17" s="5">
        <f t="shared" si="6"/>
        <v>65100</v>
      </c>
      <c r="K17" s="7">
        <f t="shared" si="7"/>
        <v>983660</v>
      </c>
      <c r="L17" s="4">
        <f t="shared" si="8"/>
        <v>30</v>
      </c>
      <c r="M17" s="12" t="str">
        <f t="shared" si="9"/>
        <v>**</v>
      </c>
    </row>
    <row r="18" spans="1:13">
      <c r="A18" s="11" t="s">
        <v>17</v>
      </c>
      <c r="B18" s="4" t="str">
        <f t="shared" si="0"/>
        <v>マキノ商事</v>
      </c>
      <c r="C18" s="4">
        <v>14</v>
      </c>
      <c r="D18" s="4" t="str">
        <f t="shared" si="1"/>
        <v>D商品</v>
      </c>
      <c r="E18" s="5">
        <f t="shared" si="2"/>
        <v>2010</v>
      </c>
      <c r="F18" s="4">
        <v>603</v>
      </c>
      <c r="G18" s="5">
        <f t="shared" si="3"/>
        <v>1212030</v>
      </c>
      <c r="H18" s="4" t="str">
        <f t="shared" si="4"/>
        <v>W</v>
      </c>
      <c r="I18" s="6">
        <f t="shared" si="5"/>
        <v>6.2E-2</v>
      </c>
      <c r="J18" s="5">
        <f t="shared" si="6"/>
        <v>75200</v>
      </c>
      <c r="K18" s="7">
        <f t="shared" si="7"/>
        <v>1136830</v>
      </c>
      <c r="L18" s="4">
        <f t="shared" si="8"/>
        <v>29</v>
      </c>
      <c r="M18" s="12" t="str">
        <f t="shared" si="9"/>
        <v>***</v>
      </c>
    </row>
    <row r="19" spans="1:13">
      <c r="A19" s="11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2"/>
    </row>
    <row r="20" spans="1:13" ht="19.5" thickBot="1">
      <c r="A20" s="13"/>
      <c r="B20" s="14" t="s">
        <v>30</v>
      </c>
      <c r="C20" s="15"/>
      <c r="D20" s="15"/>
      <c r="E20" s="15"/>
      <c r="F20" s="16">
        <f>SUM(F3:F18)</f>
        <v>10060</v>
      </c>
      <c r="G20" s="16">
        <f t="shared" ref="G20:L20" si="10">SUM(G3:G18)</f>
        <v>18532240</v>
      </c>
      <c r="H20" s="16"/>
      <c r="I20" s="16"/>
      <c r="J20" s="16">
        <f t="shared" si="10"/>
        <v>1164900</v>
      </c>
      <c r="K20" s="16">
        <f t="shared" si="10"/>
        <v>17367340</v>
      </c>
      <c r="L20" s="16">
        <f t="shared" si="10"/>
        <v>529</v>
      </c>
      <c r="M20" s="17"/>
    </row>
  </sheetData>
  <mergeCells count="1">
    <mergeCell ref="A1:M1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47C31-8DB1-42EB-B232-BFCB7930AF65}">
  <sheetPr>
    <pageSetUpPr fitToPage="1"/>
  </sheetPr>
  <dimension ref="A1:P37"/>
  <sheetViews>
    <sheetView workbookViewId="0">
      <selection activeCell="I35" sqref="I35"/>
    </sheetView>
  </sheetViews>
  <sheetFormatPr defaultRowHeight="18.75"/>
  <cols>
    <col min="1" max="2" width="11" bestFit="1" customWidth="1"/>
    <col min="3" max="4" width="9" bestFit="1" customWidth="1"/>
    <col min="5" max="5" width="7.125" bestFit="1" customWidth="1"/>
    <col min="6" max="9" width="11" bestFit="1" customWidth="1"/>
    <col min="10" max="10" width="8.5" bestFit="1" customWidth="1"/>
    <col min="11" max="11" width="9.5" bestFit="1" customWidth="1"/>
    <col min="12" max="12" width="5.25" bestFit="1" customWidth="1"/>
  </cols>
  <sheetData>
    <row r="1" spans="1:16" ht="19.5" thickBot="1">
      <c r="A1" s="44" t="s">
        <v>31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1"/>
    </row>
    <row r="2" spans="1:16">
      <c r="A2" s="8" t="s">
        <v>32</v>
      </c>
      <c r="B2" s="9" t="s">
        <v>33</v>
      </c>
      <c r="C2" s="9" t="s">
        <v>34</v>
      </c>
      <c r="D2" s="9" t="s">
        <v>35</v>
      </c>
      <c r="E2" s="9" t="s">
        <v>36</v>
      </c>
      <c r="F2" s="9" t="s">
        <v>37</v>
      </c>
      <c r="G2" s="9" t="s">
        <v>38</v>
      </c>
      <c r="H2" s="9" t="s">
        <v>39</v>
      </c>
      <c r="I2" s="9" t="s">
        <v>40</v>
      </c>
      <c r="J2" s="9" t="s">
        <v>41</v>
      </c>
      <c r="K2" s="9" t="s">
        <v>42</v>
      </c>
      <c r="L2" s="10" t="s">
        <v>13</v>
      </c>
      <c r="M2" s="1"/>
      <c r="N2" t="s">
        <v>32</v>
      </c>
      <c r="O2" t="s">
        <v>33</v>
      </c>
    </row>
    <row r="3" spans="1:16">
      <c r="A3" s="11" t="s">
        <v>43</v>
      </c>
      <c r="B3" s="4" t="str">
        <f t="shared" ref="B3:B14" si="0">VLOOKUP(A3,$N$3:$O$6,2,0)</f>
        <v>田島　洋平</v>
      </c>
      <c r="C3" s="4">
        <v>6</v>
      </c>
      <c r="D3" s="5">
        <f t="shared" ref="D3:D14" si="1">VLOOKUP(RIGHT(A3,1),$N$8:$O$10,2,0)*C3</f>
        <v>11880</v>
      </c>
      <c r="E3" s="4">
        <v>83</v>
      </c>
      <c r="F3" s="4">
        <v>2186</v>
      </c>
      <c r="G3" s="5">
        <f>ROUND(F3*10000/E3,-3)</f>
        <v>263000</v>
      </c>
      <c r="H3" s="5">
        <f t="shared" ref="H3:H14" si="2">ROUND(F3*10000*IF(OR(E3&gt;=110,F3&gt;=2500),0.24%,0.21%),-1)</f>
        <v>45910</v>
      </c>
      <c r="I3" s="4">
        <f t="shared" ref="I3:I14" si="3">VLOOKUP(F3,$N$12:$P$13,INT(E3/100)+2,1)</f>
        <v>90</v>
      </c>
      <c r="J3" s="5">
        <f t="shared" ref="J3:J14" si="4">ROUNDUP(G3*VLOOKUP(E3,$N$15:$O$17,2,TRUE)*I3/100,-1)</f>
        <v>15860</v>
      </c>
      <c r="K3" s="7">
        <f>D3+H3+J3</f>
        <v>73650</v>
      </c>
      <c r="L3" s="12" t="str">
        <f>IF(AND(G3&gt;=239000,I3&gt;=95),"**","*")</f>
        <v>*</v>
      </c>
      <c r="N3" t="s">
        <v>43</v>
      </c>
      <c r="O3" t="s">
        <v>48</v>
      </c>
    </row>
    <row r="4" spans="1:16">
      <c r="A4" s="11" t="s">
        <v>43</v>
      </c>
      <c r="B4" s="4" t="str">
        <f t="shared" si="0"/>
        <v>田島　洋平</v>
      </c>
      <c r="C4" s="4">
        <v>7</v>
      </c>
      <c r="D4" s="5">
        <f t="shared" si="1"/>
        <v>13860</v>
      </c>
      <c r="E4" s="4">
        <v>95</v>
      </c>
      <c r="F4" s="4">
        <v>2026</v>
      </c>
      <c r="G4" s="5">
        <f t="shared" ref="G4:G14" si="5">ROUND(F4*10000/E4,-3)</f>
        <v>213000</v>
      </c>
      <c r="H4" s="5">
        <f t="shared" si="2"/>
        <v>42550</v>
      </c>
      <c r="I4" s="4">
        <f t="shared" si="3"/>
        <v>90</v>
      </c>
      <c r="J4" s="5">
        <f t="shared" si="4"/>
        <v>14570</v>
      </c>
      <c r="K4" s="7">
        <f t="shared" ref="K4:K14" si="6">D4+H4+J4</f>
        <v>70980</v>
      </c>
      <c r="L4" s="12" t="str">
        <f t="shared" ref="L4:L14" si="7">IF(AND(G4&gt;=239000,I4&gt;=95),"**","*")</f>
        <v>*</v>
      </c>
      <c r="N4" t="s">
        <v>44</v>
      </c>
      <c r="O4" t="s">
        <v>50</v>
      </c>
    </row>
    <row r="5" spans="1:16">
      <c r="A5" s="11" t="s">
        <v>43</v>
      </c>
      <c r="B5" s="4" t="str">
        <f t="shared" si="0"/>
        <v>田島　洋平</v>
      </c>
      <c r="C5" s="4">
        <v>8</v>
      </c>
      <c r="D5" s="5">
        <f t="shared" si="1"/>
        <v>15840</v>
      </c>
      <c r="E5" s="4">
        <v>98</v>
      </c>
      <c r="F5" s="4">
        <v>2914</v>
      </c>
      <c r="G5" s="5">
        <f t="shared" si="5"/>
        <v>297000</v>
      </c>
      <c r="H5" s="5">
        <f t="shared" si="2"/>
        <v>69940</v>
      </c>
      <c r="I5" s="4">
        <f t="shared" si="3"/>
        <v>102</v>
      </c>
      <c r="J5" s="5">
        <f t="shared" si="4"/>
        <v>23030</v>
      </c>
      <c r="K5" s="7">
        <f t="shared" si="6"/>
        <v>108810</v>
      </c>
      <c r="L5" s="12" t="str">
        <f t="shared" si="7"/>
        <v>**</v>
      </c>
      <c r="N5" t="s">
        <v>45</v>
      </c>
      <c r="O5" t="s">
        <v>52</v>
      </c>
    </row>
    <row r="6" spans="1:16">
      <c r="A6" s="11" t="s">
        <v>44</v>
      </c>
      <c r="B6" s="4" t="str">
        <f t="shared" si="0"/>
        <v>佐藤　緑子</v>
      </c>
      <c r="C6" s="4">
        <v>5</v>
      </c>
      <c r="D6" s="5">
        <f t="shared" si="1"/>
        <v>10300</v>
      </c>
      <c r="E6" s="4">
        <v>96</v>
      </c>
      <c r="F6" s="4">
        <v>2631</v>
      </c>
      <c r="G6" s="5">
        <f t="shared" si="5"/>
        <v>274000</v>
      </c>
      <c r="H6" s="5">
        <f t="shared" si="2"/>
        <v>63140</v>
      </c>
      <c r="I6" s="4">
        <f t="shared" si="3"/>
        <v>102</v>
      </c>
      <c r="J6" s="5">
        <f t="shared" si="4"/>
        <v>21250</v>
      </c>
      <c r="K6" s="7">
        <f t="shared" si="6"/>
        <v>94690</v>
      </c>
      <c r="L6" s="12" t="str">
        <f t="shared" si="7"/>
        <v>**</v>
      </c>
      <c r="N6" t="s">
        <v>46</v>
      </c>
      <c r="O6" t="s">
        <v>54</v>
      </c>
    </row>
    <row r="7" spans="1:16">
      <c r="A7" s="11" t="s">
        <v>44</v>
      </c>
      <c r="B7" s="4" t="str">
        <f t="shared" si="0"/>
        <v>佐藤　緑子</v>
      </c>
      <c r="C7" s="4">
        <v>8</v>
      </c>
      <c r="D7" s="5">
        <f t="shared" si="1"/>
        <v>16480</v>
      </c>
      <c r="E7" s="4">
        <v>101</v>
      </c>
      <c r="F7" s="4">
        <v>1805</v>
      </c>
      <c r="G7" s="5">
        <f t="shared" si="5"/>
        <v>179000</v>
      </c>
      <c r="H7" s="5">
        <f t="shared" si="2"/>
        <v>37910</v>
      </c>
      <c r="I7" s="4">
        <f t="shared" si="3"/>
        <v>95</v>
      </c>
      <c r="J7" s="5">
        <f t="shared" si="4"/>
        <v>12930</v>
      </c>
      <c r="K7" s="7">
        <f t="shared" si="6"/>
        <v>67320</v>
      </c>
      <c r="L7" s="12" t="str">
        <f t="shared" si="7"/>
        <v>*</v>
      </c>
    </row>
    <row r="8" spans="1:16">
      <c r="A8" s="11" t="s">
        <v>44</v>
      </c>
      <c r="B8" s="4" t="str">
        <f t="shared" si="0"/>
        <v>佐藤　緑子</v>
      </c>
      <c r="C8" s="4">
        <v>9</v>
      </c>
      <c r="D8" s="5">
        <f t="shared" si="1"/>
        <v>18540</v>
      </c>
      <c r="E8" s="4">
        <v>160</v>
      </c>
      <c r="F8" s="4">
        <v>3604</v>
      </c>
      <c r="G8" s="5">
        <f t="shared" si="5"/>
        <v>225000</v>
      </c>
      <c r="H8" s="5">
        <f t="shared" si="2"/>
        <v>86500</v>
      </c>
      <c r="I8" s="4">
        <f t="shared" si="3"/>
        <v>107</v>
      </c>
      <c r="J8" s="5">
        <f t="shared" si="4"/>
        <v>20470</v>
      </c>
      <c r="K8" s="7">
        <f t="shared" si="6"/>
        <v>125510</v>
      </c>
      <c r="L8" s="12" t="str">
        <f t="shared" si="7"/>
        <v>*</v>
      </c>
      <c r="N8" t="s">
        <v>24</v>
      </c>
      <c r="O8">
        <v>2170</v>
      </c>
    </row>
    <row r="9" spans="1:16">
      <c r="A9" s="11" t="s">
        <v>45</v>
      </c>
      <c r="B9" s="4" t="str">
        <f t="shared" si="0"/>
        <v>久保田　光</v>
      </c>
      <c r="C9" s="4">
        <v>5</v>
      </c>
      <c r="D9" s="5">
        <f t="shared" si="1"/>
        <v>10850</v>
      </c>
      <c r="E9" s="4">
        <v>106</v>
      </c>
      <c r="F9" s="4">
        <v>2537</v>
      </c>
      <c r="G9" s="5">
        <f t="shared" si="5"/>
        <v>239000</v>
      </c>
      <c r="H9" s="5">
        <f t="shared" si="2"/>
        <v>60890</v>
      </c>
      <c r="I9" s="4">
        <f t="shared" si="3"/>
        <v>95</v>
      </c>
      <c r="J9" s="5">
        <f t="shared" si="4"/>
        <v>17260</v>
      </c>
      <c r="K9" s="7">
        <f t="shared" si="6"/>
        <v>89000</v>
      </c>
      <c r="L9" s="12" t="str">
        <f t="shared" si="7"/>
        <v>**</v>
      </c>
      <c r="N9" t="s">
        <v>25</v>
      </c>
      <c r="O9">
        <v>2060</v>
      </c>
    </row>
    <row r="10" spans="1:16">
      <c r="A10" s="11" t="s">
        <v>45</v>
      </c>
      <c r="B10" s="4" t="str">
        <f t="shared" si="0"/>
        <v>久保田　光</v>
      </c>
      <c r="C10" s="4">
        <v>6</v>
      </c>
      <c r="D10" s="5">
        <f t="shared" si="1"/>
        <v>13020</v>
      </c>
      <c r="E10" s="4">
        <v>110</v>
      </c>
      <c r="F10" s="4">
        <v>2227</v>
      </c>
      <c r="G10" s="5">
        <f t="shared" si="5"/>
        <v>202000</v>
      </c>
      <c r="H10" s="5">
        <f t="shared" si="2"/>
        <v>53450</v>
      </c>
      <c r="I10" s="4">
        <f t="shared" si="3"/>
        <v>95</v>
      </c>
      <c r="J10" s="5">
        <f t="shared" si="4"/>
        <v>16320</v>
      </c>
      <c r="K10" s="7">
        <f t="shared" si="6"/>
        <v>82790</v>
      </c>
      <c r="L10" s="12" t="str">
        <f t="shared" si="7"/>
        <v>*</v>
      </c>
      <c r="N10" t="s">
        <v>26</v>
      </c>
      <c r="O10">
        <v>1980</v>
      </c>
    </row>
    <row r="11" spans="1:16">
      <c r="A11" s="11" t="s">
        <v>45</v>
      </c>
      <c r="B11" s="4" t="str">
        <f t="shared" si="0"/>
        <v>久保田　光</v>
      </c>
      <c r="C11" s="4">
        <v>10</v>
      </c>
      <c r="D11" s="5">
        <f t="shared" si="1"/>
        <v>21700</v>
      </c>
      <c r="E11" s="4">
        <v>150</v>
      </c>
      <c r="F11" s="4">
        <v>3598</v>
      </c>
      <c r="G11" s="5">
        <f t="shared" si="5"/>
        <v>240000</v>
      </c>
      <c r="H11" s="5">
        <f t="shared" si="2"/>
        <v>86350</v>
      </c>
      <c r="I11" s="4">
        <f t="shared" si="3"/>
        <v>107</v>
      </c>
      <c r="J11" s="5">
        <f t="shared" si="4"/>
        <v>21830</v>
      </c>
      <c r="K11" s="7">
        <f t="shared" si="6"/>
        <v>129880</v>
      </c>
      <c r="L11" s="12" t="str">
        <f t="shared" si="7"/>
        <v>**</v>
      </c>
    </row>
    <row r="12" spans="1:16">
      <c r="A12" s="11" t="s">
        <v>46</v>
      </c>
      <c r="B12" s="4" t="str">
        <f t="shared" si="0"/>
        <v>南　さくら</v>
      </c>
      <c r="C12" s="4">
        <v>6</v>
      </c>
      <c r="D12" s="5">
        <f t="shared" si="1"/>
        <v>12360</v>
      </c>
      <c r="E12" s="4">
        <v>97</v>
      </c>
      <c r="F12" s="4">
        <v>2601</v>
      </c>
      <c r="G12" s="5">
        <f t="shared" si="5"/>
        <v>268000</v>
      </c>
      <c r="H12" s="5">
        <f t="shared" si="2"/>
        <v>62420</v>
      </c>
      <c r="I12" s="4">
        <f t="shared" si="3"/>
        <v>102</v>
      </c>
      <c r="J12" s="5">
        <f t="shared" si="4"/>
        <v>20780</v>
      </c>
      <c r="K12" s="7">
        <f t="shared" si="6"/>
        <v>95560</v>
      </c>
      <c r="L12" s="12" t="str">
        <f t="shared" si="7"/>
        <v>**</v>
      </c>
      <c r="N12">
        <v>1</v>
      </c>
      <c r="O12">
        <v>90</v>
      </c>
      <c r="P12">
        <v>95</v>
      </c>
    </row>
    <row r="13" spans="1:16">
      <c r="A13" s="11" t="s">
        <v>46</v>
      </c>
      <c r="B13" s="4" t="str">
        <f t="shared" si="0"/>
        <v>南　さくら</v>
      </c>
      <c r="C13" s="4">
        <v>7</v>
      </c>
      <c r="D13" s="5">
        <f t="shared" si="1"/>
        <v>14420</v>
      </c>
      <c r="E13" s="4">
        <v>85</v>
      </c>
      <c r="F13" s="4">
        <v>2307</v>
      </c>
      <c r="G13" s="5">
        <f t="shared" si="5"/>
        <v>271000</v>
      </c>
      <c r="H13" s="5">
        <f t="shared" si="2"/>
        <v>48450</v>
      </c>
      <c r="I13" s="4">
        <f t="shared" si="3"/>
        <v>90</v>
      </c>
      <c r="J13" s="5">
        <f t="shared" si="4"/>
        <v>16350</v>
      </c>
      <c r="K13" s="7">
        <f t="shared" si="6"/>
        <v>79220</v>
      </c>
      <c r="L13" s="12" t="str">
        <f t="shared" si="7"/>
        <v>*</v>
      </c>
      <c r="N13">
        <v>2600</v>
      </c>
      <c r="O13">
        <v>102</v>
      </c>
      <c r="P13">
        <v>107</v>
      </c>
    </row>
    <row r="14" spans="1:16">
      <c r="A14" s="11" t="s">
        <v>46</v>
      </c>
      <c r="B14" s="4" t="str">
        <f t="shared" si="0"/>
        <v>南　さくら</v>
      </c>
      <c r="C14" s="4">
        <v>9</v>
      </c>
      <c r="D14" s="5">
        <f t="shared" si="1"/>
        <v>18540</v>
      </c>
      <c r="E14" s="4">
        <v>185</v>
      </c>
      <c r="F14" s="4">
        <v>3540</v>
      </c>
      <c r="G14" s="5">
        <f t="shared" si="5"/>
        <v>191000</v>
      </c>
      <c r="H14" s="5">
        <f t="shared" si="2"/>
        <v>84960</v>
      </c>
      <c r="I14" s="4">
        <f t="shared" si="3"/>
        <v>107</v>
      </c>
      <c r="J14" s="5">
        <f t="shared" si="4"/>
        <v>17380</v>
      </c>
      <c r="K14" s="7">
        <f t="shared" si="6"/>
        <v>120880</v>
      </c>
      <c r="L14" s="12" t="str">
        <f t="shared" si="7"/>
        <v>*</v>
      </c>
    </row>
    <row r="15" spans="1:16">
      <c r="A15" s="11"/>
      <c r="B15" s="4"/>
      <c r="C15" s="4"/>
      <c r="D15" s="4"/>
      <c r="E15" s="4"/>
      <c r="F15" s="4"/>
      <c r="G15" s="4"/>
      <c r="H15" s="4"/>
      <c r="I15" s="4"/>
      <c r="J15" s="5"/>
      <c r="K15" s="7"/>
      <c r="L15" s="12"/>
      <c r="N15">
        <v>1</v>
      </c>
      <c r="O15" s="2">
        <v>6.7000000000000004E-2</v>
      </c>
    </row>
    <row r="16" spans="1:16" ht="19.5" thickBot="1">
      <c r="A16" s="13"/>
      <c r="B16" s="14" t="s">
        <v>30</v>
      </c>
      <c r="C16" s="15"/>
      <c r="D16" s="19">
        <f>SUM(D3:D14)</f>
        <v>177790</v>
      </c>
      <c r="E16" s="19">
        <f t="shared" ref="E16:K16" si="8">SUM(E3:E14)</f>
        <v>1366</v>
      </c>
      <c r="F16" s="19">
        <f t="shared" si="8"/>
        <v>31976</v>
      </c>
      <c r="G16" s="19"/>
      <c r="H16" s="19">
        <f t="shared" si="8"/>
        <v>742470</v>
      </c>
      <c r="I16" s="19"/>
      <c r="J16" s="19">
        <f t="shared" si="8"/>
        <v>218030</v>
      </c>
      <c r="K16" s="19">
        <f t="shared" si="8"/>
        <v>1138290</v>
      </c>
      <c r="L16" s="17"/>
      <c r="N16">
        <v>95</v>
      </c>
      <c r="O16" s="2">
        <v>7.5999999999999998E-2</v>
      </c>
    </row>
    <row r="17" spans="1:15">
      <c r="J17" s="3"/>
      <c r="K17" s="18"/>
      <c r="N17">
        <v>110</v>
      </c>
      <c r="O17" s="2">
        <v>8.5000000000000006E-2</v>
      </c>
    </row>
    <row r="18" spans="1:15" ht="19.5" thickBot="1">
      <c r="A18" s="44" t="s">
        <v>58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</row>
    <row r="19" spans="1:15">
      <c r="A19" s="8" t="s">
        <v>32</v>
      </c>
      <c r="B19" s="9" t="s">
        <v>33</v>
      </c>
      <c r="C19" s="9" t="s">
        <v>34</v>
      </c>
      <c r="D19" s="9" t="s">
        <v>35</v>
      </c>
      <c r="E19" s="9" t="s">
        <v>36</v>
      </c>
      <c r="F19" s="9" t="s">
        <v>37</v>
      </c>
      <c r="G19" s="9" t="s">
        <v>38</v>
      </c>
      <c r="H19" s="9" t="s">
        <v>39</v>
      </c>
      <c r="I19" s="9" t="s">
        <v>40</v>
      </c>
      <c r="J19" s="9" t="s">
        <v>41</v>
      </c>
      <c r="K19" s="9" t="s">
        <v>42</v>
      </c>
      <c r="L19" s="10" t="s">
        <v>13</v>
      </c>
    </row>
    <row r="20" spans="1:15">
      <c r="A20" s="11" t="s">
        <v>43</v>
      </c>
      <c r="B20" s="4" t="s">
        <v>47</v>
      </c>
      <c r="C20" s="4">
        <v>8</v>
      </c>
      <c r="D20" s="5">
        <v>15840</v>
      </c>
      <c r="E20" s="4">
        <v>98</v>
      </c>
      <c r="F20" s="4">
        <v>2914</v>
      </c>
      <c r="G20" s="5">
        <v>297000</v>
      </c>
      <c r="H20" s="5">
        <v>69940</v>
      </c>
      <c r="I20" s="4">
        <v>102</v>
      </c>
      <c r="J20" s="5">
        <v>23030</v>
      </c>
      <c r="K20" s="7">
        <v>108810</v>
      </c>
      <c r="L20" s="12" t="s">
        <v>57</v>
      </c>
    </row>
    <row r="21" spans="1:15">
      <c r="A21" s="11" t="s">
        <v>45</v>
      </c>
      <c r="B21" s="4" t="s">
        <v>51</v>
      </c>
      <c r="C21" s="4">
        <v>10</v>
      </c>
      <c r="D21" s="5">
        <v>21700</v>
      </c>
      <c r="E21" s="4">
        <v>150</v>
      </c>
      <c r="F21" s="4">
        <v>3598</v>
      </c>
      <c r="G21" s="5">
        <v>240000</v>
      </c>
      <c r="H21" s="5">
        <v>86350</v>
      </c>
      <c r="I21" s="4">
        <v>107</v>
      </c>
      <c r="J21" s="5">
        <v>21830</v>
      </c>
      <c r="K21" s="7">
        <v>129880</v>
      </c>
      <c r="L21" s="12" t="s">
        <v>57</v>
      </c>
    </row>
    <row r="22" spans="1:15">
      <c r="A22" s="11" t="s">
        <v>44</v>
      </c>
      <c r="B22" s="4" t="s">
        <v>49</v>
      </c>
      <c r="C22" s="4">
        <v>5</v>
      </c>
      <c r="D22" s="5">
        <v>10300</v>
      </c>
      <c r="E22" s="4">
        <v>96</v>
      </c>
      <c r="F22" s="4">
        <v>2631</v>
      </c>
      <c r="G22" s="5">
        <v>274000</v>
      </c>
      <c r="H22" s="5">
        <v>63140</v>
      </c>
      <c r="I22" s="4">
        <v>102</v>
      </c>
      <c r="J22" s="5">
        <v>21250</v>
      </c>
      <c r="K22" s="7">
        <v>94690</v>
      </c>
      <c r="L22" s="12" t="s">
        <v>57</v>
      </c>
    </row>
    <row r="23" spans="1:15">
      <c r="A23" s="11" t="s">
        <v>46</v>
      </c>
      <c r="B23" s="4" t="s">
        <v>53</v>
      </c>
      <c r="C23" s="4">
        <v>6</v>
      </c>
      <c r="D23" s="5">
        <v>12360</v>
      </c>
      <c r="E23" s="4">
        <v>97</v>
      </c>
      <c r="F23" s="4">
        <v>2601</v>
      </c>
      <c r="G23" s="5">
        <v>268000</v>
      </c>
      <c r="H23" s="5">
        <v>62420</v>
      </c>
      <c r="I23" s="4">
        <v>102</v>
      </c>
      <c r="J23" s="5">
        <v>20780</v>
      </c>
      <c r="K23" s="7">
        <v>95560</v>
      </c>
      <c r="L23" s="12" t="s">
        <v>57</v>
      </c>
    </row>
    <row r="24" spans="1:15">
      <c r="A24" s="11" t="s">
        <v>45</v>
      </c>
      <c r="B24" s="4" t="s">
        <v>51</v>
      </c>
      <c r="C24" s="4">
        <v>5</v>
      </c>
      <c r="D24" s="5">
        <v>10850</v>
      </c>
      <c r="E24" s="4">
        <v>106</v>
      </c>
      <c r="F24" s="4">
        <v>2537</v>
      </c>
      <c r="G24" s="5">
        <v>239000</v>
      </c>
      <c r="H24" s="5">
        <v>60890</v>
      </c>
      <c r="I24" s="4">
        <v>95</v>
      </c>
      <c r="J24" s="5">
        <v>17260</v>
      </c>
      <c r="K24" s="7">
        <v>89000</v>
      </c>
      <c r="L24" s="12" t="s">
        <v>57</v>
      </c>
    </row>
    <row r="25" spans="1:15">
      <c r="A25" s="11"/>
      <c r="B25" s="4"/>
      <c r="C25" s="4"/>
      <c r="D25" s="4"/>
      <c r="E25" s="4"/>
      <c r="F25" s="4"/>
      <c r="G25" s="4"/>
      <c r="H25" s="4"/>
      <c r="I25" s="4"/>
      <c r="J25" s="5"/>
      <c r="K25" s="7"/>
      <c r="L25" s="12"/>
    </row>
    <row r="26" spans="1:15" ht="19.5" thickBot="1">
      <c r="A26" s="13"/>
      <c r="B26" s="14" t="s">
        <v>30</v>
      </c>
      <c r="C26" s="15"/>
      <c r="D26" s="19">
        <f>SUM(D20:D24)</f>
        <v>71050</v>
      </c>
      <c r="E26" s="19">
        <f t="shared" ref="E26:K26" si="9">SUM(E20:E24)</f>
        <v>547</v>
      </c>
      <c r="F26" s="19">
        <f t="shared" si="9"/>
        <v>14281</v>
      </c>
      <c r="G26" s="19"/>
      <c r="H26" s="19">
        <f t="shared" si="9"/>
        <v>342740</v>
      </c>
      <c r="I26" s="19"/>
      <c r="J26" s="19">
        <f t="shared" si="9"/>
        <v>104150</v>
      </c>
      <c r="K26" s="19">
        <f t="shared" si="9"/>
        <v>517940</v>
      </c>
      <c r="L26" s="17"/>
    </row>
    <row r="28" spans="1:15" ht="19.5" thickBot="1">
      <c r="A28" s="47" t="s">
        <v>59</v>
      </c>
      <c r="B28" s="47"/>
      <c r="C28" s="47"/>
      <c r="D28" s="47"/>
    </row>
    <row r="29" spans="1:15">
      <c r="A29" s="8" t="s">
        <v>33</v>
      </c>
      <c r="B29" s="9" t="s">
        <v>35</v>
      </c>
      <c r="C29" s="9" t="s">
        <v>39</v>
      </c>
      <c r="D29" s="10" t="s">
        <v>41</v>
      </c>
      <c r="F29" s="9" t="s">
        <v>33</v>
      </c>
      <c r="G29" s="9" t="s">
        <v>33</v>
      </c>
      <c r="H29" s="9" t="s">
        <v>33</v>
      </c>
      <c r="I29" s="9" t="s">
        <v>33</v>
      </c>
    </row>
    <row r="30" spans="1:15">
      <c r="A30" s="11" t="s">
        <v>48</v>
      </c>
      <c r="B30" s="5">
        <f>DSUM(主張諸手当計算表,B$29,$F$29:$F$30)</f>
        <v>41580</v>
      </c>
      <c r="C30" s="5">
        <f>DSUM(主張諸手当計算表,C$29,$F$29:$F$30)</f>
        <v>158400</v>
      </c>
      <c r="D30" s="21">
        <f>DSUM(主張諸手当計算表,D$29,$F$29:$F$30)</f>
        <v>53460</v>
      </c>
      <c r="F30" t="s">
        <v>48</v>
      </c>
      <c r="G30" t="s">
        <v>50</v>
      </c>
      <c r="H30" t="s">
        <v>52</v>
      </c>
      <c r="I30" t="s">
        <v>54</v>
      </c>
    </row>
    <row r="31" spans="1:15" ht="19.5" thickBot="1">
      <c r="A31" s="11" t="s">
        <v>50</v>
      </c>
      <c r="B31" s="5">
        <f>DSUM(主張諸手当計算表,B$29,$G$29:$G$30)</f>
        <v>45320</v>
      </c>
      <c r="C31" s="5">
        <f>DSUM(主張諸手当計算表,C$29,$G$29:$G$30)</f>
        <v>187550</v>
      </c>
      <c r="D31" s="21">
        <f>DSUM(主張諸手当計算表,D$29,$G$29:$G$30)</f>
        <v>54650</v>
      </c>
    </row>
    <row r="32" spans="1:15">
      <c r="A32" s="11" t="s">
        <v>52</v>
      </c>
      <c r="B32" s="5">
        <f>DSUM(主張諸手当計算表,B$29,$H$29:$H$30)</f>
        <v>45570</v>
      </c>
      <c r="C32" s="5">
        <f>DSUM(主張諸手当計算表,C$29,$H$29:$H$30)</f>
        <v>200690</v>
      </c>
      <c r="D32" s="21">
        <f>DSUM(主張諸手当計算表,D$29,$H$29:$H$30)</f>
        <v>55410</v>
      </c>
      <c r="F32" s="9" t="s">
        <v>36</v>
      </c>
      <c r="G32" s="9"/>
      <c r="H32" s="9" t="s">
        <v>38</v>
      </c>
      <c r="I32" s="9" t="s">
        <v>40</v>
      </c>
      <c r="J32" s="8" t="s">
        <v>32</v>
      </c>
      <c r="K32" s="9" t="s">
        <v>34</v>
      </c>
    </row>
    <row r="33" spans="1:11" ht="19.5" thickBot="1">
      <c r="A33" s="13" t="s">
        <v>54</v>
      </c>
      <c r="B33" s="16">
        <f>DSUM(主張諸手当計算表,B$29,$I$29:$I$30)</f>
        <v>45320</v>
      </c>
      <c r="C33" s="16">
        <f>DSUM(主張諸手当計算表,C$29,$I$29:$I$30)</f>
        <v>195830</v>
      </c>
      <c r="D33" s="22">
        <f>DSUM(主張諸手当計算表,D$29,$I$29:$I$30)</f>
        <v>54510</v>
      </c>
      <c r="F33" t="s">
        <v>63</v>
      </c>
      <c r="H33" t="s">
        <v>64</v>
      </c>
      <c r="I33" t="s">
        <v>65</v>
      </c>
      <c r="J33" t="s">
        <v>66</v>
      </c>
      <c r="K33" t="s">
        <v>67</v>
      </c>
    </row>
    <row r="34" spans="1:11" ht="19.5" thickBot="1"/>
    <row r="35" spans="1:11">
      <c r="A35" s="48" t="s">
        <v>60</v>
      </c>
      <c r="B35" s="49"/>
      <c r="C35" s="49"/>
      <c r="D35" s="49"/>
      <c r="E35" s="49"/>
      <c r="F35" s="24">
        <f>DMAX(主張諸手当計算表,H2,F32:F33)</f>
        <v>86500</v>
      </c>
    </row>
    <row r="36" spans="1:11">
      <c r="A36" s="50" t="s">
        <v>61</v>
      </c>
      <c r="B36" s="51"/>
      <c r="C36" s="51"/>
      <c r="D36" s="51"/>
      <c r="E36" s="51"/>
      <c r="F36" s="21">
        <f>DCOUNTA(主張諸手当計算表,,H32:I33)</f>
        <v>4</v>
      </c>
    </row>
    <row r="37" spans="1:11" ht="19.5" thickBot="1">
      <c r="A37" s="45" t="s">
        <v>62</v>
      </c>
      <c r="B37" s="46"/>
      <c r="C37" s="46"/>
      <c r="D37" s="46"/>
      <c r="E37" s="46"/>
      <c r="F37" s="22">
        <f>DAVERAGE(主張諸手当計算表,K2,J32:K33)</f>
        <v>81866.666666666672</v>
      </c>
    </row>
  </sheetData>
  <sortState ref="A20:L24">
    <sortCondition descending="1" ref="J19"/>
  </sortState>
  <mergeCells count="6">
    <mergeCell ref="A37:E37"/>
    <mergeCell ref="A1:L1"/>
    <mergeCell ref="A18:L18"/>
    <mergeCell ref="A28:D28"/>
    <mergeCell ref="A35:E35"/>
    <mergeCell ref="A36:E36"/>
  </mergeCells>
  <phoneticPr fontId="2"/>
  <pageMargins left="0.25" right="0.25" top="0.75" bottom="0.75" header="0.3" footer="0.3"/>
  <pageSetup paperSize="9" scale="6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56FAF-2576-410B-8C7F-C313BA48FB88}">
  <sheetPr>
    <pageSetUpPr fitToPage="1"/>
  </sheetPr>
  <dimension ref="A1:Q41"/>
  <sheetViews>
    <sheetView topLeftCell="A26" workbookViewId="0">
      <selection activeCell="A2" sqref="A2:M18"/>
    </sheetView>
  </sheetViews>
  <sheetFormatPr defaultRowHeight="18.75"/>
  <cols>
    <col min="1" max="2" width="9" bestFit="1" customWidth="1"/>
    <col min="3" max="4" width="9.5" bestFit="1" customWidth="1"/>
    <col min="5" max="5" width="7.125" bestFit="1" customWidth="1"/>
    <col min="6" max="6" width="11.375" bestFit="1" customWidth="1"/>
    <col min="7" max="7" width="9.5" bestFit="1" customWidth="1"/>
    <col min="8" max="8" width="9" bestFit="1" customWidth="1"/>
    <col min="9" max="9" width="10.5" bestFit="1" customWidth="1"/>
    <col min="10" max="10" width="7.125" bestFit="1" customWidth="1"/>
    <col min="11" max="11" width="10.25" bestFit="1" customWidth="1"/>
    <col min="12" max="12" width="9.5" bestFit="1" customWidth="1"/>
    <col min="13" max="13" width="5.25" bestFit="1" customWidth="1"/>
    <col min="17" max="17" width="6.5" bestFit="1" customWidth="1"/>
  </cols>
  <sheetData>
    <row r="1" spans="1:17" ht="19.5" thickBot="1">
      <c r="A1" s="44" t="s">
        <v>68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7">
      <c r="A2" s="8" t="s">
        <v>69</v>
      </c>
      <c r="B2" s="9" t="s">
        <v>70</v>
      </c>
      <c r="C2" s="9" t="s">
        <v>3</v>
      </c>
      <c r="D2" s="9" t="s">
        <v>4</v>
      </c>
      <c r="E2" s="9" t="s">
        <v>6</v>
      </c>
      <c r="F2" s="9" t="s">
        <v>23</v>
      </c>
      <c r="G2" s="9" t="s">
        <v>5</v>
      </c>
      <c r="H2" s="9" t="s">
        <v>71</v>
      </c>
      <c r="I2" s="9" t="s">
        <v>72</v>
      </c>
      <c r="J2" s="9" t="s">
        <v>73</v>
      </c>
      <c r="K2" s="9" t="s">
        <v>74</v>
      </c>
      <c r="L2" s="9" t="s">
        <v>75</v>
      </c>
      <c r="M2" s="10" t="s">
        <v>13</v>
      </c>
      <c r="O2" t="s">
        <v>69</v>
      </c>
      <c r="P2" t="s">
        <v>70</v>
      </c>
    </row>
    <row r="3" spans="1:17">
      <c r="A3" s="11">
        <v>101</v>
      </c>
      <c r="B3" s="4" t="str">
        <f>VLOOKUP(A3,$O$3:$P$6,2,0)</f>
        <v>森山商店</v>
      </c>
      <c r="C3" s="4">
        <v>11</v>
      </c>
      <c r="D3" s="4" t="str">
        <f>VLOOKUP(C3,$O$8:$Q$11,2,0)</f>
        <v>商品W</v>
      </c>
      <c r="E3" s="4">
        <v>382</v>
      </c>
      <c r="F3" s="5">
        <f>ROUND(VLOOKUP(C3,$O$8:$Q$11,3,0)*$P$13,-1)</f>
        <v>1980</v>
      </c>
      <c r="G3" s="5">
        <f>F3*1.4</f>
        <v>2772</v>
      </c>
      <c r="H3" s="5">
        <f>ROUNDUP(IF(E3&gt;=600,G3*0.93,G3*0.92),0)</f>
        <v>2551</v>
      </c>
      <c r="I3" s="5">
        <f>H3*E3</f>
        <v>974482</v>
      </c>
      <c r="J3" s="6">
        <f>VLOOKUP(E3,$O$15:$Q$17,INT(C3/20)+2,1)</f>
        <v>4.2999999999999997E-2</v>
      </c>
      <c r="K3" s="5">
        <f>ROUNDDOWN(E3*J3,0)</f>
        <v>16</v>
      </c>
      <c r="L3" s="5">
        <f>I3-F3*E3</f>
        <v>218122</v>
      </c>
      <c r="M3" s="12" t="str">
        <f>IF(AND(E3&gt;=600,I3&gt;=1500000),"A",IF(OR(E3&gt;=600,I3&gt;=1500000),"B","C"))</f>
        <v>C</v>
      </c>
      <c r="O3">
        <v>101</v>
      </c>
      <c r="P3" t="s">
        <v>77</v>
      </c>
    </row>
    <row r="4" spans="1:17">
      <c r="A4" s="11">
        <v>101</v>
      </c>
      <c r="B4" s="4" t="str">
        <f t="shared" ref="B4:B18" si="0">VLOOKUP(A4,$O$3:$P$6,2,0)</f>
        <v>森山商店</v>
      </c>
      <c r="C4" s="4">
        <v>12</v>
      </c>
      <c r="D4" s="4" t="str">
        <f t="shared" ref="D4:D18" si="1">VLOOKUP(C4,$O$8:$Q$11,2,0)</f>
        <v>商品X</v>
      </c>
      <c r="E4" s="4">
        <v>633</v>
      </c>
      <c r="F4" s="5">
        <f t="shared" ref="F4:F18" si="2">ROUND(VLOOKUP(C4,$O$8:$Q$11,3,0)*$P$13,-1)</f>
        <v>2100</v>
      </c>
      <c r="G4" s="5">
        <f t="shared" ref="G4:G18" si="3">F4*1.4</f>
        <v>2940</v>
      </c>
      <c r="H4" s="5">
        <f t="shared" ref="H4:H18" si="4">ROUNDUP(IF(E4&gt;=600,G4*0.93,G4*0.92),0)</f>
        <v>2735</v>
      </c>
      <c r="I4" s="5">
        <f t="shared" ref="I4:I18" si="5">H4*E4</f>
        <v>1731255</v>
      </c>
      <c r="J4" s="6">
        <f t="shared" ref="J4:J18" si="6">VLOOKUP(E4,$O$15:$Q$17,INT(C4/20)+2,1)</f>
        <v>5.1999999999999998E-2</v>
      </c>
      <c r="K4" s="5">
        <f t="shared" ref="K4:K18" si="7">ROUNDDOWN(E4*J4,0)</f>
        <v>32</v>
      </c>
      <c r="L4" s="5">
        <f t="shared" ref="L4:L18" si="8">I4-F4*E4</f>
        <v>401955</v>
      </c>
      <c r="M4" s="12" t="str">
        <f t="shared" ref="M4:M18" si="9">IF(AND(E4&gt;=600,I4&gt;=1500000),"A",IF(OR(E4&gt;=600,I4&gt;=1500000),"B","C"))</f>
        <v>A</v>
      </c>
      <c r="O4">
        <v>102</v>
      </c>
      <c r="P4" t="s">
        <v>79</v>
      </c>
    </row>
    <row r="5" spans="1:17">
      <c r="A5" s="11">
        <v>101</v>
      </c>
      <c r="B5" s="4" t="str">
        <f t="shared" si="0"/>
        <v>森山商店</v>
      </c>
      <c r="C5" s="4">
        <v>21</v>
      </c>
      <c r="D5" s="4" t="str">
        <f t="shared" si="1"/>
        <v>商品Y</v>
      </c>
      <c r="E5" s="4">
        <v>458</v>
      </c>
      <c r="F5" s="5">
        <f t="shared" si="2"/>
        <v>1590</v>
      </c>
      <c r="G5" s="5">
        <f t="shared" si="3"/>
        <v>2226</v>
      </c>
      <c r="H5" s="5">
        <f t="shared" si="4"/>
        <v>2048</v>
      </c>
      <c r="I5" s="5">
        <f t="shared" si="5"/>
        <v>937984</v>
      </c>
      <c r="J5" s="6">
        <f t="shared" si="6"/>
        <v>3.7999999999999999E-2</v>
      </c>
      <c r="K5" s="5">
        <f t="shared" si="7"/>
        <v>17</v>
      </c>
      <c r="L5" s="5">
        <f t="shared" si="8"/>
        <v>209764</v>
      </c>
      <c r="M5" s="12" t="str">
        <f t="shared" si="9"/>
        <v>C</v>
      </c>
      <c r="O5">
        <v>103</v>
      </c>
      <c r="P5" t="s">
        <v>81</v>
      </c>
    </row>
    <row r="6" spans="1:17">
      <c r="A6" s="11">
        <v>101</v>
      </c>
      <c r="B6" s="4" t="str">
        <f t="shared" si="0"/>
        <v>森山商店</v>
      </c>
      <c r="C6" s="4">
        <v>22</v>
      </c>
      <c r="D6" s="4" t="str">
        <f t="shared" si="1"/>
        <v>商品Z</v>
      </c>
      <c r="E6" s="4">
        <v>570</v>
      </c>
      <c r="F6" s="5">
        <f t="shared" si="2"/>
        <v>1780</v>
      </c>
      <c r="G6" s="5">
        <f t="shared" si="3"/>
        <v>2492</v>
      </c>
      <c r="H6" s="5">
        <f t="shared" si="4"/>
        <v>2293</v>
      </c>
      <c r="I6" s="5">
        <f t="shared" si="5"/>
        <v>1307010</v>
      </c>
      <c r="J6" s="6">
        <f t="shared" si="6"/>
        <v>4.7E-2</v>
      </c>
      <c r="K6" s="5">
        <f t="shared" si="7"/>
        <v>26</v>
      </c>
      <c r="L6" s="5">
        <f t="shared" si="8"/>
        <v>292410</v>
      </c>
      <c r="M6" s="12" t="str">
        <f t="shared" si="9"/>
        <v>C</v>
      </c>
      <c r="O6">
        <v>104</v>
      </c>
      <c r="P6" t="s">
        <v>82</v>
      </c>
    </row>
    <row r="7" spans="1:17">
      <c r="A7" s="11">
        <v>102</v>
      </c>
      <c r="B7" s="4" t="str">
        <f t="shared" si="0"/>
        <v>東海物産</v>
      </c>
      <c r="C7" s="4">
        <v>11</v>
      </c>
      <c r="D7" s="4" t="str">
        <f t="shared" si="1"/>
        <v>商品W</v>
      </c>
      <c r="E7" s="4">
        <v>712</v>
      </c>
      <c r="F7" s="5">
        <f t="shared" si="2"/>
        <v>1980</v>
      </c>
      <c r="G7" s="5">
        <f t="shared" si="3"/>
        <v>2772</v>
      </c>
      <c r="H7" s="5">
        <f t="shared" si="4"/>
        <v>2578</v>
      </c>
      <c r="I7" s="5">
        <f t="shared" si="5"/>
        <v>1835536</v>
      </c>
      <c r="J7" s="6">
        <f t="shared" si="6"/>
        <v>6.0999999999999999E-2</v>
      </c>
      <c r="K7" s="5">
        <f t="shared" si="7"/>
        <v>43</v>
      </c>
      <c r="L7" s="5">
        <f t="shared" si="8"/>
        <v>425776</v>
      </c>
      <c r="M7" s="12" t="str">
        <f t="shared" si="9"/>
        <v>A</v>
      </c>
    </row>
    <row r="8" spans="1:17">
      <c r="A8" s="11">
        <v>102</v>
      </c>
      <c r="B8" s="4" t="str">
        <f t="shared" si="0"/>
        <v>東海物産</v>
      </c>
      <c r="C8" s="4">
        <v>12</v>
      </c>
      <c r="D8" s="4" t="str">
        <f t="shared" si="1"/>
        <v>商品X</v>
      </c>
      <c r="E8" s="4">
        <v>571</v>
      </c>
      <c r="F8" s="5">
        <f t="shared" si="2"/>
        <v>2100</v>
      </c>
      <c r="G8" s="5">
        <f t="shared" si="3"/>
        <v>2940</v>
      </c>
      <c r="H8" s="5">
        <f t="shared" si="4"/>
        <v>2705</v>
      </c>
      <c r="I8" s="5">
        <f t="shared" si="5"/>
        <v>1544555</v>
      </c>
      <c r="J8" s="6">
        <f t="shared" si="6"/>
        <v>5.1999999999999998E-2</v>
      </c>
      <c r="K8" s="5">
        <f t="shared" si="7"/>
        <v>29</v>
      </c>
      <c r="L8" s="5">
        <f t="shared" si="8"/>
        <v>345455</v>
      </c>
      <c r="M8" s="12" t="str">
        <f t="shared" si="9"/>
        <v>B</v>
      </c>
      <c r="O8">
        <v>11</v>
      </c>
      <c r="P8" t="s">
        <v>83</v>
      </c>
      <c r="Q8">
        <v>13.96</v>
      </c>
    </row>
    <row r="9" spans="1:17">
      <c r="A9" s="11">
        <v>102</v>
      </c>
      <c r="B9" s="4" t="str">
        <f t="shared" si="0"/>
        <v>東海物産</v>
      </c>
      <c r="C9" s="4">
        <v>21</v>
      </c>
      <c r="D9" s="4" t="str">
        <f t="shared" si="1"/>
        <v>商品Y</v>
      </c>
      <c r="E9" s="4">
        <v>607</v>
      </c>
      <c r="F9" s="5">
        <f t="shared" si="2"/>
        <v>1590</v>
      </c>
      <c r="G9" s="5">
        <f t="shared" si="3"/>
        <v>2226</v>
      </c>
      <c r="H9" s="5">
        <f t="shared" si="4"/>
        <v>2071</v>
      </c>
      <c r="I9" s="5">
        <f t="shared" si="5"/>
        <v>1257097</v>
      </c>
      <c r="J9" s="6">
        <f t="shared" si="6"/>
        <v>4.7E-2</v>
      </c>
      <c r="K9" s="5">
        <f t="shared" si="7"/>
        <v>28</v>
      </c>
      <c r="L9" s="5">
        <f t="shared" si="8"/>
        <v>291967</v>
      </c>
      <c r="M9" s="12" t="str">
        <f t="shared" si="9"/>
        <v>B</v>
      </c>
      <c r="O9">
        <v>12</v>
      </c>
      <c r="P9" t="s">
        <v>85</v>
      </c>
      <c r="Q9">
        <v>14.78</v>
      </c>
    </row>
    <row r="10" spans="1:17">
      <c r="A10" s="11">
        <v>102</v>
      </c>
      <c r="B10" s="4" t="str">
        <f t="shared" si="0"/>
        <v>東海物産</v>
      </c>
      <c r="C10" s="4">
        <v>22</v>
      </c>
      <c r="D10" s="4" t="str">
        <f t="shared" si="1"/>
        <v>商品Z</v>
      </c>
      <c r="E10" s="4">
        <v>423</v>
      </c>
      <c r="F10" s="5">
        <f t="shared" si="2"/>
        <v>1780</v>
      </c>
      <c r="G10" s="5">
        <f t="shared" si="3"/>
        <v>2492</v>
      </c>
      <c r="H10" s="5">
        <f t="shared" si="4"/>
        <v>2293</v>
      </c>
      <c r="I10" s="5">
        <f t="shared" si="5"/>
        <v>969939</v>
      </c>
      <c r="J10" s="6">
        <f t="shared" si="6"/>
        <v>3.7999999999999999E-2</v>
      </c>
      <c r="K10" s="5">
        <f t="shared" si="7"/>
        <v>16</v>
      </c>
      <c r="L10" s="5">
        <f t="shared" si="8"/>
        <v>216999</v>
      </c>
      <c r="M10" s="12" t="str">
        <f t="shared" si="9"/>
        <v>C</v>
      </c>
      <c r="O10">
        <v>21</v>
      </c>
      <c r="P10" t="s">
        <v>87</v>
      </c>
      <c r="Q10">
        <v>11.21</v>
      </c>
    </row>
    <row r="11" spans="1:17">
      <c r="A11" s="11">
        <v>103</v>
      </c>
      <c r="B11" s="4" t="str">
        <f t="shared" si="0"/>
        <v>ＳＢ商事</v>
      </c>
      <c r="C11" s="4">
        <v>11</v>
      </c>
      <c r="D11" s="4" t="str">
        <f t="shared" si="1"/>
        <v>商品W</v>
      </c>
      <c r="E11" s="4">
        <v>599</v>
      </c>
      <c r="F11" s="5">
        <f t="shared" si="2"/>
        <v>1980</v>
      </c>
      <c r="G11" s="5">
        <f t="shared" si="3"/>
        <v>2772</v>
      </c>
      <c r="H11" s="5">
        <f t="shared" si="4"/>
        <v>2551</v>
      </c>
      <c r="I11" s="5">
        <f t="shared" si="5"/>
        <v>1528049</v>
      </c>
      <c r="J11" s="6">
        <f t="shared" si="6"/>
        <v>5.1999999999999998E-2</v>
      </c>
      <c r="K11" s="5">
        <f t="shared" si="7"/>
        <v>31</v>
      </c>
      <c r="L11" s="5">
        <f t="shared" si="8"/>
        <v>342029</v>
      </c>
      <c r="M11" s="12" t="str">
        <f t="shared" si="9"/>
        <v>B</v>
      </c>
      <c r="O11">
        <v>22</v>
      </c>
      <c r="P11" t="s">
        <v>89</v>
      </c>
      <c r="Q11">
        <v>12.54</v>
      </c>
    </row>
    <row r="12" spans="1:17">
      <c r="A12" s="11">
        <v>103</v>
      </c>
      <c r="B12" s="4" t="str">
        <f t="shared" si="0"/>
        <v>ＳＢ商事</v>
      </c>
      <c r="C12" s="4">
        <v>12</v>
      </c>
      <c r="D12" s="4" t="str">
        <f t="shared" si="1"/>
        <v>商品X</v>
      </c>
      <c r="E12" s="4">
        <v>525</v>
      </c>
      <c r="F12" s="5">
        <f t="shared" si="2"/>
        <v>2100</v>
      </c>
      <c r="G12" s="5">
        <f t="shared" si="3"/>
        <v>2940</v>
      </c>
      <c r="H12" s="5">
        <f t="shared" si="4"/>
        <v>2705</v>
      </c>
      <c r="I12" s="5">
        <f t="shared" si="5"/>
        <v>1420125</v>
      </c>
      <c r="J12" s="6">
        <f t="shared" si="6"/>
        <v>4.2999999999999997E-2</v>
      </c>
      <c r="K12" s="5">
        <f t="shared" si="7"/>
        <v>22</v>
      </c>
      <c r="L12" s="5">
        <f t="shared" si="8"/>
        <v>317625</v>
      </c>
      <c r="M12" s="12" t="str">
        <f t="shared" si="9"/>
        <v>C</v>
      </c>
    </row>
    <row r="13" spans="1:17">
      <c r="A13" s="11">
        <v>103</v>
      </c>
      <c r="B13" s="4" t="str">
        <f t="shared" si="0"/>
        <v>ＳＢ商事</v>
      </c>
      <c r="C13" s="4">
        <v>21</v>
      </c>
      <c r="D13" s="4" t="str">
        <f t="shared" si="1"/>
        <v>商品Y</v>
      </c>
      <c r="E13" s="4">
        <v>691</v>
      </c>
      <c r="F13" s="5">
        <f t="shared" si="2"/>
        <v>1590</v>
      </c>
      <c r="G13" s="5">
        <f t="shared" si="3"/>
        <v>2226</v>
      </c>
      <c r="H13" s="5">
        <f t="shared" si="4"/>
        <v>2071</v>
      </c>
      <c r="I13" s="5">
        <f t="shared" si="5"/>
        <v>1431061</v>
      </c>
      <c r="J13" s="6">
        <f t="shared" si="6"/>
        <v>5.6000000000000001E-2</v>
      </c>
      <c r="K13" s="5">
        <f t="shared" si="7"/>
        <v>38</v>
      </c>
      <c r="L13" s="5">
        <f t="shared" si="8"/>
        <v>332371</v>
      </c>
      <c r="M13" s="12" t="str">
        <f t="shared" si="9"/>
        <v>B</v>
      </c>
      <c r="O13" t="s">
        <v>90</v>
      </c>
      <c r="P13">
        <v>141.86000000000001</v>
      </c>
    </row>
    <row r="14" spans="1:17">
      <c r="A14" s="11">
        <v>103</v>
      </c>
      <c r="B14" s="4" t="str">
        <f t="shared" si="0"/>
        <v>ＳＢ商事</v>
      </c>
      <c r="C14" s="4">
        <v>22</v>
      </c>
      <c r="D14" s="4" t="str">
        <f t="shared" si="1"/>
        <v>商品Z</v>
      </c>
      <c r="E14" s="4">
        <v>617</v>
      </c>
      <c r="F14" s="5">
        <f t="shared" si="2"/>
        <v>1780</v>
      </c>
      <c r="G14" s="5">
        <f t="shared" si="3"/>
        <v>2492</v>
      </c>
      <c r="H14" s="5">
        <f t="shared" si="4"/>
        <v>2318</v>
      </c>
      <c r="I14" s="5">
        <f t="shared" si="5"/>
        <v>1430206</v>
      </c>
      <c r="J14" s="6">
        <f t="shared" si="6"/>
        <v>4.7E-2</v>
      </c>
      <c r="K14" s="5">
        <f t="shared" si="7"/>
        <v>28</v>
      </c>
      <c r="L14" s="5">
        <f t="shared" si="8"/>
        <v>331946</v>
      </c>
      <c r="M14" s="12" t="str">
        <f t="shared" si="9"/>
        <v>B</v>
      </c>
    </row>
    <row r="15" spans="1:17">
      <c r="A15" s="11">
        <v>104</v>
      </c>
      <c r="B15" s="4" t="str">
        <f t="shared" si="0"/>
        <v>富士見屋</v>
      </c>
      <c r="C15" s="4">
        <v>11</v>
      </c>
      <c r="D15" s="4" t="str">
        <f t="shared" si="1"/>
        <v>商品W</v>
      </c>
      <c r="E15" s="4">
        <v>600</v>
      </c>
      <c r="F15" s="5">
        <f t="shared" si="2"/>
        <v>1980</v>
      </c>
      <c r="G15" s="5">
        <f t="shared" si="3"/>
        <v>2772</v>
      </c>
      <c r="H15" s="5">
        <f t="shared" si="4"/>
        <v>2578</v>
      </c>
      <c r="I15" s="5">
        <f t="shared" si="5"/>
        <v>1546800</v>
      </c>
      <c r="J15" s="6">
        <f t="shared" si="6"/>
        <v>5.1999999999999998E-2</v>
      </c>
      <c r="K15" s="5">
        <f t="shared" si="7"/>
        <v>31</v>
      </c>
      <c r="L15" s="5">
        <f t="shared" si="8"/>
        <v>358800</v>
      </c>
      <c r="M15" s="12" t="str">
        <f t="shared" si="9"/>
        <v>A</v>
      </c>
      <c r="O15">
        <v>1</v>
      </c>
      <c r="P15" s="2">
        <v>4.2999999999999997E-2</v>
      </c>
      <c r="Q15" s="2">
        <v>3.7999999999999999E-2</v>
      </c>
    </row>
    <row r="16" spans="1:17">
      <c r="A16" s="11">
        <v>104</v>
      </c>
      <c r="B16" s="4" t="str">
        <f t="shared" si="0"/>
        <v>富士見屋</v>
      </c>
      <c r="C16" s="4">
        <v>12</v>
      </c>
      <c r="D16" s="4" t="str">
        <f t="shared" si="1"/>
        <v>商品X</v>
      </c>
      <c r="E16" s="4">
        <v>670</v>
      </c>
      <c r="F16" s="5">
        <f t="shared" si="2"/>
        <v>2100</v>
      </c>
      <c r="G16" s="5">
        <f t="shared" si="3"/>
        <v>2940</v>
      </c>
      <c r="H16" s="5">
        <f t="shared" si="4"/>
        <v>2735</v>
      </c>
      <c r="I16" s="5">
        <f t="shared" si="5"/>
        <v>1832450</v>
      </c>
      <c r="J16" s="6">
        <f t="shared" si="6"/>
        <v>6.0999999999999999E-2</v>
      </c>
      <c r="K16" s="5">
        <f t="shared" si="7"/>
        <v>40</v>
      </c>
      <c r="L16" s="5">
        <f t="shared" si="8"/>
        <v>425450</v>
      </c>
      <c r="M16" s="12" t="str">
        <f t="shared" si="9"/>
        <v>A</v>
      </c>
      <c r="O16">
        <v>560</v>
      </c>
      <c r="P16" s="2">
        <v>5.1999999999999998E-2</v>
      </c>
      <c r="Q16" s="2">
        <v>4.7E-2</v>
      </c>
    </row>
    <row r="17" spans="1:17">
      <c r="A17" s="11">
        <v>104</v>
      </c>
      <c r="B17" s="4" t="str">
        <f t="shared" si="0"/>
        <v>富士見屋</v>
      </c>
      <c r="C17" s="4">
        <v>21</v>
      </c>
      <c r="D17" s="4" t="str">
        <f t="shared" si="1"/>
        <v>商品Y</v>
      </c>
      <c r="E17" s="4">
        <v>476</v>
      </c>
      <c r="F17" s="5">
        <f t="shared" si="2"/>
        <v>1590</v>
      </c>
      <c r="G17" s="5">
        <f t="shared" si="3"/>
        <v>2226</v>
      </c>
      <c r="H17" s="5">
        <f t="shared" si="4"/>
        <v>2048</v>
      </c>
      <c r="I17" s="5">
        <f t="shared" si="5"/>
        <v>974848</v>
      </c>
      <c r="J17" s="6">
        <f t="shared" si="6"/>
        <v>3.7999999999999999E-2</v>
      </c>
      <c r="K17" s="5">
        <f t="shared" si="7"/>
        <v>18</v>
      </c>
      <c r="L17" s="5">
        <f t="shared" si="8"/>
        <v>218008</v>
      </c>
      <c r="M17" s="12" t="str">
        <f t="shared" si="9"/>
        <v>C</v>
      </c>
      <c r="O17">
        <v>650</v>
      </c>
      <c r="P17" s="2">
        <v>6.0999999999999999E-2</v>
      </c>
      <c r="Q17" s="2">
        <v>5.6000000000000001E-2</v>
      </c>
    </row>
    <row r="18" spans="1:17">
      <c r="A18" s="11">
        <v>104</v>
      </c>
      <c r="B18" s="4" t="str">
        <f t="shared" si="0"/>
        <v>富士見屋</v>
      </c>
      <c r="C18" s="4">
        <v>22</v>
      </c>
      <c r="D18" s="4" t="str">
        <f t="shared" si="1"/>
        <v>商品Z</v>
      </c>
      <c r="E18" s="4">
        <v>780</v>
      </c>
      <c r="F18" s="5">
        <f t="shared" si="2"/>
        <v>1780</v>
      </c>
      <c r="G18" s="5">
        <f t="shared" si="3"/>
        <v>2492</v>
      </c>
      <c r="H18" s="5">
        <f t="shared" si="4"/>
        <v>2318</v>
      </c>
      <c r="I18" s="5">
        <f t="shared" si="5"/>
        <v>1808040</v>
      </c>
      <c r="J18" s="6">
        <f t="shared" si="6"/>
        <v>5.6000000000000001E-2</v>
      </c>
      <c r="K18" s="5">
        <f t="shared" si="7"/>
        <v>43</v>
      </c>
      <c r="L18" s="5">
        <f t="shared" si="8"/>
        <v>419640</v>
      </c>
      <c r="M18" s="12" t="str">
        <f t="shared" si="9"/>
        <v>A</v>
      </c>
    </row>
    <row r="19" spans="1:17">
      <c r="A19" s="11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2"/>
    </row>
    <row r="20" spans="1:17" ht="19.5" thickBot="1">
      <c r="A20" s="13"/>
      <c r="B20" s="14" t="s">
        <v>30</v>
      </c>
      <c r="C20" s="15"/>
      <c r="D20" s="15"/>
      <c r="E20" s="16">
        <f>SUM(E3:E18)</f>
        <v>9314</v>
      </c>
      <c r="F20" s="16"/>
      <c r="G20" s="16"/>
      <c r="H20" s="16"/>
      <c r="I20" s="16">
        <f t="shared" ref="I20:L20" si="10">SUM(I3:I18)</f>
        <v>22529437</v>
      </c>
      <c r="J20" s="16"/>
      <c r="K20" s="16">
        <f t="shared" si="10"/>
        <v>458</v>
      </c>
      <c r="L20" s="16">
        <f t="shared" si="10"/>
        <v>5148317</v>
      </c>
      <c r="M20" s="17"/>
    </row>
    <row r="22" spans="1:17" ht="19.5" thickBot="1">
      <c r="A22" s="44" t="s">
        <v>91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</row>
    <row r="23" spans="1:17">
      <c r="A23" s="8" t="s">
        <v>69</v>
      </c>
      <c r="B23" s="9" t="s">
        <v>70</v>
      </c>
      <c r="C23" s="9" t="s">
        <v>3</v>
      </c>
      <c r="D23" s="9" t="s">
        <v>4</v>
      </c>
      <c r="E23" s="9" t="s">
        <v>6</v>
      </c>
      <c r="F23" s="9" t="s">
        <v>23</v>
      </c>
      <c r="G23" s="9" t="s">
        <v>5</v>
      </c>
      <c r="H23" s="9" t="s">
        <v>71</v>
      </c>
      <c r="I23" s="9" t="s">
        <v>72</v>
      </c>
      <c r="J23" s="9" t="s">
        <v>73</v>
      </c>
      <c r="K23" s="9" t="s">
        <v>74</v>
      </c>
      <c r="L23" s="9" t="s">
        <v>75</v>
      </c>
      <c r="M23" s="10" t="s">
        <v>13</v>
      </c>
    </row>
    <row r="24" spans="1:17">
      <c r="A24" s="11">
        <v>101</v>
      </c>
      <c r="B24" s="4" t="s">
        <v>76</v>
      </c>
      <c r="C24" s="4">
        <v>22</v>
      </c>
      <c r="D24" s="4" t="s">
        <v>88</v>
      </c>
      <c r="E24" s="4">
        <v>570</v>
      </c>
      <c r="F24" s="5">
        <v>1780</v>
      </c>
      <c r="G24" s="5">
        <v>2492</v>
      </c>
      <c r="H24" s="5">
        <v>2293</v>
      </c>
      <c r="I24" s="5">
        <v>1307010</v>
      </c>
      <c r="J24" s="6">
        <v>4.7E-2</v>
      </c>
      <c r="K24" s="5">
        <v>26</v>
      </c>
      <c r="L24" s="5">
        <v>292410</v>
      </c>
      <c r="M24" s="12" t="s">
        <v>56</v>
      </c>
    </row>
    <row r="25" spans="1:17">
      <c r="A25" s="11">
        <v>102</v>
      </c>
      <c r="B25" s="4" t="s">
        <v>78</v>
      </c>
      <c r="C25" s="4">
        <v>21</v>
      </c>
      <c r="D25" s="4" t="s">
        <v>86</v>
      </c>
      <c r="E25" s="4">
        <v>607</v>
      </c>
      <c r="F25" s="5">
        <v>1590</v>
      </c>
      <c r="G25" s="5">
        <v>2226</v>
      </c>
      <c r="H25" s="5">
        <v>2071</v>
      </c>
      <c r="I25" s="5">
        <v>1257097</v>
      </c>
      <c r="J25" s="6">
        <v>4.7E-2</v>
      </c>
      <c r="K25" s="5">
        <v>28</v>
      </c>
      <c r="L25" s="5">
        <v>291967</v>
      </c>
      <c r="M25" s="12" t="s">
        <v>55</v>
      </c>
    </row>
    <row r="26" spans="1:17">
      <c r="A26" s="11">
        <v>103</v>
      </c>
      <c r="B26" s="4" t="s">
        <v>80</v>
      </c>
      <c r="C26" s="4">
        <v>12</v>
      </c>
      <c r="D26" s="4" t="s">
        <v>84</v>
      </c>
      <c r="E26" s="4">
        <v>525</v>
      </c>
      <c r="F26" s="5">
        <v>2100</v>
      </c>
      <c r="G26" s="5">
        <v>2940</v>
      </c>
      <c r="H26" s="5">
        <v>2705</v>
      </c>
      <c r="I26" s="5">
        <v>1420125</v>
      </c>
      <c r="J26" s="6">
        <v>4.2999999999999997E-2</v>
      </c>
      <c r="K26" s="5">
        <v>22</v>
      </c>
      <c r="L26" s="5">
        <v>317625</v>
      </c>
      <c r="M26" s="12" t="s">
        <v>56</v>
      </c>
    </row>
    <row r="27" spans="1:17">
      <c r="A27" s="11">
        <v>103</v>
      </c>
      <c r="B27" s="4" t="s">
        <v>80</v>
      </c>
      <c r="C27" s="4">
        <v>21</v>
      </c>
      <c r="D27" s="4" t="s">
        <v>86</v>
      </c>
      <c r="E27" s="4">
        <v>691</v>
      </c>
      <c r="F27" s="5">
        <v>1590</v>
      </c>
      <c r="G27" s="5">
        <v>2226</v>
      </c>
      <c r="H27" s="5">
        <v>2071</v>
      </c>
      <c r="I27" s="5">
        <v>1431061</v>
      </c>
      <c r="J27" s="6">
        <v>5.6000000000000001E-2</v>
      </c>
      <c r="K27" s="5">
        <v>38</v>
      </c>
      <c r="L27" s="5">
        <v>332371</v>
      </c>
      <c r="M27" s="12" t="s">
        <v>55</v>
      </c>
    </row>
    <row r="28" spans="1:17">
      <c r="A28" s="11">
        <v>103</v>
      </c>
      <c r="B28" s="4" t="s">
        <v>80</v>
      </c>
      <c r="C28" s="4">
        <v>22</v>
      </c>
      <c r="D28" s="4" t="s">
        <v>88</v>
      </c>
      <c r="E28" s="4">
        <v>617</v>
      </c>
      <c r="F28" s="5">
        <v>1780</v>
      </c>
      <c r="G28" s="5">
        <v>2492</v>
      </c>
      <c r="H28" s="5">
        <v>2318</v>
      </c>
      <c r="I28" s="5">
        <v>1430206</v>
      </c>
      <c r="J28" s="6">
        <v>4.7E-2</v>
      </c>
      <c r="K28" s="5">
        <v>28</v>
      </c>
      <c r="L28" s="5">
        <v>331946</v>
      </c>
      <c r="M28" s="12" t="s">
        <v>55</v>
      </c>
    </row>
    <row r="29" spans="1:17">
      <c r="A29" s="11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12"/>
    </row>
    <row r="30" spans="1:17" ht="19.5" thickBot="1">
      <c r="A30" s="13"/>
      <c r="B30" s="14" t="s">
        <v>30</v>
      </c>
      <c r="C30" s="15"/>
      <c r="D30" s="15"/>
      <c r="E30" s="16">
        <f>SUM(E24:E28)</f>
        <v>3010</v>
      </c>
      <c r="F30" s="16"/>
      <c r="G30" s="16"/>
      <c r="H30" s="16"/>
      <c r="I30" s="16">
        <f t="shared" ref="I30:L30" si="11">SUM(I24:I28)</f>
        <v>6845499</v>
      </c>
      <c r="J30" s="16"/>
      <c r="K30" s="16">
        <f t="shared" si="11"/>
        <v>142</v>
      </c>
      <c r="L30" s="16">
        <f t="shared" si="11"/>
        <v>1566319</v>
      </c>
      <c r="M30" s="17"/>
    </row>
    <row r="32" spans="1:17" ht="19.5" thickBot="1">
      <c r="A32" s="44" t="s">
        <v>92</v>
      </c>
      <c r="B32" s="44"/>
      <c r="C32" s="44"/>
      <c r="D32" s="44"/>
    </row>
    <row r="33" spans="1:11">
      <c r="A33" s="28" t="s">
        <v>70</v>
      </c>
      <c r="B33" s="9" t="s">
        <v>6</v>
      </c>
      <c r="C33" s="9" t="s">
        <v>72</v>
      </c>
      <c r="D33" s="10" t="s">
        <v>75</v>
      </c>
      <c r="F33" t="s">
        <v>70</v>
      </c>
      <c r="G33" t="s">
        <v>70</v>
      </c>
      <c r="H33" t="s">
        <v>70</v>
      </c>
      <c r="I33" t="s">
        <v>70</v>
      </c>
    </row>
    <row r="34" spans="1:11">
      <c r="A34" s="11" t="s">
        <v>77</v>
      </c>
      <c r="B34" s="5">
        <f>DSUM(aa,B$33,$F$33:$F$34)</f>
        <v>2043</v>
      </c>
      <c r="C34" s="5">
        <f>DSUM(aa,C$33,$F$33:$F$34)</f>
        <v>4950731</v>
      </c>
      <c r="D34" s="21">
        <f>DSUM(aa,D$33,$F$33:$F$34)</f>
        <v>1122251</v>
      </c>
      <c r="F34" t="s">
        <v>77</v>
      </c>
      <c r="G34" t="s">
        <v>79</v>
      </c>
      <c r="H34" t="s">
        <v>81</v>
      </c>
      <c r="I34" t="s">
        <v>82</v>
      </c>
    </row>
    <row r="35" spans="1:11" ht="19.5" thickBot="1">
      <c r="A35" s="11" t="s">
        <v>79</v>
      </c>
      <c r="B35" s="5">
        <f>DSUM(aa,B$33,$G$33:$G$34)</f>
        <v>2313</v>
      </c>
      <c r="C35" s="5">
        <f>DSUM(aa,C$33,$G$33:$G$34)</f>
        <v>5607127</v>
      </c>
      <c r="D35" s="21">
        <f>DSUM(aa,D$33,$G$33:$G$34)</f>
        <v>1280197</v>
      </c>
    </row>
    <row r="36" spans="1:11">
      <c r="A36" s="11" t="s">
        <v>81</v>
      </c>
      <c r="B36" s="5">
        <f>DSUM(aa,B$33,$H$33:$H$34)</f>
        <v>2432</v>
      </c>
      <c r="C36" s="5">
        <f>DSUM(aa,C$33,$H$33:$H$34)</f>
        <v>5809441</v>
      </c>
      <c r="D36" s="21">
        <f>DSUM(aa,D$33,$H$33:$H$34)</f>
        <v>1323971</v>
      </c>
      <c r="F36" s="9" t="s">
        <v>72</v>
      </c>
      <c r="G36" s="10" t="s">
        <v>13</v>
      </c>
      <c r="H36" s="9" t="s">
        <v>6</v>
      </c>
      <c r="I36" s="9" t="s">
        <v>6</v>
      </c>
      <c r="J36" s="9" t="s">
        <v>74</v>
      </c>
      <c r="K36" s="9" t="s">
        <v>75</v>
      </c>
    </row>
    <row r="37" spans="1:11" ht="19.5" thickBot="1">
      <c r="A37" s="13" t="s">
        <v>82</v>
      </c>
      <c r="B37" s="16">
        <f>DSUM(aa,B$33,$I$33:$I$34)</f>
        <v>2526</v>
      </c>
      <c r="C37" s="16">
        <f>DSUM(aa,C$33,$I$33:$I$34)</f>
        <v>6162138</v>
      </c>
      <c r="D37" s="22">
        <f>DSUM(aa,D$33,$I$33:$I$34)</f>
        <v>1421898</v>
      </c>
      <c r="F37" t="s">
        <v>96</v>
      </c>
      <c r="G37" t="s">
        <v>97</v>
      </c>
      <c r="H37" t="s">
        <v>98</v>
      </c>
      <c r="I37" t="s">
        <v>99</v>
      </c>
      <c r="J37" t="s">
        <v>100</v>
      </c>
    </row>
    <row r="38" spans="1:11" ht="19.5" thickBot="1">
      <c r="K38" t="s">
        <v>101</v>
      </c>
    </row>
    <row r="39" spans="1:11">
      <c r="A39" s="52" t="s">
        <v>93</v>
      </c>
      <c r="B39" s="53"/>
      <c r="C39" s="53"/>
      <c r="D39" s="53"/>
      <c r="E39" s="53"/>
      <c r="F39" s="53"/>
      <c r="G39" s="24">
        <f>DMIN(aa,L2,F36:G37)</f>
        <v>292410</v>
      </c>
    </row>
    <row r="40" spans="1:11">
      <c r="A40" s="50" t="s">
        <v>94</v>
      </c>
      <c r="B40" s="51"/>
      <c r="C40" s="51"/>
      <c r="D40" s="51"/>
      <c r="E40" s="51"/>
      <c r="F40" s="51"/>
      <c r="G40" s="21">
        <f>DCOUNT(aa,1,H36:I37)</f>
        <v>6</v>
      </c>
    </row>
    <row r="41" spans="1:11" ht="19.5" thickBot="1">
      <c r="A41" s="45" t="s">
        <v>95</v>
      </c>
      <c r="B41" s="46"/>
      <c r="C41" s="46"/>
      <c r="D41" s="46"/>
      <c r="E41" s="46"/>
      <c r="F41" s="46"/>
      <c r="G41" s="22">
        <f>DAVERAGE(aa,I2,J36:K38)</f>
        <v>1657218.25</v>
      </c>
    </row>
  </sheetData>
  <sortState ref="A24:M28">
    <sortCondition descending="1" ref="L23"/>
  </sortState>
  <mergeCells count="6">
    <mergeCell ref="A41:F41"/>
    <mergeCell ref="A1:M1"/>
    <mergeCell ref="A22:M22"/>
    <mergeCell ref="A32:D32"/>
    <mergeCell ref="A39:F39"/>
    <mergeCell ref="A40:F40"/>
  </mergeCells>
  <phoneticPr fontId="2"/>
  <pageMargins left="0.25" right="0.25" top="0.75" bottom="0.75" header="0.3" footer="0.3"/>
  <pageSetup paperSize="9" scale="6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A268F-8095-4D6F-A3AE-53C25CD0E901}">
  <sheetPr>
    <pageSetUpPr fitToPage="1"/>
  </sheetPr>
  <dimension ref="A1:P42"/>
  <sheetViews>
    <sheetView topLeftCell="A22" workbookViewId="0">
      <selection activeCell="O37" sqref="O37"/>
    </sheetView>
  </sheetViews>
  <sheetFormatPr defaultRowHeight="18.75"/>
  <cols>
    <col min="1" max="2" width="11" bestFit="1" customWidth="1"/>
    <col min="3" max="3" width="9.5" bestFit="1" customWidth="1"/>
    <col min="4" max="4" width="8" bestFit="1" customWidth="1"/>
    <col min="5" max="5" width="7.125" bestFit="1" customWidth="1"/>
    <col min="6" max="9" width="11" bestFit="1" customWidth="1"/>
    <col min="10" max="10" width="9.5" bestFit="1" customWidth="1"/>
    <col min="12" max="12" width="9.25" bestFit="1" customWidth="1"/>
    <col min="13" max="13" width="4" customWidth="1"/>
    <col min="14" max="14" width="7.125" bestFit="1" customWidth="1"/>
    <col min="15" max="15" width="11" bestFit="1" customWidth="1"/>
    <col min="16" max="16" width="5.5" bestFit="1" customWidth="1"/>
  </cols>
  <sheetData>
    <row r="1" spans="1:16" ht="19.5" thickBot="1">
      <c r="A1" s="44" t="s">
        <v>102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1:16">
      <c r="A2" s="8" t="s">
        <v>103</v>
      </c>
      <c r="B2" s="9" t="s">
        <v>104</v>
      </c>
      <c r="C2" s="9" t="s">
        <v>3</v>
      </c>
      <c r="D2" s="9" t="s">
        <v>4</v>
      </c>
      <c r="E2" s="9" t="s">
        <v>105</v>
      </c>
      <c r="F2" s="9" t="s">
        <v>106</v>
      </c>
      <c r="G2" s="9" t="s">
        <v>5</v>
      </c>
      <c r="H2" s="9" t="s">
        <v>71</v>
      </c>
      <c r="I2" s="9" t="s">
        <v>107</v>
      </c>
      <c r="J2" s="9" t="s">
        <v>75</v>
      </c>
      <c r="K2" s="9" t="s">
        <v>108</v>
      </c>
      <c r="L2" s="10" t="s">
        <v>109</v>
      </c>
      <c r="N2" t="s">
        <v>103</v>
      </c>
      <c r="O2" t="s">
        <v>104</v>
      </c>
    </row>
    <row r="3" spans="1:16">
      <c r="A3" s="11">
        <v>101</v>
      </c>
      <c r="B3" s="4" t="str">
        <f>VLOOKUP(A3,$N$3:$O$6,2,0)</f>
        <v>東海ストア</v>
      </c>
      <c r="C3" s="4">
        <v>11</v>
      </c>
      <c r="D3" s="4" t="str">
        <f>VLOOKUP(C3,$N$8:$P$11,2,0)</f>
        <v>J商品</v>
      </c>
      <c r="E3" s="4">
        <v>497</v>
      </c>
      <c r="F3" s="30">
        <f>VLOOKUP(C3,$N$14:$P$15,INT(E3/500)+2,1)</f>
        <v>0.27</v>
      </c>
      <c r="G3" s="5">
        <f>ROUNDUP(VLOOKUP(C3,$N$8:$P$11,3,0)*(1+F3),-1)</f>
        <v>3070</v>
      </c>
      <c r="H3" s="5">
        <f>ROUNDUP(IF(G3&gt;=3000,G3*0.92,G3*0.93),0)</f>
        <v>2825</v>
      </c>
      <c r="I3" s="5">
        <f>H3*E3</f>
        <v>1404025</v>
      </c>
      <c r="J3" s="5">
        <f>I3-VLOOKUP(C3,$N$8:$P$11,3,0)*E3</f>
        <v>202776</v>
      </c>
      <c r="K3" s="5">
        <f>INT(IF(I3&gt;=1350000,I3*1.5%,I3*1.2%))</f>
        <v>21060</v>
      </c>
      <c r="L3" s="12" t="str">
        <f>IF(OR(E3&gt;=520,I3&gt;=200000),"良好", "努力")</f>
        <v>良好</v>
      </c>
      <c r="N3">
        <v>101</v>
      </c>
      <c r="O3" t="s">
        <v>111</v>
      </c>
    </row>
    <row r="4" spans="1:16">
      <c r="A4" s="11">
        <v>102</v>
      </c>
      <c r="B4" s="4" t="str">
        <f t="shared" ref="B4:B18" si="0">VLOOKUP(A4,$N$3:$O$6,2,0)</f>
        <v>ＢＩＧ商事</v>
      </c>
      <c r="C4" s="4">
        <v>11</v>
      </c>
      <c r="D4" s="4" t="str">
        <f t="shared" ref="D4:D18" si="1">VLOOKUP(C4,$N$8:$P$11,2,0)</f>
        <v>J商品</v>
      </c>
      <c r="E4" s="4">
        <v>500</v>
      </c>
      <c r="F4" s="30">
        <f t="shared" ref="F4:F18" si="2">VLOOKUP(C4,$N$14:$P$15,INT(E4/500)+2,1)</f>
        <v>0.26</v>
      </c>
      <c r="G4" s="5">
        <f t="shared" ref="G4:G18" si="3">ROUNDUP(VLOOKUP(C4,$N$8:$P$11,3,0)*(1+F4),-1)</f>
        <v>3050</v>
      </c>
      <c r="H4" s="5">
        <f t="shared" ref="H4:H18" si="4">ROUNDUP(IF(G4&gt;=3000,G4*0.92,G4*0.93),0)</f>
        <v>2806</v>
      </c>
      <c r="I4" s="5">
        <f t="shared" ref="I4:I18" si="5">H4*E4</f>
        <v>1403000</v>
      </c>
      <c r="J4" s="5">
        <f t="shared" ref="J4:J18" si="6">I4-VLOOKUP(C4,$N$8:$P$11,3,0)*E4</f>
        <v>194500</v>
      </c>
      <c r="K4" s="5">
        <f t="shared" ref="K4:K18" si="7">INT(IF(I4&gt;=1350000,I4*1.5%,I4*1.2%))</f>
        <v>21045</v>
      </c>
      <c r="L4" s="12" t="str">
        <f t="shared" ref="L4:L18" si="8">IF(OR(E4&gt;=520,I4&gt;=200000),"良好", "努力")</f>
        <v>良好</v>
      </c>
      <c r="N4">
        <v>102</v>
      </c>
      <c r="O4" t="s">
        <v>113</v>
      </c>
    </row>
    <row r="5" spans="1:16">
      <c r="A5" s="11">
        <v>103</v>
      </c>
      <c r="B5" s="4" t="str">
        <f t="shared" si="0"/>
        <v>マルハ商店</v>
      </c>
      <c r="C5" s="4">
        <v>11</v>
      </c>
      <c r="D5" s="4" t="str">
        <f t="shared" si="1"/>
        <v>J商品</v>
      </c>
      <c r="E5" s="4">
        <v>491</v>
      </c>
      <c r="F5" s="30">
        <f t="shared" si="2"/>
        <v>0.27</v>
      </c>
      <c r="G5" s="5">
        <f t="shared" si="3"/>
        <v>3070</v>
      </c>
      <c r="H5" s="5">
        <f t="shared" si="4"/>
        <v>2825</v>
      </c>
      <c r="I5" s="5">
        <f t="shared" si="5"/>
        <v>1387075</v>
      </c>
      <c r="J5" s="5">
        <f t="shared" si="6"/>
        <v>200328</v>
      </c>
      <c r="K5" s="5">
        <f t="shared" si="7"/>
        <v>20806</v>
      </c>
      <c r="L5" s="12" t="str">
        <f t="shared" si="8"/>
        <v>良好</v>
      </c>
      <c r="N5">
        <v>103</v>
      </c>
      <c r="O5" t="s">
        <v>115</v>
      </c>
    </row>
    <row r="6" spans="1:16">
      <c r="A6" s="11">
        <v>104</v>
      </c>
      <c r="B6" s="4" t="str">
        <f t="shared" si="0"/>
        <v>三共百貨店</v>
      </c>
      <c r="C6" s="4">
        <v>11</v>
      </c>
      <c r="D6" s="4" t="str">
        <f t="shared" si="1"/>
        <v>J商品</v>
      </c>
      <c r="E6" s="4">
        <v>572</v>
      </c>
      <c r="F6" s="30">
        <f t="shared" si="2"/>
        <v>0.26</v>
      </c>
      <c r="G6" s="5">
        <f t="shared" si="3"/>
        <v>3050</v>
      </c>
      <c r="H6" s="5">
        <f t="shared" si="4"/>
        <v>2806</v>
      </c>
      <c r="I6" s="5">
        <f t="shared" si="5"/>
        <v>1605032</v>
      </c>
      <c r="J6" s="5">
        <f t="shared" si="6"/>
        <v>222508</v>
      </c>
      <c r="K6" s="5">
        <f t="shared" si="7"/>
        <v>24075</v>
      </c>
      <c r="L6" s="12" t="str">
        <f t="shared" si="8"/>
        <v>良好</v>
      </c>
      <c r="N6">
        <v>104</v>
      </c>
      <c r="O6" t="s">
        <v>116</v>
      </c>
    </row>
    <row r="7" spans="1:16">
      <c r="A7" s="11">
        <v>101</v>
      </c>
      <c r="B7" s="4" t="str">
        <f t="shared" si="0"/>
        <v>東海ストア</v>
      </c>
      <c r="C7" s="4">
        <v>12</v>
      </c>
      <c r="D7" s="4" t="str">
        <f t="shared" si="1"/>
        <v>K商品</v>
      </c>
      <c r="E7" s="4">
        <v>684</v>
      </c>
      <c r="F7" s="30">
        <f t="shared" si="2"/>
        <v>0.26</v>
      </c>
      <c r="G7" s="5">
        <f t="shared" si="3"/>
        <v>2350</v>
      </c>
      <c r="H7" s="5">
        <f t="shared" si="4"/>
        <v>2186</v>
      </c>
      <c r="I7" s="5">
        <f t="shared" si="5"/>
        <v>1495224</v>
      </c>
      <c r="J7" s="5">
        <f t="shared" si="6"/>
        <v>220932</v>
      </c>
      <c r="K7" s="5">
        <f t="shared" si="7"/>
        <v>22428</v>
      </c>
      <c r="L7" s="12" t="str">
        <f t="shared" si="8"/>
        <v>良好</v>
      </c>
    </row>
    <row r="8" spans="1:16">
      <c r="A8" s="11">
        <v>102</v>
      </c>
      <c r="B8" s="4" t="str">
        <f t="shared" si="0"/>
        <v>ＢＩＧ商事</v>
      </c>
      <c r="C8" s="4">
        <v>12</v>
      </c>
      <c r="D8" s="4" t="str">
        <f t="shared" si="1"/>
        <v>K商品</v>
      </c>
      <c r="E8" s="4">
        <v>456</v>
      </c>
      <c r="F8" s="30">
        <f t="shared" si="2"/>
        <v>0.27</v>
      </c>
      <c r="G8" s="5">
        <f t="shared" si="3"/>
        <v>2370</v>
      </c>
      <c r="H8" s="5">
        <f t="shared" si="4"/>
        <v>2205</v>
      </c>
      <c r="I8" s="5">
        <f t="shared" si="5"/>
        <v>1005480</v>
      </c>
      <c r="J8" s="5">
        <f t="shared" si="6"/>
        <v>155952</v>
      </c>
      <c r="K8" s="5">
        <f t="shared" si="7"/>
        <v>12065</v>
      </c>
      <c r="L8" s="12" t="str">
        <f t="shared" si="8"/>
        <v>良好</v>
      </c>
      <c r="N8">
        <v>11</v>
      </c>
      <c r="O8" t="s">
        <v>117</v>
      </c>
      <c r="P8">
        <v>2417</v>
      </c>
    </row>
    <row r="9" spans="1:16">
      <c r="A9" s="11">
        <v>103</v>
      </c>
      <c r="B9" s="4" t="str">
        <f t="shared" si="0"/>
        <v>マルハ商店</v>
      </c>
      <c r="C9" s="4">
        <v>12</v>
      </c>
      <c r="D9" s="4" t="str">
        <f t="shared" si="1"/>
        <v>K商品</v>
      </c>
      <c r="E9" s="4">
        <v>492</v>
      </c>
      <c r="F9" s="30">
        <f t="shared" si="2"/>
        <v>0.27</v>
      </c>
      <c r="G9" s="5">
        <f t="shared" si="3"/>
        <v>2370</v>
      </c>
      <c r="H9" s="5">
        <f t="shared" si="4"/>
        <v>2205</v>
      </c>
      <c r="I9" s="5">
        <f t="shared" si="5"/>
        <v>1084860</v>
      </c>
      <c r="J9" s="5">
        <f t="shared" si="6"/>
        <v>168264</v>
      </c>
      <c r="K9" s="5">
        <f t="shared" si="7"/>
        <v>13018</v>
      </c>
      <c r="L9" s="12" t="str">
        <f t="shared" si="8"/>
        <v>良好</v>
      </c>
      <c r="N9">
        <v>12</v>
      </c>
      <c r="O9" t="s">
        <v>119</v>
      </c>
      <c r="P9">
        <v>1863</v>
      </c>
    </row>
    <row r="10" spans="1:16">
      <c r="A10" s="11">
        <v>104</v>
      </c>
      <c r="B10" s="4" t="str">
        <f t="shared" si="0"/>
        <v>三共百貨店</v>
      </c>
      <c r="C10" s="4">
        <v>12</v>
      </c>
      <c r="D10" s="4" t="str">
        <f t="shared" si="1"/>
        <v>K商品</v>
      </c>
      <c r="E10" s="4">
        <v>618</v>
      </c>
      <c r="F10" s="30">
        <f t="shared" si="2"/>
        <v>0.26</v>
      </c>
      <c r="G10" s="5">
        <f t="shared" si="3"/>
        <v>2350</v>
      </c>
      <c r="H10" s="5">
        <f t="shared" si="4"/>
        <v>2186</v>
      </c>
      <c r="I10" s="5">
        <f t="shared" si="5"/>
        <v>1350948</v>
      </c>
      <c r="J10" s="5">
        <f t="shared" si="6"/>
        <v>199614</v>
      </c>
      <c r="K10" s="5">
        <f t="shared" si="7"/>
        <v>20264</v>
      </c>
      <c r="L10" s="12" t="str">
        <f t="shared" si="8"/>
        <v>良好</v>
      </c>
      <c r="N10">
        <v>21</v>
      </c>
      <c r="O10" t="s">
        <v>121</v>
      </c>
      <c r="P10">
        <v>2785</v>
      </c>
    </row>
    <row r="11" spans="1:16">
      <c r="A11" s="11">
        <v>101</v>
      </c>
      <c r="B11" s="4" t="str">
        <f t="shared" si="0"/>
        <v>東海ストア</v>
      </c>
      <c r="C11" s="4">
        <v>21</v>
      </c>
      <c r="D11" s="4" t="str">
        <f t="shared" si="1"/>
        <v>L商品</v>
      </c>
      <c r="E11" s="4">
        <v>517</v>
      </c>
      <c r="F11" s="30">
        <f t="shared" si="2"/>
        <v>0.24</v>
      </c>
      <c r="G11" s="5">
        <f t="shared" si="3"/>
        <v>3460</v>
      </c>
      <c r="H11" s="5">
        <f t="shared" si="4"/>
        <v>3184</v>
      </c>
      <c r="I11" s="5">
        <f t="shared" si="5"/>
        <v>1646128</v>
      </c>
      <c r="J11" s="5">
        <f t="shared" si="6"/>
        <v>206283</v>
      </c>
      <c r="K11" s="5">
        <f t="shared" si="7"/>
        <v>24691</v>
      </c>
      <c r="L11" s="12" t="str">
        <f t="shared" si="8"/>
        <v>良好</v>
      </c>
      <c r="N11">
        <v>22</v>
      </c>
      <c r="O11" t="s">
        <v>123</v>
      </c>
      <c r="P11">
        <v>2056</v>
      </c>
    </row>
    <row r="12" spans="1:16">
      <c r="A12" s="11">
        <v>102</v>
      </c>
      <c r="B12" s="4" t="str">
        <f t="shared" si="0"/>
        <v>ＢＩＧ商事</v>
      </c>
      <c r="C12" s="4">
        <v>21</v>
      </c>
      <c r="D12" s="4" t="str">
        <f t="shared" si="1"/>
        <v>L商品</v>
      </c>
      <c r="E12" s="4">
        <v>385</v>
      </c>
      <c r="F12" s="30">
        <f t="shared" si="2"/>
        <v>0.25</v>
      </c>
      <c r="G12" s="5">
        <f t="shared" si="3"/>
        <v>3490</v>
      </c>
      <c r="H12" s="5">
        <f t="shared" si="4"/>
        <v>3211</v>
      </c>
      <c r="I12" s="5">
        <f t="shared" si="5"/>
        <v>1236235</v>
      </c>
      <c r="J12" s="5">
        <f t="shared" si="6"/>
        <v>164010</v>
      </c>
      <c r="K12" s="5">
        <f t="shared" si="7"/>
        <v>14834</v>
      </c>
      <c r="L12" s="12" t="str">
        <f t="shared" si="8"/>
        <v>良好</v>
      </c>
    </row>
    <row r="13" spans="1:16">
      <c r="A13" s="11">
        <v>103</v>
      </c>
      <c r="B13" s="4" t="str">
        <f t="shared" si="0"/>
        <v>マルハ商店</v>
      </c>
      <c r="C13" s="4">
        <v>21</v>
      </c>
      <c r="D13" s="4" t="str">
        <f t="shared" si="1"/>
        <v>L商品</v>
      </c>
      <c r="E13" s="4">
        <v>510</v>
      </c>
      <c r="F13" s="30">
        <f t="shared" si="2"/>
        <v>0.24</v>
      </c>
      <c r="G13" s="5">
        <f t="shared" si="3"/>
        <v>3460</v>
      </c>
      <c r="H13" s="5">
        <f t="shared" si="4"/>
        <v>3184</v>
      </c>
      <c r="I13" s="5">
        <f t="shared" si="5"/>
        <v>1623840</v>
      </c>
      <c r="J13" s="5">
        <f t="shared" si="6"/>
        <v>203490</v>
      </c>
      <c r="K13" s="5">
        <f t="shared" si="7"/>
        <v>24357</v>
      </c>
      <c r="L13" s="12" t="str">
        <f t="shared" si="8"/>
        <v>良好</v>
      </c>
    </row>
    <row r="14" spans="1:16">
      <c r="A14" s="11">
        <v>104</v>
      </c>
      <c r="B14" s="4" t="str">
        <f t="shared" si="0"/>
        <v>三共百貨店</v>
      </c>
      <c r="C14" s="4">
        <v>21</v>
      </c>
      <c r="D14" s="4" t="str">
        <f t="shared" si="1"/>
        <v>L商品</v>
      </c>
      <c r="E14" s="4">
        <v>498</v>
      </c>
      <c r="F14" s="30">
        <f t="shared" si="2"/>
        <v>0.25</v>
      </c>
      <c r="G14" s="5">
        <f t="shared" si="3"/>
        <v>3490</v>
      </c>
      <c r="H14" s="5">
        <f t="shared" si="4"/>
        <v>3211</v>
      </c>
      <c r="I14" s="5">
        <f t="shared" si="5"/>
        <v>1599078</v>
      </c>
      <c r="J14" s="5">
        <f t="shared" si="6"/>
        <v>212148</v>
      </c>
      <c r="K14" s="5">
        <f t="shared" si="7"/>
        <v>23986</v>
      </c>
      <c r="L14" s="12" t="str">
        <f t="shared" si="8"/>
        <v>良好</v>
      </c>
      <c r="N14">
        <v>10</v>
      </c>
      <c r="O14" s="29">
        <v>0.27</v>
      </c>
      <c r="P14" s="29">
        <v>0.26</v>
      </c>
    </row>
    <row r="15" spans="1:16">
      <c r="A15" s="11">
        <v>101</v>
      </c>
      <c r="B15" s="4" t="str">
        <f t="shared" si="0"/>
        <v>東海ストア</v>
      </c>
      <c r="C15" s="4">
        <v>22</v>
      </c>
      <c r="D15" s="4" t="str">
        <f t="shared" si="1"/>
        <v>M商品</v>
      </c>
      <c r="E15" s="4">
        <v>513</v>
      </c>
      <c r="F15" s="30">
        <f t="shared" si="2"/>
        <v>0.24</v>
      </c>
      <c r="G15" s="5">
        <f t="shared" si="3"/>
        <v>2550</v>
      </c>
      <c r="H15" s="5">
        <f t="shared" si="4"/>
        <v>2372</v>
      </c>
      <c r="I15" s="5">
        <f t="shared" si="5"/>
        <v>1216836</v>
      </c>
      <c r="J15" s="5">
        <f t="shared" si="6"/>
        <v>162108</v>
      </c>
      <c r="K15" s="5">
        <f t="shared" si="7"/>
        <v>14602</v>
      </c>
      <c r="L15" s="12" t="str">
        <f t="shared" si="8"/>
        <v>良好</v>
      </c>
      <c r="N15">
        <v>20</v>
      </c>
      <c r="O15" s="29">
        <v>0.25</v>
      </c>
      <c r="P15" s="29">
        <v>0.24</v>
      </c>
    </row>
    <row r="16" spans="1:16">
      <c r="A16" s="11">
        <v>102</v>
      </c>
      <c r="B16" s="4" t="str">
        <f t="shared" si="0"/>
        <v>ＢＩＧ商事</v>
      </c>
      <c r="C16" s="4">
        <v>22</v>
      </c>
      <c r="D16" s="4" t="str">
        <f t="shared" si="1"/>
        <v>M商品</v>
      </c>
      <c r="E16" s="4">
        <v>470</v>
      </c>
      <c r="F16" s="30">
        <f t="shared" si="2"/>
        <v>0.25</v>
      </c>
      <c r="G16" s="5">
        <f t="shared" si="3"/>
        <v>2570</v>
      </c>
      <c r="H16" s="5">
        <f t="shared" si="4"/>
        <v>2391</v>
      </c>
      <c r="I16" s="5">
        <f t="shared" si="5"/>
        <v>1123770</v>
      </c>
      <c r="J16" s="5">
        <f t="shared" si="6"/>
        <v>157450</v>
      </c>
      <c r="K16" s="5">
        <f t="shared" si="7"/>
        <v>13485</v>
      </c>
      <c r="L16" s="12" t="str">
        <f t="shared" si="8"/>
        <v>良好</v>
      </c>
    </row>
    <row r="17" spans="1:12">
      <c r="A17" s="11">
        <v>103</v>
      </c>
      <c r="B17" s="4" t="str">
        <f t="shared" si="0"/>
        <v>マルハ商店</v>
      </c>
      <c r="C17" s="4">
        <v>22</v>
      </c>
      <c r="D17" s="4" t="str">
        <f t="shared" si="1"/>
        <v>M商品</v>
      </c>
      <c r="E17" s="4">
        <v>520</v>
      </c>
      <c r="F17" s="30">
        <f t="shared" si="2"/>
        <v>0.24</v>
      </c>
      <c r="G17" s="5">
        <f t="shared" si="3"/>
        <v>2550</v>
      </c>
      <c r="H17" s="5">
        <f t="shared" si="4"/>
        <v>2372</v>
      </c>
      <c r="I17" s="5">
        <f t="shared" si="5"/>
        <v>1233440</v>
      </c>
      <c r="J17" s="5">
        <f t="shared" si="6"/>
        <v>164320</v>
      </c>
      <c r="K17" s="5">
        <f t="shared" si="7"/>
        <v>14801</v>
      </c>
      <c r="L17" s="12" t="str">
        <f t="shared" si="8"/>
        <v>良好</v>
      </c>
    </row>
    <row r="18" spans="1:12">
      <c r="A18" s="11">
        <v>104</v>
      </c>
      <c r="B18" s="4" t="str">
        <f t="shared" si="0"/>
        <v>三共百貨店</v>
      </c>
      <c r="C18" s="4">
        <v>22</v>
      </c>
      <c r="D18" s="4" t="str">
        <f t="shared" si="1"/>
        <v>M商品</v>
      </c>
      <c r="E18" s="4">
        <v>429</v>
      </c>
      <c r="F18" s="30">
        <f t="shared" si="2"/>
        <v>0.25</v>
      </c>
      <c r="G18" s="5">
        <f t="shared" si="3"/>
        <v>2570</v>
      </c>
      <c r="H18" s="5">
        <f t="shared" si="4"/>
        <v>2391</v>
      </c>
      <c r="I18" s="5">
        <f t="shared" si="5"/>
        <v>1025739</v>
      </c>
      <c r="J18" s="5">
        <f t="shared" si="6"/>
        <v>143715</v>
      </c>
      <c r="K18" s="5">
        <f t="shared" si="7"/>
        <v>12308</v>
      </c>
      <c r="L18" s="12" t="str">
        <f t="shared" si="8"/>
        <v>良好</v>
      </c>
    </row>
    <row r="19" spans="1:12">
      <c r="A19" s="11"/>
      <c r="B19" s="4"/>
      <c r="C19" s="4"/>
      <c r="D19" s="4"/>
      <c r="E19" s="4"/>
      <c r="F19" s="4"/>
      <c r="G19" s="4"/>
      <c r="H19" s="4"/>
      <c r="I19" s="4"/>
      <c r="J19" s="4"/>
      <c r="K19" s="4"/>
      <c r="L19" s="12"/>
    </row>
    <row r="20" spans="1:12" ht="19.5" thickBot="1">
      <c r="A20" s="13"/>
      <c r="B20" s="14" t="s">
        <v>30</v>
      </c>
      <c r="C20" s="15"/>
      <c r="D20" s="15"/>
      <c r="E20" s="16">
        <f>SUM(E3:E18)</f>
        <v>8152</v>
      </c>
      <c r="F20" s="16"/>
      <c r="G20" s="16"/>
      <c r="H20" s="16"/>
      <c r="I20" s="16">
        <f t="shared" ref="I20:K20" si="9">SUM(I3:I18)</f>
        <v>21440710</v>
      </c>
      <c r="J20" s="16">
        <f t="shared" si="9"/>
        <v>2978398</v>
      </c>
      <c r="K20" s="16">
        <f t="shared" si="9"/>
        <v>297825</v>
      </c>
      <c r="L20" s="17"/>
    </row>
    <row r="22" spans="1:12" ht="19.5" thickBot="1">
      <c r="A22" s="44" t="s">
        <v>125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</row>
    <row r="23" spans="1:12">
      <c r="A23" s="8" t="s">
        <v>103</v>
      </c>
      <c r="B23" s="9" t="s">
        <v>104</v>
      </c>
      <c r="C23" s="9" t="s">
        <v>3</v>
      </c>
      <c r="D23" s="9" t="s">
        <v>4</v>
      </c>
      <c r="E23" s="9" t="s">
        <v>105</v>
      </c>
      <c r="F23" s="9" t="s">
        <v>106</v>
      </c>
      <c r="G23" s="9" t="s">
        <v>5</v>
      </c>
      <c r="H23" s="9" t="s">
        <v>71</v>
      </c>
      <c r="I23" s="9" t="s">
        <v>107</v>
      </c>
      <c r="J23" s="9" t="s">
        <v>75</v>
      </c>
      <c r="K23" s="9" t="s">
        <v>108</v>
      </c>
      <c r="L23" s="10" t="s">
        <v>109</v>
      </c>
    </row>
    <row r="24" spans="1:12">
      <c r="A24" s="11">
        <v>102</v>
      </c>
      <c r="B24" s="4" t="s">
        <v>112</v>
      </c>
      <c r="C24" s="4">
        <v>12</v>
      </c>
      <c r="D24" s="4" t="s">
        <v>118</v>
      </c>
      <c r="E24" s="4">
        <v>456</v>
      </c>
      <c r="F24" s="30">
        <v>0.27</v>
      </c>
      <c r="G24" s="5">
        <v>2370</v>
      </c>
      <c r="H24" s="5">
        <v>2205</v>
      </c>
      <c r="I24" s="5">
        <v>1005480</v>
      </c>
      <c r="J24" s="5">
        <v>155952</v>
      </c>
      <c r="K24" s="5">
        <v>12065</v>
      </c>
      <c r="L24" s="12" t="s">
        <v>124</v>
      </c>
    </row>
    <row r="25" spans="1:12">
      <c r="A25" s="11">
        <v>103</v>
      </c>
      <c r="B25" s="4" t="s">
        <v>114</v>
      </c>
      <c r="C25" s="4">
        <v>12</v>
      </c>
      <c r="D25" s="4" t="s">
        <v>118</v>
      </c>
      <c r="E25" s="4">
        <v>492</v>
      </c>
      <c r="F25" s="30">
        <v>0.27</v>
      </c>
      <c r="G25" s="5">
        <v>2370</v>
      </c>
      <c r="H25" s="5">
        <v>2205</v>
      </c>
      <c r="I25" s="5">
        <v>1084860</v>
      </c>
      <c r="J25" s="5">
        <v>168264</v>
      </c>
      <c r="K25" s="5">
        <v>13018</v>
      </c>
      <c r="L25" s="12" t="s">
        <v>124</v>
      </c>
    </row>
    <row r="26" spans="1:12">
      <c r="A26" s="11">
        <v>102</v>
      </c>
      <c r="B26" s="4" t="s">
        <v>112</v>
      </c>
      <c r="C26" s="4">
        <v>22</v>
      </c>
      <c r="D26" s="4" t="s">
        <v>122</v>
      </c>
      <c r="E26" s="4">
        <v>470</v>
      </c>
      <c r="F26" s="30">
        <v>0.25</v>
      </c>
      <c r="G26" s="5">
        <v>2570</v>
      </c>
      <c r="H26" s="5">
        <v>2391</v>
      </c>
      <c r="I26" s="5">
        <v>1123770</v>
      </c>
      <c r="J26" s="5">
        <v>157450</v>
      </c>
      <c r="K26" s="5">
        <v>13485</v>
      </c>
      <c r="L26" s="12" t="s">
        <v>124</v>
      </c>
    </row>
    <row r="27" spans="1:12">
      <c r="A27" s="11">
        <v>101</v>
      </c>
      <c r="B27" s="4" t="s">
        <v>110</v>
      </c>
      <c r="C27" s="4">
        <v>22</v>
      </c>
      <c r="D27" s="4" t="s">
        <v>122</v>
      </c>
      <c r="E27" s="4">
        <v>513</v>
      </c>
      <c r="F27" s="30">
        <v>0.24</v>
      </c>
      <c r="G27" s="5">
        <v>2550</v>
      </c>
      <c r="H27" s="5">
        <v>2372</v>
      </c>
      <c r="I27" s="5">
        <v>1216836</v>
      </c>
      <c r="J27" s="5">
        <v>162108</v>
      </c>
      <c r="K27" s="5">
        <v>14602</v>
      </c>
      <c r="L27" s="12" t="s">
        <v>124</v>
      </c>
    </row>
    <row r="28" spans="1:12">
      <c r="A28" s="11">
        <v>103</v>
      </c>
      <c r="B28" s="4" t="s">
        <v>114</v>
      </c>
      <c r="C28" s="4">
        <v>22</v>
      </c>
      <c r="D28" s="4" t="s">
        <v>122</v>
      </c>
      <c r="E28" s="4">
        <v>520</v>
      </c>
      <c r="F28" s="30">
        <v>0.24</v>
      </c>
      <c r="G28" s="5">
        <v>2550</v>
      </c>
      <c r="H28" s="5">
        <v>2372</v>
      </c>
      <c r="I28" s="5">
        <v>1233440</v>
      </c>
      <c r="J28" s="5">
        <v>164320</v>
      </c>
      <c r="K28" s="5">
        <v>14801</v>
      </c>
      <c r="L28" s="12" t="s">
        <v>124</v>
      </c>
    </row>
    <row r="29" spans="1:12">
      <c r="A29" s="11">
        <v>102</v>
      </c>
      <c r="B29" s="4" t="s">
        <v>112</v>
      </c>
      <c r="C29" s="4">
        <v>21</v>
      </c>
      <c r="D29" s="4" t="s">
        <v>120</v>
      </c>
      <c r="E29" s="4">
        <v>385</v>
      </c>
      <c r="F29" s="30">
        <v>0.25</v>
      </c>
      <c r="G29" s="5">
        <v>3490</v>
      </c>
      <c r="H29" s="5">
        <v>3211</v>
      </c>
      <c r="I29" s="5">
        <v>1236235</v>
      </c>
      <c r="J29" s="5">
        <v>164010</v>
      </c>
      <c r="K29" s="5">
        <v>14834</v>
      </c>
      <c r="L29" s="12" t="s">
        <v>124</v>
      </c>
    </row>
    <row r="30" spans="1:12">
      <c r="A30" s="11"/>
      <c r="B30" s="4"/>
      <c r="C30" s="4"/>
      <c r="D30" s="4"/>
      <c r="E30" s="4"/>
      <c r="F30" s="4"/>
      <c r="G30" s="4"/>
      <c r="H30" s="4"/>
      <c r="I30" s="4"/>
      <c r="J30" s="4"/>
      <c r="K30" s="4"/>
      <c r="L30" s="12"/>
    </row>
    <row r="31" spans="1:12" ht="19.5" thickBot="1">
      <c r="A31" s="13"/>
      <c r="B31" s="14" t="s">
        <v>30</v>
      </c>
      <c r="C31" s="15"/>
      <c r="D31" s="15"/>
      <c r="E31" s="16">
        <f>SUM(E24:E29)</f>
        <v>2836</v>
      </c>
      <c r="F31" s="16"/>
      <c r="G31" s="16"/>
      <c r="H31" s="16"/>
      <c r="I31" s="16">
        <f t="shared" ref="I31:K31" si="10">SUM(I24:I29)</f>
        <v>6900621</v>
      </c>
      <c r="J31" s="16">
        <f t="shared" si="10"/>
        <v>972104</v>
      </c>
      <c r="K31" s="16">
        <f t="shared" si="10"/>
        <v>82805</v>
      </c>
      <c r="L31" s="17"/>
    </row>
    <row r="32" spans="1:12" ht="19.5" thickBot="1"/>
    <row r="33" spans="1:15" ht="19.5" thickBot="1">
      <c r="A33" s="54" t="s">
        <v>126</v>
      </c>
      <c r="B33" s="54"/>
      <c r="C33" s="54"/>
      <c r="D33" s="54"/>
      <c r="F33" t="s">
        <v>104</v>
      </c>
      <c r="G33" t="s">
        <v>104</v>
      </c>
      <c r="H33" t="s">
        <v>104</v>
      </c>
      <c r="I33" t="s">
        <v>104</v>
      </c>
      <c r="O33" s="9" t="s">
        <v>4</v>
      </c>
    </row>
    <row r="34" spans="1:15" ht="19.5" thickBot="1">
      <c r="A34" s="28" t="s">
        <v>104</v>
      </c>
      <c r="B34" s="9" t="s">
        <v>105</v>
      </c>
      <c r="C34" s="9" t="s">
        <v>107</v>
      </c>
      <c r="D34" s="10" t="s">
        <v>75</v>
      </c>
      <c r="F34" t="s">
        <v>111</v>
      </c>
      <c r="G34" t="s">
        <v>113</v>
      </c>
      <c r="H34" t="s">
        <v>115</v>
      </c>
      <c r="I34" t="s">
        <v>116</v>
      </c>
      <c r="O34" t="s">
        <v>130</v>
      </c>
    </row>
    <row r="35" spans="1:15">
      <c r="A35" s="11" t="s">
        <v>111</v>
      </c>
      <c r="B35" s="5">
        <f>DSUM(bb,B$34,$F$33:$F$34)</f>
        <v>2211</v>
      </c>
      <c r="C35" s="5">
        <f>DSUM(bb,C$34,$F$33:$F$34)</f>
        <v>5762213</v>
      </c>
      <c r="D35" s="21">
        <f>DSUM(bb,D$34,$F$33:$F$34)</f>
        <v>792099</v>
      </c>
      <c r="N35" s="9" t="s">
        <v>105</v>
      </c>
      <c r="O35" s="9" t="s">
        <v>71</v>
      </c>
    </row>
    <row r="36" spans="1:15" ht="19.5" thickBot="1">
      <c r="A36" s="11" t="s">
        <v>113</v>
      </c>
      <c r="B36" s="5">
        <f>DSUM(bb,B$34,$G$33:$G$34)</f>
        <v>1811</v>
      </c>
      <c r="C36" s="5">
        <f>DSUM(bb,C$34,$G$33:$G$34)</f>
        <v>4768485</v>
      </c>
      <c r="D36" s="21">
        <f>DSUM(bb,D$34,$G$33:$G$34)</f>
        <v>671912</v>
      </c>
      <c r="N36" t="s">
        <v>131</v>
      </c>
      <c r="O36" t="s">
        <v>132</v>
      </c>
    </row>
    <row r="37" spans="1:15">
      <c r="A37" s="11" t="s">
        <v>115</v>
      </c>
      <c r="B37" s="5">
        <f>DSUM(bb,B$34,$H$33:$H$34)</f>
        <v>2013</v>
      </c>
      <c r="C37" s="5">
        <f>DSUM(bb,C$34,$H$33:$H$34)</f>
        <v>5329215</v>
      </c>
      <c r="D37" s="21">
        <f>DSUM(bb,D$34,$H$33:$H$34)</f>
        <v>736402</v>
      </c>
      <c r="N37" s="9" t="s">
        <v>106</v>
      </c>
      <c r="O37" s="9" t="s">
        <v>108</v>
      </c>
    </row>
    <row r="38" spans="1:15" ht="19.5" thickBot="1">
      <c r="A38" s="13" t="s">
        <v>116</v>
      </c>
      <c r="B38" s="16">
        <f>DSUM(bb,B$34,$I$33:$I$34)</f>
        <v>2117</v>
      </c>
      <c r="C38" s="16">
        <f>DSUM(bb,C$34,$I$33:$I$34)</f>
        <v>5580797</v>
      </c>
      <c r="D38" s="22">
        <f>DSUM(bb,D$34,$I$33:$I$34)</f>
        <v>777985</v>
      </c>
      <c r="N38" t="s">
        <v>133</v>
      </c>
      <c r="O38" t="s">
        <v>134</v>
      </c>
    </row>
    <row r="39" spans="1:15" ht="19.5" thickBot="1"/>
    <row r="40" spans="1:15">
      <c r="A40" s="48" t="s">
        <v>127</v>
      </c>
      <c r="B40" s="49"/>
      <c r="C40" s="49"/>
      <c r="D40" s="49"/>
      <c r="E40" s="49"/>
      <c r="F40" s="49"/>
      <c r="G40" s="24">
        <f>DSUM(bb,J2,O33:O34)</f>
        <v>2233636</v>
      </c>
    </row>
    <row r="41" spans="1:15">
      <c r="A41" s="50" t="s">
        <v>128</v>
      </c>
      <c r="B41" s="51"/>
      <c r="C41" s="51"/>
      <c r="D41" s="51"/>
      <c r="E41" s="51"/>
      <c r="F41" s="51"/>
      <c r="G41" s="21">
        <f>DMAX(bb,I2,N35:O36)</f>
        <v>1404025</v>
      </c>
    </row>
    <row r="42" spans="1:15" ht="19.5" thickBot="1">
      <c r="A42" s="45" t="s">
        <v>129</v>
      </c>
      <c r="B42" s="46"/>
      <c r="C42" s="46"/>
      <c r="D42" s="46"/>
      <c r="E42" s="46"/>
      <c r="F42" s="46"/>
      <c r="G42" s="22">
        <f>DCOUNT(bb,1,N37:O38)</f>
        <v>7</v>
      </c>
    </row>
  </sheetData>
  <sortState ref="A24:L29">
    <sortCondition ref="I23"/>
  </sortState>
  <mergeCells count="6">
    <mergeCell ref="A42:F42"/>
    <mergeCell ref="A1:L1"/>
    <mergeCell ref="A22:L22"/>
    <mergeCell ref="A33:D33"/>
    <mergeCell ref="A40:F40"/>
    <mergeCell ref="A41:F41"/>
  </mergeCells>
  <phoneticPr fontId="2"/>
  <pageMargins left="0.25" right="0.25" top="0.75" bottom="0.75" header="0.3" footer="0.3"/>
  <pageSetup paperSize="9" scale="62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9CB7D-4B91-4ABF-9695-855FB8BCDF09}">
  <dimension ref="A1:O42"/>
  <sheetViews>
    <sheetView topLeftCell="A10" workbookViewId="0">
      <selection activeCell="Q14" sqref="Q14"/>
    </sheetView>
  </sheetViews>
  <sheetFormatPr defaultRowHeight="18.75"/>
  <cols>
    <col min="2" max="2" width="9" bestFit="1" customWidth="1"/>
    <col min="3" max="4" width="10.5" bestFit="1" customWidth="1"/>
    <col min="5" max="5" width="6" bestFit="1" customWidth="1"/>
    <col min="7" max="7" width="9.25" bestFit="1" customWidth="1"/>
    <col min="10" max="11" width="10.5" bestFit="1" customWidth="1"/>
    <col min="12" max="12" width="5.25" customWidth="1"/>
    <col min="13" max="13" width="8.25" bestFit="1" customWidth="1"/>
    <col min="15" max="15" width="5.5" bestFit="1" customWidth="1"/>
  </cols>
  <sheetData>
    <row r="1" spans="1:15" ht="19.5" thickBot="1">
      <c r="A1" s="44" t="s">
        <v>135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5">
      <c r="A2" s="8" t="s">
        <v>69</v>
      </c>
      <c r="B2" s="9" t="s">
        <v>70</v>
      </c>
      <c r="C2" s="9" t="s">
        <v>3</v>
      </c>
      <c r="D2" s="9" t="s">
        <v>4</v>
      </c>
      <c r="E2" s="9" t="s">
        <v>5</v>
      </c>
      <c r="F2" s="9" t="s">
        <v>136</v>
      </c>
      <c r="G2" s="9" t="s">
        <v>138</v>
      </c>
      <c r="H2" s="9" t="s">
        <v>105</v>
      </c>
      <c r="I2" s="9" t="s">
        <v>137</v>
      </c>
      <c r="J2" s="9" t="s">
        <v>139</v>
      </c>
      <c r="K2" s="10" t="s">
        <v>140</v>
      </c>
    </row>
    <row r="3" spans="1:15">
      <c r="A3" s="25">
        <v>101</v>
      </c>
      <c r="B3" s="23" t="str">
        <f>VLOOKUP(A3,$M$3:$N$6,2,0)</f>
        <v>協栄物産</v>
      </c>
      <c r="C3" s="23">
        <v>11</v>
      </c>
      <c r="D3" s="23" t="str">
        <f>VLOOKUP(C3,$M$8:$O$11,2,0)</f>
        <v>P商品</v>
      </c>
      <c r="E3" s="5">
        <f>ROUNDDOWN(VLOOKUP(C3,$M$8:$O$11,3,0)*1.3, -1)</f>
        <v>3060</v>
      </c>
      <c r="F3" s="36">
        <v>45478</v>
      </c>
      <c r="G3" s="23">
        <f>ROUND(E3*0.9/VLOOKUP(F3,$M$13:$N$16,2,0),2)</f>
        <v>19.82</v>
      </c>
      <c r="H3" s="23">
        <v>362</v>
      </c>
      <c r="I3" s="6">
        <f>VLOOKUP(H3,$M$18:$O$20,INT(C3/20)+2,1)</f>
        <v>5.6000000000000001E-2</v>
      </c>
      <c r="J3" s="23">
        <f>ROUNDDOWN(G3*H3*I3,2)</f>
        <v>401.79</v>
      </c>
      <c r="K3" s="12">
        <f>ROUNDDOWN(G3*H3*(1+I3),2)</f>
        <v>7576.63</v>
      </c>
      <c r="M3">
        <v>101</v>
      </c>
      <c r="N3" t="s">
        <v>142</v>
      </c>
    </row>
    <row r="4" spans="1:15">
      <c r="A4" s="25">
        <v>101</v>
      </c>
      <c r="B4" s="23" t="str">
        <f t="shared" ref="B4:B18" si="0">VLOOKUP(A4,$M$3:$N$6,2,0)</f>
        <v>協栄物産</v>
      </c>
      <c r="C4" s="23">
        <v>12</v>
      </c>
      <c r="D4" s="23" t="str">
        <f t="shared" ref="D4:D18" si="1">VLOOKUP(C4,$M$8:$O$11,2,0)</f>
        <v>Q商品</v>
      </c>
      <c r="E4" s="5">
        <f t="shared" ref="E4:E18" si="2">ROUNDDOWN(VLOOKUP(C4,$M$8:$O$11,3,0)*1.3, -1)</f>
        <v>3210</v>
      </c>
      <c r="F4" s="36">
        <v>45478</v>
      </c>
      <c r="G4" s="23">
        <f t="shared" ref="G4:G18" si="3">ROUND(E4*0.9/VLOOKUP(F4,$M$13:$N$16,2,0),2)</f>
        <v>20.79</v>
      </c>
      <c r="H4" s="23">
        <v>608</v>
      </c>
      <c r="I4" s="6">
        <f t="shared" ref="I4:I18" si="4">VLOOKUP(H4,$M$18:$O$20,INT(C4/20)+2,1)</f>
        <v>5.8999999999999997E-2</v>
      </c>
      <c r="J4" s="23">
        <f t="shared" ref="J4:J18" si="5">ROUNDDOWN(G4*H4*I4,2)</f>
        <v>745.77</v>
      </c>
      <c r="K4" s="12">
        <f t="shared" ref="K4:K18" si="6">ROUNDDOWN(G4*H4*(1+I4),2)</f>
        <v>13386.09</v>
      </c>
      <c r="M4">
        <v>102</v>
      </c>
      <c r="N4" t="s">
        <v>144</v>
      </c>
    </row>
    <row r="5" spans="1:15">
      <c r="A5" s="25">
        <v>101</v>
      </c>
      <c r="B5" s="23" t="str">
        <f t="shared" si="0"/>
        <v>協栄物産</v>
      </c>
      <c r="C5" s="23">
        <v>21</v>
      </c>
      <c r="D5" s="23" t="str">
        <f t="shared" si="1"/>
        <v>R商品</v>
      </c>
      <c r="E5" s="5">
        <f t="shared" si="2"/>
        <v>2570</v>
      </c>
      <c r="F5" s="36">
        <v>45478</v>
      </c>
      <c r="G5" s="23">
        <f t="shared" si="3"/>
        <v>16.649999999999999</v>
      </c>
      <c r="H5" s="23">
        <v>440</v>
      </c>
      <c r="I5" s="6">
        <f t="shared" si="4"/>
        <v>4.4999999999999998E-2</v>
      </c>
      <c r="J5" s="23">
        <f t="shared" si="5"/>
        <v>329.67</v>
      </c>
      <c r="K5" s="12">
        <f t="shared" si="6"/>
        <v>7655.67</v>
      </c>
      <c r="M5">
        <v>103</v>
      </c>
      <c r="N5" t="s">
        <v>146</v>
      </c>
    </row>
    <row r="6" spans="1:15">
      <c r="A6" s="25">
        <v>101</v>
      </c>
      <c r="B6" s="23" t="str">
        <f t="shared" si="0"/>
        <v>協栄物産</v>
      </c>
      <c r="C6" s="23">
        <v>22</v>
      </c>
      <c r="D6" s="23" t="str">
        <f t="shared" si="1"/>
        <v>S商品</v>
      </c>
      <c r="E6" s="5">
        <f t="shared" si="2"/>
        <v>2790</v>
      </c>
      <c r="F6" s="36">
        <v>45478</v>
      </c>
      <c r="G6" s="23">
        <f t="shared" si="3"/>
        <v>18.07</v>
      </c>
      <c r="H6" s="23">
        <v>550</v>
      </c>
      <c r="I6" s="6">
        <f t="shared" si="4"/>
        <v>4.8000000000000001E-2</v>
      </c>
      <c r="J6" s="23">
        <f t="shared" si="5"/>
        <v>477.04</v>
      </c>
      <c r="K6" s="12">
        <f t="shared" si="6"/>
        <v>10415.540000000001</v>
      </c>
      <c r="M6">
        <v>104</v>
      </c>
      <c r="N6" t="s">
        <v>148</v>
      </c>
    </row>
    <row r="7" spans="1:15">
      <c r="A7" s="25">
        <v>102</v>
      </c>
      <c r="B7" s="23" t="str">
        <f t="shared" si="0"/>
        <v>中川商事</v>
      </c>
      <c r="C7" s="23">
        <v>11</v>
      </c>
      <c r="D7" s="23" t="str">
        <f t="shared" si="1"/>
        <v>P商品</v>
      </c>
      <c r="E7" s="5">
        <f t="shared" si="2"/>
        <v>3060</v>
      </c>
      <c r="F7" s="36">
        <v>45485</v>
      </c>
      <c r="G7" s="23">
        <f t="shared" si="3"/>
        <v>20.07</v>
      </c>
      <c r="H7" s="23">
        <v>692</v>
      </c>
      <c r="I7" s="6">
        <f t="shared" si="4"/>
        <v>6.2E-2</v>
      </c>
      <c r="J7" s="23">
        <f t="shared" si="5"/>
        <v>861.08</v>
      </c>
      <c r="K7" s="12">
        <f t="shared" si="6"/>
        <v>14749.52</v>
      </c>
    </row>
    <row r="8" spans="1:15">
      <c r="A8" s="25">
        <v>102</v>
      </c>
      <c r="B8" s="23" t="str">
        <f t="shared" si="0"/>
        <v>中川商事</v>
      </c>
      <c r="C8" s="23">
        <v>12</v>
      </c>
      <c r="D8" s="23" t="str">
        <f t="shared" si="1"/>
        <v>Q商品</v>
      </c>
      <c r="E8" s="5">
        <f t="shared" si="2"/>
        <v>3210</v>
      </c>
      <c r="F8" s="36">
        <v>45485</v>
      </c>
      <c r="G8" s="23">
        <f t="shared" si="3"/>
        <v>21.05</v>
      </c>
      <c r="H8" s="23">
        <v>566</v>
      </c>
      <c r="I8" s="6">
        <f t="shared" si="4"/>
        <v>5.8999999999999997E-2</v>
      </c>
      <c r="J8" s="23">
        <f t="shared" si="5"/>
        <v>702.94</v>
      </c>
      <c r="K8" s="12">
        <f t="shared" si="6"/>
        <v>12617.24</v>
      </c>
      <c r="M8">
        <v>11</v>
      </c>
      <c r="N8" t="s">
        <v>150</v>
      </c>
      <c r="O8">
        <v>2359</v>
      </c>
    </row>
    <row r="9" spans="1:15">
      <c r="A9" s="25">
        <v>102</v>
      </c>
      <c r="B9" s="23" t="str">
        <f t="shared" si="0"/>
        <v>中川商事</v>
      </c>
      <c r="C9" s="23">
        <v>21</v>
      </c>
      <c r="D9" s="23" t="str">
        <f t="shared" si="1"/>
        <v>R商品</v>
      </c>
      <c r="E9" s="5">
        <f t="shared" si="2"/>
        <v>2570</v>
      </c>
      <c r="F9" s="36">
        <v>45485</v>
      </c>
      <c r="G9" s="23">
        <f t="shared" si="3"/>
        <v>16.850000000000001</v>
      </c>
      <c r="H9" s="23">
        <v>628</v>
      </c>
      <c r="I9" s="6">
        <f t="shared" si="4"/>
        <v>4.8000000000000001E-2</v>
      </c>
      <c r="J9" s="23">
        <f t="shared" si="5"/>
        <v>507.92</v>
      </c>
      <c r="K9" s="12">
        <f t="shared" si="6"/>
        <v>11089.72</v>
      </c>
      <c r="M9">
        <v>12</v>
      </c>
      <c r="N9" t="s">
        <v>152</v>
      </c>
      <c r="O9">
        <v>2476</v>
      </c>
    </row>
    <row r="10" spans="1:15">
      <c r="A10" s="25">
        <v>102</v>
      </c>
      <c r="B10" s="23" t="str">
        <f t="shared" si="0"/>
        <v>中川商事</v>
      </c>
      <c r="C10" s="23">
        <v>22</v>
      </c>
      <c r="D10" s="23" t="str">
        <f t="shared" si="1"/>
        <v>S商品</v>
      </c>
      <c r="E10" s="5">
        <f t="shared" si="2"/>
        <v>2790</v>
      </c>
      <c r="F10" s="36">
        <v>45485</v>
      </c>
      <c r="G10" s="23">
        <f t="shared" si="3"/>
        <v>18.3</v>
      </c>
      <c r="H10" s="23">
        <v>407</v>
      </c>
      <c r="I10" s="6">
        <f t="shared" si="4"/>
        <v>4.4999999999999998E-2</v>
      </c>
      <c r="J10" s="23">
        <f t="shared" si="5"/>
        <v>335.16</v>
      </c>
      <c r="K10" s="12">
        <f t="shared" si="6"/>
        <v>7783.26</v>
      </c>
      <c r="M10">
        <v>21</v>
      </c>
      <c r="N10" t="s">
        <v>154</v>
      </c>
      <c r="O10">
        <v>1983</v>
      </c>
    </row>
    <row r="11" spans="1:15">
      <c r="A11" s="25">
        <v>103</v>
      </c>
      <c r="B11" s="23" t="str">
        <f t="shared" si="0"/>
        <v>ＳＫ貿易</v>
      </c>
      <c r="C11" s="23">
        <v>11</v>
      </c>
      <c r="D11" s="23" t="str">
        <f t="shared" si="1"/>
        <v>P商品</v>
      </c>
      <c r="E11" s="5">
        <f t="shared" si="2"/>
        <v>3060</v>
      </c>
      <c r="F11" s="36">
        <v>45492</v>
      </c>
      <c r="G11" s="23">
        <f t="shared" si="3"/>
        <v>19.72</v>
      </c>
      <c r="H11" s="23">
        <v>630</v>
      </c>
      <c r="I11" s="6">
        <f t="shared" si="4"/>
        <v>6.2E-2</v>
      </c>
      <c r="J11" s="23">
        <f t="shared" si="5"/>
        <v>770.26</v>
      </c>
      <c r="K11" s="12">
        <f t="shared" si="6"/>
        <v>13193.86</v>
      </c>
      <c r="M11">
        <v>22</v>
      </c>
      <c r="N11" t="s">
        <v>156</v>
      </c>
      <c r="O11">
        <v>2147</v>
      </c>
    </row>
    <row r="12" spans="1:15">
      <c r="A12" s="25">
        <v>103</v>
      </c>
      <c r="B12" s="23" t="str">
        <f t="shared" si="0"/>
        <v>ＳＫ貿易</v>
      </c>
      <c r="C12" s="23">
        <v>12</v>
      </c>
      <c r="D12" s="23" t="str">
        <f t="shared" si="1"/>
        <v>Q商品</v>
      </c>
      <c r="E12" s="5">
        <f t="shared" si="2"/>
        <v>3210</v>
      </c>
      <c r="F12" s="36">
        <v>45492</v>
      </c>
      <c r="G12" s="23">
        <f t="shared" si="3"/>
        <v>20.68</v>
      </c>
      <c r="H12" s="23">
        <v>498</v>
      </c>
      <c r="I12" s="6">
        <f t="shared" si="4"/>
        <v>5.6000000000000001E-2</v>
      </c>
      <c r="J12" s="23">
        <f t="shared" si="5"/>
        <v>576.72</v>
      </c>
      <c r="K12" s="12">
        <f t="shared" si="6"/>
        <v>10875.36</v>
      </c>
    </row>
    <row r="13" spans="1:15">
      <c r="A13" s="25">
        <v>103</v>
      </c>
      <c r="B13" s="23" t="str">
        <f t="shared" si="0"/>
        <v>ＳＫ貿易</v>
      </c>
      <c r="C13" s="23">
        <v>21</v>
      </c>
      <c r="D13" s="23" t="str">
        <f t="shared" si="1"/>
        <v>R商品</v>
      </c>
      <c r="E13" s="5">
        <f t="shared" si="2"/>
        <v>2570</v>
      </c>
      <c r="F13" s="36">
        <v>45492</v>
      </c>
      <c r="G13" s="23">
        <f t="shared" si="3"/>
        <v>16.559999999999999</v>
      </c>
      <c r="H13" s="23">
        <v>670</v>
      </c>
      <c r="I13" s="6">
        <f t="shared" si="4"/>
        <v>5.0999999999999997E-2</v>
      </c>
      <c r="J13" s="23">
        <f t="shared" si="5"/>
        <v>565.85</v>
      </c>
      <c r="K13" s="12">
        <f t="shared" si="6"/>
        <v>11661.05</v>
      </c>
      <c r="M13" s="35">
        <v>45478</v>
      </c>
      <c r="N13">
        <v>138.94999999999999</v>
      </c>
    </row>
    <row r="14" spans="1:15">
      <c r="A14" s="25">
        <v>103</v>
      </c>
      <c r="B14" s="23" t="str">
        <f t="shared" si="0"/>
        <v>ＳＫ貿易</v>
      </c>
      <c r="C14" s="23">
        <v>22</v>
      </c>
      <c r="D14" s="23" t="str">
        <f t="shared" si="1"/>
        <v>S商品</v>
      </c>
      <c r="E14" s="5">
        <f t="shared" si="2"/>
        <v>2790</v>
      </c>
      <c r="F14" s="36">
        <v>45492</v>
      </c>
      <c r="G14" s="23">
        <f t="shared" si="3"/>
        <v>17.98</v>
      </c>
      <c r="H14" s="23">
        <v>530</v>
      </c>
      <c r="I14" s="6">
        <f t="shared" si="4"/>
        <v>4.8000000000000001E-2</v>
      </c>
      <c r="J14" s="23">
        <f t="shared" si="5"/>
        <v>457.41</v>
      </c>
      <c r="K14" s="12">
        <f t="shared" si="6"/>
        <v>9986.81</v>
      </c>
      <c r="M14" s="35">
        <v>45485</v>
      </c>
      <c r="N14">
        <v>137.24</v>
      </c>
    </row>
    <row r="15" spans="1:15">
      <c r="A15" s="25">
        <v>104</v>
      </c>
      <c r="B15" s="23" t="str">
        <f t="shared" si="0"/>
        <v>東海総業</v>
      </c>
      <c r="C15" s="23">
        <v>11</v>
      </c>
      <c r="D15" s="23" t="str">
        <f t="shared" si="1"/>
        <v>P商品</v>
      </c>
      <c r="E15" s="5">
        <f t="shared" si="2"/>
        <v>3060</v>
      </c>
      <c r="F15" s="36">
        <v>45499</v>
      </c>
      <c r="G15" s="23">
        <f t="shared" si="3"/>
        <v>20.170000000000002</v>
      </c>
      <c r="H15" s="23">
        <v>585</v>
      </c>
      <c r="I15" s="6">
        <f t="shared" si="4"/>
        <v>5.8999999999999997E-2</v>
      </c>
      <c r="J15" s="23">
        <f t="shared" si="5"/>
        <v>696.16</v>
      </c>
      <c r="K15" s="12">
        <f t="shared" si="6"/>
        <v>12495.61</v>
      </c>
      <c r="M15" s="35">
        <v>45492</v>
      </c>
      <c r="N15">
        <v>139.66999999999999</v>
      </c>
    </row>
    <row r="16" spans="1:15">
      <c r="A16" s="25">
        <v>104</v>
      </c>
      <c r="B16" s="23" t="str">
        <f t="shared" si="0"/>
        <v>東海総業</v>
      </c>
      <c r="C16" s="23">
        <v>12</v>
      </c>
      <c r="D16" s="23" t="str">
        <f t="shared" si="1"/>
        <v>Q商品</v>
      </c>
      <c r="E16" s="5">
        <f t="shared" si="2"/>
        <v>3210</v>
      </c>
      <c r="F16" s="36">
        <v>45499</v>
      </c>
      <c r="G16" s="23">
        <f t="shared" si="3"/>
        <v>21.16</v>
      </c>
      <c r="H16" s="23">
        <v>650</v>
      </c>
      <c r="I16" s="6">
        <f t="shared" si="4"/>
        <v>6.2E-2</v>
      </c>
      <c r="J16" s="23">
        <f t="shared" si="5"/>
        <v>852.74</v>
      </c>
      <c r="K16" s="12">
        <f t="shared" si="6"/>
        <v>14606.74</v>
      </c>
      <c r="M16" s="35">
        <v>45499</v>
      </c>
      <c r="N16">
        <v>136.51</v>
      </c>
    </row>
    <row r="17" spans="1:15">
      <c r="A17" s="25">
        <v>104</v>
      </c>
      <c r="B17" s="23" t="str">
        <f t="shared" si="0"/>
        <v>東海総業</v>
      </c>
      <c r="C17" s="23">
        <v>21</v>
      </c>
      <c r="D17" s="23" t="str">
        <f t="shared" si="1"/>
        <v>R商品</v>
      </c>
      <c r="E17" s="5">
        <f t="shared" si="2"/>
        <v>2570</v>
      </c>
      <c r="F17" s="36">
        <v>45499</v>
      </c>
      <c r="G17" s="23">
        <f t="shared" si="3"/>
        <v>16.940000000000001</v>
      </c>
      <c r="H17" s="23">
        <v>459</v>
      </c>
      <c r="I17" s="6">
        <f t="shared" si="4"/>
        <v>4.4999999999999998E-2</v>
      </c>
      <c r="J17" s="23">
        <f t="shared" si="5"/>
        <v>349.89</v>
      </c>
      <c r="K17" s="12">
        <f t="shared" si="6"/>
        <v>8125.35</v>
      </c>
    </row>
    <row r="18" spans="1:15">
      <c r="A18" s="25">
        <v>104</v>
      </c>
      <c r="B18" s="23" t="str">
        <f t="shared" si="0"/>
        <v>東海総業</v>
      </c>
      <c r="C18" s="23">
        <v>22</v>
      </c>
      <c r="D18" s="23" t="str">
        <f t="shared" si="1"/>
        <v>S商品</v>
      </c>
      <c r="E18" s="5">
        <f t="shared" si="2"/>
        <v>2790</v>
      </c>
      <c r="F18" s="36">
        <v>45499</v>
      </c>
      <c r="G18" s="23">
        <f t="shared" si="3"/>
        <v>18.39</v>
      </c>
      <c r="H18" s="23">
        <v>764</v>
      </c>
      <c r="I18" s="6">
        <f t="shared" si="4"/>
        <v>5.0999999999999997E-2</v>
      </c>
      <c r="J18" s="23">
        <f t="shared" si="5"/>
        <v>716.54</v>
      </c>
      <c r="K18" s="12">
        <f t="shared" si="6"/>
        <v>14766.5</v>
      </c>
      <c r="M18">
        <v>1</v>
      </c>
      <c r="N18" s="2">
        <v>5.6000000000000001E-2</v>
      </c>
      <c r="O18" s="2">
        <v>4.4999999999999998E-2</v>
      </c>
    </row>
    <row r="19" spans="1:15">
      <c r="A19" s="25"/>
      <c r="B19" s="23"/>
      <c r="C19" s="23"/>
      <c r="D19" s="23"/>
      <c r="E19" s="23"/>
      <c r="F19" s="23"/>
      <c r="G19" s="23"/>
      <c r="H19" s="23"/>
      <c r="I19" s="23"/>
      <c r="J19" s="23"/>
      <c r="K19" s="12"/>
      <c r="M19">
        <v>530</v>
      </c>
      <c r="N19" s="2">
        <v>5.8999999999999997E-2</v>
      </c>
      <c r="O19" s="2">
        <v>4.8000000000000001E-2</v>
      </c>
    </row>
    <row r="20" spans="1:15" ht="19.5" thickBot="1">
      <c r="A20" s="26"/>
      <c r="B20" s="14" t="s">
        <v>30</v>
      </c>
      <c r="C20" s="27"/>
      <c r="D20" s="27"/>
      <c r="E20" s="27"/>
      <c r="F20" s="27"/>
      <c r="G20" s="27"/>
      <c r="H20" s="16">
        <f>SUM(H3:H18)</f>
        <v>9039</v>
      </c>
      <c r="I20" s="16"/>
      <c r="J20" s="37">
        <f t="shared" ref="J20:K20" si="7">SUM(J3:J18)</f>
        <v>9346.9399999999987</v>
      </c>
      <c r="K20" s="38">
        <f t="shared" si="7"/>
        <v>180984.94999999998</v>
      </c>
      <c r="M20">
        <v>630</v>
      </c>
      <c r="N20" s="2">
        <v>6.2E-2</v>
      </c>
      <c r="O20" s="2">
        <v>5.0999999999999997E-2</v>
      </c>
    </row>
    <row r="22" spans="1:15" ht="19.5" thickBot="1">
      <c r="A22" s="44" t="s">
        <v>157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</row>
    <row r="23" spans="1:15">
      <c r="A23" s="8" t="s">
        <v>69</v>
      </c>
      <c r="B23" s="9" t="s">
        <v>70</v>
      </c>
      <c r="C23" s="9" t="s">
        <v>3</v>
      </c>
      <c r="D23" s="9" t="s">
        <v>4</v>
      </c>
      <c r="E23" s="9" t="s">
        <v>5</v>
      </c>
      <c r="F23" s="9" t="s">
        <v>136</v>
      </c>
      <c r="G23" s="9" t="s">
        <v>138</v>
      </c>
      <c r="H23" s="9" t="s">
        <v>105</v>
      </c>
      <c r="I23" s="9" t="s">
        <v>137</v>
      </c>
      <c r="J23" s="9" t="s">
        <v>139</v>
      </c>
      <c r="K23" s="10" t="s">
        <v>140</v>
      </c>
    </row>
    <row r="24" spans="1:15">
      <c r="A24" s="25">
        <v>103</v>
      </c>
      <c r="B24" s="23" t="s">
        <v>145</v>
      </c>
      <c r="C24" s="23">
        <v>22</v>
      </c>
      <c r="D24" s="23" t="s">
        <v>155</v>
      </c>
      <c r="E24" s="5">
        <v>2790</v>
      </c>
      <c r="F24" s="36">
        <v>45492</v>
      </c>
      <c r="G24" s="23">
        <v>17.98</v>
      </c>
      <c r="H24" s="23">
        <v>530</v>
      </c>
      <c r="I24" s="6">
        <v>4.8000000000000001E-2</v>
      </c>
      <c r="J24" s="23">
        <v>457.41</v>
      </c>
      <c r="K24" s="12">
        <v>9986.81</v>
      </c>
    </row>
    <row r="25" spans="1:15">
      <c r="A25" s="25">
        <v>101</v>
      </c>
      <c r="B25" s="23" t="s">
        <v>141</v>
      </c>
      <c r="C25" s="23">
        <v>22</v>
      </c>
      <c r="D25" s="23" t="s">
        <v>155</v>
      </c>
      <c r="E25" s="5">
        <v>2790</v>
      </c>
      <c r="F25" s="36">
        <v>45478</v>
      </c>
      <c r="G25" s="23">
        <v>18.07</v>
      </c>
      <c r="H25" s="23">
        <v>550</v>
      </c>
      <c r="I25" s="6">
        <v>4.8000000000000001E-2</v>
      </c>
      <c r="J25" s="23">
        <v>477.04</v>
      </c>
      <c r="K25" s="12">
        <v>10415.540000000001</v>
      </c>
    </row>
    <row r="26" spans="1:15">
      <c r="A26" s="25">
        <v>102</v>
      </c>
      <c r="B26" s="23" t="s">
        <v>143</v>
      </c>
      <c r="C26" s="23">
        <v>12</v>
      </c>
      <c r="D26" s="23" t="s">
        <v>151</v>
      </c>
      <c r="E26" s="5">
        <v>3210</v>
      </c>
      <c r="F26" s="36">
        <v>45485</v>
      </c>
      <c r="G26" s="23">
        <v>21.05</v>
      </c>
      <c r="H26" s="23">
        <v>566</v>
      </c>
      <c r="I26" s="6">
        <v>5.8999999999999997E-2</v>
      </c>
      <c r="J26" s="23">
        <v>702.94</v>
      </c>
      <c r="K26" s="12">
        <v>12617.24</v>
      </c>
    </row>
    <row r="27" spans="1:15">
      <c r="A27" s="25">
        <v>104</v>
      </c>
      <c r="B27" s="23" t="s">
        <v>147</v>
      </c>
      <c r="C27" s="23">
        <v>11</v>
      </c>
      <c r="D27" s="23" t="s">
        <v>149</v>
      </c>
      <c r="E27" s="5">
        <v>3060</v>
      </c>
      <c r="F27" s="36">
        <v>45499</v>
      </c>
      <c r="G27" s="23">
        <v>20.170000000000002</v>
      </c>
      <c r="H27" s="23">
        <v>585</v>
      </c>
      <c r="I27" s="6">
        <v>5.8999999999999997E-2</v>
      </c>
      <c r="J27" s="23">
        <v>696.16</v>
      </c>
      <c r="K27" s="12">
        <v>12495.61</v>
      </c>
    </row>
    <row r="28" spans="1:15">
      <c r="A28" s="25">
        <v>101</v>
      </c>
      <c r="B28" s="23" t="s">
        <v>141</v>
      </c>
      <c r="C28" s="23">
        <v>12</v>
      </c>
      <c r="D28" s="23" t="s">
        <v>151</v>
      </c>
      <c r="E28" s="5">
        <v>3210</v>
      </c>
      <c r="F28" s="36">
        <v>45478</v>
      </c>
      <c r="G28" s="23">
        <v>20.79</v>
      </c>
      <c r="H28" s="23">
        <v>608</v>
      </c>
      <c r="I28" s="6">
        <v>5.8999999999999997E-2</v>
      </c>
      <c r="J28" s="23">
        <v>745.77</v>
      </c>
      <c r="K28" s="12">
        <v>13386.09</v>
      </c>
    </row>
    <row r="29" spans="1:15">
      <c r="A29" s="25">
        <v>102</v>
      </c>
      <c r="B29" s="23" t="s">
        <v>143</v>
      </c>
      <c r="C29" s="23">
        <v>21</v>
      </c>
      <c r="D29" s="23" t="s">
        <v>153</v>
      </c>
      <c r="E29" s="5">
        <v>2570</v>
      </c>
      <c r="F29" s="36">
        <v>45485</v>
      </c>
      <c r="G29" s="23">
        <v>16.850000000000001</v>
      </c>
      <c r="H29" s="23">
        <v>628</v>
      </c>
      <c r="I29" s="6">
        <v>4.8000000000000001E-2</v>
      </c>
      <c r="J29" s="23">
        <v>507.92</v>
      </c>
      <c r="K29" s="12">
        <v>11089.72</v>
      </c>
    </row>
    <row r="30" spans="1:15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12"/>
    </row>
    <row r="31" spans="1:15" ht="19.5" thickBot="1">
      <c r="A31" s="26"/>
      <c r="B31" s="14" t="s">
        <v>30</v>
      </c>
      <c r="C31" s="27"/>
      <c r="D31" s="27"/>
      <c r="E31" s="27"/>
      <c r="F31" s="27"/>
      <c r="G31" s="27"/>
      <c r="H31" s="16">
        <f>SUM(H24:H29)</f>
        <v>3467</v>
      </c>
      <c r="I31" s="16"/>
      <c r="J31" s="37">
        <f t="shared" ref="J31:K31" si="8">SUM(J24:J29)</f>
        <v>3587.2400000000002</v>
      </c>
      <c r="K31" s="37">
        <f t="shared" si="8"/>
        <v>69991.009999999995</v>
      </c>
    </row>
    <row r="32" spans="1:15" ht="19.5" thickBot="1"/>
    <row r="33" spans="1:10" ht="19.5" thickBot="1">
      <c r="A33" s="47" t="s">
        <v>158</v>
      </c>
      <c r="B33" s="47"/>
      <c r="C33" s="47"/>
      <c r="D33" s="47"/>
      <c r="G33" s="9" t="s">
        <v>70</v>
      </c>
      <c r="H33" s="9" t="s">
        <v>70</v>
      </c>
      <c r="I33" s="9" t="s">
        <v>70</v>
      </c>
      <c r="J33" s="9" t="s">
        <v>70</v>
      </c>
    </row>
    <row r="34" spans="1:10">
      <c r="A34" s="8" t="s">
        <v>70</v>
      </c>
      <c r="B34" s="9" t="s">
        <v>105</v>
      </c>
      <c r="C34" s="9" t="s">
        <v>139</v>
      </c>
      <c r="D34" s="10" t="s">
        <v>140</v>
      </c>
      <c r="G34" t="s">
        <v>142</v>
      </c>
      <c r="H34" t="s">
        <v>144</v>
      </c>
      <c r="I34" t="s">
        <v>146</v>
      </c>
      <c r="J34" t="s">
        <v>148</v>
      </c>
    </row>
    <row r="35" spans="1:10" ht="19.5" thickBot="1">
      <c r="A35" s="25" t="s">
        <v>142</v>
      </c>
      <c r="B35" s="5">
        <f>DSUM(ee,B$34,$G$33:$G$34)</f>
        <v>1960</v>
      </c>
      <c r="C35" s="42">
        <f>DSUM(ee,C$34,$G$33:$G$34)</f>
        <v>1954.27</v>
      </c>
      <c r="D35" s="43">
        <f>DSUM(ee,D$34,$G$33:$G$34)</f>
        <v>39033.93</v>
      </c>
    </row>
    <row r="36" spans="1:10">
      <c r="A36" s="25" t="s">
        <v>144</v>
      </c>
      <c r="B36" s="5">
        <f>DSUM(ee,B$34,$H$33:$H$34)</f>
        <v>2293</v>
      </c>
      <c r="C36" s="42">
        <f>DSUM(ee,C$34,$H$33:$H$34)</f>
        <v>2407.1</v>
      </c>
      <c r="D36" s="43">
        <f>DSUM(ee,D$34,$H$33:$H$34)</f>
        <v>46239.740000000005</v>
      </c>
      <c r="G36" s="9" t="s">
        <v>4</v>
      </c>
      <c r="H36" s="10"/>
      <c r="I36" s="9" t="s">
        <v>105</v>
      </c>
      <c r="J36" s="9" t="s">
        <v>137</v>
      </c>
    </row>
    <row r="37" spans="1:10">
      <c r="A37" s="25" t="s">
        <v>146</v>
      </c>
      <c r="B37" s="5">
        <f>DSUM(ee,B$34,$I$33:$I$34)</f>
        <v>2328</v>
      </c>
      <c r="C37" s="42">
        <f>DSUM(ee,C$34,$I$33:$I$34)</f>
        <v>2370.2399999999998</v>
      </c>
      <c r="D37" s="43">
        <f>DSUM(ee,D$34,$I$33:$I$34)</f>
        <v>45717.08</v>
      </c>
      <c r="G37" t="s">
        <v>162</v>
      </c>
      <c r="I37" t="s">
        <v>163</v>
      </c>
      <c r="J37" t="s">
        <v>164</v>
      </c>
    </row>
    <row r="38" spans="1:10" ht="19.5" thickBot="1">
      <c r="A38" s="26" t="s">
        <v>148</v>
      </c>
      <c r="B38" s="16">
        <f>DSUM(ee,B$34,$J$33:$J$34)</f>
        <v>2458</v>
      </c>
      <c r="C38" s="37">
        <f>DSUM(ee,C$34,$J$33:$J$34)</f>
        <v>2615.33</v>
      </c>
      <c r="D38" s="38">
        <f>DSUM(ee,D$34,$J$33:$J$34)</f>
        <v>49994.2</v>
      </c>
      <c r="J38" s="41"/>
    </row>
    <row r="39" spans="1:10" ht="19.5" thickBot="1">
      <c r="I39" s="40" t="s">
        <v>70</v>
      </c>
      <c r="J39" s="20"/>
    </row>
    <row r="40" spans="1:10">
      <c r="A40" s="48" t="s">
        <v>159</v>
      </c>
      <c r="B40" s="49"/>
      <c r="C40" s="49"/>
      <c r="D40" s="49"/>
      <c r="E40" s="49"/>
      <c r="F40" s="39">
        <f>DAVERAGE(ee,11,G36:G37)</f>
        <v>11871.096666666666</v>
      </c>
      <c r="I40" t="s">
        <v>144</v>
      </c>
      <c r="J40" s="41"/>
    </row>
    <row r="41" spans="1:10">
      <c r="A41" s="50" t="s">
        <v>160</v>
      </c>
      <c r="B41" s="51"/>
      <c r="C41" s="51"/>
      <c r="D41" s="51"/>
      <c r="E41" s="51"/>
      <c r="F41" s="12">
        <f>DCOUNT(ee,,I36:J37)</f>
        <v>5</v>
      </c>
      <c r="I41" t="s">
        <v>148</v>
      </c>
      <c r="J41" s="41"/>
    </row>
    <row r="42" spans="1:10" ht="19.5" thickBot="1">
      <c r="A42" s="45" t="s">
        <v>161</v>
      </c>
      <c r="B42" s="46"/>
      <c r="C42" s="46"/>
      <c r="D42" s="46"/>
      <c r="E42" s="46"/>
      <c r="F42" s="17">
        <f>DMIN(ee,8,I39:I41)</f>
        <v>407</v>
      </c>
    </row>
  </sheetData>
  <sortState ref="A24:K29">
    <sortCondition ref="H23"/>
  </sortState>
  <mergeCells count="6">
    <mergeCell ref="A42:E42"/>
    <mergeCell ref="A1:K1"/>
    <mergeCell ref="A22:K22"/>
    <mergeCell ref="A33:D33"/>
    <mergeCell ref="A40:E40"/>
    <mergeCell ref="A41:E41"/>
  </mergeCells>
  <phoneticPr fontId="2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33A1-7E29-4E97-9A44-9D02AF280F09}">
  <sheetPr>
    <pageSetUpPr fitToPage="1"/>
  </sheetPr>
  <dimension ref="A1:O42"/>
  <sheetViews>
    <sheetView workbookViewId="0">
      <selection activeCell="M14" sqref="M14"/>
    </sheetView>
  </sheetViews>
  <sheetFormatPr defaultRowHeight="18.75"/>
  <cols>
    <col min="3" max="3" width="9.125" bestFit="1" customWidth="1"/>
    <col min="4" max="4" width="9.5" bestFit="1" customWidth="1"/>
    <col min="8" max="8" width="9.125" bestFit="1" customWidth="1"/>
    <col min="10" max="10" width="9.125" bestFit="1" customWidth="1"/>
    <col min="11" max="11" width="10.5" bestFit="1" customWidth="1"/>
  </cols>
  <sheetData>
    <row r="1" spans="1:15" ht="19.5" thickBot="1">
      <c r="A1" s="44" t="s">
        <v>165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5">
      <c r="A2" s="8" t="s">
        <v>177</v>
      </c>
      <c r="B2" s="9" t="s">
        <v>70</v>
      </c>
      <c r="C2" s="9" t="s">
        <v>3</v>
      </c>
      <c r="D2" s="9" t="s">
        <v>4</v>
      </c>
      <c r="E2" s="9" t="s">
        <v>5</v>
      </c>
      <c r="F2" s="9" t="s">
        <v>136</v>
      </c>
      <c r="G2" s="9" t="s">
        <v>166</v>
      </c>
      <c r="H2" s="9" t="s">
        <v>105</v>
      </c>
      <c r="I2" s="9" t="s">
        <v>167</v>
      </c>
      <c r="J2" s="9" t="s">
        <v>168</v>
      </c>
      <c r="K2" s="10" t="s">
        <v>169</v>
      </c>
      <c r="M2">
        <v>101</v>
      </c>
      <c r="N2" t="s">
        <v>142</v>
      </c>
    </row>
    <row r="3" spans="1:15">
      <c r="A3" s="31">
        <v>101</v>
      </c>
      <c r="B3" s="32" t="str">
        <f>VLOOKUP(A3,$M$2:$N$5,2,0)</f>
        <v>協栄物産</v>
      </c>
      <c r="C3" s="32">
        <v>11</v>
      </c>
      <c r="D3" s="32" t="str">
        <f>VLOOKUP(C3,$M$7:$O$10,2,0)</f>
        <v>P商品</v>
      </c>
      <c r="E3" s="5">
        <f>ROUNDDOWN(VLOOKUP(C3,$M$7:$O$10,3,0)*1.3,-1)</f>
        <v>3060</v>
      </c>
      <c r="F3" s="36">
        <v>45478</v>
      </c>
      <c r="G3" s="32">
        <f>ROUND(E3*0.9/VLOOKUP(F3,$M$12:$N$15,2,0),2)</f>
        <v>19.82</v>
      </c>
      <c r="H3" s="32">
        <v>362</v>
      </c>
      <c r="I3" s="6">
        <f>VLOOKUP(H3,$M$17:$O$19,INT(C3/10)+1,1)</f>
        <v>5.6000000000000001E-2</v>
      </c>
      <c r="J3" s="32">
        <f>ROUNDDOWN(G3*H3*I3,2)</f>
        <v>401.79</v>
      </c>
      <c r="K3" s="43">
        <f>ROUNDDOWN(G3*H3*(1+I3),2)</f>
        <v>7576.63</v>
      </c>
      <c r="M3">
        <v>102</v>
      </c>
      <c r="N3" t="s">
        <v>144</v>
      </c>
    </row>
    <row r="4" spans="1:15">
      <c r="A4" s="31">
        <v>101</v>
      </c>
      <c r="B4" s="32" t="str">
        <f t="shared" ref="B4:B18" si="0">VLOOKUP(A4,$M$2:$N$5,2,0)</f>
        <v>協栄物産</v>
      </c>
      <c r="C4" s="32">
        <v>12</v>
      </c>
      <c r="D4" s="32" t="str">
        <f t="shared" ref="D4:D18" si="1">VLOOKUP(C4,$M$7:$O$10,2,0)</f>
        <v>Q商品</v>
      </c>
      <c r="E4" s="5">
        <f t="shared" ref="E4:E18" si="2">ROUNDDOWN(VLOOKUP(C4,$M$7:$O$10,3,0)*1.3,-1)</f>
        <v>3210</v>
      </c>
      <c r="F4" s="36">
        <v>45478</v>
      </c>
      <c r="G4" s="32">
        <f t="shared" ref="G4:G18" si="3">ROUND(E4*0.9/VLOOKUP(F4,$M$12:$N$15,2,0),2)</f>
        <v>20.79</v>
      </c>
      <c r="H4" s="32">
        <v>608</v>
      </c>
      <c r="I4" s="6">
        <f t="shared" ref="I4:I18" si="4">VLOOKUP(H4,$M$17:$O$19,INT(C4/10)+1,1)</f>
        <v>5.8999999999999997E-2</v>
      </c>
      <c r="J4" s="32">
        <f t="shared" ref="J4:J18" si="5">ROUNDDOWN(G4*H4*I4,2)</f>
        <v>745.77</v>
      </c>
      <c r="K4" s="43">
        <f t="shared" ref="K4:K18" si="6">ROUNDDOWN(G4*H4*(1+I4),2)</f>
        <v>13386.09</v>
      </c>
      <c r="M4">
        <v>103</v>
      </c>
      <c r="N4" t="s">
        <v>146</v>
      </c>
    </row>
    <row r="5" spans="1:15">
      <c r="A5" s="31">
        <v>101</v>
      </c>
      <c r="B5" s="32" t="str">
        <f t="shared" si="0"/>
        <v>協栄物産</v>
      </c>
      <c r="C5" s="32">
        <v>21</v>
      </c>
      <c r="D5" s="32" t="str">
        <f t="shared" si="1"/>
        <v>R商品</v>
      </c>
      <c r="E5" s="5">
        <f t="shared" si="2"/>
        <v>2570</v>
      </c>
      <c r="F5" s="36">
        <v>45478</v>
      </c>
      <c r="G5" s="32">
        <f t="shared" si="3"/>
        <v>16.649999999999999</v>
      </c>
      <c r="H5" s="32">
        <v>440</v>
      </c>
      <c r="I5" s="6">
        <f t="shared" si="4"/>
        <v>4.4999999999999998E-2</v>
      </c>
      <c r="J5" s="32">
        <f t="shared" si="5"/>
        <v>329.67</v>
      </c>
      <c r="K5" s="43">
        <f t="shared" si="6"/>
        <v>7655.67</v>
      </c>
      <c r="M5">
        <v>104</v>
      </c>
      <c r="N5" t="s">
        <v>170</v>
      </c>
    </row>
    <row r="6" spans="1:15">
      <c r="A6" s="31">
        <v>101</v>
      </c>
      <c r="B6" s="32" t="str">
        <f t="shared" si="0"/>
        <v>協栄物産</v>
      </c>
      <c r="C6" s="32">
        <v>22</v>
      </c>
      <c r="D6" s="32" t="str">
        <f t="shared" si="1"/>
        <v>S商品</v>
      </c>
      <c r="E6" s="5">
        <f t="shared" si="2"/>
        <v>2790</v>
      </c>
      <c r="F6" s="36">
        <v>45478</v>
      </c>
      <c r="G6" s="32">
        <f t="shared" si="3"/>
        <v>18.07</v>
      </c>
      <c r="H6" s="32">
        <v>550</v>
      </c>
      <c r="I6" s="6">
        <f t="shared" si="4"/>
        <v>4.8000000000000001E-2</v>
      </c>
      <c r="J6" s="32">
        <f t="shared" si="5"/>
        <v>477.04</v>
      </c>
      <c r="K6" s="43">
        <f t="shared" si="6"/>
        <v>10415.540000000001</v>
      </c>
    </row>
    <row r="7" spans="1:15">
      <c r="A7" s="31">
        <v>102</v>
      </c>
      <c r="B7" s="32" t="str">
        <f t="shared" si="0"/>
        <v>中川商事</v>
      </c>
      <c r="C7" s="32">
        <v>11</v>
      </c>
      <c r="D7" s="32" t="str">
        <f t="shared" si="1"/>
        <v>P商品</v>
      </c>
      <c r="E7" s="5">
        <f t="shared" si="2"/>
        <v>3060</v>
      </c>
      <c r="F7" s="36">
        <v>45485</v>
      </c>
      <c r="G7" s="32">
        <f t="shared" si="3"/>
        <v>20.07</v>
      </c>
      <c r="H7" s="32">
        <v>692</v>
      </c>
      <c r="I7" s="6">
        <f t="shared" si="4"/>
        <v>6.2E-2</v>
      </c>
      <c r="J7" s="32">
        <f t="shared" si="5"/>
        <v>861.08</v>
      </c>
      <c r="K7" s="43">
        <f t="shared" si="6"/>
        <v>14749.52</v>
      </c>
      <c r="M7">
        <v>11</v>
      </c>
      <c r="N7" t="s">
        <v>171</v>
      </c>
      <c r="O7">
        <v>2359</v>
      </c>
    </row>
    <row r="8" spans="1:15">
      <c r="A8" s="31">
        <v>102</v>
      </c>
      <c r="B8" s="32" t="str">
        <f t="shared" si="0"/>
        <v>中川商事</v>
      </c>
      <c r="C8" s="32">
        <v>12</v>
      </c>
      <c r="D8" s="32" t="str">
        <f t="shared" si="1"/>
        <v>Q商品</v>
      </c>
      <c r="E8" s="5">
        <f t="shared" si="2"/>
        <v>3210</v>
      </c>
      <c r="F8" s="36">
        <v>45485</v>
      </c>
      <c r="G8" s="32">
        <f t="shared" si="3"/>
        <v>21.05</v>
      </c>
      <c r="H8" s="32">
        <v>566</v>
      </c>
      <c r="I8" s="6">
        <f t="shared" si="4"/>
        <v>5.8999999999999997E-2</v>
      </c>
      <c r="J8" s="32">
        <f t="shared" si="5"/>
        <v>702.94</v>
      </c>
      <c r="K8" s="43">
        <f t="shared" si="6"/>
        <v>12617.24</v>
      </c>
      <c r="M8">
        <v>12</v>
      </c>
      <c r="N8" t="s">
        <v>172</v>
      </c>
      <c r="O8">
        <v>2476</v>
      </c>
    </row>
    <row r="9" spans="1:15">
      <c r="A9" s="31">
        <v>102</v>
      </c>
      <c r="B9" s="32" t="str">
        <f t="shared" si="0"/>
        <v>中川商事</v>
      </c>
      <c r="C9" s="32">
        <v>21</v>
      </c>
      <c r="D9" s="32" t="str">
        <f t="shared" si="1"/>
        <v>R商品</v>
      </c>
      <c r="E9" s="5">
        <f t="shared" si="2"/>
        <v>2570</v>
      </c>
      <c r="F9" s="36">
        <v>45485</v>
      </c>
      <c r="G9" s="32">
        <f t="shared" si="3"/>
        <v>16.850000000000001</v>
      </c>
      <c r="H9" s="32">
        <v>628</v>
      </c>
      <c r="I9" s="6">
        <f t="shared" si="4"/>
        <v>4.8000000000000001E-2</v>
      </c>
      <c r="J9" s="32">
        <f t="shared" si="5"/>
        <v>507.92</v>
      </c>
      <c r="K9" s="43">
        <f t="shared" si="6"/>
        <v>11089.72</v>
      </c>
      <c r="M9">
        <v>21</v>
      </c>
      <c r="N9" t="s">
        <v>173</v>
      </c>
      <c r="O9">
        <v>1983</v>
      </c>
    </row>
    <row r="10" spans="1:15">
      <c r="A10" s="31">
        <v>102</v>
      </c>
      <c r="B10" s="32" t="str">
        <f t="shared" si="0"/>
        <v>中川商事</v>
      </c>
      <c r="C10" s="32">
        <v>22</v>
      </c>
      <c r="D10" s="32" t="str">
        <f t="shared" si="1"/>
        <v>S商品</v>
      </c>
      <c r="E10" s="5">
        <f t="shared" si="2"/>
        <v>2790</v>
      </c>
      <c r="F10" s="36">
        <v>45485</v>
      </c>
      <c r="G10" s="32">
        <f t="shared" si="3"/>
        <v>18.3</v>
      </c>
      <c r="H10" s="32">
        <v>407</v>
      </c>
      <c r="I10" s="6">
        <f t="shared" si="4"/>
        <v>4.4999999999999998E-2</v>
      </c>
      <c r="J10" s="32">
        <f t="shared" si="5"/>
        <v>335.16</v>
      </c>
      <c r="K10" s="43">
        <f t="shared" si="6"/>
        <v>7783.26</v>
      </c>
      <c r="M10">
        <v>22</v>
      </c>
      <c r="N10" t="s">
        <v>174</v>
      </c>
      <c r="O10">
        <v>2147</v>
      </c>
    </row>
    <row r="11" spans="1:15">
      <c r="A11" s="31">
        <v>103</v>
      </c>
      <c r="B11" s="32" t="str">
        <f t="shared" si="0"/>
        <v>ＳＫ貿易</v>
      </c>
      <c r="C11" s="32">
        <v>11</v>
      </c>
      <c r="D11" s="32" t="str">
        <f t="shared" si="1"/>
        <v>P商品</v>
      </c>
      <c r="E11" s="5">
        <f t="shared" si="2"/>
        <v>3060</v>
      </c>
      <c r="F11" s="36">
        <v>45492</v>
      </c>
      <c r="G11" s="32">
        <f t="shared" si="3"/>
        <v>19.72</v>
      </c>
      <c r="H11" s="32">
        <v>630</v>
      </c>
      <c r="I11" s="6">
        <f t="shared" si="4"/>
        <v>6.2E-2</v>
      </c>
      <c r="J11" s="32">
        <f t="shared" si="5"/>
        <v>770.26</v>
      </c>
      <c r="K11" s="43">
        <f t="shared" si="6"/>
        <v>13193.86</v>
      </c>
    </row>
    <row r="12" spans="1:15">
      <c r="A12" s="31">
        <v>103</v>
      </c>
      <c r="B12" s="32" t="str">
        <f t="shared" si="0"/>
        <v>ＳＫ貿易</v>
      </c>
      <c r="C12" s="32">
        <v>12</v>
      </c>
      <c r="D12" s="32" t="str">
        <f t="shared" si="1"/>
        <v>Q商品</v>
      </c>
      <c r="E12" s="5">
        <f t="shared" si="2"/>
        <v>3210</v>
      </c>
      <c r="F12" s="36">
        <v>45492</v>
      </c>
      <c r="G12" s="32">
        <f t="shared" si="3"/>
        <v>20.68</v>
      </c>
      <c r="H12" s="32">
        <v>498</v>
      </c>
      <c r="I12" s="6">
        <f t="shared" si="4"/>
        <v>5.6000000000000001E-2</v>
      </c>
      <c r="J12" s="32">
        <f t="shared" si="5"/>
        <v>576.72</v>
      </c>
      <c r="K12" s="43">
        <f t="shared" si="6"/>
        <v>10875.36</v>
      </c>
      <c r="M12" s="35">
        <v>45478</v>
      </c>
      <c r="N12">
        <v>138.94999999999999</v>
      </c>
    </row>
    <row r="13" spans="1:15">
      <c r="A13" s="31">
        <v>103</v>
      </c>
      <c r="B13" s="32" t="str">
        <f t="shared" si="0"/>
        <v>ＳＫ貿易</v>
      </c>
      <c r="C13" s="32">
        <v>21</v>
      </c>
      <c r="D13" s="32" t="str">
        <f t="shared" si="1"/>
        <v>R商品</v>
      </c>
      <c r="E13" s="5">
        <f t="shared" si="2"/>
        <v>2570</v>
      </c>
      <c r="F13" s="36">
        <v>45492</v>
      </c>
      <c r="G13" s="32">
        <f t="shared" si="3"/>
        <v>16.559999999999999</v>
      </c>
      <c r="H13" s="32">
        <v>670</v>
      </c>
      <c r="I13" s="6">
        <f t="shared" si="4"/>
        <v>5.0999999999999997E-2</v>
      </c>
      <c r="J13" s="32">
        <f t="shared" si="5"/>
        <v>565.85</v>
      </c>
      <c r="K13" s="43">
        <f t="shared" si="6"/>
        <v>11661.05</v>
      </c>
      <c r="M13" s="35">
        <v>45485</v>
      </c>
      <c r="N13">
        <v>137.24</v>
      </c>
    </row>
    <row r="14" spans="1:15">
      <c r="A14" s="31">
        <v>103</v>
      </c>
      <c r="B14" s="32" t="str">
        <f t="shared" si="0"/>
        <v>ＳＫ貿易</v>
      </c>
      <c r="C14" s="32">
        <v>22</v>
      </c>
      <c r="D14" s="32" t="str">
        <f t="shared" si="1"/>
        <v>S商品</v>
      </c>
      <c r="E14" s="5">
        <f t="shared" si="2"/>
        <v>2790</v>
      </c>
      <c r="F14" s="36">
        <v>45492</v>
      </c>
      <c r="G14" s="32">
        <f t="shared" si="3"/>
        <v>17.98</v>
      </c>
      <c r="H14" s="32">
        <v>530</v>
      </c>
      <c r="I14" s="6">
        <f t="shared" si="4"/>
        <v>4.8000000000000001E-2</v>
      </c>
      <c r="J14" s="32">
        <f t="shared" si="5"/>
        <v>457.41</v>
      </c>
      <c r="K14" s="43">
        <f t="shared" si="6"/>
        <v>9986.81</v>
      </c>
      <c r="M14" s="35">
        <v>45492</v>
      </c>
      <c r="N14">
        <v>139.66999999999999</v>
      </c>
    </row>
    <row r="15" spans="1:15">
      <c r="A15" s="31">
        <v>104</v>
      </c>
      <c r="B15" s="32" t="str">
        <f t="shared" si="0"/>
        <v>東海総業</v>
      </c>
      <c r="C15" s="32">
        <v>11</v>
      </c>
      <c r="D15" s="32" t="str">
        <f t="shared" si="1"/>
        <v>P商品</v>
      </c>
      <c r="E15" s="5">
        <f t="shared" si="2"/>
        <v>3060</v>
      </c>
      <c r="F15" s="36">
        <v>45499</v>
      </c>
      <c r="G15" s="32">
        <f t="shared" si="3"/>
        <v>20.170000000000002</v>
      </c>
      <c r="H15" s="32">
        <v>585</v>
      </c>
      <c r="I15" s="6">
        <f t="shared" si="4"/>
        <v>5.8999999999999997E-2</v>
      </c>
      <c r="J15" s="32">
        <f t="shared" si="5"/>
        <v>696.16</v>
      </c>
      <c r="K15" s="43">
        <f t="shared" si="6"/>
        <v>12495.61</v>
      </c>
      <c r="M15" s="35">
        <v>45499</v>
      </c>
      <c r="N15">
        <v>136.51</v>
      </c>
    </row>
    <row r="16" spans="1:15">
      <c r="A16" s="31">
        <v>104</v>
      </c>
      <c r="B16" s="32" t="str">
        <f t="shared" si="0"/>
        <v>東海総業</v>
      </c>
      <c r="C16" s="32">
        <v>12</v>
      </c>
      <c r="D16" s="32" t="str">
        <f t="shared" si="1"/>
        <v>Q商品</v>
      </c>
      <c r="E16" s="5">
        <f t="shared" si="2"/>
        <v>3210</v>
      </c>
      <c r="F16" s="36">
        <v>45499</v>
      </c>
      <c r="G16" s="32">
        <f t="shared" si="3"/>
        <v>21.16</v>
      </c>
      <c r="H16" s="32">
        <v>650</v>
      </c>
      <c r="I16" s="6">
        <f t="shared" si="4"/>
        <v>6.2E-2</v>
      </c>
      <c r="J16" s="32">
        <f t="shared" si="5"/>
        <v>852.74</v>
      </c>
      <c r="K16" s="43">
        <f t="shared" si="6"/>
        <v>14606.74</v>
      </c>
    </row>
    <row r="17" spans="1:15">
      <c r="A17" s="31">
        <v>104</v>
      </c>
      <c r="B17" s="32" t="str">
        <f t="shared" si="0"/>
        <v>東海総業</v>
      </c>
      <c r="C17" s="32">
        <v>21</v>
      </c>
      <c r="D17" s="32" t="str">
        <f t="shared" si="1"/>
        <v>R商品</v>
      </c>
      <c r="E17" s="5">
        <f t="shared" si="2"/>
        <v>2570</v>
      </c>
      <c r="F17" s="36">
        <v>45499</v>
      </c>
      <c r="G17" s="32">
        <f t="shared" si="3"/>
        <v>16.940000000000001</v>
      </c>
      <c r="H17" s="32">
        <v>459</v>
      </c>
      <c r="I17" s="6">
        <f t="shared" si="4"/>
        <v>4.4999999999999998E-2</v>
      </c>
      <c r="J17" s="32">
        <f t="shared" si="5"/>
        <v>349.89</v>
      </c>
      <c r="K17" s="43">
        <f t="shared" si="6"/>
        <v>8125.35</v>
      </c>
      <c r="M17">
        <v>1</v>
      </c>
      <c r="N17" s="2">
        <v>5.6000000000000001E-2</v>
      </c>
      <c r="O17" s="2">
        <v>4.4999999999999998E-2</v>
      </c>
    </row>
    <row r="18" spans="1:15">
      <c r="A18" s="31">
        <v>104</v>
      </c>
      <c r="B18" s="32" t="str">
        <f t="shared" si="0"/>
        <v>東海総業</v>
      </c>
      <c r="C18" s="32">
        <v>22</v>
      </c>
      <c r="D18" s="32" t="str">
        <f t="shared" si="1"/>
        <v>S商品</v>
      </c>
      <c r="E18" s="5">
        <f t="shared" si="2"/>
        <v>2790</v>
      </c>
      <c r="F18" s="36">
        <v>45499</v>
      </c>
      <c r="G18" s="32">
        <f t="shared" si="3"/>
        <v>18.39</v>
      </c>
      <c r="H18" s="32">
        <v>764</v>
      </c>
      <c r="I18" s="6">
        <f t="shared" si="4"/>
        <v>5.0999999999999997E-2</v>
      </c>
      <c r="J18" s="32">
        <f t="shared" si="5"/>
        <v>716.54</v>
      </c>
      <c r="K18" s="43">
        <f t="shared" si="6"/>
        <v>14766.5</v>
      </c>
      <c r="M18">
        <v>530</v>
      </c>
      <c r="N18" s="2">
        <v>5.8999999999999997E-2</v>
      </c>
      <c r="O18" s="2">
        <v>4.8000000000000001E-2</v>
      </c>
    </row>
    <row r="19" spans="1:15">
      <c r="A19" s="31"/>
      <c r="B19" s="32"/>
      <c r="C19" s="32"/>
      <c r="D19" s="32"/>
      <c r="E19" s="32"/>
      <c r="F19" s="32"/>
      <c r="G19" s="32"/>
      <c r="H19" s="32"/>
      <c r="I19" s="32"/>
      <c r="J19" s="32"/>
      <c r="K19" s="12"/>
      <c r="M19">
        <v>630</v>
      </c>
      <c r="N19" s="2">
        <v>6.2E-2</v>
      </c>
      <c r="O19" s="2">
        <v>5.0999999999999997E-2</v>
      </c>
    </row>
    <row r="20" spans="1:15" ht="19.5" thickBot="1">
      <c r="A20" s="33"/>
      <c r="B20" s="14" t="s">
        <v>30</v>
      </c>
      <c r="C20" s="34"/>
      <c r="D20" s="34"/>
      <c r="E20" s="34"/>
      <c r="F20" s="34"/>
      <c r="G20" s="34"/>
      <c r="H20" s="55">
        <f>SUM(H3:H18)</f>
        <v>9039</v>
      </c>
      <c r="I20" s="37"/>
      <c r="J20" s="37">
        <f t="shared" ref="I20:K20" si="7">SUM(J3:J18)</f>
        <v>9346.9399999999987</v>
      </c>
      <c r="K20" s="38">
        <f t="shared" si="7"/>
        <v>180984.94999999998</v>
      </c>
    </row>
    <row r="22" spans="1:15" ht="19.5" thickBot="1">
      <c r="A22" s="44" t="s">
        <v>175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</row>
    <row r="23" spans="1:15">
      <c r="A23" s="8" t="s">
        <v>69</v>
      </c>
      <c r="B23" s="9" t="s">
        <v>70</v>
      </c>
      <c r="C23" s="9" t="s">
        <v>3</v>
      </c>
      <c r="D23" s="9" t="s">
        <v>4</v>
      </c>
      <c r="E23" s="9" t="s">
        <v>5</v>
      </c>
      <c r="F23" s="9" t="s">
        <v>136</v>
      </c>
      <c r="G23" s="9" t="s">
        <v>166</v>
      </c>
      <c r="H23" s="9" t="s">
        <v>105</v>
      </c>
      <c r="I23" s="9" t="s">
        <v>167</v>
      </c>
      <c r="J23" s="9" t="s">
        <v>168</v>
      </c>
      <c r="K23" s="10" t="s">
        <v>169</v>
      </c>
    </row>
    <row r="24" spans="1:15">
      <c r="A24" s="31">
        <v>104</v>
      </c>
      <c r="B24" s="32" t="s">
        <v>182</v>
      </c>
      <c r="C24" s="32">
        <v>11</v>
      </c>
      <c r="D24" s="32" t="s">
        <v>149</v>
      </c>
      <c r="E24" s="5">
        <v>3060</v>
      </c>
      <c r="F24" s="36">
        <v>45499</v>
      </c>
      <c r="G24" s="32">
        <v>20.170000000000002</v>
      </c>
      <c r="H24" s="32">
        <v>585</v>
      </c>
      <c r="I24" s="6">
        <v>5.8999999999999997E-2</v>
      </c>
      <c r="J24" s="32">
        <v>696.16</v>
      </c>
      <c r="K24" s="43">
        <v>12495.61</v>
      </c>
    </row>
    <row r="25" spans="1:15">
      <c r="A25" s="31">
        <v>102</v>
      </c>
      <c r="B25" s="32" t="s">
        <v>181</v>
      </c>
      <c r="C25" s="32">
        <v>12</v>
      </c>
      <c r="D25" s="32" t="s">
        <v>151</v>
      </c>
      <c r="E25" s="5">
        <v>3210</v>
      </c>
      <c r="F25" s="36">
        <v>45485</v>
      </c>
      <c r="G25" s="32">
        <v>21.05</v>
      </c>
      <c r="H25" s="32">
        <v>566</v>
      </c>
      <c r="I25" s="6">
        <v>5.8999999999999997E-2</v>
      </c>
      <c r="J25" s="32">
        <v>702.94</v>
      </c>
      <c r="K25" s="43">
        <v>12617.24</v>
      </c>
    </row>
    <row r="26" spans="1:15">
      <c r="A26" s="31">
        <v>101</v>
      </c>
      <c r="B26" s="32" t="s">
        <v>141</v>
      </c>
      <c r="C26" s="32">
        <v>12</v>
      </c>
      <c r="D26" s="32" t="s">
        <v>151</v>
      </c>
      <c r="E26" s="5">
        <v>3210</v>
      </c>
      <c r="F26" s="36">
        <v>45478</v>
      </c>
      <c r="G26" s="32">
        <v>20.79</v>
      </c>
      <c r="H26" s="32">
        <v>608</v>
      </c>
      <c r="I26" s="6">
        <v>5.8999999999999997E-2</v>
      </c>
      <c r="J26" s="32">
        <v>745.77</v>
      </c>
      <c r="K26" s="43">
        <v>13386.09</v>
      </c>
    </row>
    <row r="27" spans="1:15">
      <c r="A27" s="31">
        <v>102</v>
      </c>
      <c r="B27" s="32" t="s">
        <v>143</v>
      </c>
      <c r="C27" s="32">
        <v>21</v>
      </c>
      <c r="D27" s="32" t="s">
        <v>173</v>
      </c>
      <c r="E27" s="5">
        <v>2570</v>
      </c>
      <c r="F27" s="36">
        <v>45485</v>
      </c>
      <c r="G27" s="32">
        <v>16.850000000000001</v>
      </c>
      <c r="H27" s="32">
        <v>628</v>
      </c>
      <c r="I27" s="6">
        <v>4.8000000000000001E-2</v>
      </c>
      <c r="J27" s="32">
        <v>507.92</v>
      </c>
      <c r="K27" s="43">
        <v>11089.72</v>
      </c>
    </row>
    <row r="28" spans="1:15">
      <c r="A28" s="31">
        <v>103</v>
      </c>
      <c r="B28" s="32" t="s">
        <v>145</v>
      </c>
      <c r="C28" s="32">
        <v>22</v>
      </c>
      <c r="D28" s="32" t="s">
        <v>155</v>
      </c>
      <c r="E28" s="5">
        <v>2790</v>
      </c>
      <c r="F28" s="36">
        <v>45492</v>
      </c>
      <c r="G28" s="32">
        <v>17.98</v>
      </c>
      <c r="H28" s="32">
        <v>530</v>
      </c>
      <c r="I28" s="6">
        <v>4.8000000000000001E-2</v>
      </c>
      <c r="J28" s="32">
        <v>457.41</v>
      </c>
      <c r="K28" s="43">
        <v>9986.81</v>
      </c>
    </row>
    <row r="29" spans="1:15">
      <c r="A29" s="31">
        <v>101</v>
      </c>
      <c r="B29" s="32" t="s">
        <v>141</v>
      </c>
      <c r="C29" s="32">
        <v>22</v>
      </c>
      <c r="D29" s="32" t="s">
        <v>155</v>
      </c>
      <c r="E29" s="5">
        <v>2790</v>
      </c>
      <c r="F29" s="36">
        <v>45478</v>
      </c>
      <c r="G29" s="32">
        <v>18.07</v>
      </c>
      <c r="H29" s="32">
        <v>550</v>
      </c>
      <c r="I29" s="6">
        <v>4.8000000000000001E-2</v>
      </c>
      <c r="J29" s="32">
        <v>477.04</v>
      </c>
      <c r="K29" s="43">
        <v>10415.540000000001</v>
      </c>
    </row>
    <row r="30" spans="1:15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12"/>
    </row>
    <row r="31" spans="1:15" ht="19.5" thickBot="1">
      <c r="A31" s="33"/>
      <c r="B31" s="14" t="s">
        <v>30</v>
      </c>
      <c r="C31" s="34"/>
      <c r="D31" s="34"/>
      <c r="E31" s="34"/>
      <c r="F31" s="34"/>
      <c r="G31" s="34"/>
      <c r="H31" s="55">
        <f>SUM(H24:H29)</f>
        <v>3467</v>
      </c>
      <c r="I31" s="55"/>
      <c r="J31" s="37">
        <f t="shared" ref="I31:K31" si="8">SUM(J24:J29)</f>
        <v>3587.24</v>
      </c>
      <c r="K31" s="38">
        <f t="shared" si="8"/>
        <v>69991.010000000009</v>
      </c>
    </row>
    <row r="33" spans="1:12" ht="19.5" thickBot="1">
      <c r="A33" s="54" t="s">
        <v>176</v>
      </c>
      <c r="B33" s="54"/>
      <c r="C33" s="54"/>
      <c r="D33" s="54"/>
    </row>
    <row r="34" spans="1:12">
      <c r="A34" s="8" t="s">
        <v>70</v>
      </c>
      <c r="B34" s="9" t="s">
        <v>105</v>
      </c>
      <c r="C34" s="9" t="s">
        <v>168</v>
      </c>
      <c r="D34" s="10" t="s">
        <v>169</v>
      </c>
      <c r="F34" s="9" t="s">
        <v>70</v>
      </c>
      <c r="G34" s="9" t="s">
        <v>70</v>
      </c>
      <c r="H34" s="9" t="s">
        <v>70</v>
      </c>
      <c r="I34" s="9" t="s">
        <v>70</v>
      </c>
      <c r="K34" s="9" t="s">
        <v>4</v>
      </c>
    </row>
    <row r="35" spans="1:12" ht="19.5" thickBot="1">
      <c r="A35" s="31" t="s">
        <v>142</v>
      </c>
      <c r="B35" s="5">
        <f>DSUM(yang1,B$34,$F$34:$F$35)</f>
        <v>1960</v>
      </c>
      <c r="C35" s="42">
        <f>DSUM(yang1,C$34,$F$34:$F$35)</f>
        <v>1954.27</v>
      </c>
      <c r="D35" s="43">
        <f>DSUM(yang1,D$34,$F$34:$F$35)</f>
        <v>39033.93</v>
      </c>
      <c r="F35" t="s">
        <v>142</v>
      </c>
      <c r="G35" t="s">
        <v>144</v>
      </c>
      <c r="H35" t="s">
        <v>146</v>
      </c>
      <c r="I35" t="s">
        <v>170</v>
      </c>
      <c r="K35" t="s">
        <v>183</v>
      </c>
    </row>
    <row r="36" spans="1:12">
      <c r="A36" s="31" t="s">
        <v>144</v>
      </c>
      <c r="B36" s="5">
        <f>DSUM(yang1,B$34,$G$34:$G$35)</f>
        <v>2293</v>
      </c>
      <c r="C36" s="42">
        <f>DSUM(yang1,C$34,$G$34:$G$35)</f>
        <v>2407.1</v>
      </c>
      <c r="D36" s="43">
        <f>DSUM(yang1,D$34,$G$34:$G$35)</f>
        <v>46239.740000000005</v>
      </c>
      <c r="K36" s="9" t="s">
        <v>105</v>
      </c>
      <c r="L36" s="9" t="s">
        <v>167</v>
      </c>
    </row>
    <row r="37" spans="1:12" ht="19.5" thickBot="1">
      <c r="A37" s="31" t="s">
        <v>146</v>
      </c>
      <c r="B37" s="5">
        <f>DSUM(yang1,B$34,$H$34:$H$35)</f>
        <v>2328</v>
      </c>
      <c r="C37" s="42">
        <f>DSUM(yang1,C$34,$H$34:$H$35)</f>
        <v>2370.2399999999998</v>
      </c>
      <c r="D37" s="43">
        <f>DSUM(yang1,D$34,$H$34:$H$35)</f>
        <v>45717.08</v>
      </c>
      <c r="K37" t="s">
        <v>163</v>
      </c>
      <c r="L37" t="s">
        <v>164</v>
      </c>
    </row>
    <row r="38" spans="1:12" ht="19.5" thickBot="1">
      <c r="A38" s="33" t="s">
        <v>170</v>
      </c>
      <c r="B38" s="16">
        <f>DSUM(yang1,B$34,$I$34:$I$35)</f>
        <v>2458</v>
      </c>
      <c r="C38" s="37">
        <f>DSUM(yang1,C$34,$I$34:$I$35)</f>
        <v>2615.33</v>
      </c>
      <c r="D38" s="38">
        <f>DSUM(yang1,D$34,$I$34:$I$35)</f>
        <v>49994.2</v>
      </c>
      <c r="K38" s="9" t="s">
        <v>70</v>
      </c>
    </row>
    <row r="39" spans="1:12" ht="19.5" thickBot="1">
      <c r="K39" t="s">
        <v>143</v>
      </c>
    </row>
    <row r="40" spans="1:12">
      <c r="A40" s="48" t="s">
        <v>178</v>
      </c>
      <c r="B40" s="49"/>
      <c r="C40" s="49"/>
      <c r="D40" s="49"/>
      <c r="E40" s="49"/>
      <c r="F40" s="39">
        <f>ROUND(DAVERAGE(yang1,11,K34:K35),2)</f>
        <v>11871.1</v>
      </c>
      <c r="K40" t="s">
        <v>147</v>
      </c>
    </row>
    <row r="41" spans="1:12">
      <c r="A41" s="50" t="s">
        <v>179</v>
      </c>
      <c r="B41" s="51"/>
      <c r="C41" s="51"/>
      <c r="D41" s="51"/>
      <c r="E41" s="51"/>
      <c r="F41" s="12">
        <f>DCOUNT(yang1,1,K36:L37)</f>
        <v>5</v>
      </c>
    </row>
    <row r="42" spans="1:12" ht="19.5" thickBot="1">
      <c r="A42" s="45" t="s">
        <v>180</v>
      </c>
      <c r="B42" s="46"/>
      <c r="C42" s="46"/>
      <c r="D42" s="46"/>
      <c r="E42" s="46"/>
      <c r="F42" s="17">
        <f>DMIN(yang1,8,K38:K40)</f>
        <v>407</v>
      </c>
    </row>
  </sheetData>
  <sortState ref="A24:K29">
    <sortCondition ref="C24:C29"/>
    <sortCondition ref="H24:H29"/>
  </sortState>
  <mergeCells count="6">
    <mergeCell ref="A1:K1"/>
    <mergeCell ref="A22:K22"/>
    <mergeCell ref="A33:D33"/>
    <mergeCell ref="A40:E40"/>
    <mergeCell ref="A41:E41"/>
    <mergeCell ref="A42:E42"/>
  </mergeCells>
  <phoneticPr fontId="2"/>
  <pageMargins left="0.25" right="0.25" top="0.75" bottom="0.75" header="0.3" footer="0.3"/>
  <pageSetup paperSize="9" scale="66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86AF8-4834-4425-B4C7-F823D8F47EE9}">
  <sheetPr>
    <pageSetUpPr fitToPage="1"/>
  </sheetPr>
  <dimension ref="A1:P42"/>
  <sheetViews>
    <sheetView workbookViewId="0">
      <selection activeCell="A32" sqref="A32"/>
    </sheetView>
  </sheetViews>
  <sheetFormatPr defaultRowHeight="18.75"/>
  <cols>
    <col min="1" max="2" width="11" bestFit="1" customWidth="1"/>
    <col min="3" max="3" width="9.5" bestFit="1" customWidth="1"/>
    <col min="4" max="4" width="8" bestFit="1" customWidth="1"/>
    <col min="5" max="5" width="7.125" bestFit="1" customWidth="1"/>
    <col min="6" max="9" width="11" bestFit="1" customWidth="1"/>
    <col min="10" max="10" width="9.5" bestFit="1" customWidth="1"/>
    <col min="11" max="12" width="9.25" bestFit="1" customWidth="1"/>
    <col min="13" max="13" width="5.5" customWidth="1"/>
    <col min="14" max="14" width="4.5" bestFit="1" customWidth="1"/>
    <col min="15" max="15" width="11" bestFit="1" customWidth="1"/>
    <col min="16" max="16" width="5.5" bestFit="1" customWidth="1"/>
  </cols>
  <sheetData>
    <row r="1" spans="1:16" ht="19.5" thickBot="1">
      <c r="A1" s="44" t="s">
        <v>184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1:16">
      <c r="A2" s="8" t="s">
        <v>185</v>
      </c>
      <c r="B2" s="9" t="s">
        <v>187</v>
      </c>
      <c r="C2" s="9" t="s">
        <v>186</v>
      </c>
      <c r="D2" s="9" t="s">
        <v>4</v>
      </c>
      <c r="E2" s="9" t="s">
        <v>105</v>
      </c>
      <c r="F2" s="9" t="s">
        <v>106</v>
      </c>
      <c r="G2" s="9" t="s">
        <v>5</v>
      </c>
      <c r="H2" s="9" t="s">
        <v>71</v>
      </c>
      <c r="I2" s="9" t="s">
        <v>107</v>
      </c>
      <c r="J2" s="9" t="s">
        <v>75</v>
      </c>
      <c r="K2" s="9" t="s">
        <v>108</v>
      </c>
      <c r="L2" s="10" t="s">
        <v>109</v>
      </c>
      <c r="N2">
        <v>101</v>
      </c>
      <c r="O2" t="s">
        <v>111</v>
      </c>
    </row>
    <row r="3" spans="1:16">
      <c r="A3" s="31">
        <v>101</v>
      </c>
      <c r="B3" s="32" t="str">
        <f>VLOOKUP(A3,$N$2:$O$5,2,0)</f>
        <v>東海ストア</v>
      </c>
      <c r="C3" s="32">
        <v>11</v>
      </c>
      <c r="D3" s="32" t="str">
        <f>VLOOKUP(C3,$N$7:$P$10,2,0)</f>
        <v>J商品</v>
      </c>
      <c r="E3" s="32">
        <v>497</v>
      </c>
      <c r="F3" s="56">
        <f>VLOOKUP(C3,$N$12:$P$13,IF(E3&lt;500,2,3),1)</f>
        <v>0.27</v>
      </c>
      <c r="G3" s="5">
        <f>ROUNDUP(VLOOKUP(C3,$N$7:$P$10,3,0)*(1+F3),-1)</f>
        <v>3070</v>
      </c>
      <c r="H3" s="5">
        <f>ROUNDUP(IF(G3&gt;3000,G3*0.92,G3*0.93),0)</f>
        <v>2825</v>
      </c>
      <c r="I3" s="5">
        <f>H3*E3</f>
        <v>1404025</v>
      </c>
      <c r="J3" s="5">
        <f>I3-VLOOKUP(C3,$N$7:$P$10,3,0)*E3</f>
        <v>202776</v>
      </c>
      <c r="K3" s="5">
        <f>INT(IF(I3&gt;=1350000,I3*1.5%,I3*1.2%))</f>
        <v>21060</v>
      </c>
      <c r="L3" s="12" t="str">
        <f>IF(OR(E3&gt;=520, J3&gt;=200000),"良好","努力")</f>
        <v>良好</v>
      </c>
      <c r="N3">
        <v>102</v>
      </c>
      <c r="O3" t="s">
        <v>113</v>
      </c>
    </row>
    <row r="4" spans="1:16">
      <c r="A4" s="31">
        <v>102</v>
      </c>
      <c r="B4" s="32" t="str">
        <f t="shared" ref="B4:B18" si="0">VLOOKUP(A4,$N$2:$O$5,2,0)</f>
        <v>ＢＩＧ商事</v>
      </c>
      <c r="C4" s="32">
        <v>11</v>
      </c>
      <c r="D4" s="32" t="str">
        <f t="shared" ref="D4:D18" si="1">VLOOKUP(C4,$N$7:$P$10,2,0)</f>
        <v>J商品</v>
      </c>
      <c r="E4" s="32">
        <v>500</v>
      </c>
      <c r="F4" s="56">
        <f t="shared" ref="F4:F18" si="2">VLOOKUP(C4,$N$12:$P$13,IF(E4&lt;500,2,3),1)</f>
        <v>0.26</v>
      </c>
      <c r="G4" s="5">
        <f t="shared" ref="G4:G18" si="3">ROUNDUP(VLOOKUP(C4,$N$7:$P$10,3,0)*(1+F4),-1)</f>
        <v>3050</v>
      </c>
      <c r="H4" s="5">
        <f t="shared" ref="H4:H18" si="4">ROUNDUP(IF(G4&gt;3000,G4*0.92,G4*0.93),0)</f>
        <v>2806</v>
      </c>
      <c r="I4" s="5">
        <f t="shared" ref="I4:I18" si="5">H4*E4</f>
        <v>1403000</v>
      </c>
      <c r="J4" s="5">
        <f t="shared" ref="J4:J18" si="6">I4-VLOOKUP(C4,$N$7:$P$10,3,0)*E4</f>
        <v>194500</v>
      </c>
      <c r="K4" s="5">
        <f t="shared" ref="K4:K18" si="7">INT(IF(I4&gt;=1350000,I4*1.5%,I4*1.2%))</f>
        <v>21045</v>
      </c>
      <c r="L4" s="12" t="str">
        <f t="shared" ref="L4:L18" si="8">IF(OR(E4&gt;=520, J4&gt;=200000),"良好","努力")</f>
        <v>努力</v>
      </c>
      <c r="N4">
        <v>103</v>
      </c>
      <c r="O4" t="s">
        <v>115</v>
      </c>
    </row>
    <row r="5" spans="1:16">
      <c r="A5" s="31">
        <v>103</v>
      </c>
      <c r="B5" s="32" t="str">
        <f t="shared" si="0"/>
        <v>マルハ商店</v>
      </c>
      <c r="C5" s="32">
        <v>11</v>
      </c>
      <c r="D5" s="32" t="str">
        <f t="shared" si="1"/>
        <v>J商品</v>
      </c>
      <c r="E5" s="32">
        <v>491</v>
      </c>
      <c r="F5" s="56">
        <f t="shared" si="2"/>
        <v>0.27</v>
      </c>
      <c r="G5" s="5">
        <f t="shared" si="3"/>
        <v>3070</v>
      </c>
      <c r="H5" s="5">
        <f t="shared" si="4"/>
        <v>2825</v>
      </c>
      <c r="I5" s="5">
        <f t="shared" si="5"/>
        <v>1387075</v>
      </c>
      <c r="J5" s="5">
        <f t="shared" si="6"/>
        <v>200328</v>
      </c>
      <c r="K5" s="5">
        <f t="shared" si="7"/>
        <v>20806</v>
      </c>
      <c r="L5" s="12" t="str">
        <f t="shared" si="8"/>
        <v>良好</v>
      </c>
      <c r="N5">
        <v>104</v>
      </c>
      <c r="O5" t="s">
        <v>188</v>
      </c>
    </row>
    <row r="6" spans="1:16">
      <c r="A6" s="31">
        <v>104</v>
      </c>
      <c r="B6" s="32" t="str">
        <f t="shared" si="0"/>
        <v>三共百貨店</v>
      </c>
      <c r="C6" s="32">
        <v>11</v>
      </c>
      <c r="D6" s="32" t="str">
        <f t="shared" si="1"/>
        <v>J商品</v>
      </c>
      <c r="E6" s="32">
        <v>572</v>
      </c>
      <c r="F6" s="56">
        <f t="shared" si="2"/>
        <v>0.26</v>
      </c>
      <c r="G6" s="5">
        <f t="shared" si="3"/>
        <v>3050</v>
      </c>
      <c r="H6" s="5">
        <f t="shared" si="4"/>
        <v>2806</v>
      </c>
      <c r="I6" s="5">
        <f t="shared" si="5"/>
        <v>1605032</v>
      </c>
      <c r="J6" s="5">
        <f t="shared" si="6"/>
        <v>222508</v>
      </c>
      <c r="K6" s="5">
        <f t="shared" si="7"/>
        <v>24075</v>
      </c>
      <c r="L6" s="12" t="str">
        <f t="shared" si="8"/>
        <v>良好</v>
      </c>
    </row>
    <row r="7" spans="1:16">
      <c r="A7" s="31">
        <v>101</v>
      </c>
      <c r="B7" s="32" t="str">
        <f t="shared" si="0"/>
        <v>東海ストア</v>
      </c>
      <c r="C7" s="32">
        <v>12</v>
      </c>
      <c r="D7" s="32" t="str">
        <f t="shared" si="1"/>
        <v>K商品</v>
      </c>
      <c r="E7" s="32">
        <v>684</v>
      </c>
      <c r="F7" s="56">
        <f t="shared" si="2"/>
        <v>0.26</v>
      </c>
      <c r="G7" s="5">
        <f t="shared" si="3"/>
        <v>2350</v>
      </c>
      <c r="H7" s="5">
        <f t="shared" si="4"/>
        <v>2186</v>
      </c>
      <c r="I7" s="5">
        <f t="shared" si="5"/>
        <v>1495224</v>
      </c>
      <c r="J7" s="5">
        <f t="shared" si="6"/>
        <v>220932</v>
      </c>
      <c r="K7" s="5">
        <f t="shared" si="7"/>
        <v>22428</v>
      </c>
      <c r="L7" s="12" t="str">
        <f t="shared" si="8"/>
        <v>良好</v>
      </c>
      <c r="N7">
        <v>11</v>
      </c>
      <c r="O7" t="s">
        <v>117</v>
      </c>
      <c r="P7">
        <v>2417</v>
      </c>
    </row>
    <row r="8" spans="1:16">
      <c r="A8" s="31">
        <v>102</v>
      </c>
      <c r="B8" s="32" t="str">
        <f t="shared" si="0"/>
        <v>ＢＩＧ商事</v>
      </c>
      <c r="C8" s="32">
        <v>12</v>
      </c>
      <c r="D8" s="32" t="str">
        <f t="shared" si="1"/>
        <v>K商品</v>
      </c>
      <c r="E8" s="32">
        <v>456</v>
      </c>
      <c r="F8" s="56">
        <f t="shared" si="2"/>
        <v>0.27</v>
      </c>
      <c r="G8" s="5">
        <f t="shared" si="3"/>
        <v>2370</v>
      </c>
      <c r="H8" s="5">
        <f t="shared" si="4"/>
        <v>2205</v>
      </c>
      <c r="I8" s="5">
        <f t="shared" si="5"/>
        <v>1005480</v>
      </c>
      <c r="J8" s="5">
        <f t="shared" si="6"/>
        <v>155952</v>
      </c>
      <c r="K8" s="5">
        <f t="shared" si="7"/>
        <v>12065</v>
      </c>
      <c r="L8" s="12" t="str">
        <f t="shared" si="8"/>
        <v>努力</v>
      </c>
      <c r="N8">
        <v>12</v>
      </c>
      <c r="O8" t="s">
        <v>119</v>
      </c>
      <c r="P8">
        <v>1863</v>
      </c>
    </row>
    <row r="9" spans="1:16">
      <c r="A9" s="31">
        <v>103</v>
      </c>
      <c r="B9" s="32" t="str">
        <f t="shared" si="0"/>
        <v>マルハ商店</v>
      </c>
      <c r="C9" s="32">
        <v>12</v>
      </c>
      <c r="D9" s="32" t="str">
        <f t="shared" si="1"/>
        <v>K商品</v>
      </c>
      <c r="E9" s="32">
        <v>492</v>
      </c>
      <c r="F9" s="56">
        <f t="shared" si="2"/>
        <v>0.27</v>
      </c>
      <c r="G9" s="5">
        <f t="shared" si="3"/>
        <v>2370</v>
      </c>
      <c r="H9" s="5">
        <f t="shared" si="4"/>
        <v>2205</v>
      </c>
      <c r="I9" s="5">
        <f t="shared" si="5"/>
        <v>1084860</v>
      </c>
      <c r="J9" s="5">
        <f t="shared" si="6"/>
        <v>168264</v>
      </c>
      <c r="K9" s="5">
        <f t="shared" si="7"/>
        <v>13018</v>
      </c>
      <c r="L9" s="12" t="str">
        <f t="shared" si="8"/>
        <v>努力</v>
      </c>
      <c r="N9">
        <v>21</v>
      </c>
      <c r="O9" t="s">
        <v>121</v>
      </c>
      <c r="P9">
        <v>2785</v>
      </c>
    </row>
    <row r="10" spans="1:16">
      <c r="A10" s="31">
        <v>104</v>
      </c>
      <c r="B10" s="32" t="str">
        <f t="shared" si="0"/>
        <v>三共百貨店</v>
      </c>
      <c r="C10" s="32">
        <v>12</v>
      </c>
      <c r="D10" s="32" t="str">
        <f t="shared" si="1"/>
        <v>K商品</v>
      </c>
      <c r="E10" s="32">
        <v>618</v>
      </c>
      <c r="F10" s="56">
        <f t="shared" si="2"/>
        <v>0.26</v>
      </c>
      <c r="G10" s="5">
        <f t="shared" si="3"/>
        <v>2350</v>
      </c>
      <c r="H10" s="5">
        <f t="shared" si="4"/>
        <v>2186</v>
      </c>
      <c r="I10" s="5">
        <f t="shared" si="5"/>
        <v>1350948</v>
      </c>
      <c r="J10" s="5">
        <f t="shared" si="6"/>
        <v>199614</v>
      </c>
      <c r="K10" s="5">
        <f t="shared" si="7"/>
        <v>20264</v>
      </c>
      <c r="L10" s="12" t="str">
        <f t="shared" si="8"/>
        <v>良好</v>
      </c>
      <c r="N10">
        <v>22</v>
      </c>
      <c r="O10" t="s">
        <v>123</v>
      </c>
      <c r="P10">
        <v>2056</v>
      </c>
    </row>
    <row r="11" spans="1:16">
      <c r="A11" s="31">
        <v>101</v>
      </c>
      <c r="B11" s="32" t="str">
        <f t="shared" si="0"/>
        <v>東海ストア</v>
      </c>
      <c r="C11" s="32">
        <v>21</v>
      </c>
      <c r="D11" s="32" t="str">
        <f t="shared" si="1"/>
        <v>L商品</v>
      </c>
      <c r="E11" s="32">
        <v>517</v>
      </c>
      <c r="F11" s="56">
        <f t="shared" si="2"/>
        <v>0.24</v>
      </c>
      <c r="G11" s="5">
        <f t="shared" si="3"/>
        <v>3460</v>
      </c>
      <c r="H11" s="5">
        <f t="shared" si="4"/>
        <v>3184</v>
      </c>
      <c r="I11" s="5">
        <f t="shared" si="5"/>
        <v>1646128</v>
      </c>
      <c r="J11" s="5">
        <f t="shared" si="6"/>
        <v>206283</v>
      </c>
      <c r="K11" s="5">
        <f t="shared" si="7"/>
        <v>24691</v>
      </c>
      <c r="L11" s="12" t="str">
        <f t="shared" si="8"/>
        <v>良好</v>
      </c>
    </row>
    <row r="12" spans="1:16">
      <c r="A12" s="31">
        <v>102</v>
      </c>
      <c r="B12" s="32" t="str">
        <f t="shared" si="0"/>
        <v>ＢＩＧ商事</v>
      </c>
      <c r="C12" s="32">
        <v>21</v>
      </c>
      <c r="D12" s="32" t="str">
        <f t="shared" si="1"/>
        <v>L商品</v>
      </c>
      <c r="E12" s="32">
        <v>385</v>
      </c>
      <c r="F12" s="56">
        <f t="shared" si="2"/>
        <v>0.25</v>
      </c>
      <c r="G12" s="5">
        <f t="shared" si="3"/>
        <v>3490</v>
      </c>
      <c r="H12" s="5">
        <f t="shared" si="4"/>
        <v>3211</v>
      </c>
      <c r="I12" s="5">
        <f t="shared" si="5"/>
        <v>1236235</v>
      </c>
      <c r="J12" s="5">
        <f t="shared" si="6"/>
        <v>164010</v>
      </c>
      <c r="K12" s="5">
        <f t="shared" si="7"/>
        <v>14834</v>
      </c>
      <c r="L12" s="12" t="str">
        <f t="shared" si="8"/>
        <v>努力</v>
      </c>
      <c r="N12">
        <v>10</v>
      </c>
      <c r="O12" s="29">
        <v>0.27</v>
      </c>
      <c r="P12" s="29">
        <v>0.26</v>
      </c>
    </row>
    <row r="13" spans="1:16">
      <c r="A13" s="31">
        <v>103</v>
      </c>
      <c r="B13" s="32" t="str">
        <f t="shared" si="0"/>
        <v>マルハ商店</v>
      </c>
      <c r="C13" s="32">
        <v>21</v>
      </c>
      <c r="D13" s="32" t="str">
        <f t="shared" si="1"/>
        <v>L商品</v>
      </c>
      <c r="E13" s="32">
        <v>510</v>
      </c>
      <c r="F13" s="56">
        <f t="shared" si="2"/>
        <v>0.24</v>
      </c>
      <c r="G13" s="5">
        <f t="shared" si="3"/>
        <v>3460</v>
      </c>
      <c r="H13" s="5">
        <f t="shared" si="4"/>
        <v>3184</v>
      </c>
      <c r="I13" s="5">
        <f t="shared" si="5"/>
        <v>1623840</v>
      </c>
      <c r="J13" s="5">
        <f t="shared" si="6"/>
        <v>203490</v>
      </c>
      <c r="K13" s="5">
        <f t="shared" si="7"/>
        <v>24357</v>
      </c>
      <c r="L13" s="12" t="str">
        <f t="shared" si="8"/>
        <v>良好</v>
      </c>
      <c r="N13">
        <v>20</v>
      </c>
      <c r="O13" s="29">
        <v>0.25</v>
      </c>
      <c r="P13" s="29">
        <v>0.24</v>
      </c>
    </row>
    <row r="14" spans="1:16">
      <c r="A14" s="31">
        <v>104</v>
      </c>
      <c r="B14" s="32" t="str">
        <f t="shared" si="0"/>
        <v>三共百貨店</v>
      </c>
      <c r="C14" s="32">
        <v>21</v>
      </c>
      <c r="D14" s="32" t="str">
        <f t="shared" si="1"/>
        <v>L商品</v>
      </c>
      <c r="E14" s="32">
        <v>498</v>
      </c>
      <c r="F14" s="56">
        <f t="shared" si="2"/>
        <v>0.25</v>
      </c>
      <c r="G14" s="5">
        <f t="shared" si="3"/>
        <v>3490</v>
      </c>
      <c r="H14" s="5">
        <f t="shared" si="4"/>
        <v>3211</v>
      </c>
      <c r="I14" s="5">
        <f t="shared" si="5"/>
        <v>1599078</v>
      </c>
      <c r="J14" s="5">
        <f t="shared" si="6"/>
        <v>212148</v>
      </c>
      <c r="K14" s="5">
        <f t="shared" si="7"/>
        <v>23986</v>
      </c>
      <c r="L14" s="12" t="str">
        <f t="shared" si="8"/>
        <v>良好</v>
      </c>
    </row>
    <row r="15" spans="1:16">
      <c r="A15" s="31">
        <v>101</v>
      </c>
      <c r="B15" s="32" t="str">
        <f t="shared" si="0"/>
        <v>東海ストア</v>
      </c>
      <c r="C15" s="32">
        <v>22</v>
      </c>
      <c r="D15" s="32" t="str">
        <f t="shared" si="1"/>
        <v>M商品</v>
      </c>
      <c r="E15" s="32">
        <v>513</v>
      </c>
      <c r="F15" s="56">
        <f t="shared" si="2"/>
        <v>0.24</v>
      </c>
      <c r="G15" s="5">
        <f t="shared" si="3"/>
        <v>2550</v>
      </c>
      <c r="H15" s="5">
        <f t="shared" si="4"/>
        <v>2372</v>
      </c>
      <c r="I15" s="5">
        <f t="shared" si="5"/>
        <v>1216836</v>
      </c>
      <c r="J15" s="5">
        <f t="shared" si="6"/>
        <v>162108</v>
      </c>
      <c r="K15" s="5">
        <f t="shared" si="7"/>
        <v>14602</v>
      </c>
      <c r="L15" s="12" t="str">
        <f t="shared" si="8"/>
        <v>努力</v>
      </c>
    </row>
    <row r="16" spans="1:16">
      <c r="A16" s="31">
        <v>102</v>
      </c>
      <c r="B16" s="32" t="str">
        <f t="shared" si="0"/>
        <v>ＢＩＧ商事</v>
      </c>
      <c r="C16" s="32">
        <v>22</v>
      </c>
      <c r="D16" s="32" t="str">
        <f t="shared" si="1"/>
        <v>M商品</v>
      </c>
      <c r="E16" s="32">
        <v>470</v>
      </c>
      <c r="F16" s="56">
        <f t="shared" si="2"/>
        <v>0.25</v>
      </c>
      <c r="G16" s="5">
        <f t="shared" si="3"/>
        <v>2570</v>
      </c>
      <c r="H16" s="5">
        <f t="shared" si="4"/>
        <v>2391</v>
      </c>
      <c r="I16" s="5">
        <f t="shared" si="5"/>
        <v>1123770</v>
      </c>
      <c r="J16" s="5">
        <f t="shared" si="6"/>
        <v>157450</v>
      </c>
      <c r="K16" s="5">
        <f t="shared" si="7"/>
        <v>13485</v>
      </c>
      <c r="L16" s="12" t="str">
        <f t="shared" si="8"/>
        <v>努力</v>
      </c>
    </row>
    <row r="17" spans="1:12">
      <c r="A17" s="31">
        <v>103</v>
      </c>
      <c r="B17" s="32" t="str">
        <f t="shared" si="0"/>
        <v>マルハ商店</v>
      </c>
      <c r="C17" s="32">
        <v>22</v>
      </c>
      <c r="D17" s="32" t="str">
        <f t="shared" si="1"/>
        <v>M商品</v>
      </c>
      <c r="E17" s="32">
        <v>520</v>
      </c>
      <c r="F17" s="56">
        <f t="shared" si="2"/>
        <v>0.24</v>
      </c>
      <c r="G17" s="5">
        <f t="shared" si="3"/>
        <v>2550</v>
      </c>
      <c r="H17" s="5">
        <f t="shared" si="4"/>
        <v>2372</v>
      </c>
      <c r="I17" s="5">
        <f t="shared" si="5"/>
        <v>1233440</v>
      </c>
      <c r="J17" s="5">
        <f t="shared" si="6"/>
        <v>164320</v>
      </c>
      <c r="K17" s="5">
        <f t="shared" si="7"/>
        <v>14801</v>
      </c>
      <c r="L17" s="12" t="str">
        <f t="shared" si="8"/>
        <v>良好</v>
      </c>
    </row>
    <row r="18" spans="1:12">
      <c r="A18" s="31">
        <v>104</v>
      </c>
      <c r="B18" s="32" t="str">
        <f t="shared" si="0"/>
        <v>三共百貨店</v>
      </c>
      <c r="C18" s="32">
        <v>22</v>
      </c>
      <c r="D18" s="32" t="str">
        <f t="shared" si="1"/>
        <v>M商品</v>
      </c>
      <c r="E18" s="32">
        <v>429</v>
      </c>
      <c r="F18" s="56">
        <f t="shared" si="2"/>
        <v>0.25</v>
      </c>
      <c r="G18" s="5">
        <f t="shared" si="3"/>
        <v>2570</v>
      </c>
      <c r="H18" s="5">
        <f t="shared" si="4"/>
        <v>2391</v>
      </c>
      <c r="I18" s="5">
        <f t="shared" si="5"/>
        <v>1025739</v>
      </c>
      <c r="J18" s="5">
        <f t="shared" si="6"/>
        <v>143715</v>
      </c>
      <c r="K18" s="5">
        <f t="shared" si="7"/>
        <v>12308</v>
      </c>
      <c r="L18" s="12" t="str">
        <f t="shared" si="8"/>
        <v>努力</v>
      </c>
    </row>
    <row r="19" spans="1:12">
      <c r="A19" s="31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12"/>
    </row>
    <row r="20" spans="1:12" ht="19.5" thickBot="1">
      <c r="A20" s="33"/>
      <c r="B20" s="14" t="s">
        <v>30</v>
      </c>
      <c r="C20" s="34"/>
      <c r="D20" s="34"/>
      <c r="E20" s="16">
        <f>SUM(E3:E18)</f>
        <v>8152</v>
      </c>
      <c r="F20" s="16"/>
      <c r="G20" s="16"/>
      <c r="H20" s="16"/>
      <c r="I20" s="16">
        <f t="shared" ref="F20:K20" si="9">SUM(I3:I18)</f>
        <v>21440710</v>
      </c>
      <c r="J20" s="16">
        <f t="shared" si="9"/>
        <v>2978398</v>
      </c>
      <c r="K20" s="16">
        <f t="shared" si="9"/>
        <v>297825</v>
      </c>
      <c r="L20" s="17"/>
    </row>
    <row r="22" spans="1:12" ht="19.5" thickBot="1">
      <c r="A22" s="44" t="s">
        <v>194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</row>
    <row r="23" spans="1:12">
      <c r="A23" s="8" t="s">
        <v>185</v>
      </c>
      <c r="B23" s="9" t="s">
        <v>187</v>
      </c>
      <c r="C23" s="9" t="s">
        <v>186</v>
      </c>
      <c r="D23" s="9" t="s">
        <v>4</v>
      </c>
      <c r="E23" s="9" t="s">
        <v>105</v>
      </c>
      <c r="F23" s="9" t="s">
        <v>106</v>
      </c>
      <c r="G23" s="9" t="s">
        <v>5</v>
      </c>
      <c r="H23" s="9" t="s">
        <v>71</v>
      </c>
      <c r="I23" s="9" t="s">
        <v>107</v>
      </c>
      <c r="J23" s="9" t="s">
        <v>75</v>
      </c>
      <c r="K23" s="9" t="s">
        <v>108</v>
      </c>
      <c r="L23" s="10" t="s">
        <v>109</v>
      </c>
    </row>
    <row r="24" spans="1:12">
      <c r="A24" s="31">
        <v>102</v>
      </c>
      <c r="B24" s="32" t="s">
        <v>112</v>
      </c>
      <c r="C24" s="32">
        <v>12</v>
      </c>
      <c r="D24" s="32" t="s">
        <v>119</v>
      </c>
      <c r="E24" s="32">
        <v>456</v>
      </c>
      <c r="F24" s="56">
        <v>0.27</v>
      </c>
      <c r="G24" s="5">
        <v>2370</v>
      </c>
      <c r="H24" s="5">
        <v>2205</v>
      </c>
      <c r="I24" s="5">
        <v>1005480</v>
      </c>
      <c r="J24" s="5">
        <v>155952</v>
      </c>
      <c r="K24" s="5">
        <v>12065</v>
      </c>
      <c r="L24" s="12" t="s">
        <v>189</v>
      </c>
    </row>
    <row r="25" spans="1:12">
      <c r="A25" s="31">
        <v>103</v>
      </c>
      <c r="B25" s="32" t="s">
        <v>114</v>
      </c>
      <c r="C25" s="32">
        <v>12</v>
      </c>
      <c r="D25" s="32" t="s">
        <v>118</v>
      </c>
      <c r="E25" s="32">
        <v>492</v>
      </c>
      <c r="F25" s="56">
        <v>0.27</v>
      </c>
      <c r="G25" s="5">
        <v>2370</v>
      </c>
      <c r="H25" s="5">
        <v>2205</v>
      </c>
      <c r="I25" s="5">
        <v>1084860</v>
      </c>
      <c r="J25" s="5">
        <v>168264</v>
      </c>
      <c r="K25" s="5">
        <v>13018</v>
      </c>
      <c r="L25" s="12" t="s">
        <v>189</v>
      </c>
    </row>
    <row r="26" spans="1:12">
      <c r="A26" s="31">
        <v>102</v>
      </c>
      <c r="B26" s="32" t="s">
        <v>112</v>
      </c>
      <c r="C26" s="32">
        <v>21</v>
      </c>
      <c r="D26" s="32" t="s">
        <v>120</v>
      </c>
      <c r="E26" s="32">
        <v>385</v>
      </c>
      <c r="F26" s="56">
        <v>0.25</v>
      </c>
      <c r="G26" s="5">
        <v>3490</v>
      </c>
      <c r="H26" s="5">
        <v>3211</v>
      </c>
      <c r="I26" s="5">
        <v>1236235</v>
      </c>
      <c r="J26" s="5">
        <v>164010</v>
      </c>
      <c r="K26" s="5">
        <v>14834</v>
      </c>
      <c r="L26" s="12" t="s">
        <v>189</v>
      </c>
    </row>
    <row r="27" spans="1:12">
      <c r="A27" s="31">
        <v>102</v>
      </c>
      <c r="B27" s="32" t="s">
        <v>112</v>
      </c>
      <c r="C27" s="32">
        <v>22</v>
      </c>
      <c r="D27" s="32" t="s">
        <v>122</v>
      </c>
      <c r="E27" s="32">
        <v>470</v>
      </c>
      <c r="F27" s="56">
        <v>0.25</v>
      </c>
      <c r="G27" s="5">
        <v>2570</v>
      </c>
      <c r="H27" s="5">
        <v>2391</v>
      </c>
      <c r="I27" s="5">
        <v>1123770</v>
      </c>
      <c r="J27" s="5">
        <v>157450</v>
      </c>
      <c r="K27" s="5">
        <v>13485</v>
      </c>
      <c r="L27" s="12" t="s">
        <v>189</v>
      </c>
    </row>
    <row r="28" spans="1:12">
      <c r="A28" s="31">
        <v>101</v>
      </c>
      <c r="B28" s="32" t="s">
        <v>110</v>
      </c>
      <c r="C28" s="32">
        <v>22</v>
      </c>
      <c r="D28" s="32" t="s">
        <v>122</v>
      </c>
      <c r="E28" s="32">
        <v>513</v>
      </c>
      <c r="F28" s="56">
        <v>0.24</v>
      </c>
      <c r="G28" s="5">
        <v>2550</v>
      </c>
      <c r="H28" s="5">
        <v>2372</v>
      </c>
      <c r="I28" s="5">
        <v>1216836</v>
      </c>
      <c r="J28" s="5">
        <v>162108</v>
      </c>
      <c r="K28" s="5">
        <v>14602</v>
      </c>
      <c r="L28" s="12" t="s">
        <v>189</v>
      </c>
    </row>
    <row r="29" spans="1:12">
      <c r="A29" s="31">
        <v>103</v>
      </c>
      <c r="B29" s="32" t="s">
        <v>114</v>
      </c>
      <c r="C29" s="32">
        <v>22</v>
      </c>
      <c r="D29" s="32" t="s">
        <v>122</v>
      </c>
      <c r="E29" s="32">
        <v>520</v>
      </c>
      <c r="F29" s="56">
        <v>0.24</v>
      </c>
      <c r="G29" s="5">
        <v>2550</v>
      </c>
      <c r="H29" s="5">
        <v>2372</v>
      </c>
      <c r="I29" s="5">
        <v>1233440</v>
      </c>
      <c r="J29" s="5">
        <v>164320</v>
      </c>
      <c r="K29" s="5">
        <v>14801</v>
      </c>
      <c r="L29" s="12" t="s">
        <v>124</v>
      </c>
    </row>
    <row r="30" spans="1:12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12"/>
    </row>
    <row r="31" spans="1:12" ht="19.5" thickBot="1">
      <c r="A31" s="33"/>
      <c r="B31" s="14" t="s">
        <v>30</v>
      </c>
      <c r="C31" s="34"/>
      <c r="D31" s="34"/>
      <c r="E31" s="16">
        <f>SUM(E24:E29)</f>
        <v>2836</v>
      </c>
      <c r="F31" s="16"/>
      <c r="G31" s="16"/>
      <c r="H31" s="16"/>
      <c r="I31" s="16">
        <f t="shared" ref="F31:K31" si="10">SUM(I24:I29)</f>
        <v>6900621</v>
      </c>
      <c r="J31" s="16">
        <f t="shared" si="10"/>
        <v>972104</v>
      </c>
      <c r="K31" s="16">
        <f t="shared" si="10"/>
        <v>82805</v>
      </c>
      <c r="L31" s="17"/>
    </row>
    <row r="33" spans="1:12" ht="19.5" thickBot="1">
      <c r="A33" s="54" t="s">
        <v>190</v>
      </c>
      <c r="B33" s="54"/>
      <c r="C33" s="54"/>
      <c r="D33" s="54"/>
    </row>
    <row r="34" spans="1:12">
      <c r="A34" s="8" t="s">
        <v>187</v>
      </c>
      <c r="B34" s="9" t="s">
        <v>105</v>
      </c>
      <c r="C34" s="9" t="s">
        <v>107</v>
      </c>
      <c r="D34" s="10" t="s">
        <v>75</v>
      </c>
      <c r="F34" s="9" t="s">
        <v>187</v>
      </c>
      <c r="G34" s="9" t="s">
        <v>187</v>
      </c>
      <c r="H34" s="9" t="s">
        <v>187</v>
      </c>
      <c r="I34" s="9" t="s">
        <v>187</v>
      </c>
      <c r="K34" s="9" t="s">
        <v>4</v>
      </c>
    </row>
    <row r="35" spans="1:12" ht="19.5" thickBot="1">
      <c r="A35" s="31" t="s">
        <v>111</v>
      </c>
      <c r="B35" s="5">
        <f>DSUM(yang8,B$34,$F$34:$F$35)</f>
        <v>2211</v>
      </c>
      <c r="C35" s="5">
        <f>DSUM(yang8,C$34,$F$34:$F$35)</f>
        <v>5762213</v>
      </c>
      <c r="D35" s="21">
        <f>DSUM(yang8,D$34,$F$34:$F$35)</f>
        <v>792099</v>
      </c>
      <c r="F35" t="s">
        <v>111</v>
      </c>
      <c r="G35" t="s">
        <v>113</v>
      </c>
      <c r="H35" t="s">
        <v>115</v>
      </c>
      <c r="I35" t="s">
        <v>188</v>
      </c>
      <c r="K35" t="s">
        <v>130</v>
      </c>
    </row>
    <row r="36" spans="1:12">
      <c r="A36" s="31" t="s">
        <v>113</v>
      </c>
      <c r="B36" s="5">
        <f>DSUM(yang8,B$34,$G$34:$G$35)</f>
        <v>1811</v>
      </c>
      <c r="C36" s="5">
        <f>DSUM(yang8,C$34,$G$34:$G$35)</f>
        <v>4768485</v>
      </c>
      <c r="D36" s="21">
        <f>DSUM(yang8,D$34,$G$34:$G$35)</f>
        <v>671912</v>
      </c>
      <c r="K36" s="9" t="s">
        <v>105</v>
      </c>
      <c r="L36" s="9" t="s">
        <v>71</v>
      </c>
    </row>
    <row r="37" spans="1:12" ht="19.5" thickBot="1">
      <c r="A37" s="31" t="s">
        <v>115</v>
      </c>
      <c r="B37" s="5">
        <f>DSUM(yang8,B$34,$H$34:$H$35)</f>
        <v>2013</v>
      </c>
      <c r="C37" s="5">
        <f>DSUM(yang8,C$34,$H$34:$H$35)</f>
        <v>5329215</v>
      </c>
      <c r="D37" s="21">
        <f>DSUM(yang8,D$34,$H$34:$H$35)</f>
        <v>736402</v>
      </c>
      <c r="K37" t="s">
        <v>131</v>
      </c>
      <c r="L37" t="s">
        <v>132</v>
      </c>
    </row>
    <row r="38" spans="1:12" ht="19.5" thickBot="1">
      <c r="A38" s="33" t="s">
        <v>188</v>
      </c>
      <c r="B38" s="16">
        <f>DSUM(yang8,B$34,$I$34:$I$35)</f>
        <v>2117</v>
      </c>
      <c r="C38" s="16">
        <f>DSUM(yang8,C$34,$I$34:$I$35)</f>
        <v>5580797</v>
      </c>
      <c r="D38" s="22">
        <f>DSUM(yang8,D$34,$I$34:$I$35)</f>
        <v>777985</v>
      </c>
      <c r="K38" s="9" t="s">
        <v>106</v>
      </c>
      <c r="L38" s="9" t="s">
        <v>108</v>
      </c>
    </row>
    <row r="39" spans="1:12" ht="19.5" thickBot="1">
      <c r="K39" t="s">
        <v>133</v>
      </c>
      <c r="L39" t="s">
        <v>134</v>
      </c>
    </row>
    <row r="40" spans="1:12">
      <c r="A40" s="48" t="s">
        <v>191</v>
      </c>
      <c r="B40" s="49"/>
      <c r="C40" s="49"/>
      <c r="D40" s="49"/>
      <c r="E40" s="49"/>
      <c r="F40" s="49"/>
      <c r="G40" s="24">
        <f>DSUM(yang8,10,K34:K35)</f>
        <v>2233636</v>
      </c>
    </row>
    <row r="41" spans="1:12">
      <c r="A41" s="50" t="s">
        <v>192</v>
      </c>
      <c r="B41" s="51"/>
      <c r="C41" s="51"/>
      <c r="D41" s="51"/>
      <c r="E41" s="51"/>
      <c r="F41" s="51"/>
      <c r="G41" s="21">
        <f>DMAX(yang8,9,K36:L37)</f>
        <v>1404025</v>
      </c>
    </row>
    <row r="42" spans="1:12" ht="19.5" thickBot="1">
      <c r="A42" s="45" t="s">
        <v>193</v>
      </c>
      <c r="B42" s="46"/>
      <c r="C42" s="46"/>
      <c r="D42" s="46"/>
      <c r="E42" s="46"/>
      <c r="F42" s="46"/>
      <c r="G42" s="22">
        <f>DCOUNT(yang8, 1, K38:L39)</f>
        <v>7</v>
      </c>
    </row>
  </sheetData>
  <sortState ref="A24:L29">
    <sortCondition ref="C24:C29"/>
    <sortCondition ref="I24:I29"/>
  </sortState>
  <mergeCells count="6">
    <mergeCell ref="A1:L1"/>
    <mergeCell ref="A22:L22"/>
    <mergeCell ref="A33:D33"/>
    <mergeCell ref="A40:F40"/>
    <mergeCell ref="A41:F41"/>
    <mergeCell ref="A42:F42"/>
  </mergeCells>
  <phoneticPr fontId="2"/>
  <pageMargins left="0.25" right="0.25" top="0.75" bottom="0.75" header="0.3" footer="0.3"/>
  <pageSetup paperSize="9" scale="62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DDFC-1937-4D85-BF31-84DE67E42FCE}">
  <sheetPr>
    <pageSetUpPr fitToPage="1"/>
  </sheetPr>
  <dimension ref="A1:Q42"/>
  <sheetViews>
    <sheetView tabSelected="1" workbookViewId="0">
      <selection activeCell="I8" sqref="I8"/>
    </sheetView>
  </sheetViews>
  <sheetFormatPr defaultRowHeight="18.75"/>
  <cols>
    <col min="1" max="2" width="11" bestFit="1" customWidth="1"/>
    <col min="4" max="4" width="11.125" bestFit="1" customWidth="1"/>
    <col min="5" max="5" width="8" bestFit="1" customWidth="1"/>
    <col min="6" max="6" width="11" bestFit="1" customWidth="1"/>
    <col min="7" max="7" width="9" bestFit="1" customWidth="1"/>
    <col min="8" max="10" width="11" bestFit="1" customWidth="1"/>
    <col min="11" max="11" width="9.5" bestFit="1" customWidth="1"/>
    <col min="12" max="12" width="9" bestFit="1" customWidth="1"/>
    <col min="13" max="13" width="6.25" bestFit="1" customWidth="1"/>
    <col min="14" max="14" width="5.875" bestFit="1" customWidth="1"/>
    <col min="15" max="15" width="11" bestFit="1" customWidth="1"/>
    <col min="16" max="17" width="6.5" bestFit="1" customWidth="1"/>
  </cols>
  <sheetData>
    <row r="1" spans="1:17" ht="19.5" thickBot="1">
      <c r="A1" s="44" t="s">
        <v>195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1:17">
      <c r="A2" s="8" t="s">
        <v>32</v>
      </c>
      <c r="B2" s="9" t="s">
        <v>196</v>
      </c>
      <c r="C2" s="9" t="s">
        <v>197</v>
      </c>
      <c r="D2" s="9" t="s">
        <v>198</v>
      </c>
      <c r="E2" s="9" t="s">
        <v>199</v>
      </c>
      <c r="F2" s="9" t="s">
        <v>200</v>
      </c>
      <c r="G2" s="9" t="s">
        <v>201</v>
      </c>
      <c r="H2" s="9" t="s">
        <v>202</v>
      </c>
      <c r="I2" s="9" t="s">
        <v>203</v>
      </c>
      <c r="J2" s="9" t="s">
        <v>204</v>
      </c>
      <c r="K2" s="9" t="s">
        <v>11</v>
      </c>
      <c r="L2" s="10" t="s">
        <v>205</v>
      </c>
      <c r="N2" t="s">
        <v>206</v>
      </c>
      <c r="O2" t="s">
        <v>212</v>
      </c>
    </row>
    <row r="3" spans="1:17">
      <c r="A3" s="31" t="s">
        <v>206</v>
      </c>
      <c r="B3" s="32" t="str">
        <f>VLOOKUP(A3,$N$2:$O$6,2,0)</f>
        <v>東海工業会</v>
      </c>
      <c r="C3" s="32">
        <v>11</v>
      </c>
      <c r="D3" s="32" t="str">
        <f>VLOOKUP(C3,$N$8:$Q$10,2,1) &amp; C3 &amp;"会議室"</f>
        <v>大11会議室</v>
      </c>
      <c r="E3" s="32">
        <v>6</v>
      </c>
      <c r="F3" s="5">
        <f>ROUNDDOWN(VLOOKUP(C3,$N$8:$Q$10,3,1)*5,-1)</f>
        <v>122580</v>
      </c>
      <c r="G3" s="5">
        <f>ROUND(VLOOKUP(C3,$N$8:$Q$10,4,1)*(E3-5),-1)</f>
        <v>11770</v>
      </c>
      <c r="H3" s="32">
        <v>0</v>
      </c>
      <c r="I3" s="5">
        <f>VLOOKUP(H3,$N$12:$O$15,2,0)</f>
        <v>2000</v>
      </c>
      <c r="J3" s="5">
        <f>ROUNDUP(IF(E3&gt;=7,(F3+G3)*2.7%,(F3+G3)*2.3%),0)</f>
        <v>3091</v>
      </c>
      <c r="K3" s="7">
        <f>F3+G3+I3+J3</f>
        <v>139441</v>
      </c>
      <c r="L3" s="21">
        <f>ROUNDUP(K3*(VLOOKUP(RIGHT(A3,1),$N$17:$O$19,2,0)),-2)</f>
        <v>2700</v>
      </c>
      <c r="N3" t="s">
        <v>207</v>
      </c>
      <c r="O3" t="s">
        <v>213</v>
      </c>
    </row>
    <row r="4" spans="1:17">
      <c r="A4" s="31" t="s">
        <v>207</v>
      </c>
      <c r="B4" s="32" t="str">
        <f t="shared" ref="B4:B17" si="0">VLOOKUP(A4,$N$2:$O$6,2,0)</f>
        <v>ABS銀行</v>
      </c>
      <c r="C4" s="32">
        <v>14</v>
      </c>
      <c r="D4" s="32" t="str">
        <f t="shared" ref="D4:D17" si="1">VLOOKUP(C4,$N$8:$Q$10,2,1) &amp; C4 &amp;"会議室"</f>
        <v>大14会議室</v>
      </c>
      <c r="E4" s="32">
        <v>5</v>
      </c>
      <c r="F4" s="5">
        <f t="shared" ref="F4:F17" si="2">ROUNDDOWN(VLOOKUP(C4,$N$8:$Q$10,3,1)*5,-1)</f>
        <v>122580</v>
      </c>
      <c r="G4" s="5">
        <f t="shared" ref="G4:G17" si="3">ROUND(VLOOKUP(C4,$N$8:$Q$10,4,1)*(E4-5),-1)</f>
        <v>0</v>
      </c>
      <c r="H4" s="32">
        <v>1</v>
      </c>
      <c r="I4" s="5">
        <f t="shared" ref="I4:I17" si="4">VLOOKUP(H4,$N$12:$O$15,2,0)</f>
        <v>3500</v>
      </c>
      <c r="J4" s="5">
        <f t="shared" ref="J4:J17" si="5">ROUNDUP(IF(E4&gt;=7,(F4+G4)*2.7%,(F4+G4)*2.3%),0)</f>
        <v>2820</v>
      </c>
      <c r="K4" s="7">
        <f t="shared" ref="K4:K17" si="6">F4+G4+I4+J4</f>
        <v>128900</v>
      </c>
      <c r="L4" s="21">
        <f t="shared" ref="L4:L17" si="7">ROUNDUP(K4*(VLOOKUP(RIGHT(A4,1),$N$17:$O$19,2,0)),-2)</f>
        <v>1700</v>
      </c>
      <c r="N4" t="s">
        <v>208</v>
      </c>
      <c r="O4" t="s">
        <v>214</v>
      </c>
    </row>
    <row r="5" spans="1:17">
      <c r="A5" s="31" t="s">
        <v>208</v>
      </c>
      <c r="B5" s="32" t="str">
        <f t="shared" si="0"/>
        <v>たびクラブ</v>
      </c>
      <c r="C5" s="32">
        <v>31</v>
      </c>
      <c r="D5" s="32" t="str">
        <f t="shared" si="1"/>
        <v>小31会議室</v>
      </c>
      <c r="E5" s="32">
        <v>8</v>
      </c>
      <c r="F5" s="5">
        <f t="shared" si="2"/>
        <v>49120</v>
      </c>
      <c r="G5" s="5">
        <f t="shared" si="3"/>
        <v>14150</v>
      </c>
      <c r="H5" s="32">
        <v>3</v>
      </c>
      <c r="I5" s="5">
        <f t="shared" si="4"/>
        <v>6500</v>
      </c>
      <c r="J5" s="5">
        <f t="shared" si="5"/>
        <v>1709</v>
      </c>
      <c r="K5" s="7">
        <f t="shared" si="6"/>
        <v>71479</v>
      </c>
      <c r="L5" s="21">
        <f t="shared" si="7"/>
        <v>1200</v>
      </c>
      <c r="N5" t="s">
        <v>209</v>
      </c>
      <c r="O5" t="s">
        <v>216</v>
      </c>
    </row>
    <row r="6" spans="1:17">
      <c r="A6" s="31" t="s">
        <v>209</v>
      </c>
      <c r="B6" s="32" t="str">
        <f t="shared" si="0"/>
        <v>栄市商工会</v>
      </c>
      <c r="C6" s="32">
        <v>21</v>
      </c>
      <c r="D6" s="32" t="str">
        <f t="shared" si="1"/>
        <v>中21会議室</v>
      </c>
      <c r="E6" s="32">
        <v>7</v>
      </c>
      <c r="F6" s="5">
        <f t="shared" si="2"/>
        <v>78410</v>
      </c>
      <c r="G6" s="5">
        <f t="shared" si="3"/>
        <v>15050</v>
      </c>
      <c r="H6" s="32">
        <v>1</v>
      </c>
      <c r="I6" s="5">
        <f t="shared" si="4"/>
        <v>3500</v>
      </c>
      <c r="J6" s="5">
        <f t="shared" si="5"/>
        <v>2524</v>
      </c>
      <c r="K6" s="7">
        <f t="shared" si="6"/>
        <v>99484</v>
      </c>
      <c r="L6" s="21">
        <f t="shared" si="7"/>
        <v>1900</v>
      </c>
      <c r="N6" t="s">
        <v>210</v>
      </c>
      <c r="O6" t="s">
        <v>218</v>
      </c>
    </row>
    <row r="7" spans="1:17">
      <c r="A7" s="31" t="s">
        <v>210</v>
      </c>
      <c r="B7" s="32" t="str">
        <f t="shared" si="0"/>
        <v>久保田物産</v>
      </c>
      <c r="C7" s="32">
        <v>22</v>
      </c>
      <c r="D7" s="32" t="str">
        <f t="shared" si="1"/>
        <v>中22会議室</v>
      </c>
      <c r="E7" s="32">
        <v>8</v>
      </c>
      <c r="F7" s="5">
        <f t="shared" si="2"/>
        <v>78410</v>
      </c>
      <c r="G7" s="5">
        <f t="shared" si="3"/>
        <v>22580</v>
      </c>
      <c r="H7" s="32">
        <v>0</v>
      </c>
      <c r="I7" s="5">
        <f t="shared" si="4"/>
        <v>2000</v>
      </c>
      <c r="J7" s="5">
        <f t="shared" si="5"/>
        <v>2727</v>
      </c>
      <c r="K7" s="7">
        <f t="shared" si="6"/>
        <v>105717</v>
      </c>
      <c r="L7" s="21">
        <f t="shared" si="7"/>
        <v>1700</v>
      </c>
    </row>
    <row r="8" spans="1:17">
      <c r="A8" s="31" t="s">
        <v>206</v>
      </c>
      <c r="B8" s="32" t="str">
        <f t="shared" si="0"/>
        <v>東海工業会</v>
      </c>
      <c r="C8" s="32">
        <v>13</v>
      </c>
      <c r="D8" s="32" t="str">
        <f t="shared" si="1"/>
        <v>大13会議室</v>
      </c>
      <c r="E8" s="32">
        <v>6</v>
      </c>
      <c r="F8" s="5">
        <f t="shared" si="2"/>
        <v>122580</v>
      </c>
      <c r="G8" s="5">
        <f t="shared" si="3"/>
        <v>11770</v>
      </c>
      <c r="H8" s="32">
        <v>2</v>
      </c>
      <c r="I8" s="5">
        <f t="shared" si="4"/>
        <v>5000</v>
      </c>
      <c r="J8" s="5">
        <f t="shared" si="5"/>
        <v>3091</v>
      </c>
      <c r="K8" s="7">
        <f t="shared" si="6"/>
        <v>142441</v>
      </c>
      <c r="L8" s="21">
        <f t="shared" si="7"/>
        <v>2800</v>
      </c>
      <c r="N8">
        <v>10</v>
      </c>
      <c r="O8" t="s">
        <v>219</v>
      </c>
      <c r="P8">
        <v>24517</v>
      </c>
      <c r="Q8">
        <v>11768</v>
      </c>
    </row>
    <row r="9" spans="1:17">
      <c r="A9" s="31" t="s">
        <v>207</v>
      </c>
      <c r="B9" s="32" t="str">
        <f t="shared" si="0"/>
        <v>ABS銀行</v>
      </c>
      <c r="C9" s="32">
        <v>15</v>
      </c>
      <c r="D9" s="32" t="str">
        <f t="shared" si="1"/>
        <v>大15会議室</v>
      </c>
      <c r="E9" s="32">
        <v>5</v>
      </c>
      <c r="F9" s="5">
        <f t="shared" si="2"/>
        <v>122580</v>
      </c>
      <c r="G9" s="5">
        <f t="shared" si="3"/>
        <v>0</v>
      </c>
      <c r="H9" s="32">
        <v>3</v>
      </c>
      <c r="I9" s="5">
        <f t="shared" si="4"/>
        <v>6500</v>
      </c>
      <c r="J9" s="5">
        <f t="shared" si="5"/>
        <v>2820</v>
      </c>
      <c r="K9" s="7">
        <f t="shared" si="6"/>
        <v>131900</v>
      </c>
      <c r="L9" s="21">
        <f t="shared" si="7"/>
        <v>1800</v>
      </c>
      <c r="N9">
        <v>20</v>
      </c>
      <c r="O9" t="s">
        <v>220</v>
      </c>
      <c r="P9">
        <v>15682</v>
      </c>
      <c r="Q9">
        <v>7527</v>
      </c>
    </row>
    <row r="10" spans="1:17">
      <c r="A10" s="31" t="s">
        <v>208</v>
      </c>
      <c r="B10" s="32" t="str">
        <f t="shared" si="0"/>
        <v>たびクラブ</v>
      </c>
      <c r="C10" s="32">
        <v>33</v>
      </c>
      <c r="D10" s="32" t="str">
        <f t="shared" si="1"/>
        <v>小33会議室</v>
      </c>
      <c r="E10" s="32">
        <v>9</v>
      </c>
      <c r="F10" s="5">
        <f t="shared" si="2"/>
        <v>49120</v>
      </c>
      <c r="G10" s="5">
        <f t="shared" si="3"/>
        <v>18860</v>
      </c>
      <c r="H10" s="32">
        <v>2</v>
      </c>
      <c r="I10" s="5">
        <f t="shared" si="4"/>
        <v>5000</v>
      </c>
      <c r="J10" s="5">
        <f t="shared" si="5"/>
        <v>1836</v>
      </c>
      <c r="K10" s="7">
        <f t="shared" si="6"/>
        <v>74816</v>
      </c>
      <c r="L10" s="21">
        <f t="shared" si="7"/>
        <v>1200</v>
      </c>
      <c r="N10">
        <v>30</v>
      </c>
      <c r="O10" t="s">
        <v>221</v>
      </c>
      <c r="P10">
        <v>9825</v>
      </c>
      <c r="Q10">
        <v>4716</v>
      </c>
    </row>
    <row r="11" spans="1:17">
      <c r="A11" s="31" t="s">
        <v>209</v>
      </c>
      <c r="B11" s="32" t="str">
        <f t="shared" si="0"/>
        <v>栄市商工会</v>
      </c>
      <c r="C11" s="32">
        <v>24</v>
      </c>
      <c r="D11" s="32" t="str">
        <f t="shared" si="1"/>
        <v>中24会議室</v>
      </c>
      <c r="E11" s="32">
        <v>8</v>
      </c>
      <c r="F11" s="5">
        <f t="shared" si="2"/>
        <v>78410</v>
      </c>
      <c r="G11" s="5">
        <f t="shared" si="3"/>
        <v>22580</v>
      </c>
      <c r="H11" s="32">
        <v>1</v>
      </c>
      <c r="I11" s="5">
        <f t="shared" si="4"/>
        <v>3500</v>
      </c>
      <c r="J11" s="5">
        <f t="shared" si="5"/>
        <v>2727</v>
      </c>
      <c r="K11" s="7">
        <f t="shared" si="6"/>
        <v>107217</v>
      </c>
      <c r="L11" s="21">
        <f t="shared" si="7"/>
        <v>2100</v>
      </c>
    </row>
    <row r="12" spans="1:17">
      <c r="A12" s="31" t="s">
        <v>210</v>
      </c>
      <c r="B12" s="32" t="str">
        <f t="shared" si="0"/>
        <v>久保田物産</v>
      </c>
      <c r="C12" s="32">
        <v>25</v>
      </c>
      <c r="D12" s="32" t="str">
        <f t="shared" si="1"/>
        <v>中25会議室</v>
      </c>
      <c r="E12" s="32">
        <v>7</v>
      </c>
      <c r="F12" s="5">
        <f t="shared" si="2"/>
        <v>78410</v>
      </c>
      <c r="G12" s="5">
        <f t="shared" si="3"/>
        <v>15050</v>
      </c>
      <c r="H12" s="32">
        <v>2</v>
      </c>
      <c r="I12" s="5">
        <f t="shared" si="4"/>
        <v>5000</v>
      </c>
      <c r="J12" s="5">
        <f t="shared" si="5"/>
        <v>2524</v>
      </c>
      <c r="K12" s="7">
        <f t="shared" si="6"/>
        <v>100984</v>
      </c>
      <c r="L12" s="21">
        <f t="shared" si="7"/>
        <v>1700</v>
      </c>
      <c r="N12">
        <v>0</v>
      </c>
      <c r="O12">
        <v>2000</v>
      </c>
    </row>
    <row r="13" spans="1:17">
      <c r="A13" s="31" t="s">
        <v>206</v>
      </c>
      <c r="B13" s="32" t="str">
        <f t="shared" si="0"/>
        <v>東海工業会</v>
      </c>
      <c r="C13" s="32">
        <v>12</v>
      </c>
      <c r="D13" s="32" t="str">
        <f t="shared" si="1"/>
        <v>大12会議室</v>
      </c>
      <c r="E13" s="32">
        <v>6</v>
      </c>
      <c r="F13" s="5">
        <f t="shared" si="2"/>
        <v>122580</v>
      </c>
      <c r="G13" s="5">
        <f t="shared" si="3"/>
        <v>11770</v>
      </c>
      <c r="H13" s="32">
        <v>1</v>
      </c>
      <c r="I13" s="5">
        <f t="shared" si="4"/>
        <v>3500</v>
      </c>
      <c r="J13" s="5">
        <f t="shared" si="5"/>
        <v>3091</v>
      </c>
      <c r="K13" s="7">
        <f t="shared" si="6"/>
        <v>140941</v>
      </c>
      <c r="L13" s="21">
        <f t="shared" si="7"/>
        <v>2700</v>
      </c>
      <c r="N13">
        <v>1</v>
      </c>
      <c r="O13">
        <v>3500</v>
      </c>
    </row>
    <row r="14" spans="1:17">
      <c r="A14" s="31" t="s">
        <v>207</v>
      </c>
      <c r="B14" s="32" t="str">
        <f t="shared" si="0"/>
        <v>ABS銀行</v>
      </c>
      <c r="C14" s="32">
        <v>16</v>
      </c>
      <c r="D14" s="32" t="str">
        <f t="shared" si="1"/>
        <v>大16会議室</v>
      </c>
      <c r="E14" s="32">
        <v>5</v>
      </c>
      <c r="F14" s="5">
        <f t="shared" si="2"/>
        <v>122580</v>
      </c>
      <c r="G14" s="5">
        <f t="shared" si="3"/>
        <v>0</v>
      </c>
      <c r="H14" s="32">
        <v>0</v>
      </c>
      <c r="I14" s="5">
        <f t="shared" si="4"/>
        <v>2000</v>
      </c>
      <c r="J14" s="5">
        <f t="shared" si="5"/>
        <v>2820</v>
      </c>
      <c r="K14" s="7">
        <f t="shared" si="6"/>
        <v>127400</v>
      </c>
      <c r="L14" s="21">
        <f t="shared" si="7"/>
        <v>1700</v>
      </c>
      <c r="N14">
        <v>2</v>
      </c>
      <c r="O14">
        <v>5000</v>
      </c>
    </row>
    <row r="15" spans="1:17">
      <c r="A15" s="31" t="s">
        <v>208</v>
      </c>
      <c r="B15" s="32" t="str">
        <f t="shared" si="0"/>
        <v>たびクラブ</v>
      </c>
      <c r="C15" s="32">
        <v>32</v>
      </c>
      <c r="D15" s="32" t="str">
        <f t="shared" si="1"/>
        <v>小32会議室</v>
      </c>
      <c r="E15" s="32">
        <v>9</v>
      </c>
      <c r="F15" s="5">
        <f t="shared" si="2"/>
        <v>49120</v>
      </c>
      <c r="G15" s="5">
        <f t="shared" si="3"/>
        <v>18860</v>
      </c>
      <c r="H15" s="32">
        <v>3</v>
      </c>
      <c r="I15" s="5">
        <f t="shared" si="4"/>
        <v>6500</v>
      </c>
      <c r="J15" s="5">
        <f t="shared" si="5"/>
        <v>1836</v>
      </c>
      <c r="K15" s="7">
        <f t="shared" si="6"/>
        <v>76316</v>
      </c>
      <c r="L15" s="21">
        <f t="shared" si="7"/>
        <v>1300</v>
      </c>
      <c r="N15">
        <v>3</v>
      </c>
      <c r="O15">
        <v>6500</v>
      </c>
    </row>
    <row r="16" spans="1:17">
      <c r="A16" s="31" t="s">
        <v>209</v>
      </c>
      <c r="B16" s="32" t="str">
        <f t="shared" si="0"/>
        <v>栄市商工会</v>
      </c>
      <c r="C16" s="32">
        <v>23</v>
      </c>
      <c r="D16" s="32" t="str">
        <f t="shared" si="1"/>
        <v>中23会議室</v>
      </c>
      <c r="E16" s="32">
        <v>6</v>
      </c>
      <c r="F16" s="5">
        <f t="shared" si="2"/>
        <v>78410</v>
      </c>
      <c r="G16" s="5">
        <f t="shared" si="3"/>
        <v>7530</v>
      </c>
      <c r="H16" s="32">
        <v>2</v>
      </c>
      <c r="I16" s="5">
        <f t="shared" si="4"/>
        <v>5000</v>
      </c>
      <c r="J16" s="5">
        <f t="shared" si="5"/>
        <v>1977</v>
      </c>
      <c r="K16" s="7">
        <f t="shared" si="6"/>
        <v>92917</v>
      </c>
      <c r="L16" s="21">
        <f t="shared" si="7"/>
        <v>1800</v>
      </c>
    </row>
    <row r="17" spans="1:15">
      <c r="A17" s="31" t="s">
        <v>210</v>
      </c>
      <c r="B17" s="32" t="str">
        <f t="shared" si="0"/>
        <v>久保田物産</v>
      </c>
      <c r="C17" s="32">
        <v>26</v>
      </c>
      <c r="D17" s="32" t="str">
        <f t="shared" si="1"/>
        <v>中26会議室</v>
      </c>
      <c r="E17" s="32">
        <v>5</v>
      </c>
      <c r="F17" s="5">
        <f t="shared" si="2"/>
        <v>78410</v>
      </c>
      <c r="G17" s="5">
        <f t="shared" si="3"/>
        <v>0</v>
      </c>
      <c r="H17" s="32">
        <v>3</v>
      </c>
      <c r="I17" s="5">
        <f t="shared" si="4"/>
        <v>6500</v>
      </c>
      <c r="J17" s="5">
        <f t="shared" si="5"/>
        <v>1804</v>
      </c>
      <c r="K17" s="7">
        <f t="shared" si="6"/>
        <v>86714</v>
      </c>
      <c r="L17" s="21">
        <f t="shared" si="7"/>
        <v>1400</v>
      </c>
      <c r="N17" t="s">
        <v>27</v>
      </c>
      <c r="O17" s="2">
        <v>1.9E-2</v>
      </c>
    </row>
    <row r="18" spans="1:15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12"/>
      <c r="N18" t="s">
        <v>222</v>
      </c>
      <c r="O18" s="2">
        <v>1.6E-2</v>
      </c>
    </row>
    <row r="19" spans="1:15" ht="19.5" thickBot="1">
      <c r="A19" s="33"/>
      <c r="B19" s="14" t="s">
        <v>30</v>
      </c>
      <c r="C19" s="34"/>
      <c r="D19" s="34"/>
      <c r="E19" s="16">
        <f>SUM(E3:E17)</f>
        <v>100</v>
      </c>
      <c r="F19" s="16">
        <f t="shared" ref="F19:L19" si="8">SUM(F3:F17)</f>
        <v>1353300</v>
      </c>
      <c r="G19" s="16">
        <f t="shared" si="8"/>
        <v>169970</v>
      </c>
      <c r="H19" s="16"/>
      <c r="I19" s="16">
        <f t="shared" si="8"/>
        <v>66000</v>
      </c>
      <c r="J19" s="16">
        <f t="shared" si="8"/>
        <v>37397</v>
      </c>
      <c r="K19" s="16">
        <f t="shared" si="8"/>
        <v>1626667</v>
      </c>
      <c r="L19" s="22"/>
      <c r="N19" t="s">
        <v>223</v>
      </c>
      <c r="O19" s="2">
        <v>1.2999999999999999E-2</v>
      </c>
    </row>
    <row r="21" spans="1:15" ht="19.5" thickBot="1">
      <c r="A21" s="44" t="s">
        <v>237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</row>
    <row r="22" spans="1:15">
      <c r="A22" s="8" t="s">
        <v>32</v>
      </c>
      <c r="B22" s="9" t="s">
        <v>196</v>
      </c>
      <c r="C22" s="9" t="s">
        <v>197</v>
      </c>
      <c r="D22" s="9" t="s">
        <v>198</v>
      </c>
      <c r="E22" s="9" t="s">
        <v>199</v>
      </c>
      <c r="F22" s="9" t="s">
        <v>200</v>
      </c>
      <c r="G22" s="9" t="s">
        <v>201</v>
      </c>
      <c r="H22" s="9" t="s">
        <v>202</v>
      </c>
      <c r="I22" s="9" t="s">
        <v>203</v>
      </c>
      <c r="J22" s="9" t="s">
        <v>204</v>
      </c>
      <c r="K22" s="9" t="s">
        <v>11</v>
      </c>
      <c r="L22" s="10" t="s">
        <v>205</v>
      </c>
    </row>
    <row r="23" spans="1:15">
      <c r="A23" s="31" t="s">
        <v>206</v>
      </c>
      <c r="B23" s="32" t="s">
        <v>211</v>
      </c>
      <c r="C23" s="32">
        <v>13</v>
      </c>
      <c r="D23" s="32" t="s">
        <v>226</v>
      </c>
      <c r="E23" s="32">
        <v>6</v>
      </c>
      <c r="F23" s="5">
        <v>122580</v>
      </c>
      <c r="G23" s="5">
        <v>11770</v>
      </c>
      <c r="H23" s="32">
        <v>2</v>
      </c>
      <c r="I23" s="5">
        <v>5000</v>
      </c>
      <c r="J23" s="5">
        <v>3091</v>
      </c>
      <c r="K23" s="7">
        <v>142441</v>
      </c>
      <c r="L23" s="21">
        <v>2800</v>
      </c>
    </row>
    <row r="24" spans="1:15">
      <c r="A24" s="31" t="s">
        <v>206</v>
      </c>
      <c r="B24" s="32" t="s">
        <v>211</v>
      </c>
      <c r="C24" s="32">
        <v>12</v>
      </c>
      <c r="D24" s="32" t="s">
        <v>229</v>
      </c>
      <c r="E24" s="32">
        <v>6</v>
      </c>
      <c r="F24" s="5">
        <v>122580</v>
      </c>
      <c r="G24" s="5">
        <v>11770</v>
      </c>
      <c r="H24" s="32">
        <v>1</v>
      </c>
      <c r="I24" s="5">
        <v>3500</v>
      </c>
      <c r="J24" s="5">
        <v>3091</v>
      </c>
      <c r="K24" s="7">
        <v>140941</v>
      </c>
      <c r="L24" s="21">
        <v>2700</v>
      </c>
    </row>
    <row r="25" spans="1:15">
      <c r="A25" s="31" t="s">
        <v>206</v>
      </c>
      <c r="B25" s="32" t="s">
        <v>211</v>
      </c>
      <c r="C25" s="32">
        <v>11</v>
      </c>
      <c r="D25" s="32" t="s">
        <v>224</v>
      </c>
      <c r="E25" s="32">
        <v>6</v>
      </c>
      <c r="F25" s="5">
        <v>122580</v>
      </c>
      <c r="G25" s="5">
        <v>11770</v>
      </c>
      <c r="H25" s="32">
        <v>0</v>
      </c>
      <c r="I25" s="5">
        <v>2000</v>
      </c>
      <c r="J25" s="5">
        <v>3091</v>
      </c>
      <c r="K25" s="7">
        <v>139441</v>
      </c>
      <c r="L25" s="21">
        <v>2700</v>
      </c>
    </row>
    <row r="26" spans="1:15">
      <c r="A26" s="31" t="s">
        <v>209</v>
      </c>
      <c r="B26" s="32" t="s">
        <v>215</v>
      </c>
      <c r="C26" s="32">
        <v>24</v>
      </c>
      <c r="D26" s="32" t="s">
        <v>227</v>
      </c>
      <c r="E26" s="32">
        <v>8</v>
      </c>
      <c r="F26" s="5">
        <v>78410</v>
      </c>
      <c r="G26" s="5">
        <v>22580</v>
      </c>
      <c r="H26" s="32">
        <v>1</v>
      </c>
      <c r="I26" s="5">
        <v>3500</v>
      </c>
      <c r="J26" s="5">
        <v>2727</v>
      </c>
      <c r="K26" s="7">
        <v>107217</v>
      </c>
      <c r="L26" s="21">
        <v>2100</v>
      </c>
    </row>
    <row r="27" spans="1:15">
      <c r="A27" s="31" t="s">
        <v>210</v>
      </c>
      <c r="B27" s="32" t="s">
        <v>217</v>
      </c>
      <c r="C27" s="32">
        <v>22</v>
      </c>
      <c r="D27" s="32" t="s">
        <v>225</v>
      </c>
      <c r="E27" s="32">
        <v>8</v>
      </c>
      <c r="F27" s="5">
        <v>78410</v>
      </c>
      <c r="G27" s="5">
        <v>22580</v>
      </c>
      <c r="H27" s="32">
        <v>0</v>
      </c>
      <c r="I27" s="5">
        <v>2000</v>
      </c>
      <c r="J27" s="5">
        <v>2727</v>
      </c>
      <c r="K27" s="7">
        <v>105717</v>
      </c>
      <c r="L27" s="21">
        <v>1700</v>
      </c>
    </row>
    <row r="28" spans="1:15">
      <c r="A28" s="31" t="s">
        <v>210</v>
      </c>
      <c r="B28" s="32" t="s">
        <v>217</v>
      </c>
      <c r="C28" s="32">
        <v>25</v>
      </c>
      <c r="D28" s="32" t="s">
        <v>228</v>
      </c>
      <c r="E28" s="32">
        <v>7</v>
      </c>
      <c r="F28" s="5">
        <v>78410</v>
      </c>
      <c r="G28" s="5">
        <v>15050</v>
      </c>
      <c r="H28" s="32">
        <v>2</v>
      </c>
      <c r="I28" s="5">
        <v>5000</v>
      </c>
      <c r="J28" s="5">
        <v>2524</v>
      </c>
      <c r="K28" s="7">
        <v>100984</v>
      </c>
      <c r="L28" s="21">
        <v>1700</v>
      </c>
    </row>
    <row r="29" spans="1:15">
      <c r="A29" s="3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12"/>
    </row>
    <row r="30" spans="1:15" ht="19.5" thickBot="1">
      <c r="A30" s="33"/>
      <c r="B30" s="14" t="s">
        <v>30</v>
      </c>
      <c r="C30" s="34"/>
      <c r="D30" s="34"/>
      <c r="E30" s="16">
        <f>SUM(E23:E28)</f>
        <v>41</v>
      </c>
      <c r="F30" s="16">
        <f t="shared" ref="F30:K30" si="9">SUM(F23:F28)</f>
        <v>602970</v>
      </c>
      <c r="G30" s="16">
        <f t="shared" si="9"/>
        <v>95520</v>
      </c>
      <c r="H30" s="16">
        <f t="shared" si="9"/>
        <v>6</v>
      </c>
      <c r="I30" s="16">
        <f t="shared" si="9"/>
        <v>21000</v>
      </c>
      <c r="J30" s="16">
        <f t="shared" si="9"/>
        <v>17251</v>
      </c>
      <c r="K30" s="16">
        <f t="shared" si="9"/>
        <v>736741</v>
      </c>
      <c r="L30" s="22"/>
    </row>
    <row r="32" spans="1:15" ht="19.5" thickBot="1">
      <c r="A32" s="54" t="s">
        <v>230</v>
      </c>
      <c r="B32" s="54"/>
      <c r="C32" s="54"/>
      <c r="D32" s="54"/>
    </row>
    <row r="33" spans="1:13">
      <c r="A33" s="8" t="s">
        <v>196</v>
      </c>
      <c r="B33" s="9" t="s">
        <v>200</v>
      </c>
      <c r="C33" s="9" t="s">
        <v>201</v>
      </c>
      <c r="D33" s="10" t="s">
        <v>11</v>
      </c>
      <c r="F33" s="9" t="s">
        <v>196</v>
      </c>
      <c r="G33" s="9" t="s">
        <v>196</v>
      </c>
      <c r="H33" s="9" t="s">
        <v>196</v>
      </c>
      <c r="I33" s="9" t="s">
        <v>196</v>
      </c>
      <c r="J33" s="9" t="s">
        <v>196</v>
      </c>
      <c r="L33" s="9" t="s">
        <v>197</v>
      </c>
      <c r="M33" s="9" t="s">
        <v>197</v>
      </c>
    </row>
    <row r="34" spans="1:13" ht="19.5" thickBot="1">
      <c r="A34" s="31" t="s">
        <v>212</v>
      </c>
      <c r="B34" s="5">
        <f>DSUM(yang5,B$33,$F$33:$F$34)</f>
        <v>367740</v>
      </c>
      <c r="C34" s="5">
        <f>DSUM(yang5,C$33,$F$33:$F$34)</f>
        <v>35310</v>
      </c>
      <c r="D34" s="21">
        <f>DSUM(yang5,D$33,$F$33:$F$34)</f>
        <v>422823</v>
      </c>
      <c r="F34" t="s">
        <v>212</v>
      </c>
      <c r="G34" t="s">
        <v>213</v>
      </c>
      <c r="H34" t="s">
        <v>214</v>
      </c>
      <c r="I34" t="s">
        <v>216</v>
      </c>
      <c r="J34" t="s">
        <v>218</v>
      </c>
      <c r="L34" t="s">
        <v>233</v>
      </c>
      <c r="M34" t="s">
        <v>238</v>
      </c>
    </row>
    <row r="35" spans="1:13">
      <c r="A35" s="31" t="s">
        <v>213</v>
      </c>
      <c r="B35" s="5">
        <f>DSUM(yang5,B$33,$G$33:$G$34)</f>
        <v>367740</v>
      </c>
      <c r="C35" s="5">
        <f>DSUM(yang5,C$33,$G$33:$G$34)</f>
        <v>0</v>
      </c>
      <c r="D35" s="21">
        <f>DSUM(yang5,D$33,$G$33:$G$34)</f>
        <v>388200</v>
      </c>
      <c r="L35" s="9" t="s">
        <v>199</v>
      </c>
      <c r="M35" s="9" t="s">
        <v>199</v>
      </c>
    </row>
    <row r="36" spans="1:13" ht="19.5" thickBot="1">
      <c r="A36" s="31" t="s">
        <v>214</v>
      </c>
      <c r="B36" s="5">
        <f>DSUM(yang5,B$33,$H$33:$H$34)</f>
        <v>147360</v>
      </c>
      <c r="C36" s="5">
        <f>DSUM(yang5,C$33,$H$33:$H$34)</f>
        <v>51870</v>
      </c>
      <c r="D36" s="21">
        <f>DSUM(yang5,D$33,$H$33:$H$34)</f>
        <v>222611</v>
      </c>
      <c r="L36" t="s">
        <v>231</v>
      </c>
      <c r="M36" t="s">
        <v>67</v>
      </c>
    </row>
    <row r="37" spans="1:13">
      <c r="A37" s="31" t="s">
        <v>216</v>
      </c>
      <c r="B37" s="5">
        <f>DSUM(yang5,B$33,$I$33:$I$34)</f>
        <v>235230</v>
      </c>
      <c r="C37" s="5">
        <f>DSUM(yang5,C$33,$I$33:$I$34)</f>
        <v>45160</v>
      </c>
      <c r="D37" s="21">
        <f>DSUM(yang5,D$33,$I$33:$I$34)</f>
        <v>299618</v>
      </c>
      <c r="L37" s="9" t="s">
        <v>203</v>
      </c>
    </row>
    <row r="38" spans="1:13" ht="19.5" thickBot="1">
      <c r="A38" s="33" t="s">
        <v>218</v>
      </c>
      <c r="B38" s="16">
        <f>DSUM(yang5,B$33,$J$33:$J$34)</f>
        <v>235230</v>
      </c>
      <c r="C38" s="16">
        <f>DSUM(yang5,C$33,$J$33:$J$34)</f>
        <v>37630</v>
      </c>
      <c r="D38" s="22">
        <f>DSUM(yang5,D$33,$J$33:$J$34)</f>
        <v>293415</v>
      </c>
      <c r="L38" t="s">
        <v>232</v>
      </c>
    </row>
    <row r="39" spans="1:13" ht="19.5" thickBot="1"/>
    <row r="40" spans="1:13">
      <c r="A40" s="57" t="s">
        <v>234</v>
      </c>
      <c r="B40" s="58"/>
      <c r="C40" s="58"/>
      <c r="D40" s="59"/>
      <c r="E40" s="24">
        <f>DSUM(yang5,11,L33:M34)</f>
        <v>593033</v>
      </c>
    </row>
    <row r="41" spans="1:13">
      <c r="A41" s="60" t="s">
        <v>235</v>
      </c>
      <c r="B41" s="61"/>
      <c r="C41" s="61"/>
      <c r="D41" s="62"/>
      <c r="E41" s="21">
        <f>ROUND(DAVERAGE(yang5,10,L35:M36),0)</f>
        <v>2716</v>
      </c>
    </row>
    <row r="42" spans="1:13" ht="19.5" thickBot="1">
      <c r="A42" s="63" t="s">
        <v>236</v>
      </c>
      <c r="B42" s="64"/>
      <c r="C42" s="64"/>
      <c r="D42" s="65"/>
      <c r="E42" s="22">
        <f>DMAX(yang5,11,L37:L38)</f>
        <v>142441</v>
      </c>
    </row>
  </sheetData>
  <sortState ref="A23:L28">
    <sortCondition descending="1" ref="K22"/>
  </sortState>
  <mergeCells count="6">
    <mergeCell ref="A40:D40"/>
    <mergeCell ref="A41:D41"/>
    <mergeCell ref="A42:D42"/>
    <mergeCell ref="A1:L1"/>
    <mergeCell ref="A21:L21"/>
    <mergeCell ref="A32:D32"/>
  </mergeCells>
  <phoneticPr fontId="2"/>
  <pageMargins left="0.25" right="0.25" top="0.75" bottom="0.75" header="0.3" footer="0.3"/>
  <pageSetup paperSize="9" scale="58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7</vt:i4>
      </vt:variant>
    </vt:vector>
  </HeadingPairs>
  <TitlesOfParts>
    <vt:vector size="15" baseType="lpstr">
      <vt:lpstr>Sheet1</vt:lpstr>
      <vt:lpstr>1-3</vt:lpstr>
      <vt:lpstr>1-6</vt:lpstr>
      <vt:lpstr>1-8</vt:lpstr>
      <vt:lpstr>1-10</vt:lpstr>
      <vt:lpstr>Sheet2</vt:lpstr>
      <vt:lpstr>steam</vt:lpstr>
      <vt:lpstr>1-5</vt:lpstr>
      <vt:lpstr>aa</vt:lpstr>
      <vt:lpstr>bb</vt:lpstr>
      <vt:lpstr>ee</vt:lpstr>
      <vt:lpstr>yang1</vt:lpstr>
      <vt:lpstr>yang5</vt:lpstr>
      <vt:lpstr>yang8</vt:lpstr>
      <vt:lpstr>主張諸手当計算表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seito</dc:creator>
  <cp:lastModifiedBy>seito</cp:lastModifiedBy>
  <cp:lastPrinted>2024-07-12T07:12:05Z</cp:lastPrinted>
  <dcterms:created xsi:type="dcterms:W3CDTF">2015-06-05T18:19:34Z</dcterms:created>
  <dcterms:modified xsi:type="dcterms:W3CDTF">2024-07-12T07:20:49Z</dcterms:modified>
</cp:coreProperties>
</file>