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00" firstSheet="9" activeTab="17"/>
  </bookViews>
  <sheets>
    <sheet name="1-1" sheetId="1" r:id="rId1"/>
    <sheet name="1-1 (数式)" sheetId="9" r:id="rId2"/>
    <sheet name="1-2" sheetId="2" r:id="rId3"/>
    <sheet name="1-2 (数式)" sheetId="10" r:id="rId4"/>
    <sheet name="1-3" sheetId="3" r:id="rId5"/>
    <sheet name="1-3 (数式)" sheetId="11" r:id="rId6"/>
    <sheet name="1-4" sheetId="4" r:id="rId7"/>
    <sheet name="1-4 (数式)" sheetId="12" r:id="rId8"/>
    <sheet name="1-5" sheetId="5" r:id="rId9"/>
    <sheet name="1-5 (数式)" sheetId="13" r:id="rId10"/>
    <sheet name="1-6" sheetId="7" r:id="rId11"/>
    <sheet name="1-6 (数式)" sheetId="14" r:id="rId12"/>
    <sheet name="1-7" sheetId="15" r:id="rId13"/>
    <sheet name="1-7 (数式)" sheetId="16" r:id="rId14"/>
    <sheet name="1-8" sheetId="17" r:id="rId15"/>
    <sheet name="1-9" sheetId="18" r:id="rId16"/>
    <sheet name="1-10" sheetId="19" r:id="rId17"/>
    <sheet name="1-11" sheetId="20" r:id="rId18"/>
  </sheets>
  <definedNames>
    <definedName name="_xlnm._FilterDatabase" localSheetId="0" hidden="1">'1-1'!$A$2:$L$11</definedName>
    <definedName name="_xlnm._FilterDatabase" localSheetId="1" hidden="1">'1-1 (数式)'!$A$2:$L$11</definedName>
    <definedName name="_xlnm._FilterDatabase" localSheetId="2" hidden="1">'1-2'!$A$2:$L$18</definedName>
    <definedName name="_xlnm._FilterDatabase" localSheetId="3" hidden="1">'1-2 (数式)'!$A$2:$L$18</definedName>
    <definedName name="_xlnm._FilterDatabase" localSheetId="4" hidden="1">'1-3'!$A$2:$L$18</definedName>
    <definedName name="_xlnm._FilterDatabase" localSheetId="5" hidden="1">'1-3 (数式)'!$A$2:$L$18</definedName>
    <definedName name="_xlnm._FilterDatabase" localSheetId="6" hidden="1">'1-4'!$A$2:$M$18</definedName>
    <definedName name="_xlnm._FilterDatabase" localSheetId="7" hidden="1">'1-4 (数式)'!$A$2:$M$18</definedName>
    <definedName name="_xlnm._FilterDatabase" localSheetId="8" hidden="1">'1-5'!$A$2:$M$14</definedName>
    <definedName name="_xlnm._FilterDatabase" localSheetId="9" hidden="1">'1-5 (数式)'!$A$2:$M$14</definedName>
    <definedName name="_xlnm._FilterDatabase" localSheetId="10" hidden="1">'1-6'!$A$2:$L$14</definedName>
    <definedName name="_xlnm._FilterDatabase" localSheetId="11" hidden="1">'1-6 (数式)'!$A$2:$L$14</definedName>
    <definedName name="_xlnm._FilterDatabase" localSheetId="12" hidden="1">'1-7'!$A$2:$M$17</definedName>
    <definedName name="_xlnm._FilterDatabase" localSheetId="13" hidden="1">'1-7 (数式)'!$A$2:$M$17</definedName>
    <definedName name="_xlnm._FilterDatabase" localSheetId="14" hidden="1">'1-8'!$A$1:$M$18</definedName>
    <definedName name="委託販売一覧表2" localSheetId="3">'1-2 (数式)'!$A$2:$L$18</definedName>
    <definedName name="委託販売一覧表2">'1-2'!$A$2:$L$18</definedName>
    <definedName name="加工賃支払額一覧表6" localSheetId="11">'1-6 (数式)'!$A$2:$L$14</definedName>
    <definedName name="加工賃支払額一覧表6">'1-6'!$A$2:$L$14</definedName>
    <definedName name="株式損益額計算表7" localSheetId="13">'1-7 (数式)'!$A$2:$M$17</definedName>
    <definedName name="株式損益額計算表7">'1-7'!$A$2:$M$17</definedName>
    <definedName name="支店別販売一覧表4" localSheetId="7">'1-4 (数式)'!$A$2:$M$18</definedName>
    <definedName name="支店別販売一覧表4">'1-4'!$A$2:$M$18</definedName>
    <definedName name="社員別給料計算表5" localSheetId="9">'1-5 (数式)'!$A$2:$L$14</definedName>
    <definedName name="社員別給料計算表5">'1-5'!$A$2:$L$14</definedName>
    <definedName name="社員別賃金一覧表1" localSheetId="1">'1-1 (数式)'!$A$2:$L$11</definedName>
    <definedName name="社員別賃金一覧表1">'1-1'!$A$2:$L$11</definedName>
    <definedName name="請求額一覧表8">'1-8'!$A$2:$M$18</definedName>
    <definedName name="得意先別売上一覧表3" localSheetId="5">'1-3 (数式)'!$A$2:$L$18</definedName>
    <definedName name="得意先別売上一覧表3">'1-3'!$A$2:$L$18</definedName>
    <definedName name="_xlnm._FilterDatabase" localSheetId="15" hidden="1">'1-9'!$A$2:$L$14</definedName>
    <definedName name="出張諸手当一覧表9">'1-9'!$A$2:$L$14</definedName>
    <definedName name="_xlnm._FilterDatabase" localSheetId="16" hidden="1">'1-10'!$A$2:$L$18</definedName>
    <definedName name="輸入品仕入一覧表10">'1-10'!$A$2:$L$18</definedName>
    <definedName name="_xlnm._FilterDatabase" localSheetId="17" hidden="1">'1-11'!$A$2:$M$18</definedName>
    <definedName name="貸出料金計算表11">'1-11'!$A$2:$M$18</definedName>
  </definedNames>
  <calcPr calcId="144525"/>
</workbook>
</file>

<file path=xl/sharedStrings.xml><?xml version="1.0" encoding="utf-8"?>
<sst xmlns="http://schemas.openxmlformats.org/spreadsheetml/2006/main" count="1934" uniqueCount="386">
  <si>
    <t>社員別賃金一覧表</t>
  </si>
  <si>
    <t>ＣＯ</t>
  </si>
  <si>
    <t>社員名</t>
  </si>
  <si>
    <t>チーム名</t>
  </si>
  <si>
    <t>契約数</t>
  </si>
  <si>
    <t>契約額(千)</t>
  </si>
  <si>
    <t>査定A</t>
  </si>
  <si>
    <t>査定B</t>
  </si>
  <si>
    <t>基本賃金</t>
  </si>
  <si>
    <t>勤勉手当</t>
  </si>
  <si>
    <t>営業手当</t>
  </si>
  <si>
    <t>総支給額</t>
  </si>
  <si>
    <t>評価</t>
  </si>
  <si>
    <t>チーム表</t>
  </si>
  <si>
    <t>内藤　信也</t>
  </si>
  <si>
    <t>チーム</t>
  </si>
  <si>
    <t>松島　清子</t>
  </si>
  <si>
    <t>営業A</t>
  </si>
  <si>
    <t>堀　さゆり</t>
  </si>
  <si>
    <t>営業B</t>
  </si>
  <si>
    <t>渡辺　大地</t>
  </si>
  <si>
    <t>営業C</t>
  </si>
  <si>
    <t>久保山　新</t>
  </si>
  <si>
    <t>大石　ミサ</t>
  </si>
  <si>
    <t>目標テーブル</t>
  </si>
  <si>
    <t>中村　一郎</t>
  </si>
  <si>
    <t>目標数</t>
  </si>
  <si>
    <t>長山　英美</t>
  </si>
  <si>
    <t>目標額(千)</t>
  </si>
  <si>
    <t>小早川　哲</t>
  </si>
  <si>
    <t>単価X表</t>
  </si>
  <si>
    <t>合計</t>
  </si>
  <si>
    <t>単価X</t>
  </si>
  <si>
    <t>社員別賃金一覧表（契約数370以上・総支給額20万円未満）</t>
  </si>
  <si>
    <t>営業Cチーム</t>
  </si>
  <si>
    <t/>
  </si>
  <si>
    <t>営業Aチーム</t>
  </si>
  <si>
    <t>単価Y表</t>
  </si>
  <si>
    <t>営業Bチーム</t>
  </si>
  <si>
    <t>*</t>
  </si>
  <si>
    <t>単価Y</t>
  </si>
  <si>
    <t>営業手当の計算式</t>
  </si>
  <si>
    <t>チーム別集計表</t>
  </si>
  <si>
    <t>査定Aが100より多く110より少ない総支給額の合計</t>
  </si>
  <si>
    <t>営業Bチーム以外で基本賃金が14万円以上の件数</t>
  </si>
  <si>
    <t>査定Bが100以上の勤勉手当の最大</t>
  </si>
  <si>
    <t>&gt;100</t>
  </si>
  <si>
    <t>&lt;110</t>
  </si>
  <si>
    <t>&lt;&gt;営業Bチーム</t>
  </si>
  <si>
    <t>&gt;=140000</t>
  </si>
  <si>
    <t>&gt;=100</t>
  </si>
  <si>
    <t>委託販売一覧表</t>
  </si>
  <si>
    <t>委ＣＯ</t>
  </si>
  <si>
    <t>委託先名</t>
  </si>
  <si>
    <t>商ＣＯ</t>
  </si>
  <si>
    <t>商品名</t>
  </si>
  <si>
    <t>売価</t>
  </si>
  <si>
    <t>委託数</t>
  </si>
  <si>
    <t>販売数</t>
  </si>
  <si>
    <t>販売額</t>
  </si>
  <si>
    <t>乗率</t>
  </si>
  <si>
    <t>手数料</t>
  </si>
  <si>
    <t>奨励金</t>
  </si>
  <si>
    <t>判定</t>
  </si>
  <si>
    <t>11Y</t>
  </si>
  <si>
    <t>北陸商事</t>
  </si>
  <si>
    <t>12Z</t>
  </si>
  <si>
    <t>大川電機</t>
  </si>
  <si>
    <t>13X</t>
  </si>
  <si>
    <t>佐藤企画</t>
  </si>
  <si>
    <t>14Y</t>
  </si>
  <si>
    <t>明光電化</t>
  </si>
  <si>
    <t>定価</t>
  </si>
  <si>
    <t>商品A</t>
  </si>
  <si>
    <t>商品B</t>
  </si>
  <si>
    <t>商品C</t>
  </si>
  <si>
    <t>商品D</t>
  </si>
  <si>
    <t>区分</t>
  </si>
  <si>
    <t>X</t>
  </si>
  <si>
    <t>Y</t>
  </si>
  <si>
    <t>Z</t>
  </si>
  <si>
    <t>委託販売一覧表（販売数190未満・奨励金6,500円以上）</t>
  </si>
  <si>
    <t>**</t>
  </si>
  <si>
    <t>商品別集計表</t>
  </si>
  <si>
    <t>&gt;130</t>
  </si>
  <si>
    <t>&lt;210</t>
  </si>
  <si>
    <t>&gt;=55000</t>
  </si>
  <si>
    <t>委託数が130より多く210より少ない奨励金の合計</t>
  </si>
  <si>
    <t>販売数が210未満で手数料が55,000円以上の件数</t>
  </si>
  <si>
    <t>商ＣＯが103以外で販売額が40万円以上の手数料の平均</t>
  </si>
  <si>
    <t>&lt;&gt;103</t>
  </si>
  <si>
    <t>&gt;=400000</t>
  </si>
  <si>
    <t>得意先別売上一覧表</t>
  </si>
  <si>
    <t>得ＣＯ</t>
  </si>
  <si>
    <t>得意先名</t>
  </si>
  <si>
    <t>売上数</t>
  </si>
  <si>
    <t>金額</t>
  </si>
  <si>
    <t>値引率</t>
  </si>
  <si>
    <t>値引額</t>
  </si>
  <si>
    <t>売上額</t>
  </si>
  <si>
    <t>増量数</t>
  </si>
  <si>
    <t>E11</t>
  </si>
  <si>
    <t>ＪＫマート</t>
  </si>
  <si>
    <t>E12</t>
  </si>
  <si>
    <t>共栄百貨店</t>
  </si>
  <si>
    <t>F11</t>
  </si>
  <si>
    <t>長谷川商店</t>
  </si>
  <si>
    <t>F12</t>
  </si>
  <si>
    <t>新鮮ストア</t>
  </si>
  <si>
    <t>原価</t>
  </si>
  <si>
    <t>P商品</t>
  </si>
  <si>
    <t>Q商品</t>
  </si>
  <si>
    <t>R商品</t>
  </si>
  <si>
    <t>S商品</t>
  </si>
  <si>
    <t>E</t>
  </si>
  <si>
    <t>F</t>
  </si>
  <si>
    <t>得意先別売上一覧表（売上数610未満・値引額50,000円以上）</t>
  </si>
  <si>
    <t>***</t>
  </si>
  <si>
    <t>&gt;570</t>
  </si>
  <si>
    <t>&lt;&gt;R商品</t>
  </si>
  <si>
    <t>&lt;700000</t>
  </si>
  <si>
    <t>売上数が570より多い売上額の平均</t>
  </si>
  <si>
    <t>R商品以外で金額が70万円未満の件数</t>
  </si>
  <si>
    <t>増量数が19以上28未満の値引額の合計</t>
  </si>
  <si>
    <t>&gt;=19</t>
  </si>
  <si>
    <t>&lt;28</t>
  </si>
  <si>
    <t>支店別販売一覧表</t>
  </si>
  <si>
    <t>支ＣＯ</t>
  </si>
  <si>
    <t>支店名</t>
  </si>
  <si>
    <t>平均売価</t>
  </si>
  <si>
    <t>利益額</t>
  </si>
  <si>
    <t>達成率</t>
  </si>
  <si>
    <t>利益率</t>
  </si>
  <si>
    <t>１人当販売額</t>
  </si>
  <si>
    <t>支店</t>
  </si>
  <si>
    <t>社員数</t>
  </si>
  <si>
    <t>新宿</t>
  </si>
  <si>
    <t>池袋</t>
  </si>
  <si>
    <t>銀座</t>
  </si>
  <si>
    <t>渋谷</t>
  </si>
  <si>
    <t>商品J</t>
  </si>
  <si>
    <t>商品K</t>
  </si>
  <si>
    <t>商品L</t>
  </si>
  <si>
    <t>商品M</t>
  </si>
  <si>
    <t>支店別販売一覧表（平均売価2,400円以上・利益率18.0%以下）</t>
  </si>
  <si>
    <t>銀座支店</t>
  </si>
  <si>
    <t>順調</t>
  </si>
  <si>
    <t>新宿支店</t>
  </si>
  <si>
    <t>池袋支店</t>
  </si>
  <si>
    <t>支店別集計表</t>
  </si>
  <si>
    <t>渋谷支店</t>
  </si>
  <si>
    <t>&gt;=220</t>
  </si>
  <si>
    <t>&gt;=530000</t>
  </si>
  <si>
    <t>販売数が220以上で販売額が53万円以上の利益額の合計</t>
  </si>
  <si>
    <t>&lt;550000</t>
  </si>
  <si>
    <t>&lt;=19.0%</t>
  </si>
  <si>
    <t>販売額が55万円未満で利益率が19.0％以下の件数</t>
  </si>
  <si>
    <t>渋谷支店以外で達成率が104.0％以上の平均売価の最小</t>
  </si>
  <si>
    <t>&gt;=104%</t>
  </si>
  <si>
    <t>&lt;&gt;渋谷支店</t>
  </si>
  <si>
    <t>社員別給料計算表</t>
  </si>
  <si>
    <t>販売エリア名</t>
  </si>
  <si>
    <t>等級</t>
  </si>
  <si>
    <t>基本給</t>
  </si>
  <si>
    <t>販売手当</t>
  </si>
  <si>
    <t>支給総額</t>
  </si>
  <si>
    <t>小林　信夫</t>
  </si>
  <si>
    <t>G</t>
  </si>
  <si>
    <t>販売エリア</t>
  </si>
  <si>
    <t>坂本　里美</t>
  </si>
  <si>
    <t>東北</t>
  </si>
  <si>
    <t>南　ひろみ</t>
  </si>
  <si>
    <t>H</t>
  </si>
  <si>
    <t>関東</t>
  </si>
  <si>
    <t>大西　三郎</t>
  </si>
  <si>
    <t>中部</t>
  </si>
  <si>
    <t>山田　洋子</t>
  </si>
  <si>
    <t>関西</t>
  </si>
  <si>
    <t>長谷川　勇</t>
  </si>
  <si>
    <t>中野　雄一</t>
  </si>
  <si>
    <t>水口　美鈴</t>
  </si>
  <si>
    <t>荒木　輝政</t>
  </si>
  <si>
    <t>渡辺　明代</t>
  </si>
  <si>
    <t>井上　公平</t>
  </si>
  <si>
    <t>森　麻衣子</t>
  </si>
  <si>
    <t>販売手当単価</t>
  </si>
  <si>
    <t>勤勉手当単価</t>
  </si>
  <si>
    <t>社員別給料計算表（等級Ｇ以外・支給総額３０万円以上）</t>
  </si>
  <si>
    <t>100.0%未満</t>
  </si>
  <si>
    <t>100.0%以上</t>
  </si>
  <si>
    <t>関西エリア</t>
  </si>
  <si>
    <t>****</t>
  </si>
  <si>
    <t>関東エリア</t>
  </si>
  <si>
    <t>中部エリア</t>
  </si>
  <si>
    <t>東北エリア</t>
  </si>
  <si>
    <t>販売エリア別集計表</t>
  </si>
  <si>
    <t>&gt;=760</t>
  </si>
  <si>
    <t>&lt;=100.0%</t>
  </si>
  <si>
    <t>目標数が760以上で達成率100.0%以下の件数</t>
  </si>
  <si>
    <t>&gt;=820</t>
  </si>
  <si>
    <t>等級がFまたは目標数が820以上の奨励金の平均</t>
  </si>
  <si>
    <t>販売数が790より多い販売手当の最小</t>
  </si>
  <si>
    <t>&gt;790</t>
  </si>
  <si>
    <t>加工賃支払額一覧表</t>
  </si>
  <si>
    <t>発ＣＯ</t>
  </si>
  <si>
    <t>発注先名</t>
  </si>
  <si>
    <t>製ＣＯ</t>
  </si>
  <si>
    <t>製品名</t>
  </si>
  <si>
    <t>発注数</t>
  </si>
  <si>
    <t>完成数</t>
  </si>
  <si>
    <t>完成指数</t>
  </si>
  <si>
    <t>加工賃</t>
  </si>
  <si>
    <t>割増加工賃</t>
  </si>
  <si>
    <t>諸経費</t>
  </si>
  <si>
    <t>支払額</t>
  </si>
  <si>
    <t>101W</t>
  </si>
  <si>
    <t>森山精密</t>
  </si>
  <si>
    <t>102X</t>
  </si>
  <si>
    <t>マノ電工</t>
  </si>
  <si>
    <t>103V</t>
  </si>
  <si>
    <t>関東工業</t>
  </si>
  <si>
    <t>104X</t>
  </si>
  <si>
    <t>井上電機</t>
  </si>
  <si>
    <t>製品</t>
  </si>
  <si>
    <t>加工単価</t>
  </si>
  <si>
    <t>割増単価</t>
  </si>
  <si>
    <t>S</t>
  </si>
  <si>
    <t>T</t>
  </si>
  <si>
    <t>U</t>
  </si>
  <si>
    <t>V</t>
  </si>
  <si>
    <t>W</t>
  </si>
  <si>
    <t>加工賃支払額一覧表（発注数1,900以上2,300以下）</t>
  </si>
  <si>
    <t>S製品</t>
  </si>
  <si>
    <t>T製品</t>
  </si>
  <si>
    <t>U製品</t>
  </si>
  <si>
    <t>発注先別集計表</t>
  </si>
  <si>
    <t>&lt;&gt;T製品</t>
  </si>
  <si>
    <t>&gt;=98.0</t>
  </si>
  <si>
    <t>製品名がT製品以外の支払額の平均</t>
  </si>
  <si>
    <t>&gt;=3000</t>
  </si>
  <si>
    <t>完成指数が98.0以上または割増加工賃が3,000円以上の件数</t>
  </si>
  <si>
    <t>発注先名が森山精密で発注数が2,100以下の加工賃の合計</t>
  </si>
  <si>
    <t>&lt;=2100</t>
  </si>
  <si>
    <t>株式損益額計算表</t>
  </si>
  <si>
    <t>顧ＣＯ</t>
  </si>
  <si>
    <t>顧客名</t>
  </si>
  <si>
    <t>銘ＣＯ</t>
  </si>
  <si>
    <t>銘柄名</t>
  </si>
  <si>
    <t>株数</t>
  </si>
  <si>
    <t>買株価</t>
  </si>
  <si>
    <t>買手数料</t>
  </si>
  <si>
    <t>売株価</t>
  </si>
  <si>
    <t>売手数料</t>
  </si>
  <si>
    <t>受取額</t>
  </si>
  <si>
    <t>損益額</t>
  </si>
  <si>
    <t>101B</t>
  </si>
  <si>
    <t>山田　一郎</t>
  </si>
  <si>
    <t>102C</t>
  </si>
  <si>
    <t>安藤　愛子</t>
  </si>
  <si>
    <t>103A</t>
  </si>
  <si>
    <t>長谷川　誠</t>
  </si>
  <si>
    <t>104C</t>
  </si>
  <si>
    <t>林　ありさ</t>
  </si>
  <si>
    <t>105A</t>
  </si>
  <si>
    <t>中村　英明</t>
  </si>
  <si>
    <t>朝日水産</t>
  </si>
  <si>
    <t>新栄製鉄</t>
  </si>
  <si>
    <t>中央工業</t>
  </si>
  <si>
    <t>東北商事</t>
  </si>
  <si>
    <t>大山銀行</t>
  </si>
  <si>
    <t>区別</t>
  </si>
  <si>
    <t>手数料率</t>
  </si>
  <si>
    <t>A</t>
  </si>
  <si>
    <t>B</t>
  </si>
  <si>
    <t>C</t>
  </si>
  <si>
    <t>株式損益額計算表（朝日水産以外・受取額300万円以上）</t>
  </si>
  <si>
    <t>顧客別集計表</t>
  </si>
  <si>
    <t>銘柄名が東北商事以外の損益額の合計</t>
  </si>
  <si>
    <t>&gt;4000</t>
  </si>
  <si>
    <t>&lt;=5000000</t>
  </si>
  <si>
    <t>株数が4,000より多く支払額が500万円以下の件数</t>
  </si>
  <si>
    <t>損益額が30,000円以上65,000円以下の受取額平均</t>
  </si>
  <si>
    <t>&gt;=30000</t>
  </si>
  <si>
    <t>&lt;=65000</t>
  </si>
  <si>
    <t>&lt;&gt;東北商事</t>
  </si>
  <si>
    <t>請求額一覧表</t>
  </si>
  <si>
    <t>年式</t>
  </si>
  <si>
    <t>請求額</t>
  </si>
  <si>
    <t>試供品数</t>
  </si>
  <si>
    <t>安藤カメラ</t>
  </si>
  <si>
    <t>電機の丸和</t>
  </si>
  <si>
    <t>光ショップ</t>
  </si>
  <si>
    <t>令和電気堂</t>
  </si>
  <si>
    <t>商品E</t>
  </si>
  <si>
    <t>商品F</t>
  </si>
  <si>
    <t>商品G</t>
  </si>
  <si>
    <t>1~599</t>
  </si>
  <si>
    <t>600~</t>
  </si>
  <si>
    <t>#</t>
  </si>
  <si>
    <t>##</t>
  </si>
  <si>
    <t>請求額一覧表（売上数560以上・値引額80000円未満）</t>
  </si>
  <si>
    <t>###</t>
  </si>
  <si>
    <t>####</t>
  </si>
  <si>
    <t>得意先別集計表</t>
  </si>
  <si>
    <t>&lt;710</t>
  </si>
  <si>
    <t>&lt;=1200000</t>
  </si>
  <si>
    <t>売上数が710未満で請求額が12万円以下の件数</t>
  </si>
  <si>
    <t>&gt;=1300000</t>
  </si>
  <si>
    <t>商品E以外で売上額が130万円以上の試供品数の合計</t>
  </si>
  <si>
    <t>試供品数が20より多く30より少ない値引額の最大</t>
  </si>
  <si>
    <t>&gt;20</t>
  </si>
  <si>
    <t>&lt;30</t>
  </si>
  <si>
    <t>出張諸手当一覧表</t>
  </si>
  <si>
    <t>出発日</t>
  </si>
  <si>
    <t>帰着日</t>
  </si>
  <si>
    <t>日数</t>
  </si>
  <si>
    <t>出張手当</t>
  </si>
  <si>
    <t>販売額(千)</t>
  </si>
  <si>
    <t>評定</t>
  </si>
  <si>
    <t>特別手当</t>
  </si>
  <si>
    <t>1~6</t>
  </si>
  <si>
    <t>7~10</t>
  </si>
  <si>
    <t>鈴木　英明</t>
  </si>
  <si>
    <t>加藤　愛奈</t>
  </si>
  <si>
    <t>田中　五郎</t>
  </si>
  <si>
    <t>森　美和子</t>
  </si>
  <si>
    <t>ß</t>
  </si>
  <si>
    <t>出張諸手当一覧表（販売数290未満・営業手当40,000円以上）</t>
  </si>
  <si>
    <t>社員別集計表</t>
  </si>
  <si>
    <t>&lt;9</t>
  </si>
  <si>
    <t>&gt;=240</t>
  </si>
  <si>
    <t>日数が9日未満で販売数が240以上の件数</t>
  </si>
  <si>
    <t>&gt;=70000</t>
  </si>
  <si>
    <t>総支給額が70,000以上の特別手当の平均</t>
  </si>
  <si>
    <t>ＣＯが102以外で評定が75以上の総支給額の合計</t>
  </si>
  <si>
    <t>&lt;&gt;102</t>
  </si>
  <si>
    <t>&gt;=75</t>
  </si>
  <si>
    <t>輸入品仕入一覧表</t>
  </si>
  <si>
    <t>決済日</t>
  </si>
  <si>
    <t>仕入数</t>
  </si>
  <si>
    <t>適用為替</t>
  </si>
  <si>
    <t>仕入額</t>
  </si>
  <si>
    <t>原価($)</t>
  </si>
  <si>
    <t>10番台</t>
  </si>
  <si>
    <t>20番台</t>
  </si>
  <si>
    <t>輸入品仕入一覧表（G商品以外・仕入数560未満）</t>
  </si>
  <si>
    <t>E商品</t>
  </si>
  <si>
    <t>H商品</t>
  </si>
  <si>
    <t>F商品</t>
  </si>
  <si>
    <t>G商品</t>
  </si>
  <si>
    <r>
      <rPr>
        <sz val="11"/>
        <color theme="1"/>
        <rFont val="Calibri"/>
        <charset val="134"/>
        <scheme val="minor"/>
      </rPr>
      <t>H</t>
    </r>
    <r>
      <rPr>
        <b/>
        <sz val="11"/>
        <color theme="1"/>
        <rFont val="Calibri"/>
        <charset val="134"/>
        <scheme val="minor"/>
      </rPr>
      <t>商品</t>
    </r>
  </si>
  <si>
    <t>&gt;=510</t>
  </si>
  <si>
    <t>&lt;630</t>
  </si>
  <si>
    <t>仕入数が510以上630未満の原価の平均</t>
  </si>
  <si>
    <t>&lt;=2000</t>
  </si>
  <si>
    <t>増量数が30未満で原価が2,000以下の件数</t>
  </si>
  <si>
    <t>仕入額が140万円以上で判定がB以外の値引額の合計</t>
  </si>
  <si>
    <t>&gt;=1400000</t>
  </si>
  <si>
    <t>貸出料金計算表</t>
  </si>
  <si>
    <t>貸ＣＯ</t>
  </si>
  <si>
    <t>貸出先名</t>
  </si>
  <si>
    <t>貸出日</t>
  </si>
  <si>
    <t>数量</t>
  </si>
  <si>
    <t>週単価</t>
  </si>
  <si>
    <t>追加単価</t>
  </si>
  <si>
    <t>貸出料金</t>
  </si>
  <si>
    <t>補償料</t>
  </si>
  <si>
    <t>割引額</t>
  </si>
  <si>
    <t>101A</t>
  </si>
  <si>
    <t>山田産業</t>
  </si>
  <si>
    <t>102B</t>
  </si>
  <si>
    <t>関西電工</t>
  </si>
  <si>
    <t>中部建設</t>
  </si>
  <si>
    <t>104B</t>
  </si>
  <si>
    <t>健康住宅</t>
  </si>
  <si>
    <t>商品H</t>
  </si>
  <si>
    <t>返却日</t>
  </si>
  <si>
    <t>割引率</t>
  </si>
  <si>
    <t>貸出料金計算表（中部建設以外・10日未満）</t>
  </si>
  <si>
    <t>&lt;12</t>
  </si>
  <si>
    <t>日数が12日未満で割引額が30,000円以上の件数</t>
  </si>
  <si>
    <t>&gt;=8</t>
  </si>
  <si>
    <t>&lt;=540000</t>
  </si>
  <si>
    <t>数量が8以上で貸出料金が54万円以下の請求額の合計</t>
  </si>
  <si>
    <t>商ＣＯが12以外の割引額の平均</t>
  </si>
  <si>
    <t>&lt;&gt;12</t>
  </si>
</sst>
</file>

<file path=xl/styles.xml><?xml version="1.0" encoding="utf-8"?>
<styleSheet xmlns="http://schemas.openxmlformats.org/spreadsheetml/2006/main">
  <numFmts count="9">
    <numFmt numFmtId="176" formatCode="0.0%"/>
    <numFmt numFmtId="177" formatCode="m/d;@"/>
    <numFmt numFmtId="178" formatCode="m&quot;月&quot;d&quot;日&quot;;@"/>
    <numFmt numFmtId="179" formatCode="0_);[Red]\(0\)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80" formatCode="#,##0.0;[Red]\-#,##0.0"/>
    <numFmt numFmtId="181" formatCode="#,##0_ "/>
    <numFmt numFmtId="43" formatCode="_-* #,##0.00_-;\-* #,##0.00_-;_-* &quot;-&quot;??_-;_-@_-"/>
  </numFmts>
  <fonts count="25">
    <font>
      <sz val="11"/>
      <color theme="1"/>
      <name val="Calibri"/>
      <charset val="134"/>
      <scheme val="minor"/>
    </font>
    <font>
      <sz val="11"/>
      <color theme="1"/>
      <name val="游ゴシック"/>
      <charset val="128"/>
    </font>
    <font>
      <sz val="11"/>
      <color rgb="FFFF0000"/>
      <name val="Calibri"/>
      <charset val="134"/>
      <scheme val="minor"/>
    </font>
    <font>
      <sz val="11"/>
      <color rgb="FFFF0000"/>
      <name val="Calibri"/>
      <charset val="128"/>
      <scheme val="minor"/>
    </font>
    <font>
      <sz val="11"/>
      <color theme="1"/>
      <name val="Calibri"/>
      <charset val="128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6" fillId="8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15" fillId="11" borderId="1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8" borderId="16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5" borderId="15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/>
    <xf numFmtId="181" fontId="0" fillId="0" borderId="4" xfId="0" applyNumberFormat="1" applyBorder="1"/>
    <xf numFmtId="181" fontId="0" fillId="0" borderId="8" xfId="0" applyNumberFormat="1" applyBorder="1"/>
    <xf numFmtId="0" fontId="0" fillId="0" borderId="5" xfId="0" applyBorder="1"/>
    <xf numFmtId="181" fontId="0" fillId="0" borderId="6" xfId="0" applyNumberFormat="1" applyBorder="1"/>
    <xf numFmtId="181" fontId="0" fillId="0" borderId="9" xfId="0" applyNumberFormat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178" fontId="0" fillId="0" borderId="4" xfId="0" applyNumberFormat="1" applyBorder="1"/>
    <xf numFmtId="181" fontId="0" fillId="0" borderId="4" xfId="0" applyNumberFormat="1" applyBorder="1"/>
    <xf numFmtId="181" fontId="0" fillId="0" borderId="6" xfId="0" applyNumberFormat="1" applyBorder="1"/>
    <xf numFmtId="0" fontId="0" fillId="0" borderId="4" xfId="0" applyBorder="1" applyAlignment="1">
      <alignment horizontal="center"/>
    </xf>
    <xf numFmtId="0" fontId="0" fillId="0" borderId="4" xfId="0" applyBorder="1"/>
    <xf numFmtId="181" fontId="0" fillId="0" borderId="7" xfId="0" applyNumberFormat="1" applyBorder="1"/>
    <xf numFmtId="181" fontId="0" fillId="0" borderId="8" xfId="0" applyNumberFormat="1" applyBorder="1"/>
    <xf numFmtId="181" fontId="0" fillId="0" borderId="9" xfId="0" applyNumberFormat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176" fontId="0" fillId="0" borderId="4" xfId="0" applyNumberFormat="1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78" fontId="0" fillId="0" borderId="3" xfId="0" applyNumberFormat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181" fontId="0" fillId="0" borderId="6" xfId="0" applyNumberFormat="1" applyBorder="1"/>
    <xf numFmtId="0" fontId="0" fillId="0" borderId="7" xfId="0" applyBorder="1" applyAlignment="1">
      <alignment horizontal="center"/>
    </xf>
    <xf numFmtId="181" fontId="0" fillId="0" borderId="4" xfId="0" applyNumberFormat="1" applyBorder="1"/>
    <xf numFmtId="181" fontId="0" fillId="0" borderId="8" xfId="0" applyNumberFormat="1" applyBorder="1"/>
    <xf numFmtId="0" fontId="0" fillId="0" borderId="5" xfId="0" applyFont="1" applyBorder="1"/>
    <xf numFmtId="181" fontId="0" fillId="0" borderId="9" xfId="0" applyNumberFormat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176" fontId="0" fillId="2" borderId="4" xfId="47" applyNumberFormat="1" applyFill="1" applyBorder="1" applyAlignment="1"/>
    <xf numFmtId="176" fontId="0" fillId="0" borderId="4" xfId="47" applyNumberFormat="1" applyFill="1" applyBorder="1" applyAlignment="1"/>
    <xf numFmtId="0" fontId="0" fillId="0" borderId="4" xfId="0" applyBorder="1" applyAlignment="1">
      <alignment horizontal="center"/>
    </xf>
    <xf numFmtId="181" fontId="0" fillId="0" borderId="7" xfId="0" applyNumberFormat="1" applyBorder="1"/>
    <xf numFmtId="179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4" xfId="0" applyFont="1" applyBorder="1"/>
    <xf numFmtId="178" fontId="0" fillId="0" borderId="4" xfId="0" applyNumberFormat="1" applyBorder="1"/>
    <xf numFmtId="0" fontId="0" fillId="0" borderId="4" xfId="0" applyBorder="1" applyAlignment="1">
      <alignment horizontal="center" vertical="center"/>
    </xf>
    <xf numFmtId="0" fontId="0" fillId="2" borderId="4" xfId="0" applyFont="1" applyFill="1" applyBorder="1"/>
    <xf numFmtId="176" fontId="0" fillId="0" borderId="4" xfId="0" applyNumberFormat="1" applyBorder="1"/>
    <xf numFmtId="177" fontId="0" fillId="0" borderId="3" xfId="0" applyNumberFormat="1" applyBorder="1"/>
    <xf numFmtId="177" fontId="0" fillId="0" borderId="4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38" fontId="0" fillId="0" borderId="4" xfId="37" applyFont="1" applyBorder="1" applyAlignment="1"/>
    <xf numFmtId="38" fontId="0" fillId="0" borderId="8" xfId="37" applyFont="1" applyBorder="1" applyAlignment="1"/>
    <xf numFmtId="38" fontId="0" fillId="0" borderId="6" xfId="37" applyFont="1" applyBorder="1" applyAlignment="1"/>
    <xf numFmtId="38" fontId="0" fillId="0" borderId="9" xfId="37" applyFont="1" applyBorder="1" applyAlignment="1"/>
    <xf numFmtId="0" fontId="0" fillId="0" borderId="7" xfId="0" applyBorder="1"/>
    <xf numFmtId="0" fontId="0" fillId="0" borderId="9" xfId="0" applyNumberFormat="1" applyBorder="1"/>
    <xf numFmtId="38" fontId="0" fillId="0" borderId="4" xfId="0" applyNumberFormat="1" applyBorder="1"/>
    <xf numFmtId="0" fontId="1" fillId="0" borderId="1" xfId="0" applyFont="1" applyBorder="1"/>
    <xf numFmtId="0" fontId="1" fillId="0" borderId="2" xfId="0" applyFont="1" applyBorder="1"/>
    <xf numFmtId="38" fontId="0" fillId="0" borderId="6" xfId="0" applyNumberFormat="1" applyBorder="1"/>
    <xf numFmtId="38" fontId="0" fillId="0" borderId="7" xfId="37" applyFont="1" applyBorder="1" applyAlignment="1"/>
    <xf numFmtId="10" fontId="0" fillId="0" borderId="4" xfId="0" applyNumberFormat="1" applyBorder="1"/>
    <xf numFmtId="176" fontId="0" fillId="0" borderId="4" xfId="47" applyNumberFormat="1" applyFont="1" applyBorder="1" applyAlignment="1"/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180" fontId="0" fillId="0" borderId="4" xfId="37" applyNumberFormat="1" applyFont="1" applyBorder="1" applyAlignment="1"/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38" fontId="3" fillId="0" borderId="4" xfId="37" applyFont="1" applyBorder="1" applyAlignment="1"/>
    <xf numFmtId="10" fontId="3" fillId="0" borderId="4" xfId="0" applyNumberFormat="1" applyFont="1" applyBorder="1"/>
    <xf numFmtId="0" fontId="0" fillId="3" borderId="0" xfId="0" applyFill="1"/>
    <xf numFmtId="0" fontId="0" fillId="2" borderId="8" xfId="0" applyFill="1" applyBorder="1"/>
    <xf numFmtId="0" fontId="0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/>
    <xf numFmtId="38" fontId="4" fillId="2" borderId="4" xfId="37" applyFont="1" applyFill="1" applyBorder="1" applyAlignment="1"/>
    <xf numFmtId="10" fontId="4" fillId="2" borderId="4" xfId="0" applyNumberFormat="1" applyFont="1" applyFill="1" applyBorder="1"/>
    <xf numFmtId="0" fontId="0" fillId="0" borderId="4" xfId="0" applyFill="1" applyBorder="1"/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8" xfId="0" applyNumberFormat="1" applyBorder="1"/>
    <xf numFmtId="10" fontId="0" fillId="0" borderId="9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チーム別の集計グラフ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'1-1'!$C$26</c:f>
              <c:strCache>
                <c:ptCount val="1"/>
                <c:pt idx="0">
                  <c:v>勤勉手当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'1-1'!$A$27:$A$29</c:f>
              <c:strCache>
                <c:ptCount val="3"/>
                <c:pt idx="0">
                  <c:v>営業Aチーム</c:v>
                </c:pt>
                <c:pt idx="1">
                  <c:v>営業Bチーム</c:v>
                </c:pt>
                <c:pt idx="2">
                  <c:v>営業Cチーム</c:v>
                </c:pt>
              </c:strCache>
            </c:strRef>
          </c:cat>
          <c:val>
            <c:numRef>
              <c:f>'1-1'!$C$27:$C$29</c:f>
              <c:numCache>
                <c:formatCode>#,##0;[Red]\-#,##0</c:formatCode>
                <c:ptCount val="3"/>
                <c:pt idx="0">
                  <c:v>58570</c:v>
                </c:pt>
                <c:pt idx="1">
                  <c:v>58250</c:v>
                </c:pt>
                <c:pt idx="2">
                  <c:v>67880</c:v>
                </c:pt>
              </c:numCache>
            </c:numRef>
          </c:val>
        </c:ser>
        <c:ser>
          <c:idx val="1"/>
          <c:order val="1"/>
          <c:tx>
            <c:strRef>
              <c:f>'1-1'!$D$26</c:f>
              <c:strCache>
                <c:ptCount val="1"/>
                <c:pt idx="0">
                  <c:v>営業手当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'1-1'!$A$27:$A$29</c:f>
              <c:strCache>
                <c:ptCount val="3"/>
                <c:pt idx="0">
                  <c:v>営業Aチーム</c:v>
                </c:pt>
                <c:pt idx="1">
                  <c:v>営業Bチーム</c:v>
                </c:pt>
                <c:pt idx="2">
                  <c:v>営業Cチーム</c:v>
                </c:pt>
              </c:strCache>
            </c:strRef>
          </c:cat>
          <c:val>
            <c:numRef>
              <c:f>'1-1'!$D$27:$D$29</c:f>
              <c:numCache>
                <c:formatCode>#,##0;[Red]\-#,##0</c:formatCode>
                <c:ptCount val="3"/>
                <c:pt idx="0">
                  <c:v>31170</c:v>
                </c:pt>
                <c:pt idx="1">
                  <c:v>30740</c:v>
                </c:pt>
                <c:pt idx="2">
                  <c:v>35490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327839"/>
        <c:axId val="451303695"/>
      </c:barChart>
      <c:catAx>
        <c:axId val="44932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303695"/>
        <c:crosses val="autoZero"/>
        <c:auto val="1"/>
        <c:lblAlgn val="ctr"/>
        <c:lblOffset val="100"/>
        <c:noMultiLvlLbl val="0"/>
      </c:catAx>
      <c:valAx>
        <c:axId val="4513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932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販売エリア別の集計グラフ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'1-5 (数式)'!$C$30</c:f>
              <c:strCache>
                <c:ptCount val="1"/>
                <c:pt idx="0">
                  <c:v>販売手当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'1-5 (数式)'!$A$31:$A$34</c:f>
              <c:strCache>
                <c:ptCount val="4"/>
                <c:pt idx="0">
                  <c:v>東北エリア</c:v>
                </c:pt>
                <c:pt idx="1">
                  <c:v>関東エリア</c:v>
                </c:pt>
                <c:pt idx="2">
                  <c:v>中部エリア</c:v>
                </c:pt>
                <c:pt idx="3">
                  <c:v>関西エリア</c:v>
                </c:pt>
              </c:strCache>
            </c:strRef>
          </c:cat>
          <c:val>
            <c:numRef>
              <c:f>'1-5 (数式)'!$C$31:$C$34</c:f>
              <c:numCache>
                <c:formatCode>#,##0;[Red]\-#,##0</c:formatCode>
                <c:ptCount val="4"/>
                <c:pt idx="0">
                  <c:v>147700</c:v>
                </c:pt>
                <c:pt idx="1">
                  <c:v>142900</c:v>
                </c:pt>
                <c:pt idx="2">
                  <c:v>139200</c:v>
                </c:pt>
                <c:pt idx="3">
                  <c:v>137400</c:v>
                </c:pt>
              </c:numCache>
            </c:numRef>
          </c:val>
        </c:ser>
        <c:ser>
          <c:idx val="1"/>
          <c:order val="1"/>
          <c:tx>
            <c:strRef>
              <c:f>'1-5 (数式)'!$D$30</c:f>
              <c:strCache>
                <c:ptCount val="1"/>
                <c:pt idx="0">
                  <c:v>勤勉手当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'1-5 (数式)'!$A$31:$A$34</c:f>
              <c:strCache>
                <c:ptCount val="4"/>
                <c:pt idx="0">
                  <c:v>東北エリア</c:v>
                </c:pt>
                <c:pt idx="1">
                  <c:v>関東エリア</c:v>
                </c:pt>
                <c:pt idx="2">
                  <c:v>中部エリア</c:v>
                </c:pt>
                <c:pt idx="3">
                  <c:v>関西エリア</c:v>
                </c:pt>
              </c:strCache>
            </c:strRef>
          </c:cat>
          <c:val>
            <c:numRef>
              <c:f>'1-5 (数式)'!$D$31:$D$34</c:f>
              <c:numCache>
                <c:formatCode>#,##0;[Red]\-#,##0</c:formatCode>
                <c:ptCount val="4"/>
                <c:pt idx="0">
                  <c:v>111900</c:v>
                </c:pt>
                <c:pt idx="1">
                  <c:v>108240</c:v>
                </c:pt>
                <c:pt idx="2">
                  <c:v>105480</c:v>
                </c:pt>
                <c:pt idx="3">
                  <c:v>103990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039872"/>
        <c:axId val="496639584"/>
      </c:barChart>
      <c:catAx>
        <c:axId val="4950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639584"/>
        <c:crosses val="autoZero"/>
        <c:auto val="1"/>
        <c:lblAlgn val="ctr"/>
        <c:lblOffset val="100"/>
        <c:noMultiLvlLbl val="0"/>
      </c:catAx>
      <c:valAx>
        <c:axId val="4966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503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発注先別の支払額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'1-6'!$D$30</c:f>
              <c:strCache>
                <c:ptCount val="1"/>
                <c:pt idx="0">
                  <c:v>支払額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'1-6'!$A$31:$A$34</c:f>
              <c:strCache>
                <c:ptCount val="4"/>
                <c:pt idx="0">
                  <c:v>森山精密</c:v>
                </c:pt>
                <c:pt idx="1">
                  <c:v>マノ電工</c:v>
                </c:pt>
                <c:pt idx="2">
                  <c:v>関東工業</c:v>
                </c:pt>
                <c:pt idx="3">
                  <c:v>井上電機</c:v>
                </c:pt>
              </c:strCache>
            </c:strRef>
          </c:cat>
          <c:val>
            <c:numRef>
              <c:f>'1-6'!$D$31:$D$34</c:f>
              <c:numCache>
                <c:formatCode>#,##0;[Red]\-#,##0</c:formatCode>
                <c:ptCount val="4"/>
                <c:pt idx="0">
                  <c:v>887573</c:v>
                </c:pt>
                <c:pt idx="1">
                  <c:v>910829</c:v>
                </c:pt>
                <c:pt idx="2">
                  <c:v>863014</c:v>
                </c:pt>
                <c:pt idx="3">
                  <c:v>753632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6514784"/>
        <c:axId val="494538272"/>
      </c:barChart>
      <c:catAx>
        <c:axId val="49651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538272"/>
        <c:crosses val="autoZero"/>
        <c:auto val="1"/>
        <c:lblAlgn val="ctr"/>
        <c:lblOffset val="100"/>
        <c:noMultiLvlLbl val="0"/>
      </c:catAx>
      <c:valAx>
        <c:axId val="49453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5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発注先別の支払額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'1-6 (数式)'!$D$30</c:f>
              <c:strCache>
                <c:ptCount val="1"/>
                <c:pt idx="0">
                  <c:v>支払額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'1-6 (数式)'!$A$31:$A$34</c:f>
              <c:strCache>
                <c:ptCount val="4"/>
                <c:pt idx="0">
                  <c:v>森山精密</c:v>
                </c:pt>
                <c:pt idx="1">
                  <c:v>マノ電工</c:v>
                </c:pt>
                <c:pt idx="2">
                  <c:v>関東工業</c:v>
                </c:pt>
                <c:pt idx="3">
                  <c:v>井上電機</c:v>
                </c:pt>
              </c:strCache>
            </c:strRef>
          </c:cat>
          <c:val>
            <c:numRef>
              <c:f>'1-6 (数式)'!$D$31:$D$34</c:f>
              <c:numCache>
                <c:formatCode>#,##0;[Red]\-#,##0</c:formatCode>
                <c:ptCount val="4"/>
                <c:pt idx="0">
                  <c:v>887573</c:v>
                </c:pt>
                <c:pt idx="1">
                  <c:v>910829</c:v>
                </c:pt>
                <c:pt idx="2">
                  <c:v>863014</c:v>
                </c:pt>
                <c:pt idx="3">
                  <c:v>753632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6514784"/>
        <c:axId val="494538272"/>
      </c:barChart>
      <c:catAx>
        <c:axId val="49651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538272"/>
        <c:crosses val="autoZero"/>
        <c:auto val="1"/>
        <c:lblAlgn val="ctr"/>
        <c:lblOffset val="100"/>
        <c:noMultiLvlLbl val="0"/>
      </c:catAx>
      <c:valAx>
        <c:axId val="49453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5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損益額の比較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'1-7'!$D$31</c:f>
              <c:strCache>
                <c:ptCount val="1"/>
                <c:pt idx="0">
                  <c:v>損益額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'1-7'!$A$32:$A$36</c:f>
              <c:strCache>
                <c:ptCount val="5"/>
                <c:pt idx="0">
                  <c:v>山田　一郎</c:v>
                </c:pt>
                <c:pt idx="1">
                  <c:v>安藤　愛子</c:v>
                </c:pt>
                <c:pt idx="2">
                  <c:v>長谷川　誠</c:v>
                </c:pt>
                <c:pt idx="3">
                  <c:v>林　ありさ</c:v>
                </c:pt>
                <c:pt idx="4">
                  <c:v>中村　英明</c:v>
                </c:pt>
              </c:strCache>
            </c:strRef>
          </c:cat>
          <c:val>
            <c:numRef>
              <c:f>'1-7'!$D$32:$D$36</c:f>
              <c:numCache>
                <c:formatCode>#,##0;[Red]\-#,##0</c:formatCode>
                <c:ptCount val="5"/>
                <c:pt idx="0">
                  <c:v>120891</c:v>
                </c:pt>
                <c:pt idx="1">
                  <c:v>109341</c:v>
                </c:pt>
                <c:pt idx="2">
                  <c:v>51474</c:v>
                </c:pt>
                <c:pt idx="3">
                  <c:v>181723</c:v>
                </c:pt>
                <c:pt idx="4">
                  <c:v>169901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24704352"/>
        <c:axId val="1416015568"/>
      </c:lineChart>
      <c:catAx>
        <c:axId val="142470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6015568"/>
        <c:crosses val="autoZero"/>
        <c:auto val="1"/>
        <c:lblAlgn val="ctr"/>
        <c:lblOffset val="100"/>
        <c:noMultiLvlLbl val="0"/>
      </c:catAx>
      <c:valAx>
        <c:axId val="14160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470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損益額の比較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'1-7 (数式)'!$D$31</c:f>
              <c:strCache>
                <c:ptCount val="1"/>
                <c:pt idx="0">
                  <c:v>損益額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'1-7 (数式)'!$A$32:$A$36</c:f>
              <c:strCache>
                <c:ptCount val="5"/>
                <c:pt idx="0">
                  <c:v>山田　一郎</c:v>
                </c:pt>
                <c:pt idx="1">
                  <c:v>安藤　愛子</c:v>
                </c:pt>
                <c:pt idx="2">
                  <c:v>長谷川　誠</c:v>
                </c:pt>
                <c:pt idx="3">
                  <c:v>林　ありさ</c:v>
                </c:pt>
                <c:pt idx="4">
                  <c:v>中村　英明</c:v>
                </c:pt>
              </c:strCache>
            </c:strRef>
          </c:cat>
          <c:val>
            <c:numRef>
              <c:f>'1-7 (数式)'!$D$32:$D$36</c:f>
              <c:numCache>
                <c:formatCode>#,##0;[Red]\-#,##0</c:formatCode>
                <c:ptCount val="5"/>
                <c:pt idx="0">
                  <c:v>120891</c:v>
                </c:pt>
                <c:pt idx="1">
                  <c:v>109341</c:v>
                </c:pt>
                <c:pt idx="2">
                  <c:v>51474</c:v>
                </c:pt>
                <c:pt idx="3">
                  <c:v>181723</c:v>
                </c:pt>
                <c:pt idx="4">
                  <c:v>169901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24704352"/>
        <c:axId val="1416015568"/>
      </c:lineChart>
      <c:catAx>
        <c:axId val="142470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6015568"/>
        <c:crosses val="autoZero"/>
        <c:auto val="1"/>
        <c:lblAlgn val="ctr"/>
        <c:lblOffset val="100"/>
        <c:noMultiLvlLbl val="0"/>
      </c:catAx>
      <c:valAx>
        <c:axId val="14160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470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得意先別の</a:t>
            </a:r>
            <a:r>
              <a:t>請求額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'1-8'!$D$34</c:f>
              <c:strCache>
                <c:ptCount val="1"/>
                <c:pt idx="0">
                  <c:v>請求額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'1-8'!$A$35:$A$38</c:f>
              <c:strCache>
                <c:ptCount val="4"/>
                <c:pt idx="0">
                  <c:v>安藤カメラ</c:v>
                </c:pt>
                <c:pt idx="1">
                  <c:v>電機の丸和</c:v>
                </c:pt>
                <c:pt idx="2">
                  <c:v>光ショップ</c:v>
                </c:pt>
                <c:pt idx="3">
                  <c:v>令和電気堂</c:v>
                </c:pt>
              </c:strCache>
            </c:strRef>
          </c:cat>
          <c:val>
            <c:numRef>
              <c:f>'1-8'!$D$35:$D$38</c:f>
              <c:numCache>
                <c:formatCode>#,##0;[Red]\-#,##0</c:formatCode>
                <c:ptCount val="4"/>
                <c:pt idx="0">
                  <c:v>4849180</c:v>
                </c:pt>
                <c:pt idx="1">
                  <c:v>3980634</c:v>
                </c:pt>
                <c:pt idx="2">
                  <c:v>5255541</c:v>
                </c:pt>
                <c:pt idx="3">
                  <c:v>4745019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749919374"/>
        <c:axId val="97662670"/>
      </c:barChart>
      <c:catAx>
        <c:axId val="74991937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62670"/>
        <c:crosses val="autoZero"/>
        <c:auto val="1"/>
        <c:lblAlgn val="ctr"/>
        <c:lblOffset val="100"/>
        <c:noMultiLvlLbl val="0"/>
      </c:catAx>
      <c:valAx>
        <c:axId val="976626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99193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社員別の集計グラフ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'1-9'!$B$28</c:f>
              <c:strCache>
                <c:ptCount val="1"/>
                <c:pt idx="0">
                  <c:v>出張手当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'1-9'!$A$29:$A$32</c:f>
              <c:strCache>
                <c:ptCount val="4"/>
                <c:pt idx="0">
                  <c:v>鈴木　英明</c:v>
                </c:pt>
                <c:pt idx="1">
                  <c:v>加藤　愛奈</c:v>
                </c:pt>
                <c:pt idx="2">
                  <c:v>田中　五郎</c:v>
                </c:pt>
                <c:pt idx="3">
                  <c:v>森　美和子</c:v>
                </c:pt>
              </c:strCache>
            </c:strRef>
          </c:cat>
          <c:val>
            <c:numRef>
              <c:f>'1-9'!$B$29:$B$32</c:f>
              <c:numCache>
                <c:formatCode>#,##0_ </c:formatCode>
                <c:ptCount val="4"/>
                <c:pt idx="0">
                  <c:v>37850</c:v>
                </c:pt>
                <c:pt idx="1">
                  <c:v>34290</c:v>
                </c:pt>
                <c:pt idx="2">
                  <c:v>44430</c:v>
                </c:pt>
                <c:pt idx="3">
                  <c:v>40540</c:v>
                </c:pt>
              </c:numCache>
            </c:numRef>
          </c:val>
        </c:ser>
        <c:ser>
          <c:idx val="1"/>
          <c:order val="1"/>
          <c:tx>
            <c:strRef>
              <c:f>'1-9'!$C$28</c:f>
              <c:strCache>
                <c:ptCount val="1"/>
                <c:pt idx="0">
                  <c:v>営業手当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'1-9'!$A$29:$A$32</c:f>
              <c:strCache>
                <c:ptCount val="4"/>
                <c:pt idx="0">
                  <c:v>鈴木　英明</c:v>
                </c:pt>
                <c:pt idx="1">
                  <c:v>加藤　愛奈</c:v>
                </c:pt>
                <c:pt idx="2">
                  <c:v>田中　五郎</c:v>
                </c:pt>
                <c:pt idx="3">
                  <c:v>森　美和子</c:v>
                </c:pt>
              </c:strCache>
            </c:strRef>
          </c:cat>
          <c:val>
            <c:numRef>
              <c:f>'1-9'!$C$29:$C$32</c:f>
              <c:numCache>
                <c:formatCode>#,##0_ </c:formatCode>
                <c:ptCount val="4"/>
                <c:pt idx="0">
                  <c:v>144000</c:v>
                </c:pt>
                <c:pt idx="1">
                  <c:v>136100</c:v>
                </c:pt>
                <c:pt idx="2">
                  <c:v>163200</c:v>
                </c:pt>
                <c:pt idx="3">
                  <c:v>143600</c:v>
                </c:pt>
              </c:numCache>
            </c:numRef>
          </c:val>
        </c:ser>
        <c:ser>
          <c:idx val="2"/>
          <c:order val="2"/>
          <c:tx>
            <c:strRef>
              <c:f>'1-9'!$D$28</c:f>
              <c:strCache>
                <c:ptCount val="1"/>
                <c:pt idx="0">
                  <c:v>特別手当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'1-9'!$A$29:$A$32</c:f>
              <c:strCache>
                <c:ptCount val="4"/>
                <c:pt idx="0">
                  <c:v>鈴木　英明</c:v>
                </c:pt>
                <c:pt idx="1">
                  <c:v>加藤　愛奈</c:v>
                </c:pt>
                <c:pt idx="2">
                  <c:v>田中　五郎</c:v>
                </c:pt>
                <c:pt idx="3">
                  <c:v>森　美和子</c:v>
                </c:pt>
              </c:strCache>
            </c:strRef>
          </c:cat>
          <c:val>
            <c:numRef>
              <c:f>'1-9'!$D$29:$D$32</c:f>
              <c:numCache>
                <c:formatCode>#,##0_ </c:formatCode>
                <c:ptCount val="4"/>
                <c:pt idx="0">
                  <c:v>15530</c:v>
                </c:pt>
                <c:pt idx="1">
                  <c:v>13780</c:v>
                </c:pt>
                <c:pt idx="2">
                  <c:v>17750</c:v>
                </c:pt>
                <c:pt idx="3">
                  <c:v>15060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551751"/>
        <c:axId val="138833651"/>
      </c:barChart>
      <c:catAx>
        <c:axId val="23655175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833651"/>
        <c:crosses val="autoZero"/>
        <c:auto val="1"/>
        <c:lblAlgn val="ctr"/>
        <c:lblOffset val="100"/>
        <c:noMultiLvlLbl val="0"/>
      </c:catAx>
      <c:valAx>
        <c:axId val="1388336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551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商品別の</a:t>
            </a:r>
            <a:r>
              <a:t>支払額</a:t>
            </a:r>
          </a:p>
        </c:rich>
      </c:tx>
      <c:layout>
        <c:manualLayout>
          <c:xMode val="edge"/>
          <c:yMode val="edge"/>
          <c:x val="0.464272311041057"/>
          <c:y val="0.02845188284518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'1-10'!$D$34</c:f>
              <c:strCache>
                <c:ptCount val="1"/>
                <c:pt idx="0">
                  <c:v>支払額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'1-10'!$A$35:$A$38</c:f>
              <c:strCache>
                <c:ptCount val="4"/>
                <c:pt idx="0">
                  <c:v>E商品</c:v>
                </c:pt>
                <c:pt idx="1">
                  <c:v>F商品</c:v>
                </c:pt>
                <c:pt idx="2">
                  <c:v>G商品</c:v>
                </c:pt>
                <c:pt idx="3">
                  <c:v>H商品</c:v>
                </c:pt>
              </c:strCache>
            </c:strRef>
          </c:cat>
          <c:val>
            <c:numRef>
              <c:f>'1-10'!$D$35:$D$38</c:f>
              <c:numCache>
                <c:formatCode>#,##0_ </c:formatCode>
                <c:ptCount val="4"/>
                <c:pt idx="0">
                  <c:v>4778911</c:v>
                </c:pt>
                <c:pt idx="1">
                  <c:v>5184620</c:v>
                </c:pt>
                <c:pt idx="2">
                  <c:v>4229208</c:v>
                </c:pt>
                <c:pt idx="3">
                  <c:v>4426263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337809"/>
        <c:axId val="259806532"/>
      </c:barChart>
      <c:catAx>
        <c:axId val="8183378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06532"/>
        <c:crosses val="autoZero"/>
        <c:auto val="1"/>
        <c:lblAlgn val="ctr"/>
        <c:lblOffset val="100"/>
        <c:noMultiLvlLbl val="0"/>
      </c:catAx>
      <c:valAx>
        <c:axId val="2598065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3378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商品別の</a:t>
            </a:r>
            <a:r>
              <a:t>請求額</a:t>
            </a:r>
          </a:p>
        </c:rich>
      </c:tx>
      <c:layout>
        <c:manualLayout>
          <c:xMode val="edge"/>
          <c:yMode val="edge"/>
          <c:x val="0.460405922475462"/>
          <c:y val="0.023006477551932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'1-11'!$D$34</c:f>
              <c:strCache>
                <c:ptCount val="1"/>
                <c:pt idx="0">
                  <c:v>請求額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'1-11'!$A$35:$A$38</c:f>
              <c:strCache>
                <c:ptCount val="4"/>
                <c:pt idx="0">
                  <c:v>商品E</c:v>
                </c:pt>
                <c:pt idx="1">
                  <c:v>商品F</c:v>
                </c:pt>
                <c:pt idx="2">
                  <c:v>商品G</c:v>
                </c:pt>
                <c:pt idx="3">
                  <c:v>商品H</c:v>
                </c:pt>
              </c:strCache>
            </c:strRef>
          </c:cat>
          <c:val>
            <c:numRef>
              <c:f>'1-11'!$D$35:$D$38</c:f>
              <c:numCache>
                <c:formatCode>#,##0_ </c:formatCode>
                <c:ptCount val="4"/>
                <c:pt idx="0">
                  <c:v>1513867</c:v>
                </c:pt>
                <c:pt idx="1">
                  <c:v>1675786</c:v>
                </c:pt>
                <c:pt idx="2">
                  <c:v>1622564</c:v>
                </c:pt>
                <c:pt idx="3">
                  <c:v>1713076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609096"/>
        <c:axId val="160114844"/>
      </c:barChart>
      <c:catAx>
        <c:axId val="353609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114844"/>
        <c:crosses val="autoZero"/>
        <c:auto val="1"/>
        <c:lblAlgn val="ctr"/>
        <c:lblOffset val="100"/>
        <c:noMultiLvlLbl val="0"/>
      </c:catAx>
      <c:valAx>
        <c:axId val="1601148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60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チーム別の集計グラフ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'1-1 (数式)'!$C$26</c:f>
              <c:strCache>
                <c:ptCount val="1"/>
                <c:pt idx="0">
                  <c:v>勤勉手当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'1-1 (数式)'!$A$27:$A$29</c:f>
              <c:strCache>
                <c:ptCount val="3"/>
                <c:pt idx="0">
                  <c:v>営業Aチーム</c:v>
                </c:pt>
                <c:pt idx="1">
                  <c:v>営業Bチーム</c:v>
                </c:pt>
                <c:pt idx="2">
                  <c:v>営業Cチーム</c:v>
                </c:pt>
              </c:strCache>
            </c:strRef>
          </c:cat>
          <c:val>
            <c:numRef>
              <c:f>'1-1 (数式)'!$C$27:$C$29</c:f>
              <c:numCache>
                <c:formatCode>#,##0;[Red]\-#,##0</c:formatCode>
                <c:ptCount val="3"/>
                <c:pt idx="0">
                  <c:v>58570</c:v>
                </c:pt>
                <c:pt idx="1">
                  <c:v>58250</c:v>
                </c:pt>
                <c:pt idx="2">
                  <c:v>67880</c:v>
                </c:pt>
              </c:numCache>
            </c:numRef>
          </c:val>
        </c:ser>
        <c:ser>
          <c:idx val="1"/>
          <c:order val="1"/>
          <c:tx>
            <c:strRef>
              <c:f>'1-1 (数式)'!$D$26</c:f>
              <c:strCache>
                <c:ptCount val="1"/>
                <c:pt idx="0">
                  <c:v>営業手当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'1-1 (数式)'!$A$27:$A$29</c:f>
              <c:strCache>
                <c:ptCount val="3"/>
                <c:pt idx="0">
                  <c:v>営業Aチーム</c:v>
                </c:pt>
                <c:pt idx="1">
                  <c:v>営業Bチーム</c:v>
                </c:pt>
                <c:pt idx="2">
                  <c:v>営業Cチーム</c:v>
                </c:pt>
              </c:strCache>
            </c:strRef>
          </c:cat>
          <c:val>
            <c:numRef>
              <c:f>'1-1 (数式)'!$D$27:$D$29</c:f>
              <c:numCache>
                <c:formatCode>#,##0;[Red]\-#,##0</c:formatCode>
                <c:ptCount val="3"/>
                <c:pt idx="0">
                  <c:v>31170</c:v>
                </c:pt>
                <c:pt idx="1">
                  <c:v>30740</c:v>
                </c:pt>
                <c:pt idx="2">
                  <c:v>35490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327839"/>
        <c:axId val="451303695"/>
      </c:barChart>
      <c:catAx>
        <c:axId val="44932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303695"/>
        <c:crosses val="autoZero"/>
        <c:auto val="1"/>
        <c:lblAlgn val="ctr"/>
        <c:lblOffset val="100"/>
        <c:noMultiLvlLbl val="0"/>
      </c:catAx>
      <c:valAx>
        <c:axId val="4513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932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商品別の比較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'1-2'!$C$33</c:f>
              <c:strCache>
                <c:ptCount val="1"/>
                <c:pt idx="0">
                  <c:v>手数料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'1-2'!$A$34:$A$37</c:f>
              <c:strCache>
                <c:ptCount val="4"/>
                <c:pt idx="0">
                  <c:v>商品A</c:v>
                </c:pt>
                <c:pt idx="1">
                  <c:v>商品B</c:v>
                </c:pt>
                <c:pt idx="2">
                  <c:v>商品C</c:v>
                </c:pt>
                <c:pt idx="3">
                  <c:v>商品D</c:v>
                </c:pt>
              </c:strCache>
            </c:strRef>
          </c:cat>
          <c:val>
            <c:numRef>
              <c:f>'1-2'!$C$34:$C$37</c:f>
              <c:numCache>
                <c:formatCode>#,##0;[Red]\-#,##0</c:formatCode>
                <c:ptCount val="4"/>
                <c:pt idx="0">
                  <c:v>191250</c:v>
                </c:pt>
                <c:pt idx="1">
                  <c:v>196600</c:v>
                </c:pt>
                <c:pt idx="2">
                  <c:v>174900</c:v>
                </c:pt>
                <c:pt idx="3">
                  <c:v>228740</c:v>
                </c:pt>
              </c:numCache>
            </c:numRef>
          </c:val>
        </c:ser>
        <c:ser>
          <c:idx val="1"/>
          <c:order val="1"/>
          <c:tx>
            <c:strRef>
              <c:f>'1-2'!$D$33</c:f>
              <c:strCache>
                <c:ptCount val="1"/>
                <c:pt idx="0">
                  <c:v>奨励金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'1-2'!$A$34:$A$37</c:f>
              <c:strCache>
                <c:ptCount val="4"/>
                <c:pt idx="0">
                  <c:v>商品A</c:v>
                </c:pt>
                <c:pt idx="1">
                  <c:v>商品B</c:v>
                </c:pt>
                <c:pt idx="2">
                  <c:v>商品C</c:v>
                </c:pt>
                <c:pt idx="3">
                  <c:v>商品D</c:v>
                </c:pt>
              </c:strCache>
            </c:strRef>
          </c:cat>
          <c:val>
            <c:numRef>
              <c:f>'1-2'!$D$34:$D$37</c:f>
              <c:numCache>
                <c:formatCode>#,##0;[Red]\-#,##0</c:formatCode>
                <c:ptCount val="4"/>
                <c:pt idx="0">
                  <c:v>22686</c:v>
                </c:pt>
                <c:pt idx="1">
                  <c:v>24053</c:v>
                </c:pt>
                <c:pt idx="2">
                  <c:v>21616</c:v>
                </c:pt>
                <c:pt idx="3">
                  <c:v>28774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061087"/>
        <c:axId val="451295791"/>
      </c:barChart>
      <c:catAx>
        <c:axId val="4510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295791"/>
        <c:crosses val="autoZero"/>
        <c:auto val="1"/>
        <c:lblAlgn val="ctr"/>
        <c:lblOffset val="100"/>
        <c:noMultiLvlLbl val="0"/>
      </c:catAx>
      <c:valAx>
        <c:axId val="45129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06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商品別の比較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'1-2 (数式)'!$C$33</c:f>
              <c:strCache>
                <c:ptCount val="1"/>
                <c:pt idx="0">
                  <c:v>手数料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'1-2 (数式)'!$A$34:$A$37</c:f>
              <c:strCache>
                <c:ptCount val="4"/>
                <c:pt idx="0">
                  <c:v>商品A</c:v>
                </c:pt>
                <c:pt idx="1">
                  <c:v>商品B</c:v>
                </c:pt>
                <c:pt idx="2">
                  <c:v>商品C</c:v>
                </c:pt>
                <c:pt idx="3">
                  <c:v>商品D</c:v>
                </c:pt>
              </c:strCache>
            </c:strRef>
          </c:cat>
          <c:val>
            <c:numRef>
              <c:f>'1-2 (数式)'!$C$34:$C$37</c:f>
              <c:numCache>
                <c:formatCode>#,##0;[Red]\-#,##0</c:formatCode>
                <c:ptCount val="4"/>
                <c:pt idx="0">
                  <c:v>191250</c:v>
                </c:pt>
                <c:pt idx="1">
                  <c:v>196600</c:v>
                </c:pt>
                <c:pt idx="2">
                  <c:v>174900</c:v>
                </c:pt>
                <c:pt idx="3">
                  <c:v>228740</c:v>
                </c:pt>
              </c:numCache>
            </c:numRef>
          </c:val>
        </c:ser>
        <c:ser>
          <c:idx val="1"/>
          <c:order val="1"/>
          <c:tx>
            <c:strRef>
              <c:f>'1-2 (数式)'!$D$33</c:f>
              <c:strCache>
                <c:ptCount val="1"/>
                <c:pt idx="0">
                  <c:v>奨励金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'1-2 (数式)'!$A$34:$A$37</c:f>
              <c:strCache>
                <c:ptCount val="4"/>
                <c:pt idx="0">
                  <c:v>商品A</c:v>
                </c:pt>
                <c:pt idx="1">
                  <c:v>商品B</c:v>
                </c:pt>
                <c:pt idx="2">
                  <c:v>商品C</c:v>
                </c:pt>
                <c:pt idx="3">
                  <c:v>商品D</c:v>
                </c:pt>
              </c:strCache>
            </c:strRef>
          </c:cat>
          <c:val>
            <c:numRef>
              <c:f>'1-2 (数式)'!$D$34:$D$37</c:f>
              <c:numCache>
                <c:formatCode>#,##0;[Red]\-#,##0</c:formatCode>
                <c:ptCount val="4"/>
                <c:pt idx="0">
                  <c:v>22686</c:v>
                </c:pt>
                <c:pt idx="1">
                  <c:v>24053</c:v>
                </c:pt>
                <c:pt idx="2">
                  <c:v>21616</c:v>
                </c:pt>
                <c:pt idx="3">
                  <c:v>28774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061087"/>
        <c:axId val="451295791"/>
      </c:barChart>
      <c:catAx>
        <c:axId val="4510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295791"/>
        <c:crosses val="autoZero"/>
        <c:auto val="1"/>
        <c:lblAlgn val="ctr"/>
        <c:lblOffset val="100"/>
        <c:noMultiLvlLbl val="0"/>
      </c:catAx>
      <c:valAx>
        <c:axId val="45129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06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得意先別の売上額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'1-3'!$C$32</c:f>
              <c:strCache>
                <c:ptCount val="1"/>
                <c:pt idx="0">
                  <c:v>売上額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'1-3'!$A$33:$A$36</c:f>
              <c:strCache>
                <c:ptCount val="4"/>
                <c:pt idx="0">
                  <c:v>ＪＫマート</c:v>
                </c:pt>
                <c:pt idx="1">
                  <c:v>共栄百貨店</c:v>
                </c:pt>
                <c:pt idx="2">
                  <c:v>長谷川商店</c:v>
                </c:pt>
                <c:pt idx="3">
                  <c:v>新鮮ストア</c:v>
                </c:pt>
              </c:strCache>
            </c:strRef>
          </c:cat>
          <c:val>
            <c:numRef>
              <c:f>'1-3'!$C$33:$C$36</c:f>
              <c:numCache>
                <c:formatCode>#,##0;[Red]\-#,##0</c:formatCode>
                <c:ptCount val="4"/>
                <c:pt idx="0">
                  <c:v>2199150</c:v>
                </c:pt>
                <c:pt idx="1">
                  <c:v>2293710</c:v>
                </c:pt>
                <c:pt idx="2">
                  <c:v>2410950</c:v>
                </c:pt>
                <c:pt idx="3">
                  <c:v>2755080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682799"/>
        <c:axId val="452386959"/>
      </c:barChart>
      <c:catAx>
        <c:axId val="37568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386959"/>
        <c:crosses val="autoZero"/>
        <c:auto val="1"/>
        <c:lblAlgn val="ctr"/>
        <c:lblOffset val="100"/>
        <c:noMultiLvlLbl val="0"/>
      </c:catAx>
      <c:valAx>
        <c:axId val="4523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568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得意先別の売上額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'1-3 (数式)'!$C$32</c:f>
              <c:strCache>
                <c:ptCount val="1"/>
                <c:pt idx="0">
                  <c:v>売上額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'1-3 (数式)'!$A$33:$A$36</c:f>
              <c:strCache>
                <c:ptCount val="4"/>
                <c:pt idx="0">
                  <c:v>ＪＫマート</c:v>
                </c:pt>
                <c:pt idx="1">
                  <c:v>共栄百貨店</c:v>
                </c:pt>
                <c:pt idx="2">
                  <c:v>長谷川商店</c:v>
                </c:pt>
                <c:pt idx="3">
                  <c:v>新鮮ストア</c:v>
                </c:pt>
              </c:strCache>
            </c:strRef>
          </c:cat>
          <c:val>
            <c:numRef>
              <c:f>'1-3 (数式)'!$C$33:$C$36</c:f>
              <c:numCache>
                <c:formatCode>#,##0;[Red]\-#,##0</c:formatCode>
                <c:ptCount val="4"/>
                <c:pt idx="0">
                  <c:v>2199150</c:v>
                </c:pt>
                <c:pt idx="1">
                  <c:v>2293710</c:v>
                </c:pt>
                <c:pt idx="2">
                  <c:v>2410950</c:v>
                </c:pt>
                <c:pt idx="3">
                  <c:v>2755080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682799"/>
        <c:axId val="452386959"/>
      </c:barChart>
      <c:catAx>
        <c:axId val="37568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386959"/>
        <c:crosses val="autoZero"/>
        <c:auto val="1"/>
        <c:lblAlgn val="ctr"/>
        <c:lblOffset val="100"/>
        <c:noMultiLvlLbl val="0"/>
      </c:catAx>
      <c:valAx>
        <c:axId val="4523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568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利益額の構成比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'1-4'!$D$33</c:f>
              <c:strCache>
                <c:ptCount val="1"/>
                <c:pt idx="0">
                  <c:v>利益額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'1-4'!$A$34:$A$37</c:f>
              <c:strCache>
                <c:ptCount val="4"/>
                <c:pt idx="0">
                  <c:v>新宿支店</c:v>
                </c:pt>
                <c:pt idx="1">
                  <c:v>池袋支店</c:v>
                </c:pt>
                <c:pt idx="2">
                  <c:v>銀座支店</c:v>
                </c:pt>
                <c:pt idx="3">
                  <c:v>渋谷支店</c:v>
                </c:pt>
              </c:strCache>
            </c:strRef>
          </c:cat>
          <c:val>
            <c:numRef>
              <c:f>'1-4'!$D$34:$D$37</c:f>
              <c:numCache>
                <c:formatCode>#,##0;[Red]\-#,##0</c:formatCode>
                <c:ptCount val="4"/>
                <c:pt idx="0">
                  <c:v>311599</c:v>
                </c:pt>
                <c:pt idx="1">
                  <c:v>357103</c:v>
                </c:pt>
                <c:pt idx="2">
                  <c:v>349126</c:v>
                </c:pt>
                <c:pt idx="3">
                  <c:v>330883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利益額の構成比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'1-4 (数式)'!$D$33</c:f>
              <c:strCache>
                <c:ptCount val="1"/>
                <c:pt idx="0">
                  <c:v>利益額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'1-4 (数式)'!$A$34:$A$37</c:f>
              <c:strCache>
                <c:ptCount val="4"/>
                <c:pt idx="0">
                  <c:v>新宿支店</c:v>
                </c:pt>
                <c:pt idx="1">
                  <c:v>池袋支店</c:v>
                </c:pt>
                <c:pt idx="2">
                  <c:v>銀座支店</c:v>
                </c:pt>
                <c:pt idx="3">
                  <c:v>渋谷支店</c:v>
                </c:pt>
              </c:strCache>
            </c:strRef>
          </c:cat>
          <c:val>
            <c:numRef>
              <c:f>'1-4 (数式)'!$D$34:$D$37</c:f>
              <c:numCache>
                <c:formatCode>#,##0;[Red]\-#,##0</c:formatCode>
                <c:ptCount val="4"/>
                <c:pt idx="0">
                  <c:v>311599</c:v>
                </c:pt>
                <c:pt idx="1">
                  <c:v>357103</c:v>
                </c:pt>
                <c:pt idx="2">
                  <c:v>349126</c:v>
                </c:pt>
                <c:pt idx="3">
                  <c:v>330883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販売エリア別の集計グラフ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'1-5'!$C$30</c:f>
              <c:strCache>
                <c:ptCount val="1"/>
                <c:pt idx="0">
                  <c:v>販売手当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'1-5'!$A$31:$A$34</c:f>
              <c:strCache>
                <c:ptCount val="4"/>
                <c:pt idx="0">
                  <c:v>東北エリア</c:v>
                </c:pt>
                <c:pt idx="1">
                  <c:v>関東エリア</c:v>
                </c:pt>
                <c:pt idx="2">
                  <c:v>中部エリア</c:v>
                </c:pt>
                <c:pt idx="3">
                  <c:v>関西エリア</c:v>
                </c:pt>
              </c:strCache>
            </c:strRef>
          </c:cat>
          <c:val>
            <c:numRef>
              <c:f>'1-5'!$C$31:$C$34</c:f>
              <c:numCache>
                <c:formatCode>#,##0;[Red]\-#,##0</c:formatCode>
                <c:ptCount val="4"/>
                <c:pt idx="0">
                  <c:v>147700</c:v>
                </c:pt>
                <c:pt idx="1">
                  <c:v>142900</c:v>
                </c:pt>
                <c:pt idx="2">
                  <c:v>139200</c:v>
                </c:pt>
                <c:pt idx="3">
                  <c:v>137400</c:v>
                </c:pt>
              </c:numCache>
            </c:numRef>
          </c:val>
        </c:ser>
        <c:ser>
          <c:idx val="1"/>
          <c:order val="1"/>
          <c:tx>
            <c:strRef>
              <c:f>'1-5'!$D$30</c:f>
              <c:strCache>
                <c:ptCount val="1"/>
                <c:pt idx="0">
                  <c:v>勤勉手当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'1-5'!$A$31:$A$34</c:f>
              <c:strCache>
                <c:ptCount val="4"/>
                <c:pt idx="0">
                  <c:v>東北エリア</c:v>
                </c:pt>
                <c:pt idx="1">
                  <c:v>関東エリア</c:v>
                </c:pt>
                <c:pt idx="2">
                  <c:v>中部エリア</c:v>
                </c:pt>
                <c:pt idx="3">
                  <c:v>関西エリア</c:v>
                </c:pt>
              </c:strCache>
            </c:strRef>
          </c:cat>
          <c:val>
            <c:numRef>
              <c:f>'1-5'!$D$31:$D$34</c:f>
              <c:numCache>
                <c:formatCode>#,##0;[Red]\-#,##0</c:formatCode>
                <c:ptCount val="4"/>
                <c:pt idx="0">
                  <c:v>111900</c:v>
                </c:pt>
                <c:pt idx="1">
                  <c:v>108240</c:v>
                </c:pt>
                <c:pt idx="2">
                  <c:v>105480</c:v>
                </c:pt>
                <c:pt idx="3">
                  <c:v>103990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039872"/>
        <c:axId val="496639584"/>
      </c:barChart>
      <c:catAx>
        <c:axId val="4950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639584"/>
        <c:crosses val="autoZero"/>
        <c:auto val="1"/>
        <c:lblAlgn val="ctr"/>
        <c:lblOffset val="100"/>
        <c:noMultiLvlLbl val="0"/>
      </c:catAx>
      <c:valAx>
        <c:axId val="4966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503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30</xdr:row>
      <xdr:rowOff>0</xdr:rowOff>
    </xdr:from>
    <xdr:to>
      <xdr:col>11</xdr:col>
      <xdr:colOff>600074</xdr:colOff>
      <xdr:row>41</xdr:row>
      <xdr:rowOff>66675</xdr:rowOff>
    </xdr:to>
    <xdr:graphicFrame>
      <xdr:nvGraphicFramePr>
        <xdr:cNvPr id="2" name="グラフ 1"/>
        <xdr:cNvGraphicFramePr/>
      </xdr:nvGraphicFramePr>
      <xdr:xfrm>
        <a:off x="0" y="5505450"/>
        <a:ext cx="9154160" cy="207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41</xdr:row>
      <xdr:rowOff>0</xdr:rowOff>
    </xdr:from>
    <xdr:to>
      <xdr:col>13</xdr:col>
      <xdr:colOff>0</xdr:colOff>
      <xdr:row>52</xdr:row>
      <xdr:rowOff>123825</xdr:rowOff>
    </xdr:to>
    <xdr:graphicFrame>
      <xdr:nvGraphicFramePr>
        <xdr:cNvPr id="2" name="グラフ 1"/>
        <xdr:cNvGraphicFramePr/>
      </xdr:nvGraphicFramePr>
      <xdr:xfrm>
        <a:off x="0" y="7366000"/>
        <a:ext cx="17627600" cy="207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40</xdr:row>
      <xdr:rowOff>95250</xdr:rowOff>
    </xdr:from>
    <xdr:to>
      <xdr:col>11</xdr:col>
      <xdr:colOff>380999</xdr:colOff>
      <xdr:row>51</xdr:row>
      <xdr:rowOff>219075</xdr:rowOff>
    </xdr:to>
    <xdr:graphicFrame>
      <xdr:nvGraphicFramePr>
        <xdr:cNvPr id="2" name="グラフ 1"/>
        <xdr:cNvGraphicFramePr/>
      </xdr:nvGraphicFramePr>
      <xdr:xfrm>
        <a:off x="0" y="7283450"/>
        <a:ext cx="7964805" cy="2038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40</xdr:row>
      <xdr:rowOff>95250</xdr:rowOff>
    </xdr:from>
    <xdr:to>
      <xdr:col>11</xdr:col>
      <xdr:colOff>380999</xdr:colOff>
      <xdr:row>51</xdr:row>
      <xdr:rowOff>219075</xdr:rowOff>
    </xdr:to>
    <xdr:graphicFrame>
      <xdr:nvGraphicFramePr>
        <xdr:cNvPr id="2" name="グラフ 1"/>
        <xdr:cNvGraphicFramePr/>
      </xdr:nvGraphicFramePr>
      <xdr:xfrm>
        <a:off x="0" y="7283450"/>
        <a:ext cx="17703165" cy="2038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4761</xdr:colOff>
      <xdr:row>40</xdr:row>
      <xdr:rowOff>219075</xdr:rowOff>
    </xdr:from>
    <xdr:to>
      <xdr:col>13</xdr:col>
      <xdr:colOff>9524</xdr:colOff>
      <xdr:row>52</xdr:row>
      <xdr:rowOff>104775</xdr:rowOff>
    </xdr:to>
    <xdr:graphicFrame>
      <xdr:nvGraphicFramePr>
        <xdr:cNvPr id="2" name="グラフ 1"/>
        <xdr:cNvGraphicFramePr/>
      </xdr:nvGraphicFramePr>
      <xdr:xfrm>
        <a:off x="4445" y="7401560"/>
        <a:ext cx="10550525" cy="2060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4761</xdr:colOff>
      <xdr:row>40</xdr:row>
      <xdr:rowOff>219075</xdr:rowOff>
    </xdr:from>
    <xdr:to>
      <xdr:col>13</xdr:col>
      <xdr:colOff>9524</xdr:colOff>
      <xdr:row>52</xdr:row>
      <xdr:rowOff>104775</xdr:rowOff>
    </xdr:to>
    <xdr:graphicFrame>
      <xdr:nvGraphicFramePr>
        <xdr:cNvPr id="2" name="グラフ 1"/>
        <xdr:cNvGraphicFramePr/>
      </xdr:nvGraphicFramePr>
      <xdr:xfrm>
        <a:off x="4445" y="7401560"/>
        <a:ext cx="10550525" cy="2060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22860</xdr:colOff>
      <xdr:row>43</xdr:row>
      <xdr:rowOff>67310</xdr:rowOff>
    </xdr:from>
    <xdr:to>
      <xdr:col>11</xdr:col>
      <xdr:colOff>558800</xdr:colOff>
      <xdr:row>59</xdr:row>
      <xdr:rowOff>3810</xdr:rowOff>
    </xdr:to>
    <xdr:graphicFrame>
      <xdr:nvGraphicFramePr>
        <xdr:cNvPr id="2" name="Chart 1"/>
        <xdr:cNvGraphicFramePr/>
      </xdr:nvGraphicFramePr>
      <xdr:xfrm>
        <a:off x="22860" y="7798435"/>
        <a:ext cx="9711690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12700</xdr:colOff>
      <xdr:row>38</xdr:row>
      <xdr:rowOff>22860</xdr:rowOff>
    </xdr:from>
    <xdr:to>
      <xdr:col>10</xdr:col>
      <xdr:colOff>678180</xdr:colOff>
      <xdr:row>54</xdr:row>
      <xdr:rowOff>60325</xdr:rowOff>
    </xdr:to>
    <xdr:graphicFrame>
      <xdr:nvGraphicFramePr>
        <xdr:cNvPr id="2" name="Chart 1"/>
        <xdr:cNvGraphicFramePr/>
      </xdr:nvGraphicFramePr>
      <xdr:xfrm>
        <a:off x="12700" y="6855460"/>
        <a:ext cx="8173720" cy="2882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12700</xdr:colOff>
      <xdr:row>45</xdr:row>
      <xdr:rowOff>35560</xdr:rowOff>
    </xdr:from>
    <xdr:to>
      <xdr:col>10</xdr:col>
      <xdr:colOff>292100</xdr:colOff>
      <xdr:row>62</xdr:row>
      <xdr:rowOff>12065</xdr:rowOff>
    </xdr:to>
    <xdr:graphicFrame>
      <xdr:nvGraphicFramePr>
        <xdr:cNvPr id="2" name="Chart 1"/>
        <xdr:cNvGraphicFramePr/>
      </xdr:nvGraphicFramePr>
      <xdr:xfrm>
        <a:off x="12700" y="8169910"/>
        <a:ext cx="7711440" cy="2999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12700</xdr:colOff>
      <xdr:row>45</xdr:row>
      <xdr:rowOff>12700</xdr:rowOff>
    </xdr:from>
    <xdr:to>
      <xdr:col>11</xdr:col>
      <xdr:colOff>15875</xdr:colOff>
      <xdr:row>60</xdr:row>
      <xdr:rowOff>154940</xdr:rowOff>
    </xdr:to>
    <xdr:graphicFrame>
      <xdr:nvGraphicFramePr>
        <xdr:cNvPr id="2" name="Chart 1"/>
        <xdr:cNvGraphicFramePr/>
      </xdr:nvGraphicFramePr>
      <xdr:xfrm>
        <a:off x="12700" y="8108950"/>
        <a:ext cx="7633335" cy="280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30</xdr:row>
      <xdr:rowOff>0</xdr:rowOff>
    </xdr:from>
    <xdr:to>
      <xdr:col>11</xdr:col>
      <xdr:colOff>600074</xdr:colOff>
      <xdr:row>41</xdr:row>
      <xdr:rowOff>66675</xdr:rowOff>
    </xdr:to>
    <xdr:graphicFrame>
      <xdr:nvGraphicFramePr>
        <xdr:cNvPr id="2" name="グラフ 1"/>
        <xdr:cNvGraphicFramePr/>
      </xdr:nvGraphicFramePr>
      <xdr:xfrm>
        <a:off x="0" y="5505450"/>
        <a:ext cx="17597120" cy="207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43</xdr:row>
      <xdr:rowOff>9525</xdr:rowOff>
    </xdr:from>
    <xdr:to>
      <xdr:col>12</xdr:col>
      <xdr:colOff>9524</xdr:colOff>
      <xdr:row>54</xdr:row>
      <xdr:rowOff>133350</xdr:rowOff>
    </xdr:to>
    <xdr:graphicFrame>
      <xdr:nvGraphicFramePr>
        <xdr:cNvPr id="2" name="グラフ 1"/>
        <xdr:cNvGraphicFramePr/>
      </xdr:nvGraphicFramePr>
      <xdr:xfrm>
        <a:off x="0" y="7731125"/>
        <a:ext cx="7202170" cy="207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43</xdr:row>
      <xdr:rowOff>9525</xdr:rowOff>
    </xdr:from>
    <xdr:to>
      <xdr:col>12</xdr:col>
      <xdr:colOff>9524</xdr:colOff>
      <xdr:row>54</xdr:row>
      <xdr:rowOff>133350</xdr:rowOff>
    </xdr:to>
    <xdr:graphicFrame>
      <xdr:nvGraphicFramePr>
        <xdr:cNvPr id="2" name="グラフ 1"/>
        <xdr:cNvGraphicFramePr/>
      </xdr:nvGraphicFramePr>
      <xdr:xfrm>
        <a:off x="0" y="7731125"/>
        <a:ext cx="18662650" cy="207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41</xdr:row>
      <xdr:rowOff>9525</xdr:rowOff>
    </xdr:from>
    <xdr:to>
      <xdr:col>11</xdr:col>
      <xdr:colOff>390525</xdr:colOff>
      <xdr:row>52</xdr:row>
      <xdr:rowOff>133350</xdr:rowOff>
    </xdr:to>
    <xdr:graphicFrame>
      <xdr:nvGraphicFramePr>
        <xdr:cNvPr id="2" name="グラフ 1"/>
        <xdr:cNvGraphicFramePr/>
      </xdr:nvGraphicFramePr>
      <xdr:xfrm>
        <a:off x="0" y="7375525"/>
        <a:ext cx="8914765" cy="207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41</xdr:row>
      <xdr:rowOff>9525</xdr:rowOff>
    </xdr:from>
    <xdr:to>
      <xdr:col>11</xdr:col>
      <xdr:colOff>390525</xdr:colOff>
      <xdr:row>52</xdr:row>
      <xdr:rowOff>133350</xdr:rowOff>
    </xdr:to>
    <xdr:graphicFrame>
      <xdr:nvGraphicFramePr>
        <xdr:cNvPr id="2" name="グラフ 1"/>
        <xdr:cNvGraphicFramePr/>
      </xdr:nvGraphicFramePr>
      <xdr:xfrm>
        <a:off x="0" y="7375525"/>
        <a:ext cx="17256125" cy="207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42</xdr:row>
      <xdr:rowOff>19050</xdr:rowOff>
    </xdr:from>
    <xdr:to>
      <xdr:col>12</xdr:col>
      <xdr:colOff>895350</xdr:colOff>
      <xdr:row>53</xdr:row>
      <xdr:rowOff>142875</xdr:rowOff>
    </xdr:to>
    <xdr:graphicFrame>
      <xdr:nvGraphicFramePr>
        <xdr:cNvPr id="2" name="グラフ 1"/>
        <xdr:cNvGraphicFramePr/>
      </xdr:nvGraphicFramePr>
      <xdr:xfrm>
        <a:off x="0" y="7562850"/>
        <a:ext cx="9754870" cy="207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42</xdr:row>
      <xdr:rowOff>19050</xdr:rowOff>
    </xdr:from>
    <xdr:to>
      <xdr:col>12</xdr:col>
      <xdr:colOff>895350</xdr:colOff>
      <xdr:row>53</xdr:row>
      <xdr:rowOff>142875</xdr:rowOff>
    </xdr:to>
    <xdr:graphicFrame>
      <xdr:nvGraphicFramePr>
        <xdr:cNvPr id="2" name="グラフ 1"/>
        <xdr:cNvGraphicFramePr/>
      </xdr:nvGraphicFramePr>
      <xdr:xfrm>
        <a:off x="0" y="7562850"/>
        <a:ext cx="18228310" cy="207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41</xdr:row>
      <xdr:rowOff>0</xdr:rowOff>
    </xdr:from>
    <xdr:to>
      <xdr:col>13</xdr:col>
      <xdr:colOff>0</xdr:colOff>
      <xdr:row>52</xdr:row>
      <xdr:rowOff>123825</xdr:rowOff>
    </xdr:to>
    <xdr:graphicFrame>
      <xdr:nvGraphicFramePr>
        <xdr:cNvPr id="2" name="グラフ 1"/>
        <xdr:cNvGraphicFramePr/>
      </xdr:nvGraphicFramePr>
      <xdr:xfrm>
        <a:off x="0" y="7366000"/>
        <a:ext cx="11318240" cy="207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43"/>
  <sheetViews>
    <sheetView workbookViewId="0">
      <selection activeCell="L27" sqref="L27"/>
    </sheetView>
  </sheetViews>
  <sheetFormatPr defaultColWidth="9" defaultRowHeight="14"/>
  <cols>
    <col min="1" max="1" width="12.375" customWidth="1"/>
    <col min="2" max="2" width="11" customWidth="1"/>
    <col min="3" max="3" width="12.375" customWidth="1"/>
    <col min="5" max="5" width="10.5" customWidth="1"/>
    <col min="6" max="7" width="6.5" customWidth="1"/>
    <col min="8" max="8" width="9.5" customWidth="1"/>
    <col min="11" max="11" width="9.5" customWidth="1"/>
    <col min="12" max="12" width="8" customWidth="1"/>
    <col min="13" max="13" width="2.5" customWidth="1"/>
    <col min="14" max="14" width="15.375" customWidth="1"/>
    <col min="15" max="15" width="10.25" customWidth="1"/>
    <col min="16" max="16" width="2.75" customWidth="1"/>
    <col min="17" max="17" width="15.375" customWidth="1"/>
    <col min="18" max="18" width="10.25" customWidth="1"/>
  </cols>
  <sheetData>
    <row r="1" ht="14.75" spans="1:1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ht="14.75" spans="1:15">
      <c r="A2" s="37" t="s">
        <v>1</v>
      </c>
      <c r="B2" s="38" t="s">
        <v>2</v>
      </c>
      <c r="C2" s="38" t="s">
        <v>3</v>
      </c>
      <c r="D2" s="38" t="s">
        <v>4</v>
      </c>
      <c r="E2" s="38" t="s">
        <v>5</v>
      </c>
      <c r="F2" s="38" t="s">
        <v>6</v>
      </c>
      <c r="G2" s="38" t="s">
        <v>7</v>
      </c>
      <c r="H2" s="38" t="s">
        <v>8</v>
      </c>
      <c r="I2" s="38" t="s">
        <v>9</v>
      </c>
      <c r="J2" s="38" t="s">
        <v>10</v>
      </c>
      <c r="K2" s="38" t="s">
        <v>11</v>
      </c>
      <c r="L2" s="46" t="s">
        <v>12</v>
      </c>
      <c r="N2" s="107" t="s">
        <v>13</v>
      </c>
      <c r="O2" s="107"/>
    </row>
    <row r="3" spans="1:15">
      <c r="A3" s="41">
        <v>101</v>
      </c>
      <c r="B3" s="40" t="s">
        <v>14</v>
      </c>
      <c r="C3" s="40" t="str">
        <f t="shared" ref="C3:C11" si="0">VLOOKUP(A3,$N$4:$O$6,2,1)&amp;"チーム"</f>
        <v>営業Aチーム</v>
      </c>
      <c r="D3" s="74">
        <v>370</v>
      </c>
      <c r="E3" s="74">
        <v>5967</v>
      </c>
      <c r="F3" s="74">
        <f t="shared" ref="F3:F11" si="1">ROUNDUP(D3/$O$9*100,0)</f>
        <v>99</v>
      </c>
      <c r="G3" s="74">
        <f t="shared" ref="G3:G11" si="2">ROUNDUP(E3/$O$10*100,0)</f>
        <v>102</v>
      </c>
      <c r="H3" s="74">
        <f t="shared" ref="H3:H11" si="3">VLOOKUP(F3,$N$14:$O$16,2,1)*F3+VLOOKUP(G3,$N$20:$O$22,2,1)*G3</f>
        <v>144600</v>
      </c>
      <c r="I3" s="74">
        <f>ROUNDUP(H3*13.7%*F3/100,-1)</f>
        <v>19620</v>
      </c>
      <c r="J3" s="74">
        <f t="shared" ref="J3:J11" si="4">ROUNDDOWN(VLOOKUP(G3,$N$26:$O$27,2,1)*H3,-1)</f>
        <v>9830</v>
      </c>
      <c r="K3" s="80">
        <f>H3+I3+J3</f>
        <v>174050</v>
      </c>
      <c r="L3" s="62" t="str">
        <f>IF(AND(D3&lt;=410,K3&gt;=175000),"*","")</f>
        <v/>
      </c>
      <c r="N3" s="37" t="s">
        <v>1</v>
      </c>
      <c r="O3" s="46" t="s">
        <v>15</v>
      </c>
    </row>
    <row r="4" spans="1:15">
      <c r="A4" s="41">
        <v>102</v>
      </c>
      <c r="B4" s="40" t="s">
        <v>16</v>
      </c>
      <c r="C4" s="40" t="str">
        <f t="shared" si="0"/>
        <v>営業Aチーム</v>
      </c>
      <c r="D4" s="74">
        <v>312</v>
      </c>
      <c r="E4" s="74">
        <v>5235</v>
      </c>
      <c r="F4" s="74">
        <f t="shared" si="1"/>
        <v>84</v>
      </c>
      <c r="G4" s="74">
        <f t="shared" si="2"/>
        <v>89</v>
      </c>
      <c r="H4" s="74">
        <f t="shared" si="3"/>
        <v>121690</v>
      </c>
      <c r="I4" s="74">
        <f t="shared" ref="I4:I11" si="5">ROUNDUP(H4*13.7%*F4/100,-1)</f>
        <v>14010</v>
      </c>
      <c r="J4" s="74">
        <f t="shared" si="4"/>
        <v>8270</v>
      </c>
      <c r="K4" s="80">
        <f t="shared" ref="K4:K11" si="6">H4+I4+J4</f>
        <v>143970</v>
      </c>
      <c r="L4" s="62" t="str">
        <f t="shared" ref="L4:L11" si="7">IF(AND(D4&lt;=410,K4&gt;=175000),"*","")</f>
        <v/>
      </c>
      <c r="N4" s="41">
        <v>100</v>
      </c>
      <c r="O4" s="62" t="s">
        <v>17</v>
      </c>
    </row>
    <row r="5" spans="1:15">
      <c r="A5" s="41">
        <v>103</v>
      </c>
      <c r="B5" s="40" t="s">
        <v>18</v>
      </c>
      <c r="C5" s="40" t="str">
        <f t="shared" si="0"/>
        <v>営業Aチーム</v>
      </c>
      <c r="D5" s="74">
        <v>410</v>
      </c>
      <c r="E5" s="74">
        <v>6218</v>
      </c>
      <c r="F5" s="74">
        <f t="shared" si="1"/>
        <v>110</v>
      </c>
      <c r="G5" s="74">
        <f t="shared" si="2"/>
        <v>106</v>
      </c>
      <c r="H5" s="74">
        <f t="shared" si="3"/>
        <v>165460</v>
      </c>
      <c r="I5" s="74">
        <f t="shared" si="5"/>
        <v>24940</v>
      </c>
      <c r="J5" s="74">
        <f t="shared" si="4"/>
        <v>13070</v>
      </c>
      <c r="K5" s="80">
        <f t="shared" si="6"/>
        <v>203470</v>
      </c>
      <c r="L5" s="62" t="str">
        <f t="shared" si="7"/>
        <v>*</v>
      </c>
      <c r="N5" s="41">
        <v>200</v>
      </c>
      <c r="O5" s="62" t="s">
        <v>19</v>
      </c>
    </row>
    <row r="6" ht="14.75" spans="1:15">
      <c r="A6" s="41">
        <v>201</v>
      </c>
      <c r="B6" s="40" t="s">
        <v>20</v>
      </c>
      <c r="C6" s="40" t="str">
        <f t="shared" si="0"/>
        <v>営業Bチーム</v>
      </c>
      <c r="D6" s="74">
        <v>378</v>
      </c>
      <c r="E6" s="74">
        <v>5871</v>
      </c>
      <c r="F6" s="74">
        <f t="shared" si="1"/>
        <v>101</v>
      </c>
      <c r="G6" s="74">
        <f t="shared" si="2"/>
        <v>100</v>
      </c>
      <c r="H6" s="74">
        <f t="shared" si="3"/>
        <v>147790</v>
      </c>
      <c r="I6" s="74">
        <f t="shared" si="5"/>
        <v>20450</v>
      </c>
      <c r="J6" s="74">
        <f t="shared" si="4"/>
        <v>10040</v>
      </c>
      <c r="K6" s="80">
        <f t="shared" si="6"/>
        <v>178280</v>
      </c>
      <c r="L6" s="62" t="str">
        <f t="shared" si="7"/>
        <v>*</v>
      </c>
      <c r="N6" s="42">
        <v>300</v>
      </c>
      <c r="O6" s="63" t="s">
        <v>21</v>
      </c>
    </row>
    <row r="7" spans="1:12">
      <c r="A7" s="41">
        <v>202</v>
      </c>
      <c r="B7" s="40" t="s">
        <v>22</v>
      </c>
      <c r="C7" s="40" t="str">
        <f t="shared" si="0"/>
        <v>営業Bチーム</v>
      </c>
      <c r="D7" s="74">
        <v>387</v>
      </c>
      <c r="E7" s="74">
        <v>6034</v>
      </c>
      <c r="F7" s="74">
        <f t="shared" si="1"/>
        <v>104</v>
      </c>
      <c r="G7" s="74">
        <f t="shared" si="2"/>
        <v>103</v>
      </c>
      <c r="H7" s="74">
        <f t="shared" si="3"/>
        <v>152200</v>
      </c>
      <c r="I7" s="74">
        <f t="shared" si="5"/>
        <v>21690</v>
      </c>
      <c r="J7" s="74">
        <f t="shared" si="4"/>
        <v>12020</v>
      </c>
      <c r="K7" s="80">
        <f t="shared" si="6"/>
        <v>185910</v>
      </c>
      <c r="L7" s="62" t="str">
        <f t="shared" si="7"/>
        <v>*</v>
      </c>
    </row>
    <row r="8" ht="14.75" spans="1:15">
      <c r="A8" s="41">
        <v>203</v>
      </c>
      <c r="B8" s="40" t="s">
        <v>23</v>
      </c>
      <c r="C8" s="40" t="str">
        <f t="shared" si="0"/>
        <v>営業Bチーム</v>
      </c>
      <c r="D8" s="74">
        <v>345</v>
      </c>
      <c r="E8" s="74">
        <v>5246</v>
      </c>
      <c r="F8" s="74">
        <f t="shared" si="1"/>
        <v>92</v>
      </c>
      <c r="G8" s="74">
        <f t="shared" si="2"/>
        <v>89</v>
      </c>
      <c r="H8" s="74">
        <f t="shared" si="3"/>
        <v>127770</v>
      </c>
      <c r="I8" s="74">
        <f t="shared" si="5"/>
        <v>16110</v>
      </c>
      <c r="J8" s="74">
        <f t="shared" si="4"/>
        <v>8680</v>
      </c>
      <c r="K8" s="80">
        <f t="shared" si="6"/>
        <v>152560</v>
      </c>
      <c r="L8" s="62" t="str">
        <f t="shared" si="7"/>
        <v/>
      </c>
      <c r="N8" s="107" t="s">
        <v>24</v>
      </c>
      <c r="O8" s="107"/>
    </row>
    <row r="9" spans="1:15">
      <c r="A9" s="41">
        <v>301</v>
      </c>
      <c r="B9" s="40" t="s">
        <v>25</v>
      </c>
      <c r="C9" s="40" t="str">
        <f t="shared" si="0"/>
        <v>営業Cチーム</v>
      </c>
      <c r="D9" s="74">
        <v>372</v>
      </c>
      <c r="E9" s="74">
        <v>5630</v>
      </c>
      <c r="F9" s="74">
        <f t="shared" si="1"/>
        <v>100</v>
      </c>
      <c r="G9" s="74">
        <f t="shared" si="2"/>
        <v>96</v>
      </c>
      <c r="H9" s="74">
        <f t="shared" si="3"/>
        <v>141400</v>
      </c>
      <c r="I9" s="74">
        <f t="shared" si="5"/>
        <v>19380</v>
      </c>
      <c r="J9" s="74">
        <f t="shared" si="4"/>
        <v>9610</v>
      </c>
      <c r="K9" s="80">
        <f t="shared" si="6"/>
        <v>170390</v>
      </c>
      <c r="L9" s="62" t="str">
        <f t="shared" si="7"/>
        <v/>
      </c>
      <c r="N9" s="71" t="s">
        <v>26</v>
      </c>
      <c r="O9" s="78">
        <v>375</v>
      </c>
    </row>
    <row r="10" ht="14.75" spans="1:15">
      <c r="A10" s="41">
        <v>302</v>
      </c>
      <c r="B10" s="40" t="s">
        <v>27</v>
      </c>
      <c r="C10" s="40" t="str">
        <f t="shared" si="0"/>
        <v>営業Cチーム</v>
      </c>
      <c r="D10" s="74">
        <v>391</v>
      </c>
      <c r="E10" s="74">
        <v>6258</v>
      </c>
      <c r="F10" s="74">
        <f t="shared" si="1"/>
        <v>105</v>
      </c>
      <c r="G10" s="74">
        <f t="shared" si="2"/>
        <v>107</v>
      </c>
      <c r="H10" s="74">
        <f t="shared" si="3"/>
        <v>162070</v>
      </c>
      <c r="I10" s="74">
        <f t="shared" si="5"/>
        <v>23320</v>
      </c>
      <c r="J10" s="74">
        <f t="shared" si="4"/>
        <v>12800</v>
      </c>
      <c r="K10" s="80">
        <f t="shared" si="6"/>
        <v>198190</v>
      </c>
      <c r="L10" s="62" t="str">
        <f t="shared" si="7"/>
        <v>*</v>
      </c>
      <c r="N10" s="42" t="s">
        <v>28</v>
      </c>
      <c r="O10" s="77">
        <v>5900</v>
      </c>
    </row>
    <row r="11" spans="1:12">
      <c r="A11" s="41">
        <v>303</v>
      </c>
      <c r="B11" s="40" t="s">
        <v>29</v>
      </c>
      <c r="C11" s="40" t="str">
        <f t="shared" si="0"/>
        <v>営業Cチーム</v>
      </c>
      <c r="D11" s="74">
        <v>416</v>
      </c>
      <c r="E11" s="74">
        <v>6173</v>
      </c>
      <c r="F11" s="74">
        <f t="shared" si="1"/>
        <v>111</v>
      </c>
      <c r="G11" s="74">
        <f t="shared" si="2"/>
        <v>105</v>
      </c>
      <c r="H11" s="74">
        <f t="shared" si="3"/>
        <v>165570</v>
      </c>
      <c r="I11" s="74">
        <f t="shared" si="5"/>
        <v>25180</v>
      </c>
      <c r="J11" s="74">
        <f t="shared" si="4"/>
        <v>13080</v>
      </c>
      <c r="K11" s="80">
        <f t="shared" si="6"/>
        <v>203830</v>
      </c>
      <c r="L11" s="62" t="str">
        <f t="shared" si="7"/>
        <v/>
      </c>
    </row>
    <row r="12" ht="14.75" spans="1:15">
      <c r="A12" s="41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62"/>
      <c r="N12" s="107" t="s">
        <v>30</v>
      </c>
      <c r="O12" s="107"/>
    </row>
    <row r="13" ht="14.75" spans="1:15">
      <c r="A13" s="42"/>
      <c r="B13" s="44" t="s">
        <v>31</v>
      </c>
      <c r="C13" s="43"/>
      <c r="D13" s="83">
        <f>SUM(D3:D11)</f>
        <v>3381</v>
      </c>
      <c r="E13" s="83">
        <f t="shared" ref="E13:K13" si="8">SUM(E3:E11)</f>
        <v>52632</v>
      </c>
      <c r="F13" s="83">
        <f t="shared" si="8"/>
        <v>906</v>
      </c>
      <c r="G13" s="83">
        <f t="shared" si="8"/>
        <v>897</v>
      </c>
      <c r="H13" s="83">
        <f t="shared" si="8"/>
        <v>1328550</v>
      </c>
      <c r="I13" s="83">
        <f t="shared" si="8"/>
        <v>184700</v>
      </c>
      <c r="J13" s="83">
        <f t="shared" si="8"/>
        <v>97400</v>
      </c>
      <c r="K13" s="83">
        <f t="shared" si="8"/>
        <v>1610650</v>
      </c>
      <c r="L13" s="63"/>
      <c r="N13" s="37" t="s">
        <v>6</v>
      </c>
      <c r="O13" s="46" t="s">
        <v>32</v>
      </c>
    </row>
    <row r="14" spans="14:15">
      <c r="N14" s="41">
        <v>1</v>
      </c>
      <c r="O14" s="62">
        <v>760</v>
      </c>
    </row>
    <row r="15" ht="14.75" spans="1:15">
      <c r="A15" s="106" t="s">
        <v>33</v>
      </c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N15" s="41">
        <v>100</v>
      </c>
      <c r="O15" s="62">
        <v>790</v>
      </c>
    </row>
    <row r="16" ht="14.75" spans="1:15">
      <c r="A16" s="37" t="s">
        <v>1</v>
      </c>
      <c r="B16" s="38" t="s">
        <v>2</v>
      </c>
      <c r="C16" s="38" t="s">
        <v>3</v>
      </c>
      <c r="D16" s="38" t="s">
        <v>4</v>
      </c>
      <c r="E16" s="38" t="s">
        <v>5</v>
      </c>
      <c r="F16" s="38" t="s">
        <v>6</v>
      </c>
      <c r="G16" s="38" t="s">
        <v>7</v>
      </c>
      <c r="H16" s="38" t="s">
        <v>8</v>
      </c>
      <c r="I16" s="38" t="s">
        <v>9</v>
      </c>
      <c r="J16" s="38" t="s">
        <v>10</v>
      </c>
      <c r="K16" s="38" t="s">
        <v>11</v>
      </c>
      <c r="L16" s="46" t="s">
        <v>12</v>
      </c>
      <c r="N16" s="42">
        <v>105</v>
      </c>
      <c r="O16" s="63">
        <v>820</v>
      </c>
    </row>
    <row r="17" spans="1:12">
      <c r="A17" s="41">
        <v>301</v>
      </c>
      <c r="B17" s="40" t="s">
        <v>25</v>
      </c>
      <c r="C17" s="40" t="s">
        <v>34</v>
      </c>
      <c r="D17" s="74">
        <v>372</v>
      </c>
      <c r="E17" s="74">
        <v>5630</v>
      </c>
      <c r="F17" s="74">
        <v>100</v>
      </c>
      <c r="G17" s="74">
        <v>96</v>
      </c>
      <c r="H17" s="74">
        <v>141400</v>
      </c>
      <c r="I17" s="74">
        <v>19380</v>
      </c>
      <c r="J17" s="74">
        <v>9610</v>
      </c>
      <c r="K17" s="80">
        <v>170390</v>
      </c>
      <c r="L17" s="62" t="s">
        <v>35</v>
      </c>
    </row>
    <row r="18" ht="14.75" spans="1:15">
      <c r="A18" s="41">
        <v>101</v>
      </c>
      <c r="B18" s="40" t="s">
        <v>14</v>
      </c>
      <c r="C18" s="40" t="s">
        <v>36</v>
      </c>
      <c r="D18" s="74">
        <v>370</v>
      </c>
      <c r="E18" s="74">
        <v>5967</v>
      </c>
      <c r="F18" s="74">
        <v>99</v>
      </c>
      <c r="G18" s="74">
        <v>102</v>
      </c>
      <c r="H18" s="74">
        <v>144600</v>
      </c>
      <c r="I18" s="74">
        <v>19620</v>
      </c>
      <c r="J18" s="74">
        <v>9830</v>
      </c>
      <c r="K18" s="80">
        <v>174050</v>
      </c>
      <c r="L18" s="62" t="s">
        <v>35</v>
      </c>
      <c r="N18" s="107" t="s">
        <v>37</v>
      </c>
      <c r="O18" s="107"/>
    </row>
    <row r="19" spans="1:15">
      <c r="A19" s="41">
        <v>201</v>
      </c>
      <c r="B19" s="40" t="s">
        <v>20</v>
      </c>
      <c r="C19" s="40" t="s">
        <v>38</v>
      </c>
      <c r="D19" s="74">
        <v>378</v>
      </c>
      <c r="E19" s="74">
        <v>5871</v>
      </c>
      <c r="F19" s="74">
        <v>101</v>
      </c>
      <c r="G19" s="74">
        <v>100</v>
      </c>
      <c r="H19" s="74">
        <v>147790</v>
      </c>
      <c r="I19" s="74">
        <v>20450</v>
      </c>
      <c r="J19" s="74">
        <v>10040</v>
      </c>
      <c r="K19" s="80">
        <v>178280</v>
      </c>
      <c r="L19" s="62" t="s">
        <v>39</v>
      </c>
      <c r="N19" s="37" t="s">
        <v>7</v>
      </c>
      <c r="O19" s="46" t="s">
        <v>40</v>
      </c>
    </row>
    <row r="20" spans="1:15">
      <c r="A20" s="41">
        <v>202</v>
      </c>
      <c r="B20" s="40" t="s">
        <v>22</v>
      </c>
      <c r="C20" s="40" t="s">
        <v>38</v>
      </c>
      <c r="D20" s="74">
        <v>387</v>
      </c>
      <c r="E20" s="74">
        <v>6034</v>
      </c>
      <c r="F20" s="74">
        <v>104</v>
      </c>
      <c r="G20" s="74">
        <v>103</v>
      </c>
      <c r="H20" s="74">
        <v>152200</v>
      </c>
      <c r="I20" s="74">
        <v>21690</v>
      </c>
      <c r="J20" s="74">
        <v>12020</v>
      </c>
      <c r="K20" s="80">
        <v>185910</v>
      </c>
      <c r="L20" s="62" t="s">
        <v>39</v>
      </c>
      <c r="N20" s="41">
        <v>1</v>
      </c>
      <c r="O20" s="62">
        <v>650</v>
      </c>
    </row>
    <row r="21" spans="1:15">
      <c r="A21" s="41">
        <v>302</v>
      </c>
      <c r="B21" s="40" t="s">
        <v>27</v>
      </c>
      <c r="C21" s="40" t="s">
        <v>34</v>
      </c>
      <c r="D21" s="74">
        <v>391</v>
      </c>
      <c r="E21" s="74">
        <v>6258</v>
      </c>
      <c r="F21" s="74">
        <v>105</v>
      </c>
      <c r="G21" s="74">
        <v>107</v>
      </c>
      <c r="H21" s="74">
        <v>162070</v>
      </c>
      <c r="I21" s="74">
        <v>23320</v>
      </c>
      <c r="J21" s="74">
        <v>12800</v>
      </c>
      <c r="K21" s="80">
        <v>198190</v>
      </c>
      <c r="L21" s="62" t="s">
        <v>39</v>
      </c>
      <c r="N21" s="41">
        <v>100</v>
      </c>
      <c r="O21" s="62">
        <v>680</v>
      </c>
    </row>
    <row r="22" ht="14.75" spans="1:15">
      <c r="A22" s="41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62"/>
      <c r="N22" s="42">
        <v>105</v>
      </c>
      <c r="O22" s="63">
        <v>710</v>
      </c>
    </row>
    <row r="23" ht="14.75" spans="1:12">
      <c r="A23" s="42"/>
      <c r="B23" s="44" t="s">
        <v>31</v>
      </c>
      <c r="C23" s="43"/>
      <c r="D23" s="83">
        <f>SUM(D17:D21)</f>
        <v>1898</v>
      </c>
      <c r="E23" s="83">
        <f t="shared" ref="E23:K23" si="9">SUM(E17:E21)</f>
        <v>29760</v>
      </c>
      <c r="F23" s="83">
        <f t="shared" si="9"/>
        <v>509</v>
      </c>
      <c r="G23" s="83">
        <f t="shared" si="9"/>
        <v>508</v>
      </c>
      <c r="H23" s="83">
        <f t="shared" si="9"/>
        <v>748060</v>
      </c>
      <c r="I23" s="83">
        <f t="shared" si="9"/>
        <v>104460</v>
      </c>
      <c r="J23" s="83">
        <f t="shared" si="9"/>
        <v>54300</v>
      </c>
      <c r="K23" s="83">
        <f t="shared" si="9"/>
        <v>906820</v>
      </c>
      <c r="L23" s="63"/>
    </row>
    <row r="24" ht="14.75" spans="14:15">
      <c r="N24" s="107" t="s">
        <v>41</v>
      </c>
      <c r="O24" s="107"/>
    </row>
    <row r="25" ht="14.75" spans="1:15">
      <c r="A25" s="36" t="s">
        <v>42</v>
      </c>
      <c r="B25" s="36"/>
      <c r="C25" s="36"/>
      <c r="D25" s="36"/>
      <c r="N25" s="37" t="s">
        <v>7</v>
      </c>
      <c r="O25" s="46" t="s">
        <v>10</v>
      </c>
    </row>
    <row r="26" ht="14.75" spans="1:15">
      <c r="A26" s="37" t="s">
        <v>3</v>
      </c>
      <c r="B26" s="38" t="s">
        <v>4</v>
      </c>
      <c r="C26" s="38" t="s">
        <v>9</v>
      </c>
      <c r="D26" s="46" t="s">
        <v>10</v>
      </c>
      <c r="N26" s="41">
        <v>1</v>
      </c>
      <c r="O26" s="108">
        <v>0.068</v>
      </c>
    </row>
    <row r="27" ht="14.75" spans="1:15">
      <c r="A27" s="41" t="s">
        <v>36</v>
      </c>
      <c r="B27" s="74">
        <f>DSUM(社員別賃金一覧表1,B$26,$N$29:$N$30)</f>
        <v>1092</v>
      </c>
      <c r="C27" s="74">
        <f>DSUM(社員別賃金一覧表1,C$26,$N$29:$N$30)</f>
        <v>58570</v>
      </c>
      <c r="D27" s="75">
        <f>DSUM(社員別賃金一覧表1,D$26,$N$29:$N$30)</f>
        <v>31170</v>
      </c>
      <c r="F27" s="104" t="s">
        <v>43</v>
      </c>
      <c r="G27" s="105"/>
      <c r="H27" s="105"/>
      <c r="I27" s="105"/>
      <c r="J27" s="105"/>
      <c r="K27" s="105"/>
      <c r="L27" s="84">
        <f>DSUM(社員別賃金一覧表1,K16,N36:O37)</f>
        <v>562380</v>
      </c>
      <c r="N27" s="42">
        <v>103</v>
      </c>
      <c r="O27" s="109">
        <v>0.079</v>
      </c>
    </row>
    <row r="28" ht="14.75" spans="1:12">
      <c r="A28" s="41" t="s">
        <v>38</v>
      </c>
      <c r="B28" s="74">
        <f>DSUM(社員別賃金一覧表1,B$26,$N$31:$N$32)</f>
        <v>1110</v>
      </c>
      <c r="C28" s="74">
        <f>DSUM(社員別賃金一覧表1,C$26,$N$31:$N$32)</f>
        <v>58250</v>
      </c>
      <c r="D28" s="75">
        <f>DSUM(社員別賃金一覧表1,D$26,$N$31:$N$32)</f>
        <v>30740</v>
      </c>
      <c r="F28" s="53" t="s">
        <v>44</v>
      </c>
      <c r="G28" s="54"/>
      <c r="H28" s="54"/>
      <c r="I28" s="54"/>
      <c r="J28" s="54"/>
      <c r="K28" s="54"/>
      <c r="L28" s="62">
        <f>DCOUNTA(社員別賃金一覧表1,C2,N39:O40)</f>
        <v>5</v>
      </c>
    </row>
    <row r="29" ht="14.75" spans="1:14">
      <c r="A29" s="42" t="s">
        <v>34</v>
      </c>
      <c r="B29" s="76">
        <f>DSUM(社員別賃金一覧表1,B$26,$N$33:$N$34)</f>
        <v>1179</v>
      </c>
      <c r="C29" s="76">
        <f>DSUM(社員別賃金一覧表1,C$26,$N$33:$N$34)</f>
        <v>67880</v>
      </c>
      <c r="D29" s="77">
        <f>DSUM(社員別賃金一覧表1,D$26,$N$33:$N$34)</f>
        <v>35490</v>
      </c>
      <c r="F29" s="55" t="s">
        <v>45</v>
      </c>
      <c r="G29" s="56"/>
      <c r="H29" s="56"/>
      <c r="I29" s="56"/>
      <c r="J29" s="56"/>
      <c r="K29" s="56"/>
      <c r="L29" s="77">
        <f>DMAX(社員別賃金一覧表1,I2,N42:N43)</f>
        <v>25180</v>
      </c>
      <c r="N29" s="110" t="s">
        <v>3</v>
      </c>
    </row>
    <row r="30" spans="14:14">
      <c r="N30" s="111" t="s">
        <v>36</v>
      </c>
    </row>
    <row r="31" spans="14:14">
      <c r="N31" s="111" t="s">
        <v>3</v>
      </c>
    </row>
    <row r="32" spans="14:14">
      <c r="N32" s="111" t="s">
        <v>38</v>
      </c>
    </row>
    <row r="33" spans="14:14">
      <c r="N33" s="111" t="s">
        <v>3</v>
      </c>
    </row>
    <row r="34" ht="14.75" spans="14:14">
      <c r="N34" s="112" t="s">
        <v>34</v>
      </c>
    </row>
    <row r="35" ht="14.75"/>
    <row r="36" spans="14:15">
      <c r="N36" s="71" t="s">
        <v>6</v>
      </c>
      <c r="O36" s="78" t="s">
        <v>6</v>
      </c>
    </row>
    <row r="37" ht="14.75" spans="14:15">
      <c r="N37" s="42" t="s">
        <v>46</v>
      </c>
      <c r="O37" s="63" t="s">
        <v>47</v>
      </c>
    </row>
    <row r="38" ht="14.75"/>
    <row r="39" spans="14:15">
      <c r="N39" s="71" t="s">
        <v>3</v>
      </c>
      <c r="O39" s="78" t="s">
        <v>8</v>
      </c>
    </row>
    <row r="40" ht="14.75" spans="14:15">
      <c r="N40" s="42" t="s">
        <v>48</v>
      </c>
      <c r="O40" s="63" t="s">
        <v>49</v>
      </c>
    </row>
    <row r="41" ht="14.75"/>
    <row r="42" spans="14:14">
      <c r="N42" s="110" t="s">
        <v>7</v>
      </c>
    </row>
    <row r="43" ht="14.75" spans="14:14">
      <c r="N43" s="112" t="s">
        <v>50</v>
      </c>
    </row>
  </sheetData>
  <sortState ref="A17:L21">
    <sortCondition ref="K16"/>
  </sortState>
  <mergeCells count="11">
    <mergeCell ref="A1:L1"/>
    <mergeCell ref="N2:O2"/>
    <mergeCell ref="N8:O8"/>
    <mergeCell ref="N12:O12"/>
    <mergeCell ref="A15:L15"/>
    <mergeCell ref="N18:O18"/>
    <mergeCell ref="N24:O24"/>
    <mergeCell ref="A25:D25"/>
    <mergeCell ref="F27:K27"/>
    <mergeCell ref="F28:K28"/>
    <mergeCell ref="F29:K29"/>
  </mergeCells>
  <pageMargins left="0.25" right="0.25" top="0.75" bottom="0.75" header="0.3" footer="0.3"/>
  <pageSetup paperSize="9" scale="64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39"/>
  <sheetViews>
    <sheetView showFormulas="1" topLeftCell="G1" workbookViewId="0">
      <selection activeCell="J12" sqref="J12"/>
    </sheetView>
  </sheetViews>
  <sheetFormatPr defaultColWidth="9" defaultRowHeight="14"/>
  <cols>
    <col min="1" max="1" width="6.625" customWidth="1"/>
    <col min="2" max="4" width="23.5" customWidth="1"/>
    <col min="5" max="5" width="24.375" customWidth="1"/>
    <col min="6" max="6" width="8.125" customWidth="1"/>
    <col min="7" max="7" width="8.375" customWidth="1"/>
    <col min="8" max="8" width="13.875" customWidth="1"/>
    <col min="9" max="9" width="13.75" customWidth="1"/>
    <col min="10" max="10" width="15.5" customWidth="1"/>
    <col min="11" max="11" width="20.75" customWidth="1"/>
    <col min="12" max="12" width="9.875" customWidth="1"/>
    <col min="13" max="13" width="25.125" customWidth="1"/>
    <col min="14" max="14" width="5" customWidth="1"/>
    <col min="15" max="15" width="6.625" customWidth="1"/>
    <col min="16" max="17" width="5.75" customWidth="1"/>
  </cols>
  <sheetData>
    <row r="1" ht="14.75" spans="1:13">
      <c r="A1" s="36" t="s">
        <v>160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>
      <c r="A2" s="37" t="s">
        <v>1</v>
      </c>
      <c r="B2" s="38" t="s">
        <v>2</v>
      </c>
      <c r="C2" s="38" t="s">
        <v>161</v>
      </c>
      <c r="D2" s="38" t="s">
        <v>162</v>
      </c>
      <c r="E2" s="38" t="s">
        <v>163</v>
      </c>
      <c r="F2" s="38" t="s">
        <v>58</v>
      </c>
      <c r="G2" s="38" t="s">
        <v>26</v>
      </c>
      <c r="H2" s="38" t="s">
        <v>131</v>
      </c>
      <c r="I2" s="38" t="s">
        <v>164</v>
      </c>
      <c r="J2" s="38" t="s">
        <v>9</v>
      </c>
      <c r="K2" s="38" t="s">
        <v>62</v>
      </c>
      <c r="L2" s="38" t="s">
        <v>165</v>
      </c>
      <c r="M2" s="46" t="s">
        <v>12</v>
      </c>
    </row>
    <row r="3" spans="1:16">
      <c r="A3" s="41">
        <v>101</v>
      </c>
      <c r="B3" s="40" t="s">
        <v>166</v>
      </c>
      <c r="C3" s="40" t="str">
        <f>VLOOKUP(A3,$O$4:$P$7,2,1)&amp;"エリア"</f>
        <v>東北エリア</v>
      </c>
      <c r="D3" s="40" t="s">
        <v>167</v>
      </c>
      <c r="E3" s="74">
        <f>VLOOKUP(D3,$O$10:$P$13,2,0)</f>
        <v>198400</v>
      </c>
      <c r="F3" s="40">
        <v>841</v>
      </c>
      <c r="G3" s="40">
        <v>825</v>
      </c>
      <c r="H3" s="86">
        <f>ROUNDDOWN(F3/G3,3)</f>
        <v>1.019</v>
      </c>
      <c r="I3" s="74">
        <f>ROUNDUP($P$15*F3,-2)</f>
        <v>50200</v>
      </c>
      <c r="J3" s="74">
        <f>ROUNDDOWN($P$16*F3,-1)</f>
        <v>38010</v>
      </c>
      <c r="K3" s="74">
        <f>INT(IF(H3&gt;=100%,E3*6.8%,E3*5.7%))</f>
        <v>13491</v>
      </c>
      <c r="L3" s="80">
        <f>E3+I3+J3+K3</f>
        <v>300101</v>
      </c>
      <c r="M3" s="62" t="str">
        <f>VLOOKUP(L3,$O$20:$Q$21,IF(H3&lt;100%,2,3),1)</f>
        <v>****</v>
      </c>
      <c r="O3" s="59" t="s">
        <v>1</v>
      </c>
      <c r="P3" s="59" t="s">
        <v>168</v>
      </c>
    </row>
    <row r="4" spans="1:16">
      <c r="A4" s="41">
        <v>102</v>
      </c>
      <c r="B4" s="40" t="s">
        <v>169</v>
      </c>
      <c r="C4" s="40" t="str">
        <f t="shared" ref="C4:C14" si="0">VLOOKUP(A4,$O$4:$P$7,2,1)&amp;"エリア"</f>
        <v>東北エリア</v>
      </c>
      <c r="D4" s="40" t="s">
        <v>115</v>
      </c>
      <c r="E4" s="74">
        <f t="shared" ref="E4:E14" si="1">VLOOKUP(D4,$O$10:$P$13,2,0)</f>
        <v>209600</v>
      </c>
      <c r="F4" s="40">
        <v>845</v>
      </c>
      <c r="G4" s="40">
        <v>820</v>
      </c>
      <c r="H4" s="86">
        <f t="shared" ref="H4:H14" si="2">ROUNDDOWN(F4/G4,3)</f>
        <v>1.03</v>
      </c>
      <c r="I4" s="74">
        <f t="shared" ref="I4:I14" si="3">ROUNDUP($P$15*F4,-2)</f>
        <v>50400</v>
      </c>
      <c r="J4" s="74">
        <f t="shared" ref="J4:J14" si="4">ROUNDDOWN($P$16*F4,-1)</f>
        <v>38190</v>
      </c>
      <c r="K4" s="74">
        <f t="shared" ref="K4:K14" si="5">INT(IF(H4&gt;=100%,E4*6.8%,E4*5.7%))</f>
        <v>14252</v>
      </c>
      <c r="L4" s="80">
        <f t="shared" ref="L4:L14" si="6">E4+I4+J4+K4</f>
        <v>312442</v>
      </c>
      <c r="M4" s="62" t="str">
        <f t="shared" ref="M4:M14" si="7">VLOOKUP(L4,$O$20:$Q$21,IF(H4&lt;100%,2,3),1)</f>
        <v>****</v>
      </c>
      <c r="O4" s="40">
        <v>100</v>
      </c>
      <c r="P4" s="40" t="s">
        <v>170</v>
      </c>
    </row>
    <row r="5" spans="1:16">
      <c r="A5" s="41">
        <v>103</v>
      </c>
      <c r="B5" s="40" t="s">
        <v>171</v>
      </c>
      <c r="C5" s="40" t="str">
        <f t="shared" si="0"/>
        <v>東北エリア</v>
      </c>
      <c r="D5" s="40" t="s">
        <v>172</v>
      </c>
      <c r="E5" s="74">
        <f t="shared" si="1"/>
        <v>187300</v>
      </c>
      <c r="F5" s="40">
        <v>790</v>
      </c>
      <c r="G5" s="40">
        <v>741</v>
      </c>
      <c r="H5" s="86">
        <f t="shared" si="2"/>
        <v>1.066</v>
      </c>
      <c r="I5" s="74">
        <f t="shared" si="3"/>
        <v>47100</v>
      </c>
      <c r="J5" s="74">
        <f t="shared" si="4"/>
        <v>35700</v>
      </c>
      <c r="K5" s="74">
        <f t="shared" si="5"/>
        <v>12736</v>
      </c>
      <c r="L5" s="80">
        <f t="shared" si="6"/>
        <v>282836</v>
      </c>
      <c r="M5" s="62" t="str">
        <f t="shared" si="7"/>
        <v>**</v>
      </c>
      <c r="O5" s="40">
        <v>200</v>
      </c>
      <c r="P5" s="40" t="s">
        <v>173</v>
      </c>
    </row>
    <row r="6" spans="1:16">
      <c r="A6" s="41">
        <v>201</v>
      </c>
      <c r="B6" s="40" t="s">
        <v>174</v>
      </c>
      <c r="C6" s="40" t="str">
        <f t="shared" si="0"/>
        <v>関東エリア</v>
      </c>
      <c r="D6" s="40" t="s">
        <v>114</v>
      </c>
      <c r="E6" s="74">
        <f t="shared" si="1"/>
        <v>220800</v>
      </c>
      <c r="F6" s="40">
        <v>820</v>
      </c>
      <c r="G6" s="40">
        <v>849</v>
      </c>
      <c r="H6" s="86">
        <f t="shared" si="2"/>
        <v>0.965</v>
      </c>
      <c r="I6" s="74">
        <f t="shared" si="3"/>
        <v>48900</v>
      </c>
      <c r="J6" s="74">
        <f t="shared" si="4"/>
        <v>37060</v>
      </c>
      <c r="K6" s="74">
        <f t="shared" si="5"/>
        <v>12585</v>
      </c>
      <c r="L6" s="80">
        <f t="shared" si="6"/>
        <v>319345</v>
      </c>
      <c r="M6" s="62" t="str">
        <f t="shared" si="7"/>
        <v>***</v>
      </c>
      <c r="O6" s="40">
        <v>300</v>
      </c>
      <c r="P6" s="40" t="s">
        <v>175</v>
      </c>
    </row>
    <row r="7" spans="1:16">
      <c r="A7" s="41">
        <v>202</v>
      </c>
      <c r="B7" s="40" t="s">
        <v>176</v>
      </c>
      <c r="C7" s="40" t="str">
        <f t="shared" si="0"/>
        <v>関東エリア</v>
      </c>
      <c r="D7" s="40" t="s">
        <v>172</v>
      </c>
      <c r="E7" s="74">
        <f t="shared" si="1"/>
        <v>187300</v>
      </c>
      <c r="F7" s="40">
        <v>774</v>
      </c>
      <c r="G7" s="40">
        <v>748</v>
      </c>
      <c r="H7" s="86">
        <f t="shared" si="2"/>
        <v>1.034</v>
      </c>
      <c r="I7" s="74">
        <f t="shared" si="3"/>
        <v>46200</v>
      </c>
      <c r="J7" s="74">
        <f t="shared" si="4"/>
        <v>34980</v>
      </c>
      <c r="K7" s="74">
        <f t="shared" si="5"/>
        <v>12736</v>
      </c>
      <c r="L7" s="80">
        <f t="shared" si="6"/>
        <v>281216</v>
      </c>
      <c r="M7" s="62" t="str">
        <f t="shared" si="7"/>
        <v>**</v>
      </c>
      <c r="O7" s="40">
        <v>400</v>
      </c>
      <c r="P7" s="40" t="s">
        <v>177</v>
      </c>
    </row>
    <row r="8" spans="1:13">
      <c r="A8" s="41">
        <v>203</v>
      </c>
      <c r="B8" s="40" t="s">
        <v>178</v>
      </c>
      <c r="C8" s="40" t="str">
        <f t="shared" si="0"/>
        <v>関東エリア</v>
      </c>
      <c r="D8" s="40" t="s">
        <v>115</v>
      </c>
      <c r="E8" s="74">
        <f t="shared" si="1"/>
        <v>209600</v>
      </c>
      <c r="F8" s="40">
        <v>801</v>
      </c>
      <c r="G8" s="40">
        <v>760</v>
      </c>
      <c r="H8" s="86">
        <f t="shared" si="2"/>
        <v>1.053</v>
      </c>
      <c r="I8" s="74">
        <f t="shared" si="3"/>
        <v>47800</v>
      </c>
      <c r="J8" s="74">
        <f t="shared" si="4"/>
        <v>36200</v>
      </c>
      <c r="K8" s="74">
        <f t="shared" si="5"/>
        <v>14252</v>
      </c>
      <c r="L8" s="80">
        <f t="shared" si="6"/>
        <v>307852</v>
      </c>
      <c r="M8" s="62" t="str">
        <f t="shared" si="7"/>
        <v>****</v>
      </c>
    </row>
    <row r="9" spans="1:16">
      <c r="A9" s="41">
        <v>301</v>
      </c>
      <c r="B9" s="40" t="s">
        <v>179</v>
      </c>
      <c r="C9" s="40" t="str">
        <f t="shared" si="0"/>
        <v>中部エリア</v>
      </c>
      <c r="D9" s="40" t="s">
        <v>114</v>
      </c>
      <c r="E9" s="74">
        <f t="shared" si="1"/>
        <v>220800</v>
      </c>
      <c r="F9" s="40">
        <v>815</v>
      </c>
      <c r="G9" s="40">
        <v>843</v>
      </c>
      <c r="H9" s="86">
        <f t="shared" si="2"/>
        <v>0.966</v>
      </c>
      <c r="I9" s="74">
        <f t="shared" si="3"/>
        <v>48600</v>
      </c>
      <c r="J9" s="74">
        <f t="shared" si="4"/>
        <v>36830</v>
      </c>
      <c r="K9" s="74">
        <f t="shared" si="5"/>
        <v>12585</v>
      </c>
      <c r="L9" s="80">
        <f t="shared" si="6"/>
        <v>318815</v>
      </c>
      <c r="M9" s="62" t="str">
        <f t="shared" si="7"/>
        <v>***</v>
      </c>
      <c r="O9" s="59" t="s">
        <v>162</v>
      </c>
      <c r="P9" s="59" t="s">
        <v>163</v>
      </c>
    </row>
    <row r="10" spans="1:16">
      <c r="A10" s="41">
        <v>302</v>
      </c>
      <c r="B10" s="40" t="s">
        <v>180</v>
      </c>
      <c r="C10" s="40" t="str">
        <f t="shared" si="0"/>
        <v>中部エリア</v>
      </c>
      <c r="D10" s="40" t="s">
        <v>167</v>
      </c>
      <c r="E10" s="74">
        <f t="shared" si="1"/>
        <v>198400</v>
      </c>
      <c r="F10" s="40">
        <v>770</v>
      </c>
      <c r="G10" s="40">
        <v>746</v>
      </c>
      <c r="H10" s="86">
        <f t="shared" si="2"/>
        <v>1.032</v>
      </c>
      <c r="I10" s="74">
        <f t="shared" si="3"/>
        <v>45900</v>
      </c>
      <c r="J10" s="74">
        <f t="shared" si="4"/>
        <v>34800</v>
      </c>
      <c r="K10" s="74">
        <f t="shared" si="5"/>
        <v>13491</v>
      </c>
      <c r="L10" s="80">
        <f t="shared" si="6"/>
        <v>292591</v>
      </c>
      <c r="M10" s="62" t="str">
        <f t="shared" si="7"/>
        <v>**</v>
      </c>
      <c r="O10" s="40" t="s">
        <v>114</v>
      </c>
      <c r="P10" s="74">
        <v>220800</v>
      </c>
    </row>
    <row r="11" spans="1:16">
      <c r="A11" s="41">
        <v>303</v>
      </c>
      <c r="B11" s="40" t="s">
        <v>181</v>
      </c>
      <c r="C11" s="40" t="str">
        <f t="shared" si="0"/>
        <v>中部エリア</v>
      </c>
      <c r="D11" s="40" t="s">
        <v>115</v>
      </c>
      <c r="E11" s="74">
        <f t="shared" si="1"/>
        <v>209600</v>
      </c>
      <c r="F11" s="40">
        <v>749</v>
      </c>
      <c r="G11" s="40">
        <v>762</v>
      </c>
      <c r="H11" s="86">
        <f t="shared" si="2"/>
        <v>0.982</v>
      </c>
      <c r="I11" s="74">
        <f t="shared" si="3"/>
        <v>44700</v>
      </c>
      <c r="J11" s="74">
        <f t="shared" si="4"/>
        <v>33850</v>
      </c>
      <c r="K11" s="74">
        <f t="shared" si="5"/>
        <v>11947</v>
      </c>
      <c r="L11" s="80">
        <f t="shared" si="6"/>
        <v>300097</v>
      </c>
      <c r="M11" s="62" t="str">
        <f t="shared" si="7"/>
        <v>***</v>
      </c>
      <c r="O11" s="40" t="s">
        <v>115</v>
      </c>
      <c r="P11" s="74">
        <v>209600</v>
      </c>
    </row>
    <row r="12" spans="1:16">
      <c r="A12" s="41">
        <v>401</v>
      </c>
      <c r="B12" s="40" t="s">
        <v>182</v>
      </c>
      <c r="C12" s="40" t="str">
        <f t="shared" si="0"/>
        <v>関西エリア</v>
      </c>
      <c r="D12" s="40" t="s">
        <v>167</v>
      </c>
      <c r="E12" s="74">
        <f t="shared" si="1"/>
        <v>198400</v>
      </c>
      <c r="F12" s="40">
        <v>772</v>
      </c>
      <c r="G12" s="40">
        <v>790</v>
      </c>
      <c r="H12" s="86">
        <f t="shared" si="2"/>
        <v>0.977</v>
      </c>
      <c r="I12" s="74">
        <f t="shared" si="3"/>
        <v>46100</v>
      </c>
      <c r="J12" s="74">
        <f t="shared" si="4"/>
        <v>34890</v>
      </c>
      <c r="K12" s="74">
        <f t="shared" si="5"/>
        <v>11308</v>
      </c>
      <c r="L12" s="80">
        <f t="shared" si="6"/>
        <v>290698</v>
      </c>
      <c r="M12" s="62" t="str">
        <f t="shared" si="7"/>
        <v>*</v>
      </c>
      <c r="O12" s="40" t="s">
        <v>167</v>
      </c>
      <c r="P12" s="74">
        <v>198400</v>
      </c>
    </row>
    <row r="13" spans="1:16">
      <c r="A13" s="41">
        <v>402</v>
      </c>
      <c r="B13" s="40" t="s">
        <v>183</v>
      </c>
      <c r="C13" s="40" t="str">
        <f t="shared" si="0"/>
        <v>関西エリア</v>
      </c>
      <c r="D13" s="40" t="s">
        <v>114</v>
      </c>
      <c r="E13" s="74">
        <f t="shared" si="1"/>
        <v>220800</v>
      </c>
      <c r="F13" s="40">
        <v>839</v>
      </c>
      <c r="G13" s="40">
        <v>839</v>
      </c>
      <c r="H13" s="86">
        <f t="shared" si="2"/>
        <v>1</v>
      </c>
      <c r="I13" s="74">
        <f t="shared" si="3"/>
        <v>50100</v>
      </c>
      <c r="J13" s="74">
        <f t="shared" si="4"/>
        <v>37920</v>
      </c>
      <c r="K13" s="74">
        <f t="shared" si="5"/>
        <v>15014</v>
      </c>
      <c r="L13" s="80">
        <f t="shared" si="6"/>
        <v>323834</v>
      </c>
      <c r="M13" s="62" t="str">
        <f t="shared" si="7"/>
        <v>****</v>
      </c>
      <c r="O13" s="40" t="s">
        <v>172</v>
      </c>
      <c r="P13" s="74">
        <v>187300</v>
      </c>
    </row>
    <row r="14" spans="1:13">
      <c r="A14" s="41">
        <v>403</v>
      </c>
      <c r="B14" s="40" t="s">
        <v>184</v>
      </c>
      <c r="C14" s="40" t="str">
        <f t="shared" si="0"/>
        <v>関西エリア</v>
      </c>
      <c r="D14" s="40" t="s">
        <v>172</v>
      </c>
      <c r="E14" s="74">
        <f t="shared" si="1"/>
        <v>187300</v>
      </c>
      <c r="F14" s="40">
        <v>690</v>
      </c>
      <c r="G14" s="40">
        <v>735</v>
      </c>
      <c r="H14" s="86">
        <f t="shared" si="2"/>
        <v>0.938</v>
      </c>
      <c r="I14" s="74">
        <f t="shared" si="3"/>
        <v>41200</v>
      </c>
      <c r="J14" s="74">
        <f t="shared" si="4"/>
        <v>31180</v>
      </c>
      <c r="K14" s="74">
        <f t="shared" si="5"/>
        <v>10676</v>
      </c>
      <c r="L14" s="80">
        <f t="shared" si="6"/>
        <v>270356</v>
      </c>
      <c r="M14" s="62" t="str">
        <f t="shared" si="7"/>
        <v>*</v>
      </c>
    </row>
    <row r="15" spans="1:16">
      <c r="A15" s="41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62"/>
      <c r="O15" s="59" t="s">
        <v>185</v>
      </c>
      <c r="P15" s="90">
        <v>59.6</v>
      </c>
    </row>
    <row r="16" ht="14.75" spans="1:16">
      <c r="A16" s="42"/>
      <c r="B16" s="44" t="s">
        <v>31</v>
      </c>
      <c r="C16" s="43"/>
      <c r="D16" s="43"/>
      <c r="E16" s="83">
        <f>SUM(E3:E14)</f>
        <v>2448300</v>
      </c>
      <c r="F16" s="83">
        <f t="shared" ref="F16:L16" si="8">SUM(F3:F14)</f>
        <v>9506</v>
      </c>
      <c r="G16" s="83">
        <f t="shared" si="8"/>
        <v>9458</v>
      </c>
      <c r="H16" s="83"/>
      <c r="I16" s="83">
        <f t="shared" si="8"/>
        <v>567200</v>
      </c>
      <c r="J16" s="83">
        <f t="shared" si="8"/>
        <v>429610</v>
      </c>
      <c r="K16" s="83">
        <f t="shared" si="8"/>
        <v>155073</v>
      </c>
      <c r="L16" s="83">
        <f t="shared" si="8"/>
        <v>3600183</v>
      </c>
      <c r="M16" s="63"/>
      <c r="O16" s="59" t="s">
        <v>186</v>
      </c>
      <c r="P16" s="90">
        <v>45.2</v>
      </c>
    </row>
    <row r="18" ht="14.75" spans="1:17">
      <c r="A18" s="36" t="s">
        <v>187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O18" s="91" t="s">
        <v>165</v>
      </c>
      <c r="P18" s="88" t="s">
        <v>131</v>
      </c>
      <c r="Q18" s="88"/>
    </row>
    <row r="19" spans="1:17">
      <c r="A19" s="37" t="s">
        <v>1</v>
      </c>
      <c r="B19" s="38" t="s">
        <v>2</v>
      </c>
      <c r="C19" s="38" t="s">
        <v>161</v>
      </c>
      <c r="D19" s="38" t="s">
        <v>162</v>
      </c>
      <c r="E19" s="38" t="s">
        <v>163</v>
      </c>
      <c r="F19" s="38" t="s">
        <v>58</v>
      </c>
      <c r="G19" s="38" t="s">
        <v>26</v>
      </c>
      <c r="H19" s="38" t="s">
        <v>131</v>
      </c>
      <c r="I19" s="38" t="s">
        <v>164</v>
      </c>
      <c r="J19" s="38" t="s">
        <v>9</v>
      </c>
      <c r="K19" s="38" t="s">
        <v>62</v>
      </c>
      <c r="L19" s="38" t="s">
        <v>165</v>
      </c>
      <c r="M19" s="46" t="s">
        <v>12</v>
      </c>
      <c r="O19" s="92"/>
      <c r="P19" s="89" t="s">
        <v>188</v>
      </c>
      <c r="Q19" s="94" t="s">
        <v>189</v>
      </c>
    </row>
    <row r="20" spans="1:17">
      <c r="A20" s="41">
        <v>402</v>
      </c>
      <c r="B20" s="40" t="s">
        <v>183</v>
      </c>
      <c r="C20" s="40" t="s">
        <v>190</v>
      </c>
      <c r="D20" s="40" t="s">
        <v>114</v>
      </c>
      <c r="E20" s="74">
        <v>220800</v>
      </c>
      <c r="F20" s="40">
        <v>839</v>
      </c>
      <c r="G20" s="40">
        <v>839</v>
      </c>
      <c r="H20" s="86">
        <v>1</v>
      </c>
      <c r="I20" s="74">
        <v>50100</v>
      </c>
      <c r="J20" s="74">
        <v>37920</v>
      </c>
      <c r="K20" s="74">
        <v>15014</v>
      </c>
      <c r="L20" s="80">
        <v>323834</v>
      </c>
      <c r="M20" s="62" t="s">
        <v>191</v>
      </c>
      <c r="O20" s="89">
        <v>1</v>
      </c>
      <c r="P20" s="89" t="s">
        <v>39</v>
      </c>
      <c r="Q20" s="89" t="s">
        <v>82</v>
      </c>
    </row>
    <row r="21" spans="1:17">
      <c r="A21" s="41">
        <v>201</v>
      </c>
      <c r="B21" s="40" t="s">
        <v>174</v>
      </c>
      <c r="C21" s="40" t="s">
        <v>192</v>
      </c>
      <c r="D21" s="40" t="s">
        <v>114</v>
      </c>
      <c r="E21" s="74">
        <v>220800</v>
      </c>
      <c r="F21" s="40">
        <v>820</v>
      </c>
      <c r="G21" s="40">
        <v>849</v>
      </c>
      <c r="H21" s="86">
        <v>0.965</v>
      </c>
      <c r="I21" s="74">
        <v>48900</v>
      </c>
      <c r="J21" s="74">
        <v>37060</v>
      </c>
      <c r="K21" s="74">
        <v>12585</v>
      </c>
      <c r="L21" s="80">
        <v>319345</v>
      </c>
      <c r="M21" s="62" t="s">
        <v>117</v>
      </c>
      <c r="O21" s="93">
        <v>300000</v>
      </c>
      <c r="P21" s="89" t="s">
        <v>117</v>
      </c>
      <c r="Q21" s="89" t="s">
        <v>191</v>
      </c>
    </row>
    <row r="22" spans="1:13">
      <c r="A22" s="41">
        <v>301</v>
      </c>
      <c r="B22" s="40" t="s">
        <v>179</v>
      </c>
      <c r="C22" s="40" t="s">
        <v>193</v>
      </c>
      <c r="D22" s="40" t="s">
        <v>114</v>
      </c>
      <c r="E22" s="74">
        <v>220800</v>
      </c>
      <c r="F22" s="40">
        <v>815</v>
      </c>
      <c r="G22" s="40">
        <v>843</v>
      </c>
      <c r="H22" s="86">
        <v>0.966</v>
      </c>
      <c r="I22" s="74">
        <v>48600</v>
      </c>
      <c r="J22" s="74">
        <v>36830</v>
      </c>
      <c r="K22" s="74">
        <v>12585</v>
      </c>
      <c r="L22" s="80">
        <v>318815</v>
      </c>
      <c r="M22" s="62" t="s">
        <v>117</v>
      </c>
    </row>
    <row r="23" spans="1:13">
      <c r="A23" s="41">
        <v>102</v>
      </c>
      <c r="B23" s="40" t="s">
        <v>169</v>
      </c>
      <c r="C23" s="40" t="s">
        <v>194</v>
      </c>
      <c r="D23" s="40" t="s">
        <v>115</v>
      </c>
      <c r="E23" s="74">
        <v>209600</v>
      </c>
      <c r="F23" s="40">
        <v>845</v>
      </c>
      <c r="G23" s="40">
        <v>820</v>
      </c>
      <c r="H23" s="86">
        <v>1.03</v>
      </c>
      <c r="I23" s="74">
        <v>50400</v>
      </c>
      <c r="J23" s="74">
        <v>38190</v>
      </c>
      <c r="K23" s="74">
        <v>14252</v>
      </c>
      <c r="L23" s="80">
        <v>312442</v>
      </c>
      <c r="M23" s="62" t="s">
        <v>191</v>
      </c>
    </row>
    <row r="24" spans="1:13">
      <c r="A24" s="41">
        <v>203</v>
      </c>
      <c r="B24" s="40" t="s">
        <v>178</v>
      </c>
      <c r="C24" s="40" t="s">
        <v>192</v>
      </c>
      <c r="D24" s="40" t="s">
        <v>115</v>
      </c>
      <c r="E24" s="74">
        <v>209600</v>
      </c>
      <c r="F24" s="40">
        <v>801</v>
      </c>
      <c r="G24" s="40">
        <v>760</v>
      </c>
      <c r="H24" s="86">
        <v>1.053</v>
      </c>
      <c r="I24" s="74">
        <v>47800</v>
      </c>
      <c r="J24" s="74">
        <v>36200</v>
      </c>
      <c r="K24" s="74">
        <v>14252</v>
      </c>
      <c r="L24" s="80">
        <v>307852</v>
      </c>
      <c r="M24" s="62" t="s">
        <v>191</v>
      </c>
    </row>
    <row r="25" spans="1:13">
      <c r="A25" s="41">
        <v>303</v>
      </c>
      <c r="B25" s="40" t="s">
        <v>181</v>
      </c>
      <c r="C25" s="40" t="s">
        <v>193</v>
      </c>
      <c r="D25" s="40" t="s">
        <v>115</v>
      </c>
      <c r="E25" s="74">
        <v>209600</v>
      </c>
      <c r="F25" s="40">
        <v>749</v>
      </c>
      <c r="G25" s="40">
        <v>762</v>
      </c>
      <c r="H25" s="86">
        <v>0.982</v>
      </c>
      <c r="I25" s="74">
        <v>44700</v>
      </c>
      <c r="J25" s="74">
        <v>33850</v>
      </c>
      <c r="K25" s="74">
        <v>11947</v>
      </c>
      <c r="L25" s="80">
        <v>300097</v>
      </c>
      <c r="M25" s="62" t="s">
        <v>117</v>
      </c>
    </row>
    <row r="26" spans="1:13">
      <c r="A26" s="41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62"/>
    </row>
    <row r="27" ht="14.75" spans="1:13">
      <c r="A27" s="42"/>
      <c r="B27" s="44" t="s">
        <v>31</v>
      </c>
      <c r="C27" s="43"/>
      <c r="D27" s="43"/>
      <c r="E27" s="83">
        <f>SUM(E20:E25)</f>
        <v>1291200</v>
      </c>
      <c r="F27" s="83">
        <f t="shared" ref="F27:L27" si="9">SUM(F20:F25)</f>
        <v>4869</v>
      </c>
      <c r="G27" s="83">
        <f t="shared" si="9"/>
        <v>4873</v>
      </c>
      <c r="H27" s="83"/>
      <c r="I27" s="83">
        <f t="shared" si="9"/>
        <v>290500</v>
      </c>
      <c r="J27" s="83">
        <f t="shared" si="9"/>
        <v>220050</v>
      </c>
      <c r="K27" s="83">
        <f t="shared" si="9"/>
        <v>80635</v>
      </c>
      <c r="L27" s="83">
        <f t="shared" si="9"/>
        <v>1882385</v>
      </c>
      <c r="M27" s="63"/>
    </row>
    <row r="29" ht="14.75" spans="1:4">
      <c r="A29" s="36" t="s">
        <v>195</v>
      </c>
      <c r="B29" s="36"/>
      <c r="C29" s="36"/>
      <c r="D29" s="36"/>
    </row>
    <row r="30" spans="1:9">
      <c r="A30" s="37" t="s">
        <v>161</v>
      </c>
      <c r="B30" s="38" t="s">
        <v>58</v>
      </c>
      <c r="C30" s="38" t="s">
        <v>164</v>
      </c>
      <c r="D30" s="46" t="s">
        <v>9</v>
      </c>
      <c r="F30" s="40" t="s">
        <v>161</v>
      </c>
      <c r="G30" s="40" t="s">
        <v>161</v>
      </c>
      <c r="H30" s="40" t="s">
        <v>161</v>
      </c>
      <c r="I30" s="40" t="s">
        <v>161</v>
      </c>
    </row>
    <row r="31" spans="1:9">
      <c r="A31" s="41" t="s">
        <v>194</v>
      </c>
      <c r="B31" s="74">
        <f>DSUM(社員別給料計算表5,B$30,$F$30:$F$31)</f>
        <v>2476</v>
      </c>
      <c r="C31" s="74">
        <f>DSUM(社員別給料計算表5,C$30,$F$30:$F$31)</f>
        <v>147700</v>
      </c>
      <c r="D31" s="75">
        <f>DSUM(社員別給料計算表5,D$30,$F$30:$F$31)</f>
        <v>111900</v>
      </c>
      <c r="F31" s="40" t="s">
        <v>194</v>
      </c>
      <c r="G31" s="40" t="s">
        <v>192</v>
      </c>
      <c r="H31" s="40" t="s">
        <v>193</v>
      </c>
      <c r="I31" s="40" t="s">
        <v>190</v>
      </c>
    </row>
    <row r="32" spans="1:4">
      <c r="A32" s="41" t="s">
        <v>192</v>
      </c>
      <c r="B32" s="74">
        <f>DSUM(社員別給料計算表5,B$30,$G$30:$G$31)</f>
        <v>2395</v>
      </c>
      <c r="C32" s="74">
        <f>DSUM(社員別給料計算表5,C$30,$G$30:$G$31)</f>
        <v>142900</v>
      </c>
      <c r="D32" s="75">
        <f>DSUM(社員別給料計算表5,D$30,$G$30:$G$31)</f>
        <v>108240</v>
      </c>
    </row>
    <row r="33" spans="1:4">
      <c r="A33" s="41" t="s">
        <v>193</v>
      </c>
      <c r="B33" s="74">
        <f>DSUM(社員別給料計算表5,B$30,$H$30:$H$31)</f>
        <v>2334</v>
      </c>
      <c r="C33" s="74">
        <f>DSUM(社員別給料計算表5,C$30,$H$30:$H$31)</f>
        <v>139200</v>
      </c>
      <c r="D33" s="75">
        <f>DSUM(社員別給料計算表5,D$30,$H$30:$H$31)</f>
        <v>105480</v>
      </c>
    </row>
    <row r="34" ht="14.75" spans="1:4">
      <c r="A34" s="42" t="s">
        <v>190</v>
      </c>
      <c r="B34" s="76">
        <f>DSUM(社員別給料計算表5,B$30,$I$30:$I$31)</f>
        <v>2301</v>
      </c>
      <c r="C34" s="76">
        <f>DSUM(社員別給料計算表5,C$30,$I$30:$I$31)</f>
        <v>137400</v>
      </c>
      <c r="D34" s="77">
        <f>DSUM(社員別給料計算表5,D$30,$I$30:$I$31)</f>
        <v>103990</v>
      </c>
    </row>
    <row r="35" spans="7:11">
      <c r="G35" s="59" t="s">
        <v>26</v>
      </c>
      <c r="H35" s="59" t="s">
        <v>131</v>
      </c>
      <c r="J35" s="87" t="s">
        <v>162</v>
      </c>
      <c r="K35" s="88" t="s">
        <v>26</v>
      </c>
    </row>
    <row r="36" ht="14.75" spans="7:11">
      <c r="G36" s="40" t="s">
        <v>196</v>
      </c>
      <c r="H36" s="40" t="s">
        <v>197</v>
      </c>
      <c r="J36" s="89" t="s">
        <v>115</v>
      </c>
      <c r="K36" s="89"/>
    </row>
    <row r="37" spans="1:11">
      <c r="A37" s="71" t="s">
        <v>198</v>
      </c>
      <c r="B37" s="72"/>
      <c r="C37" s="72"/>
      <c r="D37" s="72"/>
      <c r="E37" s="78">
        <f>DCOUNT(社員別給料計算表5,"目標数",G35:H36)</f>
        <v>5</v>
      </c>
      <c r="J37" s="89"/>
      <c r="K37" s="89" t="s">
        <v>199</v>
      </c>
    </row>
    <row r="38" spans="1:7">
      <c r="A38" s="41" t="s">
        <v>200</v>
      </c>
      <c r="B38" s="40"/>
      <c r="C38" s="40"/>
      <c r="D38" s="40"/>
      <c r="E38" s="75">
        <f>DAVERAGE(社員別給料計算表5,"奨励金",J35:K37)</f>
        <v>13446.5714285714</v>
      </c>
      <c r="G38" s="59" t="s">
        <v>58</v>
      </c>
    </row>
    <row r="39" ht="14.75" spans="1:7">
      <c r="A39" s="42" t="s">
        <v>201</v>
      </c>
      <c r="B39" s="43"/>
      <c r="C39" s="43"/>
      <c r="D39" s="43"/>
      <c r="E39" s="77">
        <f>DMIN(社員別給料計算表5,"販売手当",G38:G39)</f>
        <v>47800</v>
      </c>
      <c r="G39" s="40" t="s">
        <v>202</v>
      </c>
    </row>
  </sheetData>
  <mergeCells count="8">
    <mergeCell ref="A1:M1"/>
    <mergeCell ref="A18:M18"/>
    <mergeCell ref="P18:Q18"/>
    <mergeCell ref="A29:D29"/>
    <mergeCell ref="A37:D37"/>
    <mergeCell ref="A38:D38"/>
    <mergeCell ref="A39:D39"/>
    <mergeCell ref="O18:O19"/>
  </mergeCells>
  <pageMargins left="0.25" right="0.25" top="0.75" bottom="0.75" header="0.3" footer="0.3"/>
  <pageSetup paperSize="9" scale="27" orientation="landscape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39"/>
  <sheetViews>
    <sheetView topLeftCell="A16" workbookViewId="0">
      <selection activeCell="H39" sqref="H39"/>
    </sheetView>
  </sheetViews>
  <sheetFormatPr defaultColWidth="9" defaultRowHeight="14"/>
  <cols>
    <col min="1" max="2" width="8.5" customWidth="1"/>
    <col min="3" max="4" width="8" customWidth="1"/>
    <col min="5" max="6" width="7" customWidth="1"/>
    <col min="7" max="7" width="8.5" customWidth="1"/>
    <col min="8" max="8" width="9.5" customWidth="1"/>
    <col min="9" max="9" width="10.3125" customWidth="1"/>
    <col min="10" max="10" width="8.5" customWidth="1"/>
    <col min="11" max="11" width="9.5" customWidth="1"/>
    <col min="12" max="12" width="10.3125" customWidth="1"/>
    <col min="13" max="13" width="1.8203125" customWidth="1"/>
    <col min="14" max="14" width="6.75" customWidth="1"/>
    <col min="15" max="17" width="8.5" customWidth="1"/>
  </cols>
  <sheetData>
    <row r="1" ht="14.75" spans="1:12">
      <c r="A1" s="36" t="s">
        <v>203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>
      <c r="A2" s="37" t="s">
        <v>204</v>
      </c>
      <c r="B2" s="38" t="s">
        <v>205</v>
      </c>
      <c r="C2" s="38" t="s">
        <v>206</v>
      </c>
      <c r="D2" s="38" t="s">
        <v>207</v>
      </c>
      <c r="E2" s="38" t="s">
        <v>208</v>
      </c>
      <c r="F2" s="38" t="s">
        <v>209</v>
      </c>
      <c r="G2" s="38" t="s">
        <v>210</v>
      </c>
      <c r="H2" s="38" t="s">
        <v>211</v>
      </c>
      <c r="I2" s="38" t="s">
        <v>212</v>
      </c>
      <c r="J2" s="38" t="s">
        <v>213</v>
      </c>
      <c r="K2" s="38" t="s">
        <v>214</v>
      </c>
      <c r="L2" s="46" t="s">
        <v>12</v>
      </c>
      <c r="N2" s="59" t="s">
        <v>204</v>
      </c>
      <c r="O2" s="59" t="s">
        <v>205</v>
      </c>
    </row>
    <row r="3" spans="1:15">
      <c r="A3" s="41" t="s">
        <v>215</v>
      </c>
      <c r="B3" s="40" t="str">
        <f>VLOOKUP(A3,$N$3:$O$6,2,FALSE)</f>
        <v>森山精密</v>
      </c>
      <c r="C3" s="40">
        <v>11</v>
      </c>
      <c r="D3" s="40" t="str">
        <f>VLOOKUP(C3,$N$9:$Q$11,2,FALSE)&amp;"製品"</f>
        <v>S製品</v>
      </c>
      <c r="E3" s="74">
        <v>1973</v>
      </c>
      <c r="F3" s="74">
        <v>1941</v>
      </c>
      <c r="G3" s="40">
        <f>ROUNDUP(F3/E3*100,1)</f>
        <v>98.4</v>
      </c>
      <c r="H3" s="74">
        <f>ROUNDUP(VLOOKUP(C3,$N$9:$Q$11,3,0)*F3,-2)</f>
        <v>240700</v>
      </c>
      <c r="I3" s="74">
        <f>IF(F3&gt;=1900,VLOOKUP(C3,$N$9:$Q$11,4,0)*(F3-1900),0)</f>
        <v>574</v>
      </c>
      <c r="J3" s="74">
        <f>INT((H3+I3)*VLOOKUP(RIGHT(A3,1),$N$14:$O$16,2,0))</f>
        <v>12787</v>
      </c>
      <c r="K3" s="80">
        <f>H3+I3+J3</f>
        <v>254061</v>
      </c>
      <c r="L3" s="62" t="str">
        <f>IF(OR(F3&gt;=2000,G3&gt;=98),"**","*")</f>
        <v>**</v>
      </c>
      <c r="N3" s="40" t="s">
        <v>215</v>
      </c>
      <c r="O3" s="40" t="s">
        <v>216</v>
      </c>
    </row>
    <row r="4" spans="1:15">
      <c r="A4" s="41" t="s">
        <v>215</v>
      </c>
      <c r="B4" s="40" t="str">
        <f t="shared" ref="B4:B14" si="0">VLOOKUP(A4,$N$3:$O$6,2,FALSE)</f>
        <v>森山精密</v>
      </c>
      <c r="C4" s="40">
        <v>12</v>
      </c>
      <c r="D4" s="40" t="str">
        <f t="shared" ref="D4:D14" si="1">VLOOKUP(C4,$N$9:$Q$11,2,FALSE)&amp;"製品"</f>
        <v>T製品</v>
      </c>
      <c r="E4" s="74">
        <v>2482</v>
      </c>
      <c r="F4" s="74">
        <v>2431</v>
      </c>
      <c r="G4" s="40">
        <f t="shared" ref="G4:G14" si="2">ROUNDUP(F4/E4*100,1)</f>
        <v>98</v>
      </c>
      <c r="H4" s="74">
        <f t="shared" ref="H4:H14" si="3">ROUNDUP(VLOOKUP(C4,$N$9:$Q$11,3,0)*F4,-2)</f>
        <v>352500</v>
      </c>
      <c r="I4" s="74">
        <f t="shared" ref="I4:I14" si="4">IF(F4&gt;=1900,VLOOKUP(C4,$N$9:$Q$11,4,0)*(F4-1900),0)</f>
        <v>9027</v>
      </c>
      <c r="J4" s="74">
        <f t="shared" ref="J4:J14" si="5">INT((H4+I4)*VLOOKUP(RIGHT(A4,1),$N$14:$O$16,2,0))</f>
        <v>19160</v>
      </c>
      <c r="K4" s="80">
        <f t="shared" ref="K4:K14" si="6">H4+I4+J4</f>
        <v>380687</v>
      </c>
      <c r="L4" s="62" t="str">
        <f t="shared" ref="L4:L14" si="7">IF(OR(F4&gt;=2000,G4&gt;=98),"**","*")</f>
        <v>**</v>
      </c>
      <c r="N4" s="40" t="s">
        <v>217</v>
      </c>
      <c r="O4" s="40" t="s">
        <v>218</v>
      </c>
    </row>
    <row r="5" spans="1:15">
      <c r="A5" s="41" t="s">
        <v>215</v>
      </c>
      <c r="B5" s="40" t="str">
        <f t="shared" si="0"/>
        <v>森山精密</v>
      </c>
      <c r="C5" s="40">
        <v>13</v>
      </c>
      <c r="D5" s="40" t="str">
        <f t="shared" si="1"/>
        <v>U製品</v>
      </c>
      <c r="E5" s="74">
        <v>1816</v>
      </c>
      <c r="F5" s="74">
        <v>1752</v>
      </c>
      <c r="G5" s="40">
        <f t="shared" si="2"/>
        <v>96.5</v>
      </c>
      <c r="H5" s="74">
        <f t="shared" si="3"/>
        <v>240100</v>
      </c>
      <c r="I5" s="74">
        <f t="shared" si="4"/>
        <v>0</v>
      </c>
      <c r="J5" s="74">
        <f t="shared" si="5"/>
        <v>12725</v>
      </c>
      <c r="K5" s="80">
        <f t="shared" si="6"/>
        <v>252825</v>
      </c>
      <c r="L5" s="62" t="str">
        <f t="shared" si="7"/>
        <v>*</v>
      </c>
      <c r="N5" s="40" t="s">
        <v>219</v>
      </c>
      <c r="O5" s="40" t="s">
        <v>220</v>
      </c>
    </row>
    <row r="6" spans="1:15">
      <c r="A6" s="41" t="s">
        <v>217</v>
      </c>
      <c r="B6" s="40" t="str">
        <f t="shared" si="0"/>
        <v>マノ電工</v>
      </c>
      <c r="C6" s="40">
        <v>11</v>
      </c>
      <c r="D6" s="40" t="str">
        <f t="shared" si="1"/>
        <v>S製品</v>
      </c>
      <c r="E6" s="74">
        <v>2408</v>
      </c>
      <c r="F6" s="74">
        <v>2300</v>
      </c>
      <c r="G6" s="40">
        <f t="shared" si="2"/>
        <v>95.6</v>
      </c>
      <c r="H6" s="74">
        <f t="shared" si="3"/>
        <v>285200</v>
      </c>
      <c r="I6" s="74">
        <f t="shared" si="4"/>
        <v>5600</v>
      </c>
      <c r="J6" s="74">
        <f t="shared" si="5"/>
        <v>13086</v>
      </c>
      <c r="K6" s="80">
        <f t="shared" si="6"/>
        <v>303886</v>
      </c>
      <c r="L6" s="62" t="str">
        <f t="shared" si="7"/>
        <v>**</v>
      </c>
      <c r="N6" s="40" t="s">
        <v>221</v>
      </c>
      <c r="O6" s="40" t="s">
        <v>222</v>
      </c>
    </row>
    <row r="7" spans="1:12">
      <c r="A7" s="41" t="s">
        <v>217</v>
      </c>
      <c r="B7" s="40" t="str">
        <f t="shared" si="0"/>
        <v>マノ電工</v>
      </c>
      <c r="C7" s="40">
        <v>12</v>
      </c>
      <c r="D7" s="40" t="str">
        <f t="shared" si="1"/>
        <v>T製品</v>
      </c>
      <c r="E7" s="74">
        <v>1900</v>
      </c>
      <c r="F7" s="74">
        <v>1853</v>
      </c>
      <c r="G7" s="40">
        <f t="shared" si="2"/>
        <v>97.6</v>
      </c>
      <c r="H7" s="74">
        <f t="shared" si="3"/>
        <v>268700</v>
      </c>
      <c r="I7" s="74">
        <f t="shared" si="4"/>
        <v>0</v>
      </c>
      <c r="J7" s="74">
        <f t="shared" si="5"/>
        <v>12091</v>
      </c>
      <c r="K7" s="80">
        <f t="shared" si="6"/>
        <v>280791</v>
      </c>
      <c r="L7" s="62" t="str">
        <f t="shared" si="7"/>
        <v>*</v>
      </c>
    </row>
    <row r="8" spans="1:17">
      <c r="A8" s="41" t="s">
        <v>217</v>
      </c>
      <c r="B8" s="40" t="str">
        <f t="shared" si="0"/>
        <v>マノ電工</v>
      </c>
      <c r="C8" s="40">
        <v>13</v>
      </c>
      <c r="D8" s="40" t="str">
        <f t="shared" si="1"/>
        <v>U製品</v>
      </c>
      <c r="E8" s="74">
        <v>2269</v>
      </c>
      <c r="F8" s="74">
        <v>2238</v>
      </c>
      <c r="G8" s="40">
        <f t="shared" si="2"/>
        <v>98.7</v>
      </c>
      <c r="H8" s="74">
        <f t="shared" si="3"/>
        <v>306700</v>
      </c>
      <c r="I8" s="74">
        <f t="shared" si="4"/>
        <v>5408</v>
      </c>
      <c r="J8" s="74">
        <f t="shared" si="5"/>
        <v>14044</v>
      </c>
      <c r="K8" s="80">
        <f t="shared" si="6"/>
        <v>326152</v>
      </c>
      <c r="L8" s="62" t="str">
        <f t="shared" si="7"/>
        <v>**</v>
      </c>
      <c r="N8" s="59" t="s">
        <v>206</v>
      </c>
      <c r="O8" s="59" t="s">
        <v>223</v>
      </c>
      <c r="P8" s="59" t="s">
        <v>224</v>
      </c>
      <c r="Q8" s="59" t="s">
        <v>225</v>
      </c>
    </row>
    <row r="9" spans="1:17">
      <c r="A9" s="41" t="s">
        <v>219</v>
      </c>
      <c r="B9" s="40" t="str">
        <f t="shared" si="0"/>
        <v>関東工業</v>
      </c>
      <c r="C9" s="40">
        <v>11</v>
      </c>
      <c r="D9" s="40" t="str">
        <f t="shared" si="1"/>
        <v>S製品</v>
      </c>
      <c r="E9" s="74">
        <v>2141</v>
      </c>
      <c r="F9" s="74">
        <v>2067</v>
      </c>
      <c r="G9" s="40">
        <f t="shared" si="2"/>
        <v>96.6</v>
      </c>
      <c r="H9" s="74">
        <f t="shared" si="3"/>
        <v>256400</v>
      </c>
      <c r="I9" s="74">
        <f t="shared" si="4"/>
        <v>2338</v>
      </c>
      <c r="J9" s="74">
        <f t="shared" si="5"/>
        <v>17335</v>
      </c>
      <c r="K9" s="80">
        <f t="shared" si="6"/>
        <v>276073</v>
      </c>
      <c r="L9" s="62" t="str">
        <f t="shared" si="7"/>
        <v>**</v>
      </c>
      <c r="N9" s="40">
        <v>11</v>
      </c>
      <c r="O9" s="40" t="s">
        <v>226</v>
      </c>
      <c r="P9" s="40">
        <v>124</v>
      </c>
      <c r="Q9" s="40">
        <v>14</v>
      </c>
    </row>
    <row r="10" spans="1:17">
      <c r="A10" s="41" t="s">
        <v>219</v>
      </c>
      <c r="B10" s="40" t="str">
        <f t="shared" si="0"/>
        <v>関東工業</v>
      </c>
      <c r="C10" s="40">
        <v>12</v>
      </c>
      <c r="D10" s="40" t="str">
        <f t="shared" si="1"/>
        <v>T製品</v>
      </c>
      <c r="E10" s="74">
        <v>2300</v>
      </c>
      <c r="F10" s="74">
        <v>2258</v>
      </c>
      <c r="G10" s="40">
        <f t="shared" si="2"/>
        <v>98.2</v>
      </c>
      <c r="H10" s="74">
        <f t="shared" si="3"/>
        <v>327500</v>
      </c>
      <c r="I10" s="74">
        <f t="shared" si="4"/>
        <v>6086</v>
      </c>
      <c r="J10" s="74">
        <f t="shared" si="5"/>
        <v>22350</v>
      </c>
      <c r="K10" s="80">
        <f t="shared" si="6"/>
        <v>355936</v>
      </c>
      <c r="L10" s="62" t="str">
        <f t="shared" si="7"/>
        <v>**</v>
      </c>
      <c r="N10" s="40">
        <v>12</v>
      </c>
      <c r="O10" s="40" t="s">
        <v>227</v>
      </c>
      <c r="P10" s="40">
        <v>145</v>
      </c>
      <c r="Q10" s="40">
        <v>17</v>
      </c>
    </row>
    <row r="11" spans="1:17">
      <c r="A11" s="41" t="s">
        <v>219</v>
      </c>
      <c r="B11" s="40" t="str">
        <f t="shared" si="0"/>
        <v>関東工業</v>
      </c>
      <c r="C11" s="40">
        <v>13</v>
      </c>
      <c r="D11" s="40" t="str">
        <f t="shared" si="1"/>
        <v>U製品</v>
      </c>
      <c r="E11" s="74">
        <v>1647</v>
      </c>
      <c r="F11" s="74">
        <v>1580</v>
      </c>
      <c r="G11" s="40">
        <f t="shared" si="2"/>
        <v>96</v>
      </c>
      <c r="H11" s="74">
        <f t="shared" si="3"/>
        <v>216500</v>
      </c>
      <c r="I11" s="74">
        <f t="shared" si="4"/>
        <v>0</v>
      </c>
      <c r="J11" s="74">
        <f t="shared" si="5"/>
        <v>14505</v>
      </c>
      <c r="K11" s="80">
        <f t="shared" si="6"/>
        <v>231005</v>
      </c>
      <c r="L11" s="62" t="str">
        <f t="shared" si="7"/>
        <v>*</v>
      </c>
      <c r="N11" s="40">
        <v>13</v>
      </c>
      <c r="O11" s="40" t="s">
        <v>228</v>
      </c>
      <c r="P11" s="40">
        <v>137</v>
      </c>
      <c r="Q11" s="40">
        <v>16</v>
      </c>
    </row>
    <row r="12" spans="1:12">
      <c r="A12" s="41" t="s">
        <v>221</v>
      </c>
      <c r="B12" s="40" t="str">
        <f t="shared" si="0"/>
        <v>井上電機</v>
      </c>
      <c r="C12" s="40">
        <v>11</v>
      </c>
      <c r="D12" s="40" t="str">
        <f t="shared" si="1"/>
        <v>S製品</v>
      </c>
      <c r="E12" s="74">
        <v>1765</v>
      </c>
      <c r="F12" s="74">
        <v>1684</v>
      </c>
      <c r="G12" s="40">
        <f t="shared" si="2"/>
        <v>95.5</v>
      </c>
      <c r="H12" s="74">
        <f t="shared" si="3"/>
        <v>208900</v>
      </c>
      <c r="I12" s="74">
        <f t="shared" si="4"/>
        <v>0</v>
      </c>
      <c r="J12" s="74">
        <f t="shared" si="5"/>
        <v>9400</v>
      </c>
      <c r="K12" s="80">
        <f t="shared" si="6"/>
        <v>218300</v>
      </c>
      <c r="L12" s="62" t="str">
        <f t="shared" si="7"/>
        <v>*</v>
      </c>
    </row>
    <row r="13" spans="1:15">
      <c r="A13" s="41" t="s">
        <v>221</v>
      </c>
      <c r="B13" s="40" t="str">
        <f t="shared" si="0"/>
        <v>井上電機</v>
      </c>
      <c r="C13" s="40">
        <v>12</v>
      </c>
      <c r="D13" s="40" t="str">
        <f t="shared" si="1"/>
        <v>T製品</v>
      </c>
      <c r="E13" s="74">
        <v>1642</v>
      </c>
      <c r="F13" s="74">
        <v>1600</v>
      </c>
      <c r="G13" s="40">
        <f t="shared" si="2"/>
        <v>97.5</v>
      </c>
      <c r="H13" s="74">
        <f t="shared" si="3"/>
        <v>232000</v>
      </c>
      <c r="I13" s="74">
        <f t="shared" si="4"/>
        <v>0</v>
      </c>
      <c r="J13" s="74">
        <f t="shared" si="5"/>
        <v>10440</v>
      </c>
      <c r="K13" s="80">
        <f t="shared" si="6"/>
        <v>242440</v>
      </c>
      <c r="L13" s="62" t="str">
        <f t="shared" si="7"/>
        <v>*</v>
      </c>
      <c r="N13" s="40" t="s">
        <v>77</v>
      </c>
      <c r="O13" s="40" t="s">
        <v>60</v>
      </c>
    </row>
    <row r="14" spans="1:15">
      <c r="A14" s="41" t="s">
        <v>221</v>
      </c>
      <c r="B14" s="40" t="str">
        <f t="shared" si="0"/>
        <v>井上電機</v>
      </c>
      <c r="C14" s="40">
        <v>13</v>
      </c>
      <c r="D14" s="40" t="str">
        <f t="shared" si="1"/>
        <v>U製品</v>
      </c>
      <c r="E14" s="74">
        <v>2100</v>
      </c>
      <c r="F14" s="74">
        <v>2030</v>
      </c>
      <c r="G14" s="40">
        <f t="shared" si="2"/>
        <v>96.7</v>
      </c>
      <c r="H14" s="74">
        <f t="shared" si="3"/>
        <v>278200</v>
      </c>
      <c r="I14" s="74">
        <f t="shared" si="4"/>
        <v>2080</v>
      </c>
      <c r="J14" s="74">
        <f t="shared" si="5"/>
        <v>12612</v>
      </c>
      <c r="K14" s="80">
        <f t="shared" si="6"/>
        <v>292892</v>
      </c>
      <c r="L14" s="62" t="str">
        <f t="shared" si="7"/>
        <v>**</v>
      </c>
      <c r="N14" s="40" t="s">
        <v>229</v>
      </c>
      <c r="O14" s="68">
        <v>0.067</v>
      </c>
    </row>
    <row r="15" spans="1:15">
      <c r="A15" s="41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62"/>
      <c r="N15" s="40" t="s">
        <v>230</v>
      </c>
      <c r="O15" s="68">
        <v>0.053</v>
      </c>
    </row>
    <row r="16" ht="14.75" spans="1:15">
      <c r="A16" s="42"/>
      <c r="B16" s="44" t="s">
        <v>31</v>
      </c>
      <c r="C16" s="43"/>
      <c r="D16" s="43"/>
      <c r="E16" s="83">
        <f>SUM(E3:E14)</f>
        <v>24443</v>
      </c>
      <c r="F16" s="83">
        <f t="shared" ref="F16:K16" si="8">SUM(F3:F14)</f>
        <v>23734</v>
      </c>
      <c r="G16" s="83"/>
      <c r="H16" s="83">
        <f t="shared" si="8"/>
        <v>3213400</v>
      </c>
      <c r="I16" s="83">
        <f t="shared" si="8"/>
        <v>31113</v>
      </c>
      <c r="J16" s="83">
        <f t="shared" si="8"/>
        <v>170535</v>
      </c>
      <c r="K16" s="83">
        <f t="shared" si="8"/>
        <v>3415048</v>
      </c>
      <c r="L16" s="63"/>
      <c r="N16" s="40" t="s">
        <v>78</v>
      </c>
      <c r="O16" s="68">
        <v>0.045</v>
      </c>
    </row>
    <row r="18" ht="14.75" spans="1:12">
      <c r="A18" s="36" t="s">
        <v>231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</row>
    <row r="19" spans="1:12">
      <c r="A19" s="37" t="s">
        <v>204</v>
      </c>
      <c r="B19" s="38" t="s">
        <v>205</v>
      </c>
      <c r="C19" s="38" t="s">
        <v>206</v>
      </c>
      <c r="D19" s="38" t="s">
        <v>207</v>
      </c>
      <c r="E19" s="38" t="s">
        <v>208</v>
      </c>
      <c r="F19" s="38" t="s">
        <v>209</v>
      </c>
      <c r="G19" s="38" t="s">
        <v>210</v>
      </c>
      <c r="H19" s="38" t="s">
        <v>211</v>
      </c>
      <c r="I19" s="38" t="s">
        <v>212</v>
      </c>
      <c r="J19" s="38" t="s">
        <v>213</v>
      </c>
      <c r="K19" s="38" t="s">
        <v>214</v>
      </c>
      <c r="L19" s="46" t="s">
        <v>12</v>
      </c>
    </row>
    <row r="20" spans="1:12">
      <c r="A20" s="41" t="s">
        <v>219</v>
      </c>
      <c r="B20" s="40" t="s">
        <v>220</v>
      </c>
      <c r="C20" s="40">
        <v>11</v>
      </c>
      <c r="D20" s="40" t="s">
        <v>232</v>
      </c>
      <c r="E20" s="74">
        <v>2141</v>
      </c>
      <c r="F20" s="74">
        <v>2067</v>
      </c>
      <c r="G20" s="40">
        <v>96.6</v>
      </c>
      <c r="H20" s="74">
        <v>256400</v>
      </c>
      <c r="I20" s="74">
        <v>2338</v>
      </c>
      <c r="J20" s="74">
        <v>17335</v>
      </c>
      <c r="K20" s="80">
        <v>276073</v>
      </c>
      <c r="L20" s="62" t="s">
        <v>82</v>
      </c>
    </row>
    <row r="21" spans="1:12">
      <c r="A21" s="41" t="s">
        <v>215</v>
      </c>
      <c r="B21" s="40" t="s">
        <v>216</v>
      </c>
      <c r="C21" s="40">
        <v>11</v>
      </c>
      <c r="D21" s="40" t="s">
        <v>232</v>
      </c>
      <c r="E21" s="74">
        <v>1973</v>
      </c>
      <c r="F21" s="74">
        <v>1941</v>
      </c>
      <c r="G21" s="40">
        <v>98.4</v>
      </c>
      <c r="H21" s="74">
        <v>240700</v>
      </c>
      <c r="I21" s="74">
        <v>574</v>
      </c>
      <c r="J21" s="74">
        <v>12787</v>
      </c>
      <c r="K21" s="80">
        <v>254061</v>
      </c>
      <c r="L21" s="62" t="s">
        <v>82</v>
      </c>
    </row>
    <row r="22" spans="1:12">
      <c r="A22" s="41" t="s">
        <v>219</v>
      </c>
      <c r="B22" s="40" t="s">
        <v>220</v>
      </c>
      <c r="C22" s="40">
        <v>12</v>
      </c>
      <c r="D22" s="40" t="s">
        <v>233</v>
      </c>
      <c r="E22" s="74">
        <v>2300</v>
      </c>
      <c r="F22" s="74">
        <v>2258</v>
      </c>
      <c r="G22" s="40">
        <v>98.2</v>
      </c>
      <c r="H22" s="74">
        <v>327500</v>
      </c>
      <c r="I22" s="74">
        <v>6086</v>
      </c>
      <c r="J22" s="74">
        <v>22350</v>
      </c>
      <c r="K22" s="80">
        <v>355936</v>
      </c>
      <c r="L22" s="62" t="s">
        <v>82</v>
      </c>
    </row>
    <row r="23" spans="1:12">
      <c r="A23" s="41" t="s">
        <v>217</v>
      </c>
      <c r="B23" s="40" t="s">
        <v>218</v>
      </c>
      <c r="C23" s="40">
        <v>12</v>
      </c>
      <c r="D23" s="40" t="s">
        <v>233</v>
      </c>
      <c r="E23" s="74">
        <v>1900</v>
      </c>
      <c r="F23" s="74">
        <v>1853</v>
      </c>
      <c r="G23" s="40">
        <v>97.6</v>
      </c>
      <c r="H23" s="74">
        <v>268700</v>
      </c>
      <c r="I23" s="74">
        <v>0</v>
      </c>
      <c r="J23" s="74">
        <v>12091</v>
      </c>
      <c r="K23" s="80">
        <v>280791</v>
      </c>
      <c r="L23" s="62" t="s">
        <v>39</v>
      </c>
    </row>
    <row r="24" spans="1:12">
      <c r="A24" s="41" t="s">
        <v>217</v>
      </c>
      <c r="B24" s="40" t="s">
        <v>218</v>
      </c>
      <c r="C24" s="40">
        <v>13</v>
      </c>
      <c r="D24" s="40" t="s">
        <v>234</v>
      </c>
      <c r="E24" s="74">
        <v>2269</v>
      </c>
      <c r="F24" s="74">
        <v>2238</v>
      </c>
      <c r="G24" s="40">
        <v>98.7</v>
      </c>
      <c r="H24" s="74">
        <v>306700</v>
      </c>
      <c r="I24" s="74">
        <v>5408</v>
      </c>
      <c r="J24" s="74">
        <v>14044</v>
      </c>
      <c r="K24" s="80">
        <v>326152</v>
      </c>
      <c r="L24" s="62" t="s">
        <v>82</v>
      </c>
    </row>
    <row r="25" spans="1:12">
      <c r="A25" s="41" t="s">
        <v>221</v>
      </c>
      <c r="B25" s="40" t="s">
        <v>222</v>
      </c>
      <c r="C25" s="40">
        <v>13</v>
      </c>
      <c r="D25" s="40" t="s">
        <v>234</v>
      </c>
      <c r="E25" s="74">
        <v>2100</v>
      </c>
      <c r="F25" s="74">
        <v>2030</v>
      </c>
      <c r="G25" s="40">
        <v>96.7</v>
      </c>
      <c r="H25" s="74">
        <v>278200</v>
      </c>
      <c r="I25" s="74">
        <v>2080</v>
      </c>
      <c r="J25" s="74">
        <v>12612</v>
      </c>
      <c r="K25" s="80">
        <v>292892</v>
      </c>
      <c r="L25" s="62" t="s">
        <v>82</v>
      </c>
    </row>
    <row r="26" spans="1:12">
      <c r="A26" s="41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62"/>
    </row>
    <row r="27" ht="14.75" spans="1:12">
      <c r="A27" s="42"/>
      <c r="B27" s="44" t="s">
        <v>31</v>
      </c>
      <c r="C27" s="43"/>
      <c r="D27" s="43"/>
      <c r="E27" s="83">
        <f>SUM(E20:E25)</f>
        <v>12683</v>
      </c>
      <c r="F27" s="83">
        <f t="shared" ref="F27:K27" si="9">SUM(F20:F25)</f>
        <v>12387</v>
      </c>
      <c r="G27" s="83"/>
      <c r="H27" s="83">
        <f t="shared" si="9"/>
        <v>1678200</v>
      </c>
      <c r="I27" s="83">
        <f t="shared" si="9"/>
        <v>16486</v>
      </c>
      <c r="J27" s="83">
        <f t="shared" si="9"/>
        <v>91219</v>
      </c>
      <c r="K27" s="83">
        <f t="shared" si="9"/>
        <v>1785905</v>
      </c>
      <c r="L27" s="63"/>
    </row>
    <row r="29" ht="14.75" spans="1:4">
      <c r="A29" s="36" t="s">
        <v>235</v>
      </c>
      <c r="B29" s="36"/>
      <c r="C29" s="36"/>
      <c r="D29" s="36"/>
    </row>
    <row r="30" spans="1:10">
      <c r="A30" s="37" t="s">
        <v>205</v>
      </c>
      <c r="B30" s="38" t="s">
        <v>209</v>
      </c>
      <c r="C30" s="38" t="s">
        <v>211</v>
      </c>
      <c r="D30" s="46" t="s">
        <v>214</v>
      </c>
      <c r="G30" s="59" t="s">
        <v>205</v>
      </c>
      <c r="H30" s="59" t="s">
        <v>205</v>
      </c>
      <c r="I30" s="59" t="s">
        <v>205</v>
      </c>
      <c r="J30" s="59" t="s">
        <v>205</v>
      </c>
    </row>
    <row r="31" spans="1:10">
      <c r="A31" s="41" t="s">
        <v>216</v>
      </c>
      <c r="B31" s="74">
        <f>DSUM(加工賃支払額一覧表6,"完成数",$G$30:$G$31)</f>
        <v>6124</v>
      </c>
      <c r="C31" s="74">
        <f>DSUM(加工賃支払額一覧表6,"加工賃",$G$30:$G$31)</f>
        <v>833300</v>
      </c>
      <c r="D31" s="75">
        <f>DSUM(加工賃支払額一覧表6,"支払額",$G$30:$G$31)</f>
        <v>887573</v>
      </c>
      <c r="G31" s="40" t="s">
        <v>216</v>
      </c>
      <c r="H31" s="40" t="s">
        <v>218</v>
      </c>
      <c r="I31" s="40" t="s">
        <v>220</v>
      </c>
      <c r="J31" s="40" t="s">
        <v>222</v>
      </c>
    </row>
    <row r="32" spans="1:4">
      <c r="A32" s="41" t="s">
        <v>218</v>
      </c>
      <c r="B32" s="74">
        <f>DSUM(加工賃支払額一覧表6,"完成数",$H$30:$H$31)</f>
        <v>6391</v>
      </c>
      <c r="C32" s="74">
        <f>DSUM(加工賃支払額一覧表6,"加工賃",$H$30:$H$31)</f>
        <v>860600</v>
      </c>
      <c r="D32" s="75">
        <f>DSUM(加工賃支払額一覧表6,"支払額",$H$30:$H$31)</f>
        <v>910829</v>
      </c>
    </row>
    <row r="33" spans="1:11">
      <c r="A33" s="41" t="s">
        <v>220</v>
      </c>
      <c r="B33" s="74">
        <f>DSUM(加工賃支払額一覧表6,"完成数",$I$30:$I$31)</f>
        <v>5905</v>
      </c>
      <c r="C33" s="74">
        <f>DSUM(加工賃支払額一覧表6,"加工賃",$I$30:$I$31)</f>
        <v>800400</v>
      </c>
      <c r="D33" s="75">
        <f>DSUM(加工賃支払額一覧表6,"支払額",$I$30:$I$31)</f>
        <v>863014</v>
      </c>
      <c r="K33" s="40" t="s">
        <v>207</v>
      </c>
    </row>
    <row r="34" ht="14.75" spans="1:11">
      <c r="A34" s="42" t="s">
        <v>222</v>
      </c>
      <c r="B34" s="76">
        <f>DSUM(加工賃支払額一覧表6,"完成数",$J$30:$J$31)</f>
        <v>5314</v>
      </c>
      <c r="C34" s="76">
        <f>DSUM(加工賃支払額一覧表6,"加工賃",$J$30:$J$31)</f>
        <v>719100</v>
      </c>
      <c r="D34" s="77">
        <f>DSUM(加工賃支払額一覧表6,"支払額",$J$30:$J$31)</f>
        <v>753632</v>
      </c>
      <c r="K34" s="40" t="s">
        <v>236</v>
      </c>
    </row>
    <row r="35" spans="11:17">
      <c r="K35" s="59" t="s">
        <v>210</v>
      </c>
      <c r="L35" s="59" t="s">
        <v>212</v>
      </c>
      <c r="P35" s="40"/>
      <c r="Q35" s="40"/>
    </row>
    <row r="36" ht="14.75" spans="7:12">
      <c r="G36" s="73"/>
      <c r="H36" s="73"/>
      <c r="I36" s="73"/>
      <c r="J36" s="73"/>
      <c r="K36" s="40" t="s">
        <v>237</v>
      </c>
      <c r="L36" s="40"/>
    </row>
    <row r="37" spans="1:12">
      <c r="A37" s="51" t="s">
        <v>238</v>
      </c>
      <c r="B37" s="52"/>
      <c r="C37" s="52"/>
      <c r="D37" s="52"/>
      <c r="E37" s="52"/>
      <c r="F37" s="52"/>
      <c r="G37" s="52"/>
      <c r="H37" s="84">
        <f>ROUND(DAVERAGE(加工賃支払額一覧表6,"支払額",K33:K34),0)</f>
        <v>269399</v>
      </c>
      <c r="K37" s="40"/>
      <c r="L37" s="40" t="s">
        <v>239</v>
      </c>
    </row>
    <row r="38" spans="1:12">
      <c r="A38" s="53" t="s">
        <v>240</v>
      </c>
      <c r="B38" s="54"/>
      <c r="C38" s="54"/>
      <c r="D38" s="54"/>
      <c r="E38" s="54"/>
      <c r="F38" s="54"/>
      <c r="G38" s="54"/>
      <c r="H38" s="75">
        <f>DCOUNTA(加工賃支払額一覧表6,1,K35:L37)</f>
        <v>5</v>
      </c>
      <c r="K38" s="59" t="s">
        <v>205</v>
      </c>
      <c r="L38" s="59" t="s">
        <v>208</v>
      </c>
    </row>
    <row r="39" ht="14.75" spans="1:12">
      <c r="A39" s="55" t="s">
        <v>241</v>
      </c>
      <c r="B39" s="56"/>
      <c r="C39" s="56"/>
      <c r="D39" s="56"/>
      <c r="E39" s="56"/>
      <c r="F39" s="56"/>
      <c r="G39" s="56"/>
      <c r="H39" s="77">
        <f>DSUM(加工賃支払額一覧表6,8,K38:L39)</f>
        <v>480800</v>
      </c>
      <c r="K39" s="40" t="s">
        <v>216</v>
      </c>
      <c r="L39" s="40" t="s">
        <v>242</v>
      </c>
    </row>
  </sheetData>
  <sortState ref="A20:L25">
    <sortCondition ref="C20:C25"/>
    <sortCondition ref="K20:K25" descending="1"/>
  </sortState>
  <mergeCells count="6">
    <mergeCell ref="A1:L1"/>
    <mergeCell ref="A18:L18"/>
    <mergeCell ref="A29:D29"/>
    <mergeCell ref="A37:G37"/>
    <mergeCell ref="A38:G38"/>
    <mergeCell ref="A39:G39"/>
  </mergeCells>
  <pageMargins left="0.25" right="0.25" top="0.75" bottom="0.75" header="0.3" footer="0.3"/>
  <pageSetup paperSize="9" scale="63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39"/>
  <sheetViews>
    <sheetView showFormulas="1" topLeftCell="E1" workbookViewId="0">
      <selection activeCell="H31" sqref="H31"/>
    </sheetView>
  </sheetViews>
  <sheetFormatPr defaultColWidth="9" defaultRowHeight="14"/>
  <cols>
    <col min="1" max="1" width="4.625" customWidth="1"/>
    <col min="2" max="4" width="26" customWidth="1"/>
    <col min="5" max="6" width="8.125" customWidth="1"/>
    <col min="7" max="7" width="14.125" customWidth="1"/>
    <col min="8" max="8" width="31.25" customWidth="1"/>
    <col min="9" max="9" width="30.75" customWidth="1"/>
    <col min="10" max="10" width="29.875" customWidth="1"/>
    <col min="11" max="11" width="8.25" customWidth="1"/>
    <col min="12" max="12" width="19.125" customWidth="1"/>
    <col min="14" max="14" width="3.625" customWidth="1"/>
    <col min="15" max="17" width="4.625" customWidth="1"/>
  </cols>
  <sheetData>
    <row r="1" ht="14.75" spans="1:12">
      <c r="A1" s="36" t="s">
        <v>203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>
      <c r="A2" s="37" t="s">
        <v>204</v>
      </c>
      <c r="B2" s="38" t="s">
        <v>205</v>
      </c>
      <c r="C2" s="38" t="s">
        <v>206</v>
      </c>
      <c r="D2" s="38" t="s">
        <v>207</v>
      </c>
      <c r="E2" s="38" t="s">
        <v>208</v>
      </c>
      <c r="F2" s="38" t="s">
        <v>209</v>
      </c>
      <c r="G2" s="38" t="s">
        <v>210</v>
      </c>
      <c r="H2" s="38" t="s">
        <v>211</v>
      </c>
      <c r="I2" s="38" t="s">
        <v>212</v>
      </c>
      <c r="J2" s="38" t="s">
        <v>213</v>
      </c>
      <c r="K2" s="38" t="s">
        <v>214</v>
      </c>
      <c r="L2" s="46" t="s">
        <v>12</v>
      </c>
      <c r="N2" s="59" t="s">
        <v>204</v>
      </c>
      <c r="O2" s="59" t="s">
        <v>205</v>
      </c>
    </row>
    <row r="3" spans="1:15">
      <c r="A3" s="41" t="s">
        <v>215</v>
      </c>
      <c r="B3" s="40" t="str">
        <f>VLOOKUP(A3,$N$3:$O$6,2,FALSE)</f>
        <v>森山精密</v>
      </c>
      <c r="C3" s="40">
        <v>11</v>
      </c>
      <c r="D3" s="40" t="str">
        <f>VLOOKUP(C3,$N$9:$Q$11,2,FALSE)&amp;"製品"</f>
        <v>S製品</v>
      </c>
      <c r="E3" s="74">
        <v>1973</v>
      </c>
      <c r="F3" s="74">
        <v>1941</v>
      </c>
      <c r="G3" s="40">
        <f>ROUNDUP(F3/E3*100,1)</f>
        <v>98.4</v>
      </c>
      <c r="H3" s="74">
        <f>ROUNDUP(VLOOKUP(C3,$N$9:$Q$11,3,0)*F3,-2)</f>
        <v>240700</v>
      </c>
      <c r="I3" s="74">
        <f>IF(F3&gt;=1900,VLOOKUP(C3,$N$9:$Q$11,4,0)*(F3-1900),0)</f>
        <v>574</v>
      </c>
      <c r="J3" s="74">
        <f>INT((H3+I3)*VLOOKUP(RIGHT(A3,1),$N$14:$O$16,2,0))</f>
        <v>12787</v>
      </c>
      <c r="K3" s="80">
        <f>H3+I3+J3</f>
        <v>254061</v>
      </c>
      <c r="L3" s="62" t="str">
        <f>IF(OR(F3&gt;=2000,G3&gt;=98),"**","*")</f>
        <v>**</v>
      </c>
      <c r="N3" s="40" t="s">
        <v>215</v>
      </c>
      <c r="O3" s="40" t="s">
        <v>216</v>
      </c>
    </row>
    <row r="4" spans="1:15">
      <c r="A4" s="41" t="s">
        <v>215</v>
      </c>
      <c r="B4" s="40" t="str">
        <f t="shared" ref="B4:B14" si="0">VLOOKUP(A4,$N$3:$O$6,2,FALSE)</f>
        <v>森山精密</v>
      </c>
      <c r="C4" s="40">
        <v>12</v>
      </c>
      <c r="D4" s="40" t="str">
        <f t="shared" ref="D4:D14" si="1">VLOOKUP(C4,$N$9:$Q$11,2,FALSE)&amp;"製品"</f>
        <v>T製品</v>
      </c>
      <c r="E4" s="74">
        <v>2482</v>
      </c>
      <c r="F4" s="74">
        <v>2431</v>
      </c>
      <c r="G4" s="40">
        <f t="shared" ref="G4:G14" si="2">ROUNDUP(F4/E4*100,1)</f>
        <v>98</v>
      </c>
      <c r="H4" s="74">
        <f t="shared" ref="H4:H14" si="3">ROUNDUP(VLOOKUP(C4,$N$9:$Q$11,3,0)*F4,-2)</f>
        <v>352500</v>
      </c>
      <c r="I4" s="74">
        <f t="shared" ref="I4:I14" si="4">IF(F4&gt;=1900,VLOOKUP(C4,$N$9:$Q$11,4,0)*(F4-1900),0)</f>
        <v>9027</v>
      </c>
      <c r="J4" s="74">
        <f t="shared" ref="J4:J14" si="5">INT((H4+I4)*VLOOKUP(RIGHT(A4,1),$N$14:$O$16,2,0))</f>
        <v>19160</v>
      </c>
      <c r="K4" s="80">
        <f t="shared" ref="K4:K14" si="6">H4+I4+J4</f>
        <v>380687</v>
      </c>
      <c r="L4" s="62" t="str">
        <f t="shared" ref="L4:L14" si="7">IF(OR(F4&gt;=2000,G4&gt;=98),"**","*")</f>
        <v>**</v>
      </c>
      <c r="N4" s="40" t="s">
        <v>217</v>
      </c>
      <c r="O4" s="40" t="s">
        <v>218</v>
      </c>
    </row>
    <row r="5" spans="1:15">
      <c r="A5" s="41" t="s">
        <v>215</v>
      </c>
      <c r="B5" s="40" t="str">
        <f t="shared" si="0"/>
        <v>森山精密</v>
      </c>
      <c r="C5" s="40">
        <v>13</v>
      </c>
      <c r="D5" s="40" t="str">
        <f t="shared" si="1"/>
        <v>U製品</v>
      </c>
      <c r="E5" s="74">
        <v>1816</v>
      </c>
      <c r="F5" s="74">
        <v>1752</v>
      </c>
      <c r="G5" s="40">
        <f t="shared" si="2"/>
        <v>96.5</v>
      </c>
      <c r="H5" s="74">
        <f t="shared" si="3"/>
        <v>240100</v>
      </c>
      <c r="I5" s="74">
        <f t="shared" si="4"/>
        <v>0</v>
      </c>
      <c r="J5" s="74">
        <f t="shared" si="5"/>
        <v>12725</v>
      </c>
      <c r="K5" s="80">
        <f t="shared" si="6"/>
        <v>252825</v>
      </c>
      <c r="L5" s="62" t="str">
        <f t="shared" si="7"/>
        <v>*</v>
      </c>
      <c r="N5" s="40" t="s">
        <v>219</v>
      </c>
      <c r="O5" s="40" t="s">
        <v>220</v>
      </c>
    </row>
    <row r="6" spans="1:15">
      <c r="A6" s="41" t="s">
        <v>217</v>
      </c>
      <c r="B6" s="40" t="str">
        <f t="shared" si="0"/>
        <v>マノ電工</v>
      </c>
      <c r="C6" s="40">
        <v>11</v>
      </c>
      <c r="D6" s="40" t="str">
        <f t="shared" si="1"/>
        <v>S製品</v>
      </c>
      <c r="E6" s="74">
        <v>2408</v>
      </c>
      <c r="F6" s="74">
        <v>2300</v>
      </c>
      <c r="G6" s="40">
        <f t="shared" si="2"/>
        <v>95.6</v>
      </c>
      <c r="H6" s="74">
        <f t="shared" si="3"/>
        <v>285200</v>
      </c>
      <c r="I6" s="74">
        <f t="shared" si="4"/>
        <v>5600</v>
      </c>
      <c r="J6" s="74">
        <f t="shared" si="5"/>
        <v>13086</v>
      </c>
      <c r="K6" s="80">
        <f t="shared" si="6"/>
        <v>303886</v>
      </c>
      <c r="L6" s="62" t="str">
        <f t="shared" si="7"/>
        <v>**</v>
      </c>
      <c r="N6" s="40" t="s">
        <v>221</v>
      </c>
      <c r="O6" s="40" t="s">
        <v>222</v>
      </c>
    </row>
    <row r="7" spans="1:12">
      <c r="A7" s="41" t="s">
        <v>217</v>
      </c>
      <c r="B7" s="40" t="str">
        <f t="shared" si="0"/>
        <v>マノ電工</v>
      </c>
      <c r="C7" s="40">
        <v>12</v>
      </c>
      <c r="D7" s="40" t="str">
        <f t="shared" si="1"/>
        <v>T製品</v>
      </c>
      <c r="E7" s="74">
        <v>1900</v>
      </c>
      <c r="F7" s="74">
        <v>1853</v>
      </c>
      <c r="G7" s="40">
        <f t="shared" si="2"/>
        <v>97.6</v>
      </c>
      <c r="H7" s="74">
        <f t="shared" si="3"/>
        <v>268700</v>
      </c>
      <c r="I7" s="74">
        <f t="shared" si="4"/>
        <v>0</v>
      </c>
      <c r="J7" s="74">
        <f t="shared" si="5"/>
        <v>12091</v>
      </c>
      <c r="K7" s="80">
        <f t="shared" si="6"/>
        <v>280791</v>
      </c>
      <c r="L7" s="62" t="str">
        <f t="shared" si="7"/>
        <v>*</v>
      </c>
    </row>
    <row r="8" spans="1:17">
      <c r="A8" s="41" t="s">
        <v>217</v>
      </c>
      <c r="B8" s="40" t="str">
        <f t="shared" si="0"/>
        <v>マノ電工</v>
      </c>
      <c r="C8" s="40">
        <v>13</v>
      </c>
      <c r="D8" s="40" t="str">
        <f t="shared" si="1"/>
        <v>U製品</v>
      </c>
      <c r="E8" s="74">
        <v>2269</v>
      </c>
      <c r="F8" s="74">
        <v>2238</v>
      </c>
      <c r="G8" s="40">
        <f t="shared" si="2"/>
        <v>98.7</v>
      </c>
      <c r="H8" s="74">
        <f t="shared" si="3"/>
        <v>306700</v>
      </c>
      <c r="I8" s="74">
        <f t="shared" si="4"/>
        <v>5408</v>
      </c>
      <c r="J8" s="74">
        <f t="shared" si="5"/>
        <v>14044</v>
      </c>
      <c r="K8" s="80">
        <f t="shared" si="6"/>
        <v>326152</v>
      </c>
      <c r="L8" s="62" t="str">
        <f t="shared" si="7"/>
        <v>**</v>
      </c>
      <c r="N8" s="59" t="s">
        <v>206</v>
      </c>
      <c r="O8" s="59" t="s">
        <v>223</v>
      </c>
      <c r="P8" s="59" t="s">
        <v>224</v>
      </c>
      <c r="Q8" s="59" t="s">
        <v>225</v>
      </c>
    </row>
    <row r="9" spans="1:17">
      <c r="A9" s="41" t="s">
        <v>219</v>
      </c>
      <c r="B9" s="40" t="str">
        <f t="shared" si="0"/>
        <v>関東工業</v>
      </c>
      <c r="C9" s="40">
        <v>11</v>
      </c>
      <c r="D9" s="40" t="str">
        <f t="shared" si="1"/>
        <v>S製品</v>
      </c>
      <c r="E9" s="74">
        <v>2141</v>
      </c>
      <c r="F9" s="74">
        <v>2067</v>
      </c>
      <c r="G9" s="40">
        <f t="shared" si="2"/>
        <v>96.6</v>
      </c>
      <c r="H9" s="74">
        <f t="shared" si="3"/>
        <v>256400</v>
      </c>
      <c r="I9" s="74">
        <f t="shared" si="4"/>
        <v>2338</v>
      </c>
      <c r="J9" s="74">
        <f t="shared" si="5"/>
        <v>17335</v>
      </c>
      <c r="K9" s="80">
        <f t="shared" si="6"/>
        <v>276073</v>
      </c>
      <c r="L9" s="62" t="str">
        <f t="shared" si="7"/>
        <v>**</v>
      </c>
      <c r="N9" s="40">
        <v>11</v>
      </c>
      <c r="O9" s="40" t="s">
        <v>226</v>
      </c>
      <c r="P9" s="40">
        <v>124</v>
      </c>
      <c r="Q9" s="40">
        <v>14</v>
      </c>
    </row>
    <row r="10" spans="1:17">
      <c r="A10" s="41" t="s">
        <v>219</v>
      </c>
      <c r="B10" s="40" t="str">
        <f t="shared" si="0"/>
        <v>関東工業</v>
      </c>
      <c r="C10" s="40">
        <v>12</v>
      </c>
      <c r="D10" s="40" t="str">
        <f t="shared" si="1"/>
        <v>T製品</v>
      </c>
      <c r="E10" s="74">
        <v>2300</v>
      </c>
      <c r="F10" s="74">
        <v>2258</v>
      </c>
      <c r="G10" s="40">
        <f t="shared" si="2"/>
        <v>98.2</v>
      </c>
      <c r="H10" s="74">
        <f t="shared" si="3"/>
        <v>327500</v>
      </c>
      <c r="I10" s="74">
        <f t="shared" si="4"/>
        <v>6086</v>
      </c>
      <c r="J10" s="74">
        <f t="shared" si="5"/>
        <v>22350</v>
      </c>
      <c r="K10" s="80">
        <f t="shared" si="6"/>
        <v>355936</v>
      </c>
      <c r="L10" s="62" t="str">
        <f t="shared" si="7"/>
        <v>**</v>
      </c>
      <c r="N10" s="40">
        <v>12</v>
      </c>
      <c r="O10" s="40" t="s">
        <v>227</v>
      </c>
      <c r="P10" s="40">
        <v>145</v>
      </c>
      <c r="Q10" s="40">
        <v>17</v>
      </c>
    </row>
    <row r="11" spans="1:17">
      <c r="A11" s="41" t="s">
        <v>219</v>
      </c>
      <c r="B11" s="40" t="str">
        <f t="shared" si="0"/>
        <v>関東工業</v>
      </c>
      <c r="C11" s="40">
        <v>13</v>
      </c>
      <c r="D11" s="40" t="str">
        <f t="shared" si="1"/>
        <v>U製品</v>
      </c>
      <c r="E11" s="74">
        <v>1647</v>
      </c>
      <c r="F11" s="74">
        <v>1580</v>
      </c>
      <c r="G11" s="40">
        <f t="shared" si="2"/>
        <v>96</v>
      </c>
      <c r="H11" s="74">
        <f t="shared" si="3"/>
        <v>216500</v>
      </c>
      <c r="I11" s="74">
        <f t="shared" si="4"/>
        <v>0</v>
      </c>
      <c r="J11" s="74">
        <f t="shared" si="5"/>
        <v>14505</v>
      </c>
      <c r="K11" s="80">
        <f t="shared" si="6"/>
        <v>231005</v>
      </c>
      <c r="L11" s="62" t="str">
        <f t="shared" si="7"/>
        <v>*</v>
      </c>
      <c r="N11" s="40">
        <v>13</v>
      </c>
      <c r="O11" s="40" t="s">
        <v>228</v>
      </c>
      <c r="P11" s="40">
        <v>137</v>
      </c>
      <c r="Q11" s="40">
        <v>16</v>
      </c>
    </row>
    <row r="12" spans="1:12">
      <c r="A12" s="41" t="s">
        <v>221</v>
      </c>
      <c r="B12" s="40" t="str">
        <f t="shared" si="0"/>
        <v>井上電機</v>
      </c>
      <c r="C12" s="40">
        <v>11</v>
      </c>
      <c r="D12" s="40" t="str">
        <f t="shared" si="1"/>
        <v>S製品</v>
      </c>
      <c r="E12" s="74">
        <v>1765</v>
      </c>
      <c r="F12" s="74">
        <v>1684</v>
      </c>
      <c r="G12" s="40">
        <f t="shared" si="2"/>
        <v>95.5</v>
      </c>
      <c r="H12" s="74">
        <f t="shared" si="3"/>
        <v>208900</v>
      </c>
      <c r="I12" s="74">
        <f t="shared" si="4"/>
        <v>0</v>
      </c>
      <c r="J12" s="74">
        <f t="shared" si="5"/>
        <v>9400</v>
      </c>
      <c r="K12" s="80">
        <f t="shared" si="6"/>
        <v>218300</v>
      </c>
      <c r="L12" s="62" t="str">
        <f t="shared" si="7"/>
        <v>*</v>
      </c>
    </row>
    <row r="13" spans="1:15">
      <c r="A13" s="41" t="s">
        <v>221</v>
      </c>
      <c r="B13" s="40" t="str">
        <f t="shared" si="0"/>
        <v>井上電機</v>
      </c>
      <c r="C13" s="40">
        <v>12</v>
      </c>
      <c r="D13" s="40" t="str">
        <f t="shared" si="1"/>
        <v>T製品</v>
      </c>
      <c r="E13" s="74">
        <v>1642</v>
      </c>
      <c r="F13" s="74">
        <v>1600</v>
      </c>
      <c r="G13" s="40">
        <f t="shared" si="2"/>
        <v>97.5</v>
      </c>
      <c r="H13" s="74">
        <f t="shared" si="3"/>
        <v>232000</v>
      </c>
      <c r="I13" s="74">
        <f t="shared" si="4"/>
        <v>0</v>
      </c>
      <c r="J13" s="74">
        <f t="shared" si="5"/>
        <v>10440</v>
      </c>
      <c r="K13" s="80">
        <f t="shared" si="6"/>
        <v>242440</v>
      </c>
      <c r="L13" s="62" t="str">
        <f t="shared" si="7"/>
        <v>*</v>
      </c>
      <c r="N13" s="40" t="s">
        <v>77</v>
      </c>
      <c r="O13" s="40" t="s">
        <v>60</v>
      </c>
    </row>
    <row r="14" spans="1:15">
      <c r="A14" s="41" t="s">
        <v>221</v>
      </c>
      <c r="B14" s="40" t="str">
        <f t="shared" si="0"/>
        <v>井上電機</v>
      </c>
      <c r="C14" s="40">
        <v>13</v>
      </c>
      <c r="D14" s="40" t="str">
        <f t="shared" si="1"/>
        <v>U製品</v>
      </c>
      <c r="E14" s="74">
        <v>2100</v>
      </c>
      <c r="F14" s="74">
        <v>2030</v>
      </c>
      <c r="G14" s="40">
        <f t="shared" si="2"/>
        <v>96.7</v>
      </c>
      <c r="H14" s="74">
        <f t="shared" si="3"/>
        <v>278200</v>
      </c>
      <c r="I14" s="74">
        <f t="shared" si="4"/>
        <v>2080</v>
      </c>
      <c r="J14" s="74">
        <f t="shared" si="5"/>
        <v>12612</v>
      </c>
      <c r="K14" s="80">
        <f t="shared" si="6"/>
        <v>292892</v>
      </c>
      <c r="L14" s="62" t="str">
        <f t="shared" si="7"/>
        <v>**</v>
      </c>
      <c r="N14" s="40" t="s">
        <v>229</v>
      </c>
      <c r="O14" s="68">
        <v>0.067</v>
      </c>
    </row>
    <row r="15" spans="1:15">
      <c r="A15" s="41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62"/>
      <c r="N15" s="40" t="s">
        <v>230</v>
      </c>
      <c r="O15" s="68">
        <v>0.053</v>
      </c>
    </row>
    <row r="16" ht="14.75" spans="1:15">
      <c r="A16" s="42"/>
      <c r="B16" s="44" t="s">
        <v>31</v>
      </c>
      <c r="C16" s="43"/>
      <c r="D16" s="43"/>
      <c r="E16" s="83">
        <f>SUM(E3:E14)</f>
        <v>24443</v>
      </c>
      <c r="F16" s="83">
        <f t="shared" ref="F16:K16" si="8">SUM(F3:F14)</f>
        <v>23734</v>
      </c>
      <c r="G16" s="83"/>
      <c r="H16" s="83">
        <f t="shared" si="8"/>
        <v>3213400</v>
      </c>
      <c r="I16" s="83">
        <f t="shared" si="8"/>
        <v>31113</v>
      </c>
      <c r="J16" s="83">
        <f t="shared" si="8"/>
        <v>170535</v>
      </c>
      <c r="K16" s="83">
        <f t="shared" si="8"/>
        <v>3415048</v>
      </c>
      <c r="L16" s="63"/>
      <c r="N16" s="40" t="s">
        <v>78</v>
      </c>
      <c r="O16" s="68">
        <v>0.045</v>
      </c>
    </row>
    <row r="18" ht="14.75" spans="1:12">
      <c r="A18" s="36" t="s">
        <v>231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</row>
    <row r="19" spans="1:12">
      <c r="A19" s="37" t="s">
        <v>204</v>
      </c>
      <c r="B19" s="38" t="s">
        <v>205</v>
      </c>
      <c r="C19" s="38" t="s">
        <v>206</v>
      </c>
      <c r="D19" s="38" t="s">
        <v>207</v>
      </c>
      <c r="E19" s="38" t="s">
        <v>208</v>
      </c>
      <c r="F19" s="38" t="s">
        <v>209</v>
      </c>
      <c r="G19" s="38" t="s">
        <v>210</v>
      </c>
      <c r="H19" s="38" t="s">
        <v>211</v>
      </c>
      <c r="I19" s="38" t="s">
        <v>212</v>
      </c>
      <c r="J19" s="38" t="s">
        <v>213</v>
      </c>
      <c r="K19" s="38" t="s">
        <v>214</v>
      </c>
      <c r="L19" s="46" t="s">
        <v>12</v>
      </c>
    </row>
    <row r="20" spans="1:12">
      <c r="A20" s="41" t="s">
        <v>219</v>
      </c>
      <c r="B20" s="40" t="s">
        <v>220</v>
      </c>
      <c r="C20" s="40">
        <v>11</v>
      </c>
      <c r="D20" s="40" t="s">
        <v>232</v>
      </c>
      <c r="E20" s="74">
        <v>2141</v>
      </c>
      <c r="F20" s="74">
        <v>2067</v>
      </c>
      <c r="G20" s="40">
        <v>96.6</v>
      </c>
      <c r="H20" s="74">
        <v>256400</v>
      </c>
      <c r="I20" s="74">
        <v>2338</v>
      </c>
      <c r="J20" s="74">
        <v>17335</v>
      </c>
      <c r="K20" s="80">
        <v>276073</v>
      </c>
      <c r="L20" s="62" t="s">
        <v>82</v>
      </c>
    </row>
    <row r="21" spans="1:12">
      <c r="A21" s="41" t="s">
        <v>215</v>
      </c>
      <c r="B21" s="40" t="s">
        <v>216</v>
      </c>
      <c r="C21" s="40">
        <v>11</v>
      </c>
      <c r="D21" s="40" t="s">
        <v>232</v>
      </c>
      <c r="E21" s="74">
        <v>1973</v>
      </c>
      <c r="F21" s="74">
        <v>1941</v>
      </c>
      <c r="G21" s="40">
        <v>98.4</v>
      </c>
      <c r="H21" s="74">
        <v>240700</v>
      </c>
      <c r="I21" s="74">
        <v>574</v>
      </c>
      <c r="J21" s="74">
        <v>12787</v>
      </c>
      <c r="K21" s="80">
        <v>254061</v>
      </c>
      <c r="L21" s="62" t="s">
        <v>82</v>
      </c>
    </row>
    <row r="22" spans="1:12">
      <c r="A22" s="41" t="s">
        <v>219</v>
      </c>
      <c r="B22" s="40" t="s">
        <v>220</v>
      </c>
      <c r="C22" s="40">
        <v>12</v>
      </c>
      <c r="D22" s="40" t="s">
        <v>233</v>
      </c>
      <c r="E22" s="74">
        <v>2300</v>
      </c>
      <c r="F22" s="74">
        <v>2258</v>
      </c>
      <c r="G22" s="40">
        <v>98.2</v>
      </c>
      <c r="H22" s="74">
        <v>327500</v>
      </c>
      <c r="I22" s="74">
        <v>6086</v>
      </c>
      <c r="J22" s="74">
        <v>22350</v>
      </c>
      <c r="K22" s="80">
        <v>355936</v>
      </c>
      <c r="L22" s="62" t="s">
        <v>82</v>
      </c>
    </row>
    <row r="23" spans="1:12">
      <c r="A23" s="41" t="s">
        <v>217</v>
      </c>
      <c r="B23" s="40" t="s">
        <v>218</v>
      </c>
      <c r="C23" s="40">
        <v>12</v>
      </c>
      <c r="D23" s="40" t="s">
        <v>233</v>
      </c>
      <c r="E23" s="74">
        <v>1900</v>
      </c>
      <c r="F23" s="74">
        <v>1853</v>
      </c>
      <c r="G23" s="40">
        <v>97.6</v>
      </c>
      <c r="H23" s="74">
        <v>268700</v>
      </c>
      <c r="I23" s="74">
        <v>0</v>
      </c>
      <c r="J23" s="74">
        <v>12091</v>
      </c>
      <c r="K23" s="80">
        <v>280791</v>
      </c>
      <c r="L23" s="62" t="s">
        <v>39</v>
      </c>
    </row>
    <row r="24" spans="1:12">
      <c r="A24" s="41" t="s">
        <v>217</v>
      </c>
      <c r="B24" s="40" t="s">
        <v>218</v>
      </c>
      <c r="C24" s="40">
        <v>13</v>
      </c>
      <c r="D24" s="40" t="s">
        <v>234</v>
      </c>
      <c r="E24" s="74">
        <v>2269</v>
      </c>
      <c r="F24" s="74">
        <v>2238</v>
      </c>
      <c r="G24" s="40">
        <v>98.7</v>
      </c>
      <c r="H24" s="74">
        <v>306700</v>
      </c>
      <c r="I24" s="74">
        <v>5408</v>
      </c>
      <c r="J24" s="74">
        <v>14044</v>
      </c>
      <c r="K24" s="80">
        <v>326152</v>
      </c>
      <c r="L24" s="62" t="s">
        <v>82</v>
      </c>
    </row>
    <row r="25" spans="1:12">
      <c r="A25" s="41" t="s">
        <v>221</v>
      </c>
      <c r="B25" s="40" t="s">
        <v>222</v>
      </c>
      <c r="C25" s="40">
        <v>13</v>
      </c>
      <c r="D25" s="40" t="s">
        <v>234</v>
      </c>
      <c r="E25" s="74">
        <v>2100</v>
      </c>
      <c r="F25" s="74">
        <v>2030</v>
      </c>
      <c r="G25" s="40">
        <v>96.7</v>
      </c>
      <c r="H25" s="74">
        <v>278200</v>
      </c>
      <c r="I25" s="74">
        <v>2080</v>
      </c>
      <c r="J25" s="74">
        <v>12612</v>
      </c>
      <c r="K25" s="80">
        <v>292892</v>
      </c>
      <c r="L25" s="62" t="s">
        <v>82</v>
      </c>
    </row>
    <row r="26" spans="1:12">
      <c r="A26" s="41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62"/>
    </row>
    <row r="27" ht="14.75" spans="1:12">
      <c r="A27" s="42"/>
      <c r="B27" s="44" t="s">
        <v>31</v>
      </c>
      <c r="C27" s="43"/>
      <c r="D27" s="43"/>
      <c r="E27" s="83">
        <f>SUM(E20:E25)</f>
        <v>12683</v>
      </c>
      <c r="F27" s="83">
        <f t="shared" ref="F27:K27" si="9">SUM(F20:F25)</f>
        <v>12387</v>
      </c>
      <c r="G27" s="83"/>
      <c r="H27" s="83">
        <f t="shared" si="9"/>
        <v>1678200</v>
      </c>
      <c r="I27" s="83">
        <f t="shared" si="9"/>
        <v>16486</v>
      </c>
      <c r="J27" s="83">
        <f t="shared" si="9"/>
        <v>91219</v>
      </c>
      <c r="K27" s="83">
        <f t="shared" si="9"/>
        <v>1785905</v>
      </c>
      <c r="L27" s="63"/>
    </row>
    <row r="29" ht="14.75" spans="1:4">
      <c r="A29" s="36" t="s">
        <v>235</v>
      </c>
      <c r="B29" s="36"/>
      <c r="C29" s="36"/>
      <c r="D29" s="36"/>
    </row>
    <row r="30" spans="1:10">
      <c r="A30" s="37" t="s">
        <v>205</v>
      </c>
      <c r="B30" s="38" t="s">
        <v>209</v>
      </c>
      <c r="C30" s="38" t="s">
        <v>211</v>
      </c>
      <c r="D30" s="46" t="s">
        <v>214</v>
      </c>
      <c r="G30" s="59" t="s">
        <v>205</v>
      </c>
      <c r="H30" s="59" t="s">
        <v>205</v>
      </c>
      <c r="I30" s="59" t="s">
        <v>205</v>
      </c>
      <c r="J30" s="59" t="s">
        <v>205</v>
      </c>
    </row>
    <row r="31" spans="1:10">
      <c r="A31" s="41" t="s">
        <v>216</v>
      </c>
      <c r="B31" s="74">
        <f>DSUM(加工賃支払額一覧表6,"完成数",$G$30:$G$31)</f>
        <v>6124</v>
      </c>
      <c r="C31" s="74">
        <f>DSUM(加工賃支払額一覧表6,"加工賃",$G$30:$G$31)</f>
        <v>833300</v>
      </c>
      <c r="D31" s="75">
        <f>DSUM(加工賃支払額一覧表6,"支払額",$G$30:$G$31)</f>
        <v>887573</v>
      </c>
      <c r="G31" s="40" t="s">
        <v>216</v>
      </c>
      <c r="H31" s="40" t="s">
        <v>218</v>
      </c>
      <c r="I31" s="40" t="s">
        <v>220</v>
      </c>
      <c r="J31" s="40" t="s">
        <v>222</v>
      </c>
    </row>
    <row r="32" spans="1:4">
      <c r="A32" s="41" t="s">
        <v>218</v>
      </c>
      <c r="B32" s="74">
        <f>DSUM(加工賃支払額一覧表6,"完成数",$H$30:$H$31)</f>
        <v>6391</v>
      </c>
      <c r="C32" s="74">
        <f>DSUM(加工賃支払額一覧表6,"加工賃",$H$30:$H$31)</f>
        <v>860600</v>
      </c>
      <c r="D32" s="75">
        <f>DSUM(加工賃支払額一覧表6,"支払額",$H$30:$H$31)</f>
        <v>910829</v>
      </c>
    </row>
    <row r="33" spans="1:11">
      <c r="A33" s="41" t="s">
        <v>220</v>
      </c>
      <c r="B33" s="74">
        <f>DSUM(加工賃支払額一覧表6,"完成数",$I$30:$I$31)</f>
        <v>5905</v>
      </c>
      <c r="C33" s="74">
        <f>DSUM(加工賃支払額一覧表6,"加工賃",$I$30:$I$31)</f>
        <v>800400</v>
      </c>
      <c r="D33" s="75">
        <f>DSUM(加工賃支払額一覧表6,"支払額",$I$30:$I$31)</f>
        <v>863014</v>
      </c>
      <c r="G33" s="40" t="s">
        <v>207</v>
      </c>
      <c r="H33" s="59" t="s">
        <v>210</v>
      </c>
      <c r="I33" s="59" t="s">
        <v>212</v>
      </c>
      <c r="J33" s="59" t="s">
        <v>205</v>
      </c>
      <c r="K33" s="59" t="s">
        <v>208</v>
      </c>
    </row>
    <row r="34" ht="14.75" spans="1:11">
      <c r="A34" s="42" t="s">
        <v>222</v>
      </c>
      <c r="B34" s="76">
        <f>DSUM(加工賃支払額一覧表6,"完成数",$J$30:$J$31)</f>
        <v>5314</v>
      </c>
      <c r="C34" s="76">
        <f>DSUM(加工賃支払額一覧表6,"加工賃",$J$30:$J$31)</f>
        <v>719100</v>
      </c>
      <c r="D34" s="77">
        <f>DSUM(加工賃支払額一覧表6,"支払額",$J$30:$J$31)</f>
        <v>753632</v>
      </c>
      <c r="G34" s="40" t="s">
        <v>236</v>
      </c>
      <c r="H34" s="40" t="s">
        <v>237</v>
      </c>
      <c r="I34" s="40"/>
      <c r="J34" s="40" t="s">
        <v>216</v>
      </c>
      <c r="K34" s="40" t="s">
        <v>242</v>
      </c>
    </row>
    <row r="35" spans="7:11">
      <c r="G35" s="40"/>
      <c r="H35" s="40"/>
      <c r="I35" s="40" t="s">
        <v>239</v>
      </c>
      <c r="J35" s="40"/>
      <c r="K35" s="40"/>
    </row>
    <row r="36" ht="14.75" spans="7:11">
      <c r="G36" s="73"/>
      <c r="H36" s="73"/>
      <c r="I36" s="73"/>
      <c r="J36" s="73"/>
      <c r="K36" s="73"/>
    </row>
    <row r="37" spans="1:8">
      <c r="A37" s="51" t="s">
        <v>238</v>
      </c>
      <c r="B37" s="52"/>
      <c r="C37" s="52"/>
      <c r="D37" s="52"/>
      <c r="E37" s="52"/>
      <c r="F37" s="52"/>
      <c r="G37" s="52"/>
      <c r="H37" s="84">
        <f>ROUND(DAVERAGE(加工賃支払額一覧表6,"支払額",G33:G34),0)</f>
        <v>269399</v>
      </c>
    </row>
    <row r="38" spans="1:8">
      <c r="A38" s="53" t="s">
        <v>240</v>
      </c>
      <c r="B38" s="54"/>
      <c r="C38" s="54"/>
      <c r="D38" s="54"/>
      <c r="E38" s="54"/>
      <c r="F38" s="54"/>
      <c r="G38" s="54"/>
      <c r="H38" s="75">
        <f>DCOUNTA(加工賃支払額一覧表6,1,H33:I35)</f>
        <v>5</v>
      </c>
    </row>
    <row r="39" ht="14.75" spans="1:8">
      <c r="A39" s="55" t="s">
        <v>241</v>
      </c>
      <c r="B39" s="56"/>
      <c r="C39" s="56"/>
      <c r="D39" s="56"/>
      <c r="E39" s="56"/>
      <c r="F39" s="56"/>
      <c r="G39" s="56"/>
      <c r="H39" s="77">
        <f>DSUM(加工賃支払額一覧表6,8,J33:K34)</f>
        <v>480800</v>
      </c>
    </row>
  </sheetData>
  <mergeCells count="6">
    <mergeCell ref="A1:L1"/>
    <mergeCell ref="A18:L18"/>
    <mergeCell ref="A29:D29"/>
    <mergeCell ref="A37:G37"/>
    <mergeCell ref="A38:G38"/>
    <mergeCell ref="A39:G39"/>
  </mergeCells>
  <pageMargins left="0.25" right="0.25" top="0.75" bottom="0.75" header="0.3" footer="0.3"/>
  <pageSetup paperSize="9" scale="25" orientation="landscape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40"/>
  <sheetViews>
    <sheetView workbookViewId="0">
      <selection activeCell="F4" sqref="F4"/>
    </sheetView>
  </sheetViews>
  <sheetFormatPr defaultColWidth="9" defaultRowHeight="14"/>
  <cols>
    <col min="1" max="2" width="11" customWidth="1"/>
    <col min="3" max="3" width="10.5" customWidth="1"/>
    <col min="4" max="4" width="9" customWidth="1"/>
    <col min="5" max="5" width="7" customWidth="1"/>
    <col min="6" max="7" width="11" customWidth="1"/>
    <col min="8" max="8" width="11.875" customWidth="1"/>
    <col min="9" max="9" width="11" customWidth="1"/>
    <col min="10" max="10" width="11.375" customWidth="1"/>
    <col min="11" max="11" width="10.5" customWidth="1"/>
    <col min="12" max="12" width="9.25" customWidth="1"/>
    <col min="13" max="13" width="5.25" customWidth="1"/>
    <col min="15" max="15" width="7.125" customWidth="1"/>
    <col min="16" max="16" width="11" customWidth="1"/>
  </cols>
  <sheetData>
    <row r="1" ht="14.75" spans="1:13">
      <c r="A1" s="36" t="s">
        <v>243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6">
      <c r="A2" s="37" t="s">
        <v>244</v>
      </c>
      <c r="B2" s="38" t="s">
        <v>245</v>
      </c>
      <c r="C2" s="38" t="s">
        <v>246</v>
      </c>
      <c r="D2" s="38" t="s">
        <v>247</v>
      </c>
      <c r="E2" s="38" t="s">
        <v>248</v>
      </c>
      <c r="F2" s="38" t="s">
        <v>249</v>
      </c>
      <c r="G2" s="38" t="s">
        <v>250</v>
      </c>
      <c r="H2" s="38" t="s">
        <v>214</v>
      </c>
      <c r="I2" s="38" t="s">
        <v>251</v>
      </c>
      <c r="J2" s="38" t="s">
        <v>252</v>
      </c>
      <c r="K2" s="38" t="s">
        <v>253</v>
      </c>
      <c r="L2" s="38" t="s">
        <v>254</v>
      </c>
      <c r="M2" s="46" t="s">
        <v>63</v>
      </c>
      <c r="O2" s="59" t="s">
        <v>244</v>
      </c>
      <c r="P2" s="59" t="s">
        <v>245</v>
      </c>
    </row>
    <row r="3" spans="1:16">
      <c r="A3" s="41" t="s">
        <v>255</v>
      </c>
      <c r="B3" s="40" t="str">
        <f>VLOOKUP(A3,$O$3:$P$7,2,)</f>
        <v>山田　一郎</v>
      </c>
      <c r="C3" s="40">
        <v>1001</v>
      </c>
      <c r="D3" s="40" t="str">
        <f>VLOOKUP(C3,$O$10:$P$14,2,0)</f>
        <v>朝日水産</v>
      </c>
      <c r="E3" s="74">
        <v>5000</v>
      </c>
      <c r="F3" s="74">
        <v>537</v>
      </c>
      <c r="G3" s="74">
        <f>INT(F3*E3*VLOOKUP(RIGHT(A3,1),$O$17:$P$19,2,0))</f>
        <v>4027</v>
      </c>
      <c r="H3" s="74">
        <f>F3*E3+G3</f>
        <v>2689027</v>
      </c>
      <c r="I3" s="74">
        <v>554</v>
      </c>
      <c r="J3" s="74">
        <f>INT(I3*E3*VLOOKUP(RIGHT(A3,1),$O$17:$P$19,2,0))</f>
        <v>4155</v>
      </c>
      <c r="K3" s="74">
        <f>I3*E3-J3</f>
        <v>2765845</v>
      </c>
      <c r="L3" s="80">
        <f>K3-H3</f>
        <v>76818</v>
      </c>
      <c r="M3" s="62" t="str">
        <f>IF(AND(K3&gt;=2500000,L3&gt;=50000),"**","*")</f>
        <v>**</v>
      </c>
      <c r="O3" s="40" t="s">
        <v>255</v>
      </c>
      <c r="P3" s="40" t="s">
        <v>256</v>
      </c>
    </row>
    <row r="4" spans="1:16">
      <c r="A4" s="41" t="s">
        <v>255</v>
      </c>
      <c r="B4" s="40" t="str">
        <f t="shared" ref="B4:B17" si="0">VLOOKUP(A4,$O$3:$P$7,2,)</f>
        <v>山田　一郎</v>
      </c>
      <c r="C4" s="40">
        <v>1005</v>
      </c>
      <c r="D4" s="40" t="str">
        <f t="shared" ref="D4:D17" si="1">VLOOKUP(C4,$O$10:$P$14,2,0)</f>
        <v>大山銀行</v>
      </c>
      <c r="E4" s="74">
        <v>6000</v>
      </c>
      <c r="F4" s="74">
        <v>852</v>
      </c>
      <c r="G4" s="74">
        <f t="shared" ref="G4:G17" si="2">INT(F4*E4*VLOOKUP(RIGHT(A4,1),$O$17:$P$19,2,0))</f>
        <v>7668</v>
      </c>
      <c r="H4" s="74">
        <f t="shared" ref="H4:H17" si="3">F4*E4+G4</f>
        <v>5119668</v>
      </c>
      <c r="I4" s="74">
        <v>866</v>
      </c>
      <c r="J4" s="74">
        <f t="shared" ref="J4:J17" si="4">INT(I4*E4*VLOOKUP(RIGHT(A4,1),$O$17:$P$19,2,0))</f>
        <v>7794</v>
      </c>
      <c r="K4" s="74">
        <f t="shared" ref="K4:K17" si="5">I4*E4-J4</f>
        <v>5188206</v>
      </c>
      <c r="L4" s="80">
        <f t="shared" ref="L4:L17" si="6">K4-H4</f>
        <v>68538</v>
      </c>
      <c r="M4" s="62" t="str">
        <f t="shared" ref="M4:M17" si="7">IF(AND(K4&gt;=2500000,L4&gt;=50000),"**","*")</f>
        <v>**</v>
      </c>
      <c r="O4" s="40" t="s">
        <v>257</v>
      </c>
      <c r="P4" s="40" t="s">
        <v>258</v>
      </c>
    </row>
    <row r="5" spans="1:16">
      <c r="A5" s="41" t="s">
        <v>255</v>
      </c>
      <c r="B5" s="40" t="str">
        <f t="shared" si="0"/>
        <v>山田　一郎</v>
      </c>
      <c r="C5" s="40">
        <v>1002</v>
      </c>
      <c r="D5" s="40" t="str">
        <f t="shared" si="1"/>
        <v>新栄製鉄</v>
      </c>
      <c r="E5" s="74">
        <v>900</v>
      </c>
      <c r="F5" s="74">
        <v>2405</v>
      </c>
      <c r="G5" s="74">
        <f t="shared" si="2"/>
        <v>3246</v>
      </c>
      <c r="H5" s="74">
        <f t="shared" si="3"/>
        <v>2167746</v>
      </c>
      <c r="I5" s="74">
        <v>2385</v>
      </c>
      <c r="J5" s="74">
        <f t="shared" si="4"/>
        <v>3219</v>
      </c>
      <c r="K5" s="74">
        <f t="shared" si="5"/>
        <v>2143281</v>
      </c>
      <c r="L5" s="80">
        <f t="shared" si="6"/>
        <v>-24465</v>
      </c>
      <c r="M5" s="62" t="str">
        <f t="shared" si="7"/>
        <v>*</v>
      </c>
      <c r="O5" s="40" t="s">
        <v>259</v>
      </c>
      <c r="P5" s="40" t="s">
        <v>260</v>
      </c>
    </row>
    <row r="6" spans="1:16">
      <c r="A6" s="41" t="s">
        <v>257</v>
      </c>
      <c r="B6" s="40" t="str">
        <f t="shared" si="0"/>
        <v>安藤　愛子</v>
      </c>
      <c r="C6" s="40">
        <v>1004</v>
      </c>
      <c r="D6" s="40" t="str">
        <f t="shared" si="1"/>
        <v>東北商事</v>
      </c>
      <c r="E6" s="74">
        <v>700</v>
      </c>
      <c r="F6" s="74">
        <v>3745</v>
      </c>
      <c r="G6" s="74">
        <f t="shared" si="2"/>
        <v>4718</v>
      </c>
      <c r="H6" s="74">
        <f t="shared" si="3"/>
        <v>2626218</v>
      </c>
      <c r="I6" s="74">
        <v>3814</v>
      </c>
      <c r="J6" s="74">
        <f t="shared" si="4"/>
        <v>4805</v>
      </c>
      <c r="K6" s="74">
        <f t="shared" si="5"/>
        <v>2664995</v>
      </c>
      <c r="L6" s="80">
        <f t="shared" si="6"/>
        <v>38777</v>
      </c>
      <c r="M6" s="62" t="str">
        <f t="shared" si="7"/>
        <v>*</v>
      </c>
      <c r="O6" s="40" t="s">
        <v>261</v>
      </c>
      <c r="P6" s="40" t="s">
        <v>262</v>
      </c>
    </row>
    <row r="7" spans="1:16">
      <c r="A7" s="41" t="s">
        <v>257</v>
      </c>
      <c r="B7" s="40" t="str">
        <f t="shared" si="0"/>
        <v>安藤　愛子</v>
      </c>
      <c r="C7" s="40">
        <v>1001</v>
      </c>
      <c r="D7" s="40" t="str">
        <f t="shared" si="1"/>
        <v>朝日水産</v>
      </c>
      <c r="E7" s="74">
        <v>3000</v>
      </c>
      <c r="F7" s="74">
        <v>519</v>
      </c>
      <c r="G7" s="74">
        <f t="shared" si="2"/>
        <v>2802</v>
      </c>
      <c r="H7" s="74">
        <f t="shared" si="3"/>
        <v>1559802</v>
      </c>
      <c r="I7" s="74">
        <v>515</v>
      </c>
      <c r="J7" s="74">
        <f t="shared" si="4"/>
        <v>2781</v>
      </c>
      <c r="K7" s="74">
        <f t="shared" si="5"/>
        <v>1542219</v>
      </c>
      <c r="L7" s="80">
        <f t="shared" si="6"/>
        <v>-17583</v>
      </c>
      <c r="M7" s="62" t="str">
        <f t="shared" si="7"/>
        <v>*</v>
      </c>
      <c r="O7" s="40" t="s">
        <v>263</v>
      </c>
      <c r="P7" s="40" t="s">
        <v>264</v>
      </c>
    </row>
    <row r="8" spans="1:13">
      <c r="A8" s="41" t="s">
        <v>257</v>
      </c>
      <c r="B8" s="40" t="str">
        <f t="shared" si="0"/>
        <v>安藤　愛子</v>
      </c>
      <c r="C8" s="40">
        <v>1002</v>
      </c>
      <c r="D8" s="40" t="str">
        <f t="shared" si="1"/>
        <v>新栄製鉄</v>
      </c>
      <c r="E8" s="74">
        <v>800</v>
      </c>
      <c r="F8" s="74">
        <v>2390</v>
      </c>
      <c r="G8" s="74">
        <f t="shared" si="2"/>
        <v>3441</v>
      </c>
      <c r="H8" s="74">
        <f t="shared" si="3"/>
        <v>1915441</v>
      </c>
      <c r="I8" s="74">
        <v>2509</v>
      </c>
      <c r="J8" s="74">
        <f t="shared" si="4"/>
        <v>3612</v>
      </c>
      <c r="K8" s="74">
        <f t="shared" si="5"/>
        <v>2003588</v>
      </c>
      <c r="L8" s="80">
        <f t="shared" si="6"/>
        <v>88147</v>
      </c>
      <c r="M8" s="62" t="str">
        <f t="shared" si="7"/>
        <v>*</v>
      </c>
    </row>
    <row r="9" spans="1:16">
      <c r="A9" s="41" t="s">
        <v>259</v>
      </c>
      <c r="B9" s="40" t="str">
        <f t="shared" si="0"/>
        <v>長谷川　誠</v>
      </c>
      <c r="C9" s="40">
        <v>1002</v>
      </c>
      <c r="D9" s="40" t="str">
        <f t="shared" si="1"/>
        <v>新栄製鉄</v>
      </c>
      <c r="E9" s="74">
        <v>600</v>
      </c>
      <c r="F9" s="74">
        <v>2416</v>
      </c>
      <c r="G9" s="74">
        <f t="shared" si="2"/>
        <v>1884</v>
      </c>
      <c r="H9" s="74">
        <f t="shared" si="3"/>
        <v>1451484</v>
      </c>
      <c r="I9" s="74">
        <v>2473</v>
      </c>
      <c r="J9" s="74">
        <f t="shared" si="4"/>
        <v>1928</v>
      </c>
      <c r="K9" s="74">
        <f t="shared" si="5"/>
        <v>1481872</v>
      </c>
      <c r="L9" s="80">
        <f t="shared" si="6"/>
        <v>30388</v>
      </c>
      <c r="M9" s="62" t="str">
        <f t="shared" si="7"/>
        <v>*</v>
      </c>
      <c r="O9" s="59" t="s">
        <v>246</v>
      </c>
      <c r="P9" s="59" t="s">
        <v>247</v>
      </c>
    </row>
    <row r="10" spans="1:16">
      <c r="A10" s="41" t="s">
        <v>259</v>
      </c>
      <c r="B10" s="40" t="str">
        <f t="shared" si="0"/>
        <v>長谷川　誠</v>
      </c>
      <c r="C10" s="40">
        <v>1004</v>
      </c>
      <c r="D10" s="40" t="str">
        <f t="shared" si="1"/>
        <v>東北商事</v>
      </c>
      <c r="E10" s="74">
        <v>500</v>
      </c>
      <c r="F10" s="74">
        <v>3813</v>
      </c>
      <c r="G10" s="74">
        <f t="shared" si="2"/>
        <v>2478</v>
      </c>
      <c r="H10" s="74">
        <f t="shared" si="3"/>
        <v>1908978</v>
      </c>
      <c r="I10" s="74">
        <v>3798</v>
      </c>
      <c r="J10" s="74">
        <f t="shared" si="4"/>
        <v>2468</v>
      </c>
      <c r="K10" s="74">
        <f t="shared" si="5"/>
        <v>1896532</v>
      </c>
      <c r="L10" s="80">
        <f t="shared" si="6"/>
        <v>-12446</v>
      </c>
      <c r="M10" s="62" t="str">
        <f t="shared" si="7"/>
        <v>*</v>
      </c>
      <c r="O10" s="40">
        <v>1001</v>
      </c>
      <c r="P10" s="40" t="s">
        <v>265</v>
      </c>
    </row>
    <row r="11" spans="1:16">
      <c r="A11" s="41" t="s">
        <v>259</v>
      </c>
      <c r="B11" s="40" t="str">
        <f t="shared" si="0"/>
        <v>長谷川　誠</v>
      </c>
      <c r="C11" s="40">
        <v>1003</v>
      </c>
      <c r="D11" s="40" t="str">
        <f t="shared" si="1"/>
        <v>中央工業</v>
      </c>
      <c r="E11" s="74">
        <v>4000</v>
      </c>
      <c r="F11" s="74">
        <v>617</v>
      </c>
      <c r="G11" s="74">
        <f t="shared" si="2"/>
        <v>3208</v>
      </c>
      <c r="H11" s="74">
        <f t="shared" si="3"/>
        <v>2471208</v>
      </c>
      <c r="I11" s="74">
        <v>627</v>
      </c>
      <c r="J11" s="74">
        <f t="shared" si="4"/>
        <v>3260</v>
      </c>
      <c r="K11" s="74">
        <f t="shared" si="5"/>
        <v>2504740</v>
      </c>
      <c r="L11" s="80">
        <f t="shared" si="6"/>
        <v>33532</v>
      </c>
      <c r="M11" s="62" t="str">
        <f t="shared" si="7"/>
        <v>*</v>
      </c>
      <c r="O11" s="40">
        <v>1002</v>
      </c>
      <c r="P11" s="40" t="s">
        <v>266</v>
      </c>
    </row>
    <row r="12" spans="1:16">
      <c r="A12" s="41" t="s">
        <v>261</v>
      </c>
      <c r="B12" s="40" t="str">
        <f t="shared" si="0"/>
        <v>林　ありさ</v>
      </c>
      <c r="C12" s="40">
        <v>1005</v>
      </c>
      <c r="D12" s="40" t="str">
        <f t="shared" si="1"/>
        <v>大山銀行</v>
      </c>
      <c r="E12" s="74">
        <v>6000</v>
      </c>
      <c r="F12" s="74">
        <v>863</v>
      </c>
      <c r="G12" s="74">
        <f t="shared" si="2"/>
        <v>9320</v>
      </c>
      <c r="H12" s="74">
        <f t="shared" si="3"/>
        <v>5187320</v>
      </c>
      <c r="I12" s="74">
        <v>877</v>
      </c>
      <c r="J12" s="74">
        <f t="shared" si="4"/>
        <v>9471</v>
      </c>
      <c r="K12" s="74">
        <f t="shared" si="5"/>
        <v>5252529</v>
      </c>
      <c r="L12" s="80">
        <f t="shared" si="6"/>
        <v>65209</v>
      </c>
      <c r="M12" s="62" t="str">
        <f t="shared" si="7"/>
        <v>**</v>
      </c>
      <c r="O12" s="40">
        <v>1003</v>
      </c>
      <c r="P12" s="40" t="s">
        <v>267</v>
      </c>
    </row>
    <row r="13" spans="1:16">
      <c r="A13" s="41" t="s">
        <v>261</v>
      </c>
      <c r="B13" s="40" t="str">
        <f t="shared" si="0"/>
        <v>林　ありさ</v>
      </c>
      <c r="C13" s="40">
        <v>1003</v>
      </c>
      <c r="D13" s="40" t="str">
        <f t="shared" si="1"/>
        <v>中央工業</v>
      </c>
      <c r="E13" s="74">
        <v>5000</v>
      </c>
      <c r="F13" s="74">
        <v>600</v>
      </c>
      <c r="G13" s="74">
        <f t="shared" si="2"/>
        <v>5400</v>
      </c>
      <c r="H13" s="74">
        <f t="shared" si="3"/>
        <v>3005400</v>
      </c>
      <c r="I13" s="74">
        <v>618</v>
      </c>
      <c r="J13" s="74">
        <f t="shared" si="4"/>
        <v>5562</v>
      </c>
      <c r="K13" s="74">
        <f t="shared" si="5"/>
        <v>3084438</v>
      </c>
      <c r="L13" s="80">
        <f t="shared" si="6"/>
        <v>79038</v>
      </c>
      <c r="M13" s="62" t="str">
        <f t="shared" si="7"/>
        <v>**</v>
      </c>
      <c r="O13" s="40">
        <v>1004</v>
      </c>
      <c r="P13" s="40" t="s">
        <v>268</v>
      </c>
    </row>
    <row r="14" spans="1:16">
      <c r="A14" s="41" t="s">
        <v>261</v>
      </c>
      <c r="B14" s="40" t="str">
        <f t="shared" si="0"/>
        <v>林　ありさ</v>
      </c>
      <c r="C14" s="40">
        <v>1004</v>
      </c>
      <c r="D14" s="40" t="str">
        <f t="shared" si="1"/>
        <v>東北商事</v>
      </c>
      <c r="E14" s="74">
        <v>400</v>
      </c>
      <c r="F14" s="74">
        <v>3922</v>
      </c>
      <c r="G14" s="74">
        <f t="shared" si="2"/>
        <v>2823</v>
      </c>
      <c r="H14" s="74">
        <f t="shared" si="3"/>
        <v>1571623</v>
      </c>
      <c r="I14" s="74">
        <v>4030</v>
      </c>
      <c r="J14" s="74">
        <f t="shared" si="4"/>
        <v>2901</v>
      </c>
      <c r="K14" s="74">
        <f t="shared" si="5"/>
        <v>1609099</v>
      </c>
      <c r="L14" s="80">
        <f t="shared" si="6"/>
        <v>37476</v>
      </c>
      <c r="M14" s="62" t="str">
        <f t="shared" si="7"/>
        <v>*</v>
      </c>
      <c r="O14" s="40">
        <v>1005</v>
      </c>
      <c r="P14" s="40" t="s">
        <v>269</v>
      </c>
    </row>
    <row r="15" spans="1:13">
      <c r="A15" s="41" t="s">
        <v>263</v>
      </c>
      <c r="B15" s="40" t="str">
        <f t="shared" si="0"/>
        <v>中村　英明</v>
      </c>
      <c r="C15" s="40">
        <v>1001</v>
      </c>
      <c r="D15" s="40" t="str">
        <f t="shared" si="1"/>
        <v>朝日水産</v>
      </c>
      <c r="E15" s="74">
        <v>6000</v>
      </c>
      <c r="F15" s="74">
        <v>511</v>
      </c>
      <c r="G15" s="74">
        <f t="shared" si="2"/>
        <v>3985</v>
      </c>
      <c r="H15" s="74">
        <f t="shared" si="3"/>
        <v>3069985</v>
      </c>
      <c r="I15" s="74">
        <v>524</v>
      </c>
      <c r="J15" s="74">
        <f t="shared" si="4"/>
        <v>4087</v>
      </c>
      <c r="K15" s="74">
        <f t="shared" si="5"/>
        <v>3139913</v>
      </c>
      <c r="L15" s="80">
        <f t="shared" si="6"/>
        <v>69928</v>
      </c>
      <c r="M15" s="62" t="str">
        <f t="shared" si="7"/>
        <v>**</v>
      </c>
    </row>
    <row r="16" spans="1:16">
      <c r="A16" s="41" t="s">
        <v>263</v>
      </c>
      <c r="B16" s="40" t="str">
        <f t="shared" si="0"/>
        <v>中村　英明</v>
      </c>
      <c r="C16" s="40">
        <v>1005</v>
      </c>
      <c r="D16" s="40" t="str">
        <f t="shared" si="1"/>
        <v>大山銀行</v>
      </c>
      <c r="E16" s="74">
        <v>3000</v>
      </c>
      <c r="F16" s="74">
        <v>871</v>
      </c>
      <c r="G16" s="74">
        <f t="shared" si="2"/>
        <v>3396</v>
      </c>
      <c r="H16" s="74">
        <f t="shared" si="3"/>
        <v>2616396</v>
      </c>
      <c r="I16" s="74">
        <v>891</v>
      </c>
      <c r="J16" s="74">
        <f t="shared" si="4"/>
        <v>3474</v>
      </c>
      <c r="K16" s="74">
        <f t="shared" si="5"/>
        <v>2669526</v>
      </c>
      <c r="L16" s="80">
        <f t="shared" si="6"/>
        <v>53130</v>
      </c>
      <c r="M16" s="62" t="str">
        <f t="shared" si="7"/>
        <v>**</v>
      </c>
      <c r="O16" s="59" t="s">
        <v>270</v>
      </c>
      <c r="P16" s="59" t="s">
        <v>271</v>
      </c>
    </row>
    <row r="17" spans="1:16">
      <c r="A17" s="41" t="s">
        <v>263</v>
      </c>
      <c r="B17" s="40" t="str">
        <f t="shared" si="0"/>
        <v>中村　英明</v>
      </c>
      <c r="C17" s="40">
        <v>1003</v>
      </c>
      <c r="D17" s="40" t="str">
        <f t="shared" si="1"/>
        <v>中央工業</v>
      </c>
      <c r="E17" s="74">
        <v>5000</v>
      </c>
      <c r="F17" s="74">
        <v>622</v>
      </c>
      <c r="G17" s="74">
        <f t="shared" si="2"/>
        <v>4043</v>
      </c>
      <c r="H17" s="74">
        <f t="shared" si="3"/>
        <v>3114043</v>
      </c>
      <c r="I17" s="74">
        <v>633</v>
      </c>
      <c r="J17" s="74">
        <f t="shared" si="4"/>
        <v>4114</v>
      </c>
      <c r="K17" s="74">
        <f t="shared" si="5"/>
        <v>3160886</v>
      </c>
      <c r="L17" s="80">
        <f t="shared" si="6"/>
        <v>46843</v>
      </c>
      <c r="M17" s="62" t="str">
        <f t="shared" si="7"/>
        <v>*</v>
      </c>
      <c r="O17" s="40" t="s">
        <v>272</v>
      </c>
      <c r="P17" s="85">
        <v>0.0013</v>
      </c>
    </row>
    <row r="18" spans="1:16">
      <c r="A18" s="41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62"/>
      <c r="O18" s="40" t="s">
        <v>273</v>
      </c>
      <c r="P18" s="85">
        <v>0.0015</v>
      </c>
    </row>
    <row r="19" ht="14.75" spans="1:16">
      <c r="A19" s="42"/>
      <c r="B19" s="44" t="s">
        <v>31</v>
      </c>
      <c r="C19" s="43"/>
      <c r="D19" s="43"/>
      <c r="E19" s="83">
        <f>SUM(E3:E17)</f>
        <v>46900</v>
      </c>
      <c r="F19" s="83"/>
      <c r="G19" s="83">
        <f t="shared" ref="G19:L19" si="8">SUM(G3:G17)</f>
        <v>62439</v>
      </c>
      <c r="H19" s="83">
        <f t="shared" si="8"/>
        <v>40474339</v>
      </c>
      <c r="I19" s="83"/>
      <c r="J19" s="83">
        <f t="shared" si="8"/>
        <v>63631</v>
      </c>
      <c r="K19" s="83">
        <f t="shared" si="8"/>
        <v>41107669</v>
      </c>
      <c r="L19" s="83">
        <f t="shared" si="8"/>
        <v>633330</v>
      </c>
      <c r="M19" s="63"/>
      <c r="O19" s="40" t="s">
        <v>274</v>
      </c>
      <c r="P19" s="85">
        <v>0.0018</v>
      </c>
    </row>
    <row r="21" ht="14.75" spans="1:13">
      <c r="A21" s="36" t="s">
        <v>275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</row>
    <row r="22" spans="1:13">
      <c r="A22" s="37" t="s">
        <v>244</v>
      </c>
      <c r="B22" s="38" t="s">
        <v>245</v>
      </c>
      <c r="C22" s="38" t="s">
        <v>246</v>
      </c>
      <c r="D22" s="38" t="s">
        <v>247</v>
      </c>
      <c r="E22" s="38" t="s">
        <v>248</v>
      </c>
      <c r="F22" s="38" t="s">
        <v>249</v>
      </c>
      <c r="G22" s="38" t="s">
        <v>250</v>
      </c>
      <c r="H22" s="38" t="s">
        <v>214</v>
      </c>
      <c r="I22" s="38" t="s">
        <v>251</v>
      </c>
      <c r="J22" s="38" t="s">
        <v>252</v>
      </c>
      <c r="K22" s="38" t="s">
        <v>253</v>
      </c>
      <c r="L22" s="38" t="s">
        <v>254</v>
      </c>
      <c r="M22" s="46" t="s">
        <v>63</v>
      </c>
    </row>
    <row r="23" spans="1:13">
      <c r="A23" s="41" t="s">
        <v>261</v>
      </c>
      <c r="B23" s="40" t="s">
        <v>262</v>
      </c>
      <c r="C23" s="40">
        <v>1005</v>
      </c>
      <c r="D23" s="40" t="s">
        <v>269</v>
      </c>
      <c r="E23" s="74">
        <v>6000</v>
      </c>
      <c r="F23" s="74">
        <v>863</v>
      </c>
      <c r="G23" s="74">
        <v>9320</v>
      </c>
      <c r="H23" s="74">
        <v>5187320</v>
      </c>
      <c r="I23" s="74">
        <v>877</v>
      </c>
      <c r="J23" s="74">
        <v>9471</v>
      </c>
      <c r="K23" s="74">
        <v>5252529</v>
      </c>
      <c r="L23" s="80">
        <v>65209</v>
      </c>
      <c r="M23" s="62" t="s">
        <v>82</v>
      </c>
    </row>
    <row r="24" spans="1:13">
      <c r="A24" s="41" t="s">
        <v>255</v>
      </c>
      <c r="B24" s="40" t="s">
        <v>256</v>
      </c>
      <c r="C24" s="40">
        <v>1005</v>
      </c>
      <c r="D24" s="40" t="s">
        <v>269</v>
      </c>
      <c r="E24" s="74">
        <v>6000</v>
      </c>
      <c r="F24" s="74">
        <v>852</v>
      </c>
      <c r="G24" s="74">
        <v>7668</v>
      </c>
      <c r="H24" s="74">
        <v>5119668</v>
      </c>
      <c r="I24" s="74">
        <v>866</v>
      </c>
      <c r="J24" s="74">
        <v>7794</v>
      </c>
      <c r="K24" s="74">
        <v>5188206</v>
      </c>
      <c r="L24" s="80">
        <v>68538</v>
      </c>
      <c r="M24" s="62" t="s">
        <v>82</v>
      </c>
    </row>
    <row r="25" spans="1:13">
      <c r="A25" s="41" t="s">
        <v>263</v>
      </c>
      <c r="B25" s="40" t="s">
        <v>264</v>
      </c>
      <c r="C25" s="40">
        <v>1003</v>
      </c>
      <c r="D25" s="40" t="s">
        <v>267</v>
      </c>
      <c r="E25" s="74">
        <v>5000</v>
      </c>
      <c r="F25" s="74">
        <v>622</v>
      </c>
      <c r="G25" s="74">
        <v>4043</v>
      </c>
      <c r="H25" s="74">
        <v>3114043</v>
      </c>
      <c r="I25" s="74">
        <v>633</v>
      </c>
      <c r="J25" s="74">
        <v>4114</v>
      </c>
      <c r="K25" s="74">
        <v>3160886</v>
      </c>
      <c r="L25" s="80">
        <v>46843</v>
      </c>
      <c r="M25" s="62" t="s">
        <v>39</v>
      </c>
    </row>
    <row r="26" spans="1:13">
      <c r="A26" s="41" t="s">
        <v>261</v>
      </c>
      <c r="B26" s="40" t="s">
        <v>262</v>
      </c>
      <c r="C26" s="40">
        <v>1003</v>
      </c>
      <c r="D26" s="40" t="s">
        <v>267</v>
      </c>
      <c r="E26" s="74">
        <v>5000</v>
      </c>
      <c r="F26" s="74">
        <v>600</v>
      </c>
      <c r="G26" s="74">
        <v>5400</v>
      </c>
      <c r="H26" s="74">
        <v>3005400</v>
      </c>
      <c r="I26" s="74">
        <v>618</v>
      </c>
      <c r="J26" s="74">
        <v>5562</v>
      </c>
      <c r="K26" s="74">
        <v>3084438</v>
      </c>
      <c r="L26" s="80">
        <v>79038</v>
      </c>
      <c r="M26" s="62" t="s">
        <v>82</v>
      </c>
    </row>
    <row r="27" spans="1:13">
      <c r="A27" s="41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62"/>
    </row>
    <row r="28" ht="14.75" spans="1:13">
      <c r="A28" s="42"/>
      <c r="B28" s="44" t="s">
        <v>31</v>
      </c>
      <c r="C28" s="43"/>
      <c r="D28" s="43"/>
      <c r="E28" s="83">
        <f>SUM(E23:E26)</f>
        <v>22000</v>
      </c>
      <c r="F28" s="83"/>
      <c r="G28" s="83">
        <f t="shared" ref="G28:L28" si="9">SUM(G23:G26)</f>
        <v>26431</v>
      </c>
      <c r="H28" s="83">
        <f t="shared" si="9"/>
        <v>16426431</v>
      </c>
      <c r="I28" s="83"/>
      <c r="J28" s="83">
        <f t="shared" si="9"/>
        <v>26941</v>
      </c>
      <c r="K28" s="83">
        <f t="shared" si="9"/>
        <v>16686059</v>
      </c>
      <c r="L28" s="83">
        <f t="shared" si="9"/>
        <v>259628</v>
      </c>
      <c r="M28" s="63"/>
    </row>
    <row r="30" ht="14.75" spans="1:4">
      <c r="A30" s="36" t="s">
        <v>276</v>
      </c>
      <c r="B30" s="36"/>
      <c r="C30" s="36"/>
      <c r="D30" s="36"/>
    </row>
    <row r="31" spans="1:10">
      <c r="A31" s="37" t="s">
        <v>245</v>
      </c>
      <c r="B31" s="38" t="s">
        <v>214</v>
      </c>
      <c r="C31" s="38" t="s">
        <v>253</v>
      </c>
      <c r="D31" s="46" t="s">
        <v>254</v>
      </c>
      <c r="F31" s="59" t="s">
        <v>245</v>
      </c>
      <c r="G31" s="59" t="s">
        <v>245</v>
      </c>
      <c r="H31" s="59" t="s">
        <v>245</v>
      </c>
      <c r="I31" s="59" t="s">
        <v>245</v>
      </c>
      <c r="J31" s="59" t="s">
        <v>245</v>
      </c>
    </row>
    <row r="32" spans="1:10">
      <c r="A32" s="41" t="s">
        <v>256</v>
      </c>
      <c r="B32" s="74">
        <f>DSUM(株式損益額計算表7,B$31,$F$31:$F$32)</f>
        <v>9976441</v>
      </c>
      <c r="C32" s="74">
        <f>DSUM(株式損益額計算表7,C$31,$F$31:$F$32)</f>
        <v>10097332</v>
      </c>
      <c r="D32" s="75">
        <f>DSUM(株式損益額計算表7,D$31,$F$31:$F$32)</f>
        <v>120891</v>
      </c>
      <c r="F32" s="40" t="s">
        <v>256</v>
      </c>
      <c r="G32" s="40" t="s">
        <v>258</v>
      </c>
      <c r="H32" s="40" t="s">
        <v>260</v>
      </c>
      <c r="I32" s="40" t="s">
        <v>262</v>
      </c>
      <c r="J32" s="40" t="s">
        <v>264</v>
      </c>
    </row>
    <row r="33" spans="1:4">
      <c r="A33" s="41" t="s">
        <v>258</v>
      </c>
      <c r="B33" s="74">
        <f>DSUM(株式損益額計算表7,B$31,$G$31:$G$32)</f>
        <v>6101461</v>
      </c>
      <c r="C33" s="74">
        <f>DSUM(株式損益額計算表7,C$31,$G$31:$G$32)</f>
        <v>6210802</v>
      </c>
      <c r="D33" s="75">
        <f>DSUM(株式損益額計算表7,D$31,$G$31:$G$32)</f>
        <v>109341</v>
      </c>
    </row>
    <row r="34" spans="1:4">
      <c r="A34" s="41" t="s">
        <v>260</v>
      </c>
      <c r="B34" s="74">
        <f>DSUM(株式損益額計算表7,B$31,$H$31:$H$32)</f>
        <v>5831670</v>
      </c>
      <c r="C34" s="74">
        <f>DSUM(株式損益額計算表7,C$31,$H$31:$H$32)</f>
        <v>5883144</v>
      </c>
      <c r="D34" s="75">
        <f>DSUM(株式損益額計算表7,D$31,$H$31:$H$32)</f>
        <v>51474</v>
      </c>
    </row>
    <row r="35" spans="1:9">
      <c r="A35" s="41" t="s">
        <v>262</v>
      </c>
      <c r="B35" s="74">
        <f>DSUM(株式損益額計算表7,B$31,$I$31:$I$32)</f>
        <v>9764343</v>
      </c>
      <c r="C35" s="74">
        <f>DSUM(株式損益額計算表7,C$31,$I$31:$I$32)</f>
        <v>9946066</v>
      </c>
      <c r="D35" s="75">
        <f>DSUM(株式損益額計算表7,D$31,$I$31:$I$32)</f>
        <v>181723</v>
      </c>
      <c r="I35" s="59" t="s">
        <v>247</v>
      </c>
    </row>
    <row r="36" ht="14.75" spans="1:9">
      <c r="A36" s="42" t="s">
        <v>264</v>
      </c>
      <c r="B36" s="76">
        <f>DSUM(株式損益額計算表7,B$31,$J$31:$J$32)</f>
        <v>8800424</v>
      </c>
      <c r="C36" s="76">
        <f>DSUM(株式損益額計算表7,C$31,$J$31:$J$32)</f>
        <v>8970325</v>
      </c>
      <c r="D36" s="77">
        <f>DSUM(株式損益額計算表7,D$31,$J$31:$J$32)</f>
        <v>169901</v>
      </c>
      <c r="I36" s="40" t="str">
        <f>"&lt;&gt;東北商事"</f>
        <v>&lt;&gt;東北商事</v>
      </c>
    </row>
    <row r="37" ht="14.75" spans="9:10">
      <c r="I37" s="59" t="s">
        <v>248</v>
      </c>
      <c r="J37" s="59" t="s">
        <v>214</v>
      </c>
    </row>
    <row r="38" ht="16.8" spans="1:10">
      <c r="A38" s="81" t="s">
        <v>277</v>
      </c>
      <c r="B38" s="82"/>
      <c r="C38" s="82"/>
      <c r="D38" s="82"/>
      <c r="E38" s="82"/>
      <c r="F38" s="84">
        <f>DSUM(株式損益額計算表7,L2,I35:I36)</f>
        <v>569523</v>
      </c>
      <c r="I38" s="40" t="s">
        <v>278</v>
      </c>
      <c r="J38" s="40" t="s">
        <v>279</v>
      </c>
    </row>
    <row r="39" spans="1:10">
      <c r="A39" s="41" t="s">
        <v>280</v>
      </c>
      <c r="B39" s="40"/>
      <c r="C39" s="40"/>
      <c r="D39" s="40"/>
      <c r="E39" s="40"/>
      <c r="F39" s="62">
        <f>DCOUNT(株式損益額計算表7,,I37:J38)</f>
        <v>4</v>
      </c>
      <c r="I39" s="59" t="s">
        <v>254</v>
      </c>
      <c r="J39" s="59" t="s">
        <v>254</v>
      </c>
    </row>
    <row r="40" ht="14.75" spans="1:10">
      <c r="A40" s="55" t="s">
        <v>281</v>
      </c>
      <c r="B40" s="56"/>
      <c r="C40" s="56"/>
      <c r="D40" s="56"/>
      <c r="E40" s="56"/>
      <c r="F40" s="77">
        <f>ROUND(DAVERAGE(株式損益額計算表7,K2,I39:J40),0)</f>
        <v>2348520</v>
      </c>
      <c r="I40" s="40" t="s">
        <v>282</v>
      </c>
      <c r="J40" s="40" t="s">
        <v>283</v>
      </c>
    </row>
  </sheetData>
  <sortState ref="A23:M26">
    <sortCondition ref="K22" descending="1"/>
  </sortState>
  <mergeCells count="6">
    <mergeCell ref="A1:M1"/>
    <mergeCell ref="A21:M21"/>
    <mergeCell ref="A30:D30"/>
    <mergeCell ref="A38:E38"/>
    <mergeCell ref="A39:E39"/>
    <mergeCell ref="A40:E40"/>
  </mergeCells>
  <pageMargins left="0.25" right="0.25" top="0.75" bottom="0.75" header="0.3" footer="0.3"/>
  <pageSetup paperSize="9" scale="58" orientation="portrait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40"/>
  <sheetViews>
    <sheetView topLeftCell="A23" workbookViewId="0">
      <selection activeCell="N46" sqref="N46"/>
    </sheetView>
  </sheetViews>
  <sheetFormatPr defaultColWidth="9" defaultRowHeight="14"/>
  <cols>
    <col min="1" max="2" width="11" customWidth="1"/>
    <col min="3" max="3" width="10.5" customWidth="1"/>
    <col min="4" max="4" width="9" customWidth="1"/>
    <col min="5" max="5" width="7" customWidth="1"/>
    <col min="6" max="7" width="11" customWidth="1"/>
    <col min="8" max="8" width="11.875" customWidth="1"/>
    <col min="9" max="9" width="11" customWidth="1"/>
    <col min="10" max="10" width="11.375" customWidth="1"/>
    <col min="11" max="11" width="10.5" customWidth="1"/>
    <col min="12" max="12" width="9.25" customWidth="1"/>
    <col min="13" max="13" width="5.25" customWidth="1"/>
    <col min="15" max="15" width="7.125" customWidth="1"/>
    <col min="16" max="16" width="11" customWidth="1"/>
  </cols>
  <sheetData>
    <row r="1" ht="14.75" spans="1:13">
      <c r="A1" s="36" t="s">
        <v>243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6">
      <c r="A2" s="37" t="s">
        <v>244</v>
      </c>
      <c r="B2" s="38" t="s">
        <v>245</v>
      </c>
      <c r="C2" s="38" t="s">
        <v>246</v>
      </c>
      <c r="D2" s="38" t="s">
        <v>247</v>
      </c>
      <c r="E2" s="38" t="s">
        <v>248</v>
      </c>
      <c r="F2" s="38" t="s">
        <v>249</v>
      </c>
      <c r="G2" s="38" t="s">
        <v>250</v>
      </c>
      <c r="H2" s="38" t="s">
        <v>214</v>
      </c>
      <c r="I2" s="38" t="s">
        <v>251</v>
      </c>
      <c r="J2" s="38" t="s">
        <v>252</v>
      </c>
      <c r="K2" s="38" t="s">
        <v>253</v>
      </c>
      <c r="L2" s="38" t="s">
        <v>254</v>
      </c>
      <c r="M2" s="46" t="s">
        <v>63</v>
      </c>
      <c r="O2" s="59" t="s">
        <v>244</v>
      </c>
      <c r="P2" s="59" t="s">
        <v>245</v>
      </c>
    </row>
    <row r="3" spans="1:16">
      <c r="A3" s="41" t="s">
        <v>255</v>
      </c>
      <c r="B3" s="40" t="str">
        <f>VLOOKUP(A3,$O$3:$P$7,2,)</f>
        <v>山田　一郎</v>
      </c>
      <c r="C3" s="40">
        <v>1001</v>
      </c>
      <c r="D3" s="40" t="str">
        <f>VLOOKUP(C3,$O$10:$P$14,2,0)</f>
        <v>朝日水産</v>
      </c>
      <c r="E3" s="74">
        <v>5000</v>
      </c>
      <c r="F3" s="74">
        <v>537</v>
      </c>
      <c r="G3" s="74">
        <f>INT(F3*E3*VLOOKUP(RIGHT(A3,1),$O$17:$P$19,2,0))</f>
        <v>4027</v>
      </c>
      <c r="H3" s="74">
        <f>F3*E3+G3</f>
        <v>2689027</v>
      </c>
      <c r="I3" s="74">
        <v>554</v>
      </c>
      <c r="J3" s="74">
        <f>INT(I3*E3*VLOOKUP(RIGHT(A3,1),$O$17:$P$19,2,0))</f>
        <v>4155</v>
      </c>
      <c r="K3" s="74">
        <f>I3*E3-J3</f>
        <v>2765845</v>
      </c>
      <c r="L3" s="80">
        <f>K3-H3</f>
        <v>76818</v>
      </c>
      <c r="M3" s="62" t="str">
        <f>IF(AND(K3&gt;=2500000,L3&gt;=50000),"**","*")</f>
        <v>**</v>
      </c>
      <c r="O3" s="40" t="s">
        <v>255</v>
      </c>
      <c r="P3" s="40" t="s">
        <v>256</v>
      </c>
    </row>
    <row r="4" spans="1:16">
      <c r="A4" s="41" t="s">
        <v>255</v>
      </c>
      <c r="B4" s="40" t="str">
        <f t="shared" ref="B4:B17" si="0">VLOOKUP(A4,$O$3:$P$7,2,)</f>
        <v>山田　一郎</v>
      </c>
      <c r="C4" s="40">
        <v>1005</v>
      </c>
      <c r="D4" s="40" t="str">
        <f t="shared" ref="D4:D17" si="1">VLOOKUP(C4,$O$10:$P$14,2,0)</f>
        <v>大山銀行</v>
      </c>
      <c r="E4" s="74">
        <v>6000</v>
      </c>
      <c r="F4" s="74">
        <v>852</v>
      </c>
      <c r="G4" s="74">
        <f t="shared" ref="G4:G17" si="2">INT(F4*E4*VLOOKUP(RIGHT(A4,1),$O$17:$P$19,2,0))</f>
        <v>7668</v>
      </c>
      <c r="H4" s="74">
        <f t="shared" ref="H4:H17" si="3">F4*E4+G4</f>
        <v>5119668</v>
      </c>
      <c r="I4" s="74">
        <v>866</v>
      </c>
      <c r="J4" s="74">
        <f t="shared" ref="J4:J17" si="4">INT(I4*E4*VLOOKUP(RIGHT(A4,1),$O$17:$P$19,2,0))</f>
        <v>7794</v>
      </c>
      <c r="K4" s="74">
        <f t="shared" ref="K4:K17" si="5">I4*E4-J4</f>
        <v>5188206</v>
      </c>
      <c r="L4" s="80">
        <f t="shared" ref="L4:L17" si="6">K4-H4</f>
        <v>68538</v>
      </c>
      <c r="M4" s="62" t="str">
        <f t="shared" ref="M4:M17" si="7">IF(AND(K4&gt;=2500000,L4&gt;=50000),"**","*")</f>
        <v>**</v>
      </c>
      <c r="O4" s="40" t="s">
        <v>257</v>
      </c>
      <c r="P4" s="40" t="s">
        <v>258</v>
      </c>
    </row>
    <row r="5" spans="1:16">
      <c r="A5" s="41" t="s">
        <v>255</v>
      </c>
      <c r="B5" s="40" t="str">
        <f t="shared" si="0"/>
        <v>山田　一郎</v>
      </c>
      <c r="C5" s="40">
        <v>1002</v>
      </c>
      <c r="D5" s="40" t="str">
        <f t="shared" si="1"/>
        <v>新栄製鉄</v>
      </c>
      <c r="E5" s="74">
        <v>900</v>
      </c>
      <c r="F5" s="74">
        <v>2405</v>
      </c>
      <c r="G5" s="74">
        <f t="shared" si="2"/>
        <v>3246</v>
      </c>
      <c r="H5" s="74">
        <f t="shared" si="3"/>
        <v>2167746</v>
      </c>
      <c r="I5" s="74">
        <v>2385</v>
      </c>
      <c r="J5" s="74">
        <f t="shared" si="4"/>
        <v>3219</v>
      </c>
      <c r="K5" s="74">
        <f t="shared" si="5"/>
        <v>2143281</v>
      </c>
      <c r="L5" s="80">
        <f t="shared" si="6"/>
        <v>-24465</v>
      </c>
      <c r="M5" s="62" t="str">
        <f t="shared" si="7"/>
        <v>*</v>
      </c>
      <c r="O5" s="40" t="s">
        <v>259</v>
      </c>
      <c r="P5" s="40" t="s">
        <v>260</v>
      </c>
    </row>
    <row r="6" spans="1:16">
      <c r="A6" s="41" t="s">
        <v>257</v>
      </c>
      <c r="B6" s="40" t="str">
        <f t="shared" si="0"/>
        <v>安藤　愛子</v>
      </c>
      <c r="C6" s="40">
        <v>1004</v>
      </c>
      <c r="D6" s="40" t="str">
        <f t="shared" si="1"/>
        <v>東北商事</v>
      </c>
      <c r="E6" s="74">
        <v>700</v>
      </c>
      <c r="F6" s="74">
        <v>3745</v>
      </c>
      <c r="G6" s="74">
        <f t="shared" si="2"/>
        <v>4718</v>
      </c>
      <c r="H6" s="74">
        <f t="shared" si="3"/>
        <v>2626218</v>
      </c>
      <c r="I6" s="74">
        <v>3814</v>
      </c>
      <c r="J6" s="74">
        <f t="shared" si="4"/>
        <v>4805</v>
      </c>
      <c r="K6" s="74">
        <f t="shared" si="5"/>
        <v>2664995</v>
      </c>
      <c r="L6" s="80">
        <f t="shared" si="6"/>
        <v>38777</v>
      </c>
      <c r="M6" s="62" t="str">
        <f t="shared" si="7"/>
        <v>*</v>
      </c>
      <c r="O6" s="40" t="s">
        <v>261</v>
      </c>
      <c r="P6" s="40" t="s">
        <v>262</v>
      </c>
    </row>
    <row r="7" spans="1:16">
      <c r="A7" s="41" t="s">
        <v>257</v>
      </c>
      <c r="B7" s="40" t="str">
        <f t="shared" si="0"/>
        <v>安藤　愛子</v>
      </c>
      <c r="C7" s="40">
        <v>1001</v>
      </c>
      <c r="D7" s="40" t="str">
        <f t="shared" si="1"/>
        <v>朝日水産</v>
      </c>
      <c r="E7" s="74">
        <v>3000</v>
      </c>
      <c r="F7" s="74">
        <v>519</v>
      </c>
      <c r="G7" s="74">
        <f t="shared" si="2"/>
        <v>2802</v>
      </c>
      <c r="H7" s="74">
        <f t="shared" si="3"/>
        <v>1559802</v>
      </c>
      <c r="I7" s="74">
        <v>515</v>
      </c>
      <c r="J7" s="74">
        <f t="shared" si="4"/>
        <v>2781</v>
      </c>
      <c r="K7" s="74">
        <f t="shared" si="5"/>
        <v>1542219</v>
      </c>
      <c r="L7" s="80">
        <f t="shared" si="6"/>
        <v>-17583</v>
      </c>
      <c r="M7" s="62" t="str">
        <f t="shared" si="7"/>
        <v>*</v>
      </c>
      <c r="O7" s="40" t="s">
        <v>263</v>
      </c>
      <c r="P7" s="40" t="s">
        <v>264</v>
      </c>
    </row>
    <row r="8" spans="1:13">
      <c r="A8" s="41" t="s">
        <v>257</v>
      </c>
      <c r="B8" s="40" t="str">
        <f t="shared" si="0"/>
        <v>安藤　愛子</v>
      </c>
      <c r="C8" s="40">
        <v>1002</v>
      </c>
      <c r="D8" s="40" t="str">
        <f t="shared" si="1"/>
        <v>新栄製鉄</v>
      </c>
      <c r="E8" s="74">
        <v>800</v>
      </c>
      <c r="F8" s="74">
        <v>2390</v>
      </c>
      <c r="G8" s="74">
        <f t="shared" si="2"/>
        <v>3441</v>
      </c>
      <c r="H8" s="74">
        <f t="shared" si="3"/>
        <v>1915441</v>
      </c>
      <c r="I8" s="74">
        <v>2509</v>
      </c>
      <c r="J8" s="74">
        <f t="shared" si="4"/>
        <v>3612</v>
      </c>
      <c r="K8" s="74">
        <f t="shared" si="5"/>
        <v>2003588</v>
      </c>
      <c r="L8" s="80">
        <f t="shared" si="6"/>
        <v>88147</v>
      </c>
      <c r="M8" s="62" t="str">
        <f t="shared" si="7"/>
        <v>*</v>
      </c>
    </row>
    <row r="9" spans="1:16">
      <c r="A9" s="41" t="s">
        <v>259</v>
      </c>
      <c r="B9" s="40" t="str">
        <f t="shared" si="0"/>
        <v>長谷川　誠</v>
      </c>
      <c r="C9" s="40">
        <v>1002</v>
      </c>
      <c r="D9" s="40" t="str">
        <f t="shared" si="1"/>
        <v>新栄製鉄</v>
      </c>
      <c r="E9" s="74">
        <v>600</v>
      </c>
      <c r="F9" s="74">
        <v>2416</v>
      </c>
      <c r="G9" s="74">
        <f t="shared" si="2"/>
        <v>1884</v>
      </c>
      <c r="H9" s="74">
        <f t="shared" si="3"/>
        <v>1451484</v>
      </c>
      <c r="I9" s="74">
        <v>2473</v>
      </c>
      <c r="J9" s="74">
        <f t="shared" si="4"/>
        <v>1928</v>
      </c>
      <c r="K9" s="74">
        <f t="shared" si="5"/>
        <v>1481872</v>
      </c>
      <c r="L9" s="80">
        <f t="shared" si="6"/>
        <v>30388</v>
      </c>
      <c r="M9" s="62" t="str">
        <f t="shared" si="7"/>
        <v>*</v>
      </c>
      <c r="O9" s="59" t="s">
        <v>246</v>
      </c>
      <c r="P9" s="59" t="s">
        <v>247</v>
      </c>
    </row>
    <row r="10" spans="1:16">
      <c r="A10" s="41" t="s">
        <v>259</v>
      </c>
      <c r="B10" s="40" t="str">
        <f t="shared" si="0"/>
        <v>長谷川　誠</v>
      </c>
      <c r="C10" s="40">
        <v>1004</v>
      </c>
      <c r="D10" s="40" t="str">
        <f t="shared" si="1"/>
        <v>東北商事</v>
      </c>
      <c r="E10" s="74">
        <v>500</v>
      </c>
      <c r="F10" s="74">
        <v>3813</v>
      </c>
      <c r="G10" s="74">
        <f t="shared" si="2"/>
        <v>2478</v>
      </c>
      <c r="H10" s="74">
        <f t="shared" si="3"/>
        <v>1908978</v>
      </c>
      <c r="I10" s="74">
        <v>3798</v>
      </c>
      <c r="J10" s="74">
        <f t="shared" si="4"/>
        <v>2468</v>
      </c>
      <c r="K10" s="74">
        <f t="shared" si="5"/>
        <v>1896532</v>
      </c>
      <c r="L10" s="80">
        <f t="shared" si="6"/>
        <v>-12446</v>
      </c>
      <c r="M10" s="62" t="str">
        <f t="shared" si="7"/>
        <v>*</v>
      </c>
      <c r="O10" s="40">
        <v>1001</v>
      </c>
      <c r="P10" s="40" t="s">
        <v>265</v>
      </c>
    </row>
    <row r="11" spans="1:16">
      <c r="A11" s="41" t="s">
        <v>259</v>
      </c>
      <c r="B11" s="40" t="str">
        <f t="shared" si="0"/>
        <v>長谷川　誠</v>
      </c>
      <c r="C11" s="40">
        <v>1003</v>
      </c>
      <c r="D11" s="40" t="str">
        <f t="shared" si="1"/>
        <v>中央工業</v>
      </c>
      <c r="E11" s="74">
        <v>4000</v>
      </c>
      <c r="F11" s="74">
        <v>617</v>
      </c>
      <c r="G11" s="74">
        <f t="shared" si="2"/>
        <v>3208</v>
      </c>
      <c r="H11" s="74">
        <f t="shared" si="3"/>
        <v>2471208</v>
      </c>
      <c r="I11" s="74">
        <v>627</v>
      </c>
      <c r="J11" s="74">
        <f t="shared" si="4"/>
        <v>3260</v>
      </c>
      <c r="K11" s="74">
        <f t="shared" si="5"/>
        <v>2504740</v>
      </c>
      <c r="L11" s="80">
        <f t="shared" si="6"/>
        <v>33532</v>
      </c>
      <c r="M11" s="62" t="str">
        <f t="shared" si="7"/>
        <v>*</v>
      </c>
      <c r="O11" s="40">
        <v>1002</v>
      </c>
      <c r="P11" s="40" t="s">
        <v>266</v>
      </c>
    </row>
    <row r="12" spans="1:16">
      <c r="A12" s="41" t="s">
        <v>261</v>
      </c>
      <c r="B12" s="40" t="str">
        <f t="shared" si="0"/>
        <v>林　ありさ</v>
      </c>
      <c r="C12" s="40">
        <v>1005</v>
      </c>
      <c r="D12" s="40" t="str">
        <f t="shared" si="1"/>
        <v>大山銀行</v>
      </c>
      <c r="E12" s="74">
        <v>6000</v>
      </c>
      <c r="F12" s="74">
        <v>863</v>
      </c>
      <c r="G12" s="74">
        <f t="shared" si="2"/>
        <v>9320</v>
      </c>
      <c r="H12" s="74">
        <f t="shared" si="3"/>
        <v>5187320</v>
      </c>
      <c r="I12" s="74">
        <v>877</v>
      </c>
      <c r="J12" s="74">
        <f t="shared" si="4"/>
        <v>9471</v>
      </c>
      <c r="K12" s="74">
        <f t="shared" si="5"/>
        <v>5252529</v>
      </c>
      <c r="L12" s="80">
        <f t="shared" si="6"/>
        <v>65209</v>
      </c>
      <c r="M12" s="62" t="str">
        <f t="shared" si="7"/>
        <v>**</v>
      </c>
      <c r="O12" s="40">
        <v>1003</v>
      </c>
      <c r="P12" s="40" t="s">
        <v>267</v>
      </c>
    </row>
    <row r="13" spans="1:16">
      <c r="A13" s="41" t="s">
        <v>261</v>
      </c>
      <c r="B13" s="40" t="str">
        <f t="shared" si="0"/>
        <v>林　ありさ</v>
      </c>
      <c r="C13" s="40">
        <v>1003</v>
      </c>
      <c r="D13" s="40" t="str">
        <f t="shared" si="1"/>
        <v>中央工業</v>
      </c>
      <c r="E13" s="74">
        <v>5000</v>
      </c>
      <c r="F13" s="74">
        <v>600</v>
      </c>
      <c r="G13" s="74">
        <f t="shared" si="2"/>
        <v>5400</v>
      </c>
      <c r="H13" s="74">
        <f t="shared" si="3"/>
        <v>3005400</v>
      </c>
      <c r="I13" s="74">
        <v>618</v>
      </c>
      <c r="J13" s="74">
        <f t="shared" si="4"/>
        <v>5562</v>
      </c>
      <c r="K13" s="74">
        <f t="shared" si="5"/>
        <v>3084438</v>
      </c>
      <c r="L13" s="80">
        <f t="shared" si="6"/>
        <v>79038</v>
      </c>
      <c r="M13" s="62" t="str">
        <f t="shared" si="7"/>
        <v>**</v>
      </c>
      <c r="O13" s="40">
        <v>1004</v>
      </c>
      <c r="P13" s="40" t="s">
        <v>268</v>
      </c>
    </row>
    <row r="14" spans="1:16">
      <c r="A14" s="41" t="s">
        <v>261</v>
      </c>
      <c r="B14" s="40" t="str">
        <f t="shared" si="0"/>
        <v>林　ありさ</v>
      </c>
      <c r="C14" s="40">
        <v>1004</v>
      </c>
      <c r="D14" s="40" t="str">
        <f t="shared" si="1"/>
        <v>東北商事</v>
      </c>
      <c r="E14" s="74">
        <v>400</v>
      </c>
      <c r="F14" s="74">
        <v>3922</v>
      </c>
      <c r="G14" s="74">
        <f t="shared" si="2"/>
        <v>2823</v>
      </c>
      <c r="H14" s="74">
        <f t="shared" si="3"/>
        <v>1571623</v>
      </c>
      <c r="I14" s="74">
        <v>4030</v>
      </c>
      <c r="J14" s="74">
        <f t="shared" si="4"/>
        <v>2901</v>
      </c>
      <c r="K14" s="74">
        <f t="shared" si="5"/>
        <v>1609099</v>
      </c>
      <c r="L14" s="80">
        <f t="shared" si="6"/>
        <v>37476</v>
      </c>
      <c r="M14" s="62" t="str">
        <f t="shared" si="7"/>
        <v>*</v>
      </c>
      <c r="O14" s="40">
        <v>1005</v>
      </c>
      <c r="P14" s="40" t="s">
        <v>269</v>
      </c>
    </row>
    <row r="15" spans="1:13">
      <c r="A15" s="41" t="s">
        <v>263</v>
      </c>
      <c r="B15" s="40" t="str">
        <f t="shared" si="0"/>
        <v>中村　英明</v>
      </c>
      <c r="C15" s="40">
        <v>1001</v>
      </c>
      <c r="D15" s="40" t="str">
        <f t="shared" si="1"/>
        <v>朝日水産</v>
      </c>
      <c r="E15" s="74">
        <v>6000</v>
      </c>
      <c r="F15" s="74">
        <v>511</v>
      </c>
      <c r="G15" s="74">
        <f t="shared" si="2"/>
        <v>3985</v>
      </c>
      <c r="H15" s="74">
        <f t="shared" si="3"/>
        <v>3069985</v>
      </c>
      <c r="I15" s="74">
        <v>524</v>
      </c>
      <c r="J15" s="74">
        <f t="shared" si="4"/>
        <v>4087</v>
      </c>
      <c r="K15" s="74">
        <f t="shared" si="5"/>
        <v>3139913</v>
      </c>
      <c r="L15" s="80">
        <f t="shared" si="6"/>
        <v>69928</v>
      </c>
      <c r="M15" s="62" t="str">
        <f t="shared" si="7"/>
        <v>**</v>
      </c>
    </row>
    <row r="16" spans="1:16">
      <c r="A16" s="41" t="s">
        <v>263</v>
      </c>
      <c r="B16" s="40" t="str">
        <f t="shared" si="0"/>
        <v>中村　英明</v>
      </c>
      <c r="C16" s="40">
        <v>1005</v>
      </c>
      <c r="D16" s="40" t="str">
        <f t="shared" si="1"/>
        <v>大山銀行</v>
      </c>
      <c r="E16" s="74">
        <v>3000</v>
      </c>
      <c r="F16" s="74">
        <v>871</v>
      </c>
      <c r="G16" s="74">
        <f t="shared" si="2"/>
        <v>3396</v>
      </c>
      <c r="H16" s="74">
        <f t="shared" si="3"/>
        <v>2616396</v>
      </c>
      <c r="I16" s="74">
        <v>891</v>
      </c>
      <c r="J16" s="74">
        <f t="shared" si="4"/>
        <v>3474</v>
      </c>
      <c r="K16" s="74">
        <f t="shared" si="5"/>
        <v>2669526</v>
      </c>
      <c r="L16" s="80">
        <f t="shared" si="6"/>
        <v>53130</v>
      </c>
      <c r="M16" s="62" t="str">
        <f t="shared" si="7"/>
        <v>**</v>
      </c>
      <c r="O16" s="59" t="s">
        <v>270</v>
      </c>
      <c r="P16" s="59" t="s">
        <v>271</v>
      </c>
    </row>
    <row r="17" spans="1:16">
      <c r="A17" s="41" t="s">
        <v>263</v>
      </c>
      <c r="B17" s="40" t="str">
        <f t="shared" si="0"/>
        <v>中村　英明</v>
      </c>
      <c r="C17" s="40">
        <v>1003</v>
      </c>
      <c r="D17" s="40" t="str">
        <f t="shared" si="1"/>
        <v>中央工業</v>
      </c>
      <c r="E17" s="74">
        <v>5000</v>
      </c>
      <c r="F17" s="74">
        <v>622</v>
      </c>
      <c r="G17" s="74">
        <f t="shared" si="2"/>
        <v>4043</v>
      </c>
      <c r="H17" s="74">
        <f t="shared" si="3"/>
        <v>3114043</v>
      </c>
      <c r="I17" s="74">
        <v>633</v>
      </c>
      <c r="J17" s="74">
        <f t="shared" si="4"/>
        <v>4114</v>
      </c>
      <c r="K17" s="74">
        <f t="shared" si="5"/>
        <v>3160886</v>
      </c>
      <c r="L17" s="80">
        <f t="shared" si="6"/>
        <v>46843</v>
      </c>
      <c r="M17" s="62" t="str">
        <f t="shared" si="7"/>
        <v>*</v>
      </c>
      <c r="O17" s="40" t="s">
        <v>272</v>
      </c>
      <c r="P17" s="85">
        <v>0.0013</v>
      </c>
    </row>
    <row r="18" spans="1:16">
      <c r="A18" s="41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62"/>
      <c r="O18" s="40" t="s">
        <v>273</v>
      </c>
      <c r="P18" s="85">
        <v>0.0015</v>
      </c>
    </row>
    <row r="19" ht="14.75" spans="1:16">
      <c r="A19" s="42"/>
      <c r="B19" s="44" t="s">
        <v>31</v>
      </c>
      <c r="C19" s="43"/>
      <c r="D19" s="43"/>
      <c r="E19" s="83">
        <f>SUM(E3:E17)</f>
        <v>46900</v>
      </c>
      <c r="F19" s="83"/>
      <c r="G19" s="83">
        <f t="shared" ref="G19:L19" si="8">SUM(G3:G17)</f>
        <v>62439</v>
      </c>
      <c r="H19" s="83">
        <f t="shared" si="8"/>
        <v>40474339</v>
      </c>
      <c r="I19" s="83"/>
      <c r="J19" s="83">
        <f t="shared" si="8"/>
        <v>63631</v>
      </c>
      <c r="K19" s="83">
        <f t="shared" si="8"/>
        <v>41107669</v>
      </c>
      <c r="L19" s="83">
        <f t="shared" si="8"/>
        <v>633330</v>
      </c>
      <c r="M19" s="63"/>
      <c r="O19" s="40" t="s">
        <v>274</v>
      </c>
      <c r="P19" s="85">
        <v>0.0018</v>
      </c>
    </row>
    <row r="21" ht="14.75" spans="1:13">
      <c r="A21" s="36" t="s">
        <v>275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</row>
    <row r="22" spans="1:13">
      <c r="A22" s="37" t="s">
        <v>244</v>
      </c>
      <c r="B22" s="38" t="s">
        <v>245</v>
      </c>
      <c r="C22" s="38" t="s">
        <v>246</v>
      </c>
      <c r="D22" s="38" t="s">
        <v>247</v>
      </c>
      <c r="E22" s="38" t="s">
        <v>248</v>
      </c>
      <c r="F22" s="38" t="s">
        <v>249</v>
      </c>
      <c r="G22" s="38" t="s">
        <v>250</v>
      </c>
      <c r="H22" s="38" t="s">
        <v>214</v>
      </c>
      <c r="I22" s="38" t="s">
        <v>251</v>
      </c>
      <c r="J22" s="38" t="s">
        <v>252</v>
      </c>
      <c r="K22" s="38" t="s">
        <v>253</v>
      </c>
      <c r="L22" s="38" t="s">
        <v>254</v>
      </c>
      <c r="M22" s="46" t="s">
        <v>63</v>
      </c>
    </row>
    <row r="23" spans="1:13">
      <c r="A23" s="41" t="s">
        <v>261</v>
      </c>
      <c r="B23" s="40" t="s">
        <v>262</v>
      </c>
      <c r="C23" s="40">
        <v>1005</v>
      </c>
      <c r="D23" s="40" t="s">
        <v>269</v>
      </c>
      <c r="E23" s="74">
        <v>6000</v>
      </c>
      <c r="F23" s="74">
        <v>863</v>
      </c>
      <c r="G23" s="74">
        <v>9320</v>
      </c>
      <c r="H23" s="74">
        <v>5187320</v>
      </c>
      <c r="I23" s="74">
        <v>877</v>
      </c>
      <c r="J23" s="74">
        <v>9471</v>
      </c>
      <c r="K23" s="74">
        <v>5252529</v>
      </c>
      <c r="L23" s="80">
        <v>65209</v>
      </c>
      <c r="M23" s="62" t="s">
        <v>82</v>
      </c>
    </row>
    <row r="24" spans="1:13">
      <c r="A24" s="41" t="s">
        <v>255</v>
      </c>
      <c r="B24" s="40" t="s">
        <v>256</v>
      </c>
      <c r="C24" s="40">
        <v>1005</v>
      </c>
      <c r="D24" s="40" t="s">
        <v>269</v>
      </c>
      <c r="E24" s="74">
        <v>6000</v>
      </c>
      <c r="F24" s="74">
        <v>852</v>
      </c>
      <c r="G24" s="74">
        <v>7668</v>
      </c>
      <c r="H24" s="74">
        <v>5119668</v>
      </c>
      <c r="I24" s="74">
        <v>866</v>
      </c>
      <c r="J24" s="74">
        <v>7794</v>
      </c>
      <c r="K24" s="74">
        <v>5188206</v>
      </c>
      <c r="L24" s="80">
        <v>68538</v>
      </c>
      <c r="M24" s="62" t="s">
        <v>82</v>
      </c>
    </row>
    <row r="25" spans="1:13">
      <c r="A25" s="41" t="s">
        <v>263</v>
      </c>
      <c r="B25" s="40" t="s">
        <v>264</v>
      </c>
      <c r="C25" s="40">
        <v>1003</v>
      </c>
      <c r="D25" s="40" t="s">
        <v>267</v>
      </c>
      <c r="E25" s="74">
        <v>5000</v>
      </c>
      <c r="F25" s="74">
        <v>622</v>
      </c>
      <c r="G25" s="74">
        <v>4043</v>
      </c>
      <c r="H25" s="74">
        <v>3114043</v>
      </c>
      <c r="I25" s="74">
        <v>633</v>
      </c>
      <c r="J25" s="74">
        <v>4114</v>
      </c>
      <c r="K25" s="74">
        <v>3160886</v>
      </c>
      <c r="L25" s="80">
        <v>46843</v>
      </c>
      <c r="M25" s="62" t="s">
        <v>39</v>
      </c>
    </row>
    <row r="26" spans="1:13">
      <c r="A26" s="41" t="s">
        <v>261</v>
      </c>
      <c r="B26" s="40" t="s">
        <v>262</v>
      </c>
      <c r="C26" s="40">
        <v>1003</v>
      </c>
      <c r="D26" s="40" t="s">
        <v>267</v>
      </c>
      <c r="E26" s="74">
        <v>5000</v>
      </c>
      <c r="F26" s="74">
        <v>600</v>
      </c>
      <c r="G26" s="74">
        <v>5400</v>
      </c>
      <c r="H26" s="74">
        <v>3005400</v>
      </c>
      <c r="I26" s="74">
        <v>618</v>
      </c>
      <c r="J26" s="74">
        <v>5562</v>
      </c>
      <c r="K26" s="74">
        <v>3084438</v>
      </c>
      <c r="L26" s="80">
        <v>79038</v>
      </c>
      <c r="M26" s="62" t="s">
        <v>82</v>
      </c>
    </row>
    <row r="27" spans="1:13">
      <c r="A27" s="41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62"/>
    </row>
    <row r="28" ht="14.75" spans="1:13">
      <c r="A28" s="42"/>
      <c r="B28" s="44" t="s">
        <v>31</v>
      </c>
      <c r="C28" s="43"/>
      <c r="D28" s="43"/>
      <c r="E28" s="83">
        <f>SUM(E23:E26)</f>
        <v>22000</v>
      </c>
      <c r="F28" s="83"/>
      <c r="G28" s="83">
        <f t="shared" ref="G28:L28" si="9">SUM(G23:G26)</f>
        <v>26431</v>
      </c>
      <c r="H28" s="83">
        <f t="shared" si="9"/>
        <v>16426431</v>
      </c>
      <c r="I28" s="83"/>
      <c r="J28" s="83">
        <f t="shared" si="9"/>
        <v>26941</v>
      </c>
      <c r="K28" s="83">
        <f t="shared" si="9"/>
        <v>16686059</v>
      </c>
      <c r="L28" s="83">
        <f t="shared" si="9"/>
        <v>259628</v>
      </c>
      <c r="M28" s="63"/>
    </row>
    <row r="30" ht="14.75" spans="1:4">
      <c r="A30" s="36" t="s">
        <v>276</v>
      </c>
      <c r="B30" s="36"/>
      <c r="C30" s="36"/>
      <c r="D30" s="36"/>
    </row>
    <row r="31" spans="1:10">
      <c r="A31" s="37" t="s">
        <v>245</v>
      </c>
      <c r="B31" s="38" t="s">
        <v>214</v>
      </c>
      <c r="C31" s="38" t="s">
        <v>253</v>
      </c>
      <c r="D31" s="46" t="s">
        <v>254</v>
      </c>
      <c r="F31" s="59" t="s">
        <v>245</v>
      </c>
      <c r="G31" s="59" t="s">
        <v>245</v>
      </c>
      <c r="H31" s="59" t="s">
        <v>245</v>
      </c>
      <c r="I31" s="59" t="s">
        <v>245</v>
      </c>
      <c r="J31" s="59" t="s">
        <v>245</v>
      </c>
    </row>
    <row r="32" spans="1:10">
      <c r="A32" s="41" t="s">
        <v>256</v>
      </c>
      <c r="B32" s="74">
        <f>DSUM(株式損益額計算表7,B$31,$F$31:$F$32)</f>
        <v>9976441</v>
      </c>
      <c r="C32" s="74">
        <f>DSUM(株式損益額計算表7,C$31,$F$31:$F$32)</f>
        <v>10097332</v>
      </c>
      <c r="D32" s="75">
        <f>DSUM(株式損益額計算表7,D$31,$F$31:$F$32)</f>
        <v>120891</v>
      </c>
      <c r="F32" s="40" t="s">
        <v>256</v>
      </c>
      <c r="G32" s="40" t="s">
        <v>258</v>
      </c>
      <c r="H32" s="40" t="s">
        <v>260</v>
      </c>
      <c r="I32" s="40" t="s">
        <v>262</v>
      </c>
      <c r="J32" s="40" t="s">
        <v>264</v>
      </c>
    </row>
    <row r="33" spans="1:4">
      <c r="A33" s="41" t="s">
        <v>258</v>
      </c>
      <c r="B33" s="74">
        <f>DSUM(株式損益額計算表7,B$31,$G$31:$G$32)</f>
        <v>6101461</v>
      </c>
      <c r="C33" s="74">
        <f>DSUM(株式損益額計算表7,C$31,$G$31:$G$32)</f>
        <v>6210802</v>
      </c>
      <c r="D33" s="75">
        <f>DSUM(株式損益額計算表7,D$31,$G$31:$G$32)</f>
        <v>109341</v>
      </c>
    </row>
    <row r="34" spans="1:4">
      <c r="A34" s="41" t="s">
        <v>260</v>
      </c>
      <c r="B34" s="74">
        <f>DSUM(株式損益額計算表7,B$31,$H$31:$H$32)</f>
        <v>5831670</v>
      </c>
      <c r="C34" s="74">
        <f>DSUM(株式損益額計算表7,C$31,$H$31:$H$32)</f>
        <v>5883144</v>
      </c>
      <c r="D34" s="75">
        <f>DSUM(株式損益額計算表7,D$31,$H$31:$H$32)</f>
        <v>51474</v>
      </c>
    </row>
    <row r="35" spans="1:9">
      <c r="A35" s="41" t="s">
        <v>262</v>
      </c>
      <c r="B35" s="74">
        <f>DSUM(株式損益額計算表7,B$31,$I$31:$I$32)</f>
        <v>9764343</v>
      </c>
      <c r="C35" s="74">
        <f>DSUM(株式損益額計算表7,C$31,$I$31:$I$32)</f>
        <v>9946066</v>
      </c>
      <c r="D35" s="75">
        <f>DSUM(株式損益額計算表7,D$31,$I$31:$I$32)</f>
        <v>181723</v>
      </c>
      <c r="I35" s="59" t="s">
        <v>247</v>
      </c>
    </row>
    <row r="36" ht="14.75" spans="1:9">
      <c r="A36" s="42" t="s">
        <v>264</v>
      </c>
      <c r="B36" s="76">
        <f>DSUM(株式損益額計算表7,B$31,$J$31:$J$32)</f>
        <v>8800424</v>
      </c>
      <c r="C36" s="76">
        <f>DSUM(株式損益額計算表7,C$31,$J$31:$J$32)</f>
        <v>8970325</v>
      </c>
      <c r="D36" s="77">
        <f>DSUM(株式損益額計算表7,D$31,$J$31:$J$32)</f>
        <v>169901</v>
      </c>
      <c r="I36" s="40" t="s">
        <v>284</v>
      </c>
    </row>
    <row r="37" ht="14.75" spans="9:10">
      <c r="I37" s="59" t="s">
        <v>248</v>
      </c>
      <c r="J37" s="59" t="s">
        <v>214</v>
      </c>
    </row>
    <row r="38" ht="16.8" spans="1:10">
      <c r="A38" s="81" t="s">
        <v>277</v>
      </c>
      <c r="B38" s="82"/>
      <c r="C38" s="82"/>
      <c r="D38" s="82"/>
      <c r="E38" s="82"/>
      <c r="F38" s="84">
        <f>DSUM(株式損益額計算表7,L2,I35:I36)</f>
        <v>569523</v>
      </c>
      <c r="I38" s="40" t="s">
        <v>278</v>
      </c>
      <c r="J38" s="40" t="s">
        <v>279</v>
      </c>
    </row>
    <row r="39" spans="1:10">
      <c r="A39" s="41" t="s">
        <v>280</v>
      </c>
      <c r="B39" s="40"/>
      <c r="C39" s="40"/>
      <c r="D39" s="40"/>
      <c r="E39" s="40"/>
      <c r="F39" s="62">
        <f>DCOUNT(株式損益額計算表7,,I37:J38)</f>
        <v>4</v>
      </c>
      <c r="I39" s="59" t="s">
        <v>254</v>
      </c>
      <c r="J39" s="59" t="s">
        <v>254</v>
      </c>
    </row>
    <row r="40" ht="14.75" spans="1:10">
      <c r="A40" s="55" t="s">
        <v>281</v>
      </c>
      <c r="B40" s="56"/>
      <c r="C40" s="56"/>
      <c r="D40" s="56"/>
      <c r="E40" s="56"/>
      <c r="F40" s="77">
        <f>ROUND(DAVERAGE(株式損益額計算表7,K2,I39:J40),0)</f>
        <v>2348520</v>
      </c>
      <c r="I40" s="40" t="s">
        <v>282</v>
      </c>
      <c r="J40" s="40" t="s">
        <v>283</v>
      </c>
    </row>
  </sheetData>
  <mergeCells count="6">
    <mergeCell ref="A1:M1"/>
    <mergeCell ref="A21:M21"/>
    <mergeCell ref="A30:D30"/>
    <mergeCell ref="A38:E38"/>
    <mergeCell ref="A39:E39"/>
    <mergeCell ref="A40:E40"/>
  </mergeCells>
  <pageMargins left="0.25" right="0.25" top="0.75" bottom="0.75" header="0.3" footer="0.3"/>
  <pageSetup paperSize="9" scale="58" orientation="portrait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topLeftCell="A24" workbookViewId="0">
      <selection activeCell="L23" sqref="L23"/>
    </sheetView>
  </sheetViews>
  <sheetFormatPr defaultColWidth="9" defaultRowHeight="14"/>
  <cols>
    <col min="1" max="2" width="10.3125" customWidth="1"/>
    <col min="3" max="4" width="9.5" customWidth="1"/>
    <col min="5" max="5" width="6.75" customWidth="1"/>
    <col min="6" max="6" width="14.453125" customWidth="1"/>
    <col min="7" max="7" width="10.3125" customWidth="1"/>
    <col min="8" max="8" width="10.5625" customWidth="1"/>
    <col min="9" max="10" width="10.3125" customWidth="1"/>
    <col min="11" max="11" width="10.5625" customWidth="1"/>
    <col min="12" max="12" width="8.5" customWidth="1"/>
    <col min="13" max="13" width="5.5" customWidth="1"/>
    <col min="14" max="14" width="4.03125" customWidth="1"/>
    <col min="15" max="15" width="8.5" customWidth="1"/>
    <col min="16" max="16" width="10.3125" customWidth="1"/>
    <col min="17" max="17" width="6" customWidth="1"/>
  </cols>
  <sheetData>
    <row r="1" ht="14.75" spans="1:13">
      <c r="A1" s="36" t="s">
        <v>285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6">
      <c r="A2" s="37" t="s">
        <v>93</v>
      </c>
      <c r="B2" s="38" t="s">
        <v>94</v>
      </c>
      <c r="C2" s="38" t="s">
        <v>54</v>
      </c>
      <c r="D2" s="38" t="s">
        <v>55</v>
      </c>
      <c r="E2" s="38" t="s">
        <v>95</v>
      </c>
      <c r="F2" s="38" t="s">
        <v>72</v>
      </c>
      <c r="G2" s="38" t="s">
        <v>56</v>
      </c>
      <c r="H2" s="38" t="s">
        <v>99</v>
      </c>
      <c r="I2" s="38" t="s">
        <v>286</v>
      </c>
      <c r="J2" s="38" t="s">
        <v>98</v>
      </c>
      <c r="K2" s="38" t="s">
        <v>287</v>
      </c>
      <c r="L2" s="38" t="s">
        <v>288</v>
      </c>
      <c r="M2" s="46" t="s">
        <v>12</v>
      </c>
      <c r="O2" s="59" t="s">
        <v>93</v>
      </c>
      <c r="P2" s="59" t="s">
        <v>94</v>
      </c>
    </row>
    <row r="3" spans="1:16">
      <c r="A3" s="41">
        <v>101</v>
      </c>
      <c r="B3" s="40" t="str">
        <f>VLOOKUP(A3,$O$3:$P$6,2,0)</f>
        <v>安藤カメラ</v>
      </c>
      <c r="C3" s="40">
        <v>11</v>
      </c>
      <c r="D3" s="40" t="str">
        <f>VLOOKUP(C3,$O$9:$Q$12,2,0)</f>
        <v>商品D</v>
      </c>
      <c r="E3" s="40">
        <v>527</v>
      </c>
      <c r="F3" s="74">
        <f>VLOOKUP(C3,$O$9:$Q$12,3,0)</f>
        <v>2180</v>
      </c>
      <c r="G3" s="74">
        <f>IF(E3&gt;=600,F3*0.85,F3*0.9)</f>
        <v>1962</v>
      </c>
      <c r="H3" s="74">
        <f>G3*E3</f>
        <v>1033974</v>
      </c>
      <c r="I3" s="40">
        <v>21</v>
      </c>
      <c r="J3" s="74">
        <f>ROUND(H3*VLOOKUP(I3,$O$15:$P$17,2,FALSE),-1)</f>
        <v>61000</v>
      </c>
      <c r="K3" s="80">
        <f>H3-J3</f>
        <v>972974</v>
      </c>
      <c r="L3" s="40">
        <f>INT(IF(OR(E3&gt;=710,K3&gt;=1200000),E3*5.8%,E3*4.9%))</f>
        <v>25</v>
      </c>
      <c r="M3" s="62" t="str">
        <f>VLOOKUP(K3,$O$21:$Q$22,IF(E3&lt;=599,2,3),1)</f>
        <v>#</v>
      </c>
      <c r="O3" s="40">
        <v>101</v>
      </c>
      <c r="P3" s="40" t="s">
        <v>289</v>
      </c>
    </row>
    <row r="4" spans="1:16">
      <c r="A4" s="41">
        <v>102</v>
      </c>
      <c r="B4" s="40" t="str">
        <f t="shared" ref="B4:B18" si="0">VLOOKUP(A4,$O$3:$P$6,2,0)</f>
        <v>電機の丸和</v>
      </c>
      <c r="C4" s="40">
        <v>11</v>
      </c>
      <c r="D4" s="40" t="str">
        <f t="shared" ref="D4:D18" si="1">VLOOKUP(C4,$O$9:$Q$12,2,0)</f>
        <v>商品D</v>
      </c>
      <c r="E4" s="40">
        <v>328</v>
      </c>
      <c r="F4" s="74">
        <f t="shared" ref="F4:F18" si="2">VLOOKUP(C4,$O$9:$Q$12,3,0)</f>
        <v>2180</v>
      </c>
      <c r="G4" s="74">
        <f t="shared" ref="G4:G18" si="3">IF(E4&gt;=600,F4*0.85,F4*0.9)</f>
        <v>1962</v>
      </c>
      <c r="H4" s="74">
        <f t="shared" ref="H4:H18" si="4">G4*E4</f>
        <v>643536</v>
      </c>
      <c r="I4" s="40">
        <v>21</v>
      </c>
      <c r="J4" s="74">
        <f t="shared" ref="J4:J18" si="5">ROUND(H4*VLOOKUP(I4,$O$15:$P$17,2,FALSE),-1)</f>
        <v>37970</v>
      </c>
      <c r="K4" s="80">
        <f t="shared" ref="K4:K18" si="6">H4-J4</f>
        <v>605566</v>
      </c>
      <c r="L4" s="40">
        <f t="shared" ref="L4:L18" si="7">INT(IF(OR(E4&gt;=710,K4&gt;=1200000),E4*5.8%,E4*4.9%))</f>
        <v>16</v>
      </c>
      <c r="M4" s="62" t="str">
        <f t="shared" ref="M4:M18" si="8">VLOOKUP(K4,$O$21:$Q$22,IF(E4&lt;=599,2,3),1)</f>
        <v>#</v>
      </c>
      <c r="O4" s="40">
        <v>102</v>
      </c>
      <c r="P4" s="40" t="s">
        <v>290</v>
      </c>
    </row>
    <row r="5" spans="1:16">
      <c r="A5" s="41">
        <v>103</v>
      </c>
      <c r="B5" s="40" t="str">
        <f t="shared" si="0"/>
        <v>光ショップ</v>
      </c>
      <c r="C5" s="40">
        <v>11</v>
      </c>
      <c r="D5" s="40" t="str">
        <f t="shared" si="1"/>
        <v>商品D</v>
      </c>
      <c r="E5" s="40">
        <v>809</v>
      </c>
      <c r="F5" s="74">
        <f t="shared" si="2"/>
        <v>2180</v>
      </c>
      <c r="G5" s="74">
        <f t="shared" si="3"/>
        <v>1853</v>
      </c>
      <c r="H5" s="74">
        <f t="shared" si="4"/>
        <v>1499077</v>
      </c>
      <c r="I5" s="40">
        <v>22</v>
      </c>
      <c r="J5" s="74">
        <f t="shared" si="5"/>
        <v>80950</v>
      </c>
      <c r="K5" s="80">
        <f t="shared" si="6"/>
        <v>1418127</v>
      </c>
      <c r="L5" s="40">
        <f t="shared" si="7"/>
        <v>46</v>
      </c>
      <c r="M5" s="62" t="str">
        <f t="shared" si="8"/>
        <v>####</v>
      </c>
      <c r="O5" s="40">
        <v>103</v>
      </c>
      <c r="P5" s="40" t="s">
        <v>291</v>
      </c>
    </row>
    <row r="6" spans="1:16">
      <c r="A6" s="41">
        <v>104</v>
      </c>
      <c r="B6" s="40" t="str">
        <f t="shared" si="0"/>
        <v>令和電気堂</v>
      </c>
      <c r="C6" s="40">
        <v>11</v>
      </c>
      <c r="D6" s="40" t="str">
        <f t="shared" si="1"/>
        <v>商品D</v>
      </c>
      <c r="E6" s="40">
        <v>617</v>
      </c>
      <c r="F6" s="74">
        <f t="shared" si="2"/>
        <v>2180</v>
      </c>
      <c r="G6" s="74">
        <f t="shared" si="3"/>
        <v>1853</v>
      </c>
      <c r="H6" s="74">
        <f t="shared" si="4"/>
        <v>1143301</v>
      </c>
      <c r="I6" s="40">
        <v>23</v>
      </c>
      <c r="J6" s="74">
        <f t="shared" si="5"/>
        <v>54880</v>
      </c>
      <c r="K6" s="80">
        <f t="shared" si="6"/>
        <v>1088421</v>
      </c>
      <c r="L6" s="40">
        <f t="shared" si="7"/>
        <v>30</v>
      </c>
      <c r="M6" s="62" t="str">
        <f t="shared" si="8"/>
        <v>##</v>
      </c>
      <c r="O6" s="40">
        <v>104</v>
      </c>
      <c r="P6" s="40" t="s">
        <v>292</v>
      </c>
    </row>
    <row r="7" spans="1:13">
      <c r="A7" s="41">
        <v>101</v>
      </c>
      <c r="B7" s="40" t="str">
        <f t="shared" si="0"/>
        <v>安藤カメラ</v>
      </c>
      <c r="C7" s="40">
        <v>12</v>
      </c>
      <c r="D7" s="40" t="str">
        <f t="shared" si="1"/>
        <v>商品E</v>
      </c>
      <c r="E7" s="40">
        <v>600</v>
      </c>
      <c r="F7" s="74">
        <f t="shared" si="2"/>
        <v>1820</v>
      </c>
      <c r="G7" s="74">
        <f t="shared" si="3"/>
        <v>1547</v>
      </c>
      <c r="H7" s="74">
        <f t="shared" si="4"/>
        <v>928200</v>
      </c>
      <c r="I7" s="40">
        <v>22</v>
      </c>
      <c r="J7" s="74">
        <f t="shared" si="5"/>
        <v>50120</v>
      </c>
      <c r="K7" s="80">
        <f t="shared" si="6"/>
        <v>878080</v>
      </c>
      <c r="L7" s="40">
        <f t="shared" si="7"/>
        <v>29</v>
      </c>
      <c r="M7" s="62" t="str">
        <f t="shared" si="8"/>
        <v>##</v>
      </c>
    </row>
    <row r="8" spans="1:17">
      <c r="A8" s="41">
        <v>102</v>
      </c>
      <c r="B8" s="40" t="str">
        <f t="shared" si="0"/>
        <v>電機の丸和</v>
      </c>
      <c r="C8" s="40">
        <v>12</v>
      </c>
      <c r="D8" s="40" t="str">
        <f t="shared" si="1"/>
        <v>商品E</v>
      </c>
      <c r="E8" s="40">
        <v>560</v>
      </c>
      <c r="F8" s="74">
        <f t="shared" si="2"/>
        <v>1820</v>
      </c>
      <c r="G8" s="74">
        <f t="shared" si="3"/>
        <v>1638</v>
      </c>
      <c r="H8" s="74">
        <f t="shared" si="4"/>
        <v>917280</v>
      </c>
      <c r="I8" s="40">
        <v>23</v>
      </c>
      <c r="J8" s="74">
        <f t="shared" si="5"/>
        <v>44030</v>
      </c>
      <c r="K8" s="80">
        <f t="shared" si="6"/>
        <v>873250</v>
      </c>
      <c r="L8" s="40">
        <f t="shared" si="7"/>
        <v>27</v>
      </c>
      <c r="M8" s="62" t="str">
        <f t="shared" si="8"/>
        <v>#</v>
      </c>
      <c r="O8" s="59" t="s">
        <v>54</v>
      </c>
      <c r="P8" s="59" t="s">
        <v>55</v>
      </c>
      <c r="Q8" s="59" t="s">
        <v>72</v>
      </c>
    </row>
    <row r="9" spans="1:17">
      <c r="A9" s="41">
        <v>103</v>
      </c>
      <c r="B9" s="40" t="str">
        <f t="shared" si="0"/>
        <v>光ショップ</v>
      </c>
      <c r="C9" s="40">
        <v>12</v>
      </c>
      <c r="D9" s="40" t="str">
        <f t="shared" si="1"/>
        <v>商品E</v>
      </c>
      <c r="E9" s="40">
        <v>499</v>
      </c>
      <c r="F9" s="74">
        <f t="shared" si="2"/>
        <v>1820</v>
      </c>
      <c r="G9" s="74">
        <f t="shared" si="3"/>
        <v>1638</v>
      </c>
      <c r="H9" s="74">
        <f t="shared" si="4"/>
        <v>817362</v>
      </c>
      <c r="I9" s="40">
        <v>23</v>
      </c>
      <c r="J9" s="74">
        <f t="shared" si="5"/>
        <v>39230</v>
      </c>
      <c r="K9" s="80">
        <f t="shared" si="6"/>
        <v>778132</v>
      </c>
      <c r="L9" s="40">
        <f t="shared" si="7"/>
        <v>24</v>
      </c>
      <c r="M9" s="62" t="str">
        <f t="shared" si="8"/>
        <v>#</v>
      </c>
      <c r="O9" s="40">
        <v>11</v>
      </c>
      <c r="P9" s="40" t="s">
        <v>76</v>
      </c>
      <c r="Q9" s="74">
        <v>2180</v>
      </c>
    </row>
    <row r="10" spans="1:17">
      <c r="A10" s="41">
        <v>104</v>
      </c>
      <c r="B10" s="40" t="str">
        <f t="shared" si="0"/>
        <v>令和電気堂</v>
      </c>
      <c r="C10" s="40">
        <v>12</v>
      </c>
      <c r="D10" s="40" t="str">
        <f t="shared" si="1"/>
        <v>商品E</v>
      </c>
      <c r="E10" s="40">
        <v>762</v>
      </c>
      <c r="F10" s="74">
        <f t="shared" si="2"/>
        <v>1820</v>
      </c>
      <c r="G10" s="74">
        <f t="shared" si="3"/>
        <v>1547</v>
      </c>
      <c r="H10" s="74">
        <f t="shared" si="4"/>
        <v>1178814</v>
      </c>
      <c r="I10" s="40">
        <v>21</v>
      </c>
      <c r="J10" s="74">
        <f t="shared" si="5"/>
        <v>69550</v>
      </c>
      <c r="K10" s="80">
        <f t="shared" si="6"/>
        <v>1109264</v>
      </c>
      <c r="L10" s="40">
        <f t="shared" si="7"/>
        <v>44</v>
      </c>
      <c r="M10" s="62" t="str">
        <f t="shared" si="8"/>
        <v>##</v>
      </c>
      <c r="O10" s="40">
        <v>12</v>
      </c>
      <c r="P10" s="40" t="s">
        <v>293</v>
      </c>
      <c r="Q10" s="74">
        <v>1820</v>
      </c>
    </row>
    <row r="11" spans="1:17">
      <c r="A11" s="41">
        <v>101</v>
      </c>
      <c r="B11" s="40" t="str">
        <f t="shared" si="0"/>
        <v>安藤カメラ</v>
      </c>
      <c r="C11" s="40">
        <v>13</v>
      </c>
      <c r="D11" s="40" t="str">
        <f t="shared" si="1"/>
        <v>商品F</v>
      </c>
      <c r="E11" s="40">
        <v>674</v>
      </c>
      <c r="F11" s="74">
        <f t="shared" si="2"/>
        <v>2560</v>
      </c>
      <c r="G11" s="74">
        <f t="shared" si="3"/>
        <v>2176</v>
      </c>
      <c r="H11" s="74">
        <f t="shared" si="4"/>
        <v>1466624</v>
      </c>
      <c r="I11" s="40">
        <v>22</v>
      </c>
      <c r="J11" s="74">
        <f t="shared" si="5"/>
        <v>79200</v>
      </c>
      <c r="K11" s="80">
        <f t="shared" si="6"/>
        <v>1387424</v>
      </c>
      <c r="L11" s="40">
        <f t="shared" si="7"/>
        <v>39</v>
      </c>
      <c r="M11" s="62" t="str">
        <f t="shared" si="8"/>
        <v>####</v>
      </c>
      <c r="O11" s="40">
        <v>13</v>
      </c>
      <c r="P11" s="40" t="s">
        <v>294</v>
      </c>
      <c r="Q11" s="74">
        <v>2560</v>
      </c>
    </row>
    <row r="12" spans="1:17">
      <c r="A12" s="41">
        <v>102</v>
      </c>
      <c r="B12" s="40" t="str">
        <f t="shared" si="0"/>
        <v>電機の丸和</v>
      </c>
      <c r="C12" s="40">
        <v>13</v>
      </c>
      <c r="D12" s="40" t="str">
        <f t="shared" si="1"/>
        <v>商品F</v>
      </c>
      <c r="E12" s="40">
        <v>658</v>
      </c>
      <c r="F12" s="74">
        <f t="shared" si="2"/>
        <v>2560</v>
      </c>
      <c r="G12" s="74">
        <f t="shared" si="3"/>
        <v>2176</v>
      </c>
      <c r="H12" s="74">
        <f t="shared" si="4"/>
        <v>1431808</v>
      </c>
      <c r="I12" s="40">
        <v>23</v>
      </c>
      <c r="J12" s="74">
        <f t="shared" si="5"/>
        <v>68730</v>
      </c>
      <c r="K12" s="80">
        <f t="shared" si="6"/>
        <v>1363078</v>
      </c>
      <c r="L12" s="40">
        <f t="shared" si="7"/>
        <v>38</v>
      </c>
      <c r="M12" s="62" t="str">
        <f t="shared" si="8"/>
        <v>####</v>
      </c>
      <c r="O12" s="40">
        <v>14</v>
      </c>
      <c r="P12" s="40" t="s">
        <v>295</v>
      </c>
      <c r="Q12" s="74">
        <v>3240</v>
      </c>
    </row>
    <row r="13" spans="1:13">
      <c r="A13" s="41">
        <v>103</v>
      </c>
      <c r="B13" s="40" t="str">
        <f t="shared" si="0"/>
        <v>光ショップ</v>
      </c>
      <c r="C13" s="40">
        <v>13</v>
      </c>
      <c r="D13" s="40" t="str">
        <f t="shared" si="1"/>
        <v>商品F</v>
      </c>
      <c r="E13" s="40">
        <v>710</v>
      </c>
      <c r="F13" s="74">
        <f t="shared" si="2"/>
        <v>2560</v>
      </c>
      <c r="G13" s="74">
        <f t="shared" si="3"/>
        <v>2176</v>
      </c>
      <c r="H13" s="74">
        <f t="shared" si="4"/>
        <v>1544960</v>
      </c>
      <c r="I13" s="40">
        <v>21</v>
      </c>
      <c r="J13" s="74">
        <f t="shared" si="5"/>
        <v>91150</v>
      </c>
      <c r="K13" s="80">
        <f t="shared" si="6"/>
        <v>1453810</v>
      </c>
      <c r="L13" s="40">
        <f t="shared" si="7"/>
        <v>41</v>
      </c>
      <c r="M13" s="62" t="str">
        <f t="shared" si="8"/>
        <v>####</v>
      </c>
    </row>
    <row r="14" spans="1:16">
      <c r="A14" s="41">
        <v>104</v>
      </c>
      <c r="B14" s="40" t="str">
        <f t="shared" si="0"/>
        <v>令和電気堂</v>
      </c>
      <c r="C14" s="40">
        <v>13</v>
      </c>
      <c r="D14" s="40" t="str">
        <f t="shared" si="1"/>
        <v>商品F</v>
      </c>
      <c r="E14" s="40">
        <v>551</v>
      </c>
      <c r="F14" s="74">
        <f t="shared" si="2"/>
        <v>2560</v>
      </c>
      <c r="G14" s="74">
        <f t="shared" si="3"/>
        <v>2304</v>
      </c>
      <c r="H14" s="74">
        <f t="shared" si="4"/>
        <v>1269504</v>
      </c>
      <c r="I14" s="40">
        <v>22</v>
      </c>
      <c r="J14" s="74">
        <f t="shared" si="5"/>
        <v>68550</v>
      </c>
      <c r="K14" s="80">
        <f t="shared" si="6"/>
        <v>1200954</v>
      </c>
      <c r="L14" s="40">
        <f t="shared" si="7"/>
        <v>31</v>
      </c>
      <c r="M14" s="62" t="str">
        <f t="shared" si="8"/>
        <v>###</v>
      </c>
      <c r="O14" s="59" t="s">
        <v>286</v>
      </c>
      <c r="P14" s="59" t="s">
        <v>97</v>
      </c>
    </row>
    <row r="15" spans="1:16">
      <c r="A15" s="41">
        <v>101</v>
      </c>
      <c r="B15" s="40" t="str">
        <f t="shared" si="0"/>
        <v>安藤カメラ</v>
      </c>
      <c r="C15" s="40">
        <v>14</v>
      </c>
      <c r="D15" s="40" t="str">
        <f t="shared" si="1"/>
        <v>商品G</v>
      </c>
      <c r="E15" s="40">
        <v>587</v>
      </c>
      <c r="F15" s="74">
        <f t="shared" si="2"/>
        <v>3240</v>
      </c>
      <c r="G15" s="74">
        <f t="shared" si="3"/>
        <v>2916</v>
      </c>
      <c r="H15" s="74">
        <f t="shared" si="4"/>
        <v>1711692</v>
      </c>
      <c r="I15" s="40">
        <v>21</v>
      </c>
      <c r="J15" s="74">
        <f t="shared" si="5"/>
        <v>100990</v>
      </c>
      <c r="K15" s="80">
        <f t="shared" si="6"/>
        <v>1610702</v>
      </c>
      <c r="L15" s="40">
        <f t="shared" si="7"/>
        <v>34</v>
      </c>
      <c r="M15" s="62" t="str">
        <f t="shared" si="8"/>
        <v>###</v>
      </c>
      <c r="O15" s="40">
        <v>21</v>
      </c>
      <c r="P15" s="68">
        <v>0.059</v>
      </c>
    </row>
    <row r="16" spans="1:16">
      <c r="A16" s="41">
        <v>102</v>
      </c>
      <c r="B16" s="40" t="str">
        <f t="shared" si="0"/>
        <v>電機の丸和</v>
      </c>
      <c r="C16" s="40">
        <v>14</v>
      </c>
      <c r="D16" s="40" t="str">
        <f t="shared" si="1"/>
        <v>商品G</v>
      </c>
      <c r="E16" s="40">
        <v>415</v>
      </c>
      <c r="F16" s="74">
        <f t="shared" si="2"/>
        <v>3240</v>
      </c>
      <c r="G16" s="74">
        <f t="shared" si="3"/>
        <v>2916</v>
      </c>
      <c r="H16" s="74">
        <f t="shared" si="4"/>
        <v>1210140</v>
      </c>
      <c r="I16" s="40">
        <v>21</v>
      </c>
      <c r="J16" s="74">
        <f t="shared" si="5"/>
        <v>71400</v>
      </c>
      <c r="K16" s="80">
        <f t="shared" si="6"/>
        <v>1138740</v>
      </c>
      <c r="L16" s="40">
        <f t="shared" si="7"/>
        <v>20</v>
      </c>
      <c r="M16" s="62" t="str">
        <f t="shared" si="8"/>
        <v>#</v>
      </c>
      <c r="O16" s="40">
        <v>22</v>
      </c>
      <c r="P16" s="68">
        <v>0.054</v>
      </c>
    </row>
    <row r="17" spans="1:16">
      <c r="A17" s="41">
        <v>103</v>
      </c>
      <c r="B17" s="40" t="str">
        <f t="shared" si="0"/>
        <v>光ショップ</v>
      </c>
      <c r="C17" s="40">
        <v>14</v>
      </c>
      <c r="D17" s="40" t="str">
        <f t="shared" si="1"/>
        <v>商品G</v>
      </c>
      <c r="E17" s="40">
        <v>582</v>
      </c>
      <c r="F17" s="74">
        <f t="shared" si="2"/>
        <v>3240</v>
      </c>
      <c r="G17" s="74">
        <f t="shared" si="3"/>
        <v>2916</v>
      </c>
      <c r="H17" s="74">
        <f t="shared" si="4"/>
        <v>1697112</v>
      </c>
      <c r="I17" s="40">
        <v>22</v>
      </c>
      <c r="J17" s="74">
        <f t="shared" si="5"/>
        <v>91640</v>
      </c>
      <c r="K17" s="80">
        <f t="shared" si="6"/>
        <v>1605472</v>
      </c>
      <c r="L17" s="40">
        <f t="shared" si="7"/>
        <v>33</v>
      </c>
      <c r="M17" s="62" t="str">
        <f t="shared" si="8"/>
        <v>###</v>
      </c>
      <c r="O17" s="40">
        <v>23</v>
      </c>
      <c r="P17" s="68">
        <v>0.048</v>
      </c>
    </row>
    <row r="18" spans="1:13">
      <c r="A18" s="41">
        <v>104</v>
      </c>
      <c r="B18" s="40" t="str">
        <f t="shared" si="0"/>
        <v>令和電気堂</v>
      </c>
      <c r="C18" s="40">
        <v>14</v>
      </c>
      <c r="D18" s="40" t="str">
        <f t="shared" si="1"/>
        <v>商品G</v>
      </c>
      <c r="E18" s="40">
        <v>485</v>
      </c>
      <c r="F18" s="74">
        <f t="shared" si="2"/>
        <v>3240</v>
      </c>
      <c r="G18" s="74">
        <f t="shared" si="3"/>
        <v>2916</v>
      </c>
      <c r="H18" s="74">
        <f t="shared" si="4"/>
        <v>1414260</v>
      </c>
      <c r="I18" s="40">
        <v>23</v>
      </c>
      <c r="J18" s="74">
        <f t="shared" si="5"/>
        <v>67880</v>
      </c>
      <c r="K18" s="80">
        <f t="shared" si="6"/>
        <v>1346380</v>
      </c>
      <c r="L18" s="40">
        <f t="shared" si="7"/>
        <v>28</v>
      </c>
      <c r="M18" s="62" t="str">
        <f t="shared" si="8"/>
        <v>###</v>
      </c>
    </row>
    <row r="19" spans="1:17">
      <c r="A19" s="41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62"/>
      <c r="O19" s="66" t="s">
        <v>287</v>
      </c>
      <c r="P19" s="59" t="s">
        <v>95</v>
      </c>
      <c r="Q19" s="59"/>
    </row>
    <row r="20" ht="14.75" spans="1:17">
      <c r="A20" s="42"/>
      <c r="B20" s="44" t="s">
        <v>31</v>
      </c>
      <c r="C20" s="43"/>
      <c r="D20" s="43"/>
      <c r="E20" s="76">
        <f>SUM(E3:E18)</f>
        <v>9364</v>
      </c>
      <c r="F20" s="76"/>
      <c r="G20" s="76"/>
      <c r="H20" s="76">
        <f t="shared" ref="F20:L20" si="9">SUM(H3:H18)</f>
        <v>19907644</v>
      </c>
      <c r="I20" s="76"/>
      <c r="J20" s="76">
        <f t="shared" si="9"/>
        <v>1077270</v>
      </c>
      <c r="K20" s="76">
        <f t="shared" si="9"/>
        <v>18830374</v>
      </c>
      <c r="L20" s="76">
        <f t="shared" si="9"/>
        <v>505</v>
      </c>
      <c r="M20" s="63"/>
      <c r="O20" s="66"/>
      <c r="P20" s="40" t="s">
        <v>296</v>
      </c>
      <c r="Q20" s="40" t="s">
        <v>297</v>
      </c>
    </row>
    <row r="21" spans="15:17">
      <c r="O21" s="40">
        <v>1</v>
      </c>
      <c r="P21" s="40" t="s">
        <v>298</v>
      </c>
      <c r="Q21" s="40" t="s">
        <v>299</v>
      </c>
    </row>
    <row r="22" ht="14.75" spans="1:17">
      <c r="A22" s="36" t="s">
        <v>300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O22" s="40">
        <v>1200000</v>
      </c>
      <c r="P22" s="40" t="s">
        <v>301</v>
      </c>
      <c r="Q22" s="40" t="s">
        <v>302</v>
      </c>
    </row>
    <row r="23" spans="1:13">
      <c r="A23" s="37" t="s">
        <v>93</v>
      </c>
      <c r="B23" s="38" t="s">
        <v>94</v>
      </c>
      <c r="C23" s="38" t="s">
        <v>54</v>
      </c>
      <c r="D23" s="38" t="s">
        <v>55</v>
      </c>
      <c r="E23" s="38" t="s">
        <v>95</v>
      </c>
      <c r="F23" s="38" t="s">
        <v>72</v>
      </c>
      <c r="G23" s="38" t="s">
        <v>56</v>
      </c>
      <c r="H23" s="38" t="s">
        <v>99</v>
      </c>
      <c r="I23" s="38" t="s">
        <v>286</v>
      </c>
      <c r="J23" s="38" t="s">
        <v>98</v>
      </c>
      <c r="K23" s="38" t="s">
        <v>287</v>
      </c>
      <c r="L23" s="38" t="s">
        <v>288</v>
      </c>
      <c r="M23" s="46" t="s">
        <v>12</v>
      </c>
    </row>
    <row r="24" spans="1:13">
      <c r="A24" s="41">
        <v>104</v>
      </c>
      <c r="B24" s="40" t="s">
        <v>292</v>
      </c>
      <c r="C24" s="40">
        <v>12</v>
      </c>
      <c r="D24" s="40" t="s">
        <v>293</v>
      </c>
      <c r="E24" s="40">
        <v>762</v>
      </c>
      <c r="F24" s="74">
        <v>1820</v>
      </c>
      <c r="G24" s="74">
        <v>1547</v>
      </c>
      <c r="H24" s="74">
        <v>1178814</v>
      </c>
      <c r="I24" s="40">
        <v>21</v>
      </c>
      <c r="J24" s="74">
        <v>69550</v>
      </c>
      <c r="K24" s="80">
        <v>1109264</v>
      </c>
      <c r="L24" s="40">
        <v>44</v>
      </c>
      <c r="M24" s="62" t="s">
        <v>299</v>
      </c>
    </row>
    <row r="25" spans="1:13">
      <c r="A25" s="41">
        <v>104</v>
      </c>
      <c r="B25" s="40" t="s">
        <v>292</v>
      </c>
      <c r="C25" s="40">
        <v>11</v>
      </c>
      <c r="D25" s="40" t="s">
        <v>76</v>
      </c>
      <c r="E25" s="40">
        <v>617</v>
      </c>
      <c r="F25" s="74">
        <v>2180</v>
      </c>
      <c r="G25" s="74">
        <v>1853</v>
      </c>
      <c r="H25" s="74">
        <v>1143301</v>
      </c>
      <c r="I25" s="40">
        <v>23</v>
      </c>
      <c r="J25" s="74">
        <v>54880</v>
      </c>
      <c r="K25" s="80">
        <v>1088421</v>
      </c>
      <c r="L25" s="40">
        <v>30</v>
      </c>
      <c r="M25" s="62" t="s">
        <v>299</v>
      </c>
    </row>
    <row r="26" spans="1:13">
      <c r="A26" s="41">
        <v>102</v>
      </c>
      <c r="B26" s="40" t="s">
        <v>290</v>
      </c>
      <c r="C26" s="40">
        <v>13</v>
      </c>
      <c r="D26" s="40" t="s">
        <v>294</v>
      </c>
      <c r="E26" s="40">
        <v>658</v>
      </c>
      <c r="F26" s="74">
        <v>2560</v>
      </c>
      <c r="G26" s="74">
        <v>2176</v>
      </c>
      <c r="H26" s="74">
        <v>1431808</v>
      </c>
      <c r="I26" s="40">
        <v>23</v>
      </c>
      <c r="J26" s="74">
        <v>68730</v>
      </c>
      <c r="K26" s="80">
        <v>1363078</v>
      </c>
      <c r="L26" s="40">
        <v>38</v>
      </c>
      <c r="M26" s="62" t="s">
        <v>302</v>
      </c>
    </row>
    <row r="27" spans="1:13">
      <c r="A27" s="41">
        <v>102</v>
      </c>
      <c r="B27" s="40" t="s">
        <v>290</v>
      </c>
      <c r="C27" s="40">
        <v>12</v>
      </c>
      <c r="D27" s="40" t="s">
        <v>293</v>
      </c>
      <c r="E27" s="40">
        <v>560</v>
      </c>
      <c r="F27" s="74">
        <v>1820</v>
      </c>
      <c r="G27" s="74">
        <v>1638</v>
      </c>
      <c r="H27" s="74">
        <v>917280</v>
      </c>
      <c r="I27" s="40">
        <v>23</v>
      </c>
      <c r="J27" s="74">
        <v>44030</v>
      </c>
      <c r="K27" s="80">
        <v>873250</v>
      </c>
      <c r="L27" s="40">
        <v>27</v>
      </c>
      <c r="M27" s="62" t="s">
        <v>298</v>
      </c>
    </row>
    <row r="28" spans="1:13">
      <c r="A28" s="41">
        <v>101</v>
      </c>
      <c r="B28" s="40" t="s">
        <v>289</v>
      </c>
      <c r="C28" s="40">
        <v>13</v>
      </c>
      <c r="D28" s="40" t="s">
        <v>294</v>
      </c>
      <c r="E28" s="40">
        <v>674</v>
      </c>
      <c r="F28" s="74">
        <v>2560</v>
      </c>
      <c r="G28" s="74">
        <v>2176</v>
      </c>
      <c r="H28" s="74">
        <v>1466624</v>
      </c>
      <c r="I28" s="40">
        <v>22</v>
      </c>
      <c r="J28" s="74">
        <v>79200</v>
      </c>
      <c r="K28" s="80">
        <v>1387424</v>
      </c>
      <c r="L28" s="40">
        <v>39</v>
      </c>
      <c r="M28" s="62" t="s">
        <v>302</v>
      </c>
    </row>
    <row r="29" spans="1:13">
      <c r="A29" s="41">
        <v>101</v>
      </c>
      <c r="B29" s="40" t="s">
        <v>289</v>
      </c>
      <c r="C29" s="40">
        <v>12</v>
      </c>
      <c r="D29" s="40" t="s">
        <v>293</v>
      </c>
      <c r="E29" s="40">
        <v>600</v>
      </c>
      <c r="F29" s="74">
        <v>1820</v>
      </c>
      <c r="G29" s="74">
        <v>1547</v>
      </c>
      <c r="H29" s="74">
        <v>928200</v>
      </c>
      <c r="I29" s="40">
        <v>22</v>
      </c>
      <c r="J29" s="74">
        <v>50120</v>
      </c>
      <c r="K29" s="80">
        <v>878080</v>
      </c>
      <c r="L29" s="40">
        <v>29</v>
      </c>
      <c r="M29" s="62" t="s">
        <v>299</v>
      </c>
    </row>
    <row r="30" spans="1:13">
      <c r="A30" s="41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62"/>
    </row>
    <row r="31" ht="14.75" spans="1:13">
      <c r="A31" s="42"/>
      <c r="B31" s="44" t="s">
        <v>31</v>
      </c>
      <c r="C31" s="43"/>
      <c r="D31" s="43"/>
      <c r="E31" s="76">
        <f>SUM(E24:E29)</f>
        <v>3871</v>
      </c>
      <c r="F31" s="76"/>
      <c r="G31" s="76"/>
      <c r="H31" s="76">
        <f t="shared" ref="F31:L31" si="10">SUM(H24:H29)</f>
        <v>7066027</v>
      </c>
      <c r="I31" s="76"/>
      <c r="J31" s="76">
        <f t="shared" si="10"/>
        <v>366510</v>
      </c>
      <c r="K31" s="76">
        <f t="shared" si="10"/>
        <v>6699517</v>
      </c>
      <c r="L31" s="76">
        <f t="shared" si="10"/>
        <v>207</v>
      </c>
      <c r="M31" s="63"/>
    </row>
    <row r="33" ht="14.75" spans="1:4">
      <c r="A33" s="36" t="s">
        <v>303</v>
      </c>
      <c r="B33" s="36"/>
      <c r="C33" s="36"/>
      <c r="D33" s="36"/>
    </row>
    <row r="34" spans="1:10">
      <c r="A34" s="37" t="s">
        <v>94</v>
      </c>
      <c r="B34" s="38" t="s">
        <v>95</v>
      </c>
      <c r="C34" s="38" t="s">
        <v>99</v>
      </c>
      <c r="D34" s="46" t="s">
        <v>287</v>
      </c>
      <c r="G34" s="59" t="s">
        <v>94</v>
      </c>
      <c r="H34" s="59" t="s">
        <v>94</v>
      </c>
      <c r="I34" s="59" t="s">
        <v>94</v>
      </c>
      <c r="J34" s="59" t="s">
        <v>94</v>
      </c>
    </row>
    <row r="35" spans="1:10">
      <c r="A35" s="41" t="s">
        <v>289</v>
      </c>
      <c r="B35" s="74">
        <f>DSUM(請求額一覧表8,B$34,$G$34:$G$35)</f>
        <v>2388</v>
      </c>
      <c r="C35" s="74">
        <f>DSUM(請求額一覧表8,C$34,$G$34:$G$35)</f>
        <v>5140490</v>
      </c>
      <c r="D35" s="75">
        <f>DSUM(請求額一覧表8,D$34,$G$34:$G$35)</f>
        <v>4849180</v>
      </c>
      <c r="G35" s="40" t="s">
        <v>289</v>
      </c>
      <c r="H35" s="40" t="s">
        <v>290</v>
      </c>
      <c r="I35" s="40" t="s">
        <v>291</v>
      </c>
      <c r="J35" s="40" t="s">
        <v>292</v>
      </c>
    </row>
    <row r="36" ht="14.75" spans="1:4">
      <c r="A36" s="41" t="s">
        <v>290</v>
      </c>
      <c r="B36" s="74">
        <f>DSUM(請求額一覧表8,B$34,$H$34:$H$35)</f>
        <v>1961</v>
      </c>
      <c r="C36" s="74">
        <f>DSUM(請求額一覧表8,C$34,$H$34:$H$35)</f>
        <v>4202764</v>
      </c>
      <c r="D36" s="75">
        <f>DSUM(請求額一覧表8,D$34,$H$34:$H$35)</f>
        <v>3980634</v>
      </c>
    </row>
    <row r="37" spans="1:11">
      <c r="A37" s="41" t="s">
        <v>291</v>
      </c>
      <c r="B37" s="74">
        <f>DSUM(請求額一覧表8,B$34,$I$34:$I$35)</f>
        <v>2600</v>
      </c>
      <c r="C37" s="74">
        <f>DSUM(請求額一覧表8,C$34,$I$34:$I$35)</f>
        <v>5558511</v>
      </c>
      <c r="D37" s="75">
        <f>DSUM(請求額一覧表8,D$34,$I$34:$I$35)</f>
        <v>5255541</v>
      </c>
      <c r="J37" s="38" t="s">
        <v>95</v>
      </c>
      <c r="K37" s="38" t="s">
        <v>287</v>
      </c>
    </row>
    <row r="38" ht="14.75" spans="1:11">
      <c r="A38" s="42" t="s">
        <v>292</v>
      </c>
      <c r="B38" s="76">
        <f>DSUM(請求額一覧表8,B$34,$J$34:$J$35)</f>
        <v>2415</v>
      </c>
      <c r="C38" s="76">
        <f>DSUM(請求額一覧表8,C$34,$J$34:$J$35)</f>
        <v>5005879</v>
      </c>
      <c r="D38" s="77">
        <f>DSUM(請求額一覧表8,D$34,$J$34:$J$35)</f>
        <v>4745019</v>
      </c>
      <c r="J38" s="40" t="s">
        <v>304</v>
      </c>
      <c r="K38" s="40" t="s">
        <v>305</v>
      </c>
    </row>
    <row r="39" ht="14.75" spans="10:11">
      <c r="J39" s="59" t="s">
        <v>55</v>
      </c>
      <c r="K39" s="59" t="s">
        <v>99</v>
      </c>
    </row>
    <row r="40" spans="1:11">
      <c r="A40" s="51" t="s">
        <v>306</v>
      </c>
      <c r="B40" s="52"/>
      <c r="C40" s="52"/>
      <c r="D40" s="52"/>
      <c r="E40" s="52"/>
      <c r="F40" s="78">
        <f>DCOUNT(請求額一覧表8,,J37:K38)</f>
        <v>7</v>
      </c>
      <c r="J40" s="40" t="str">
        <f>"&lt;&gt;商品E"</f>
        <v>&lt;&gt;商品E</v>
      </c>
      <c r="K40" s="40" t="s">
        <v>307</v>
      </c>
    </row>
    <row r="41" spans="1:11">
      <c r="A41" s="53" t="s">
        <v>308</v>
      </c>
      <c r="B41" s="54"/>
      <c r="C41" s="54"/>
      <c r="D41" s="54"/>
      <c r="E41" s="54"/>
      <c r="F41" s="62">
        <f>DSUM(請求額一覧表8,"試供品数",J39:K40)</f>
        <v>259</v>
      </c>
      <c r="J41" s="59" t="s">
        <v>288</v>
      </c>
      <c r="K41" s="59" t="s">
        <v>288</v>
      </c>
    </row>
    <row r="42" ht="14.75" spans="1:11">
      <c r="A42" s="55" t="s">
        <v>309</v>
      </c>
      <c r="B42" s="56"/>
      <c r="C42" s="56"/>
      <c r="D42" s="56"/>
      <c r="E42" s="56"/>
      <c r="F42" s="79">
        <f>DMAX(請求額一覧表8,"値引額",J41:K42)</f>
        <v>67880</v>
      </c>
      <c r="J42" s="40" t="s">
        <v>310</v>
      </c>
      <c r="K42" s="40" t="s">
        <v>311</v>
      </c>
    </row>
  </sheetData>
  <sortState ref="A24:M29">
    <sortCondition ref="A24:A29" descending="1"/>
    <sortCondition ref="L24:L29" descending="1"/>
  </sortState>
  <mergeCells count="8">
    <mergeCell ref="A1:M1"/>
    <mergeCell ref="P19:Q19"/>
    <mergeCell ref="A22:M22"/>
    <mergeCell ref="A33:D33"/>
    <mergeCell ref="A40:E40"/>
    <mergeCell ref="A41:E41"/>
    <mergeCell ref="A42:E42"/>
    <mergeCell ref="O19:O20"/>
  </mergeCells>
  <pageMargins left="0.7" right="0.7" top="0.75" bottom="0.75" header="0.3" footer="0.3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6"/>
  <sheetViews>
    <sheetView zoomScale="99" zoomScaleNormal="99" workbookViewId="0">
      <selection activeCell="A2" sqref="A$1:Q$1048576"/>
    </sheetView>
  </sheetViews>
  <sheetFormatPr defaultColWidth="9" defaultRowHeight="14"/>
  <cols>
    <col min="1" max="1" width="10.3125" customWidth="1"/>
    <col min="2" max="3" width="8.5" customWidth="1"/>
    <col min="4" max="4" width="10.3125" customWidth="1"/>
    <col min="5" max="5" width="5" customWidth="1"/>
    <col min="6" max="6" width="8.5" customWidth="1"/>
    <col min="7" max="10" width="10.3125" customWidth="1"/>
    <col min="11" max="12" width="8.5" customWidth="1"/>
    <col min="14" max="14" width="5" customWidth="1"/>
    <col min="15" max="15" width="10.3125" customWidth="1"/>
    <col min="16" max="17" width="6.5" customWidth="1"/>
  </cols>
  <sheetData>
    <row r="1" ht="14.75" spans="1:12">
      <c r="A1" s="36" t="s">
        <v>312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7">
      <c r="A2" s="37" t="s">
        <v>313</v>
      </c>
      <c r="B2" s="38" t="s">
        <v>314</v>
      </c>
      <c r="C2" s="38" t="s">
        <v>1</v>
      </c>
      <c r="D2" s="38" t="s">
        <v>2</v>
      </c>
      <c r="E2" s="38" t="s">
        <v>315</v>
      </c>
      <c r="F2" s="38" t="s">
        <v>316</v>
      </c>
      <c r="G2" s="38" t="s">
        <v>58</v>
      </c>
      <c r="H2" s="38" t="s">
        <v>317</v>
      </c>
      <c r="I2" s="38" t="s">
        <v>318</v>
      </c>
      <c r="J2" s="38" t="s">
        <v>10</v>
      </c>
      <c r="K2" s="38" t="s">
        <v>319</v>
      </c>
      <c r="L2" s="46" t="s">
        <v>11</v>
      </c>
      <c r="N2" s="66" t="s">
        <v>1</v>
      </c>
      <c r="O2" s="66" t="s">
        <v>2</v>
      </c>
      <c r="P2" s="59" t="s">
        <v>315</v>
      </c>
      <c r="Q2" s="59"/>
    </row>
    <row r="3" spans="1:17">
      <c r="A3" s="69">
        <v>45536</v>
      </c>
      <c r="B3" s="70">
        <v>45542</v>
      </c>
      <c r="C3" s="40">
        <v>101</v>
      </c>
      <c r="D3" s="40" t="str">
        <f>VLOOKUP(C3,$N$4:$Q$7,2,0)</f>
        <v>鈴木　英明</v>
      </c>
      <c r="E3" s="40">
        <f>B3-A3+1</f>
        <v>7</v>
      </c>
      <c r="F3" s="47">
        <f>VLOOKUP(C3,$N$4:$Q$7,IF(E3&lt;7,3,4))*E3</f>
        <v>13720</v>
      </c>
      <c r="G3" s="40">
        <v>276</v>
      </c>
      <c r="H3" s="47">
        <v>3728</v>
      </c>
      <c r="I3" s="40">
        <f>VLOOKUP(G3,$N$10:$O$13,2,TRUE)</f>
        <v>85</v>
      </c>
      <c r="J3" s="47">
        <f>ROUNDUP(H3*1000*1.7%*I3/100,-2)</f>
        <v>53900</v>
      </c>
      <c r="K3" s="47">
        <f>ROUNDUP(IF(I3&gt;=85,(F3+J3)*8.8%,(F3+J3)*7.6%),-1)</f>
        <v>5960</v>
      </c>
      <c r="L3" s="48">
        <f>F3+J3+K3</f>
        <v>73580</v>
      </c>
      <c r="N3" s="66"/>
      <c r="O3" s="66"/>
      <c r="P3" s="40" t="s">
        <v>320</v>
      </c>
      <c r="Q3" s="40" t="s">
        <v>321</v>
      </c>
    </row>
    <row r="4" spans="1:17">
      <c r="A4" s="69">
        <v>45538</v>
      </c>
      <c r="B4" s="70">
        <v>45543</v>
      </c>
      <c r="C4" s="40">
        <v>102</v>
      </c>
      <c r="D4" s="40" t="str">
        <f t="shared" ref="D4:D14" si="0">VLOOKUP(C4,$N$4:$Q$7,2,0)</f>
        <v>加藤　愛奈</v>
      </c>
      <c r="E4" s="40">
        <f t="shared" ref="E4:E14" si="1">B4-A4+1</f>
        <v>6</v>
      </c>
      <c r="F4" s="47">
        <f t="shared" ref="F4:F14" si="2">VLOOKUP(C4,$N$4:$Q$7,IF(E4&lt;7,3,4))*E4</f>
        <v>10800</v>
      </c>
      <c r="G4" s="40">
        <v>240</v>
      </c>
      <c r="H4" s="47">
        <v>3409</v>
      </c>
      <c r="I4" s="40">
        <f t="shared" ref="I4:I14" si="3">VLOOKUP(G4,$N$10:$O$13,2,TRUE)</f>
        <v>75</v>
      </c>
      <c r="J4" s="47">
        <f t="shared" ref="J4:J14" si="4">ROUNDUP(H4*1000*1.7%*I4/100,-2)</f>
        <v>43500</v>
      </c>
      <c r="K4" s="47">
        <f t="shared" ref="K4:K14" si="5">ROUNDUP(IF(I4&gt;=85,(F4+J4)*8.8%,(F4+J4)*7.6%),-1)</f>
        <v>4130</v>
      </c>
      <c r="L4" s="48">
        <f t="shared" ref="L4:L14" si="6">F4+J4+K4</f>
        <v>58430</v>
      </c>
      <c r="N4" s="40">
        <v>101</v>
      </c>
      <c r="O4" s="40" t="s">
        <v>322</v>
      </c>
      <c r="P4" s="47">
        <v>1690</v>
      </c>
      <c r="Q4" s="47">
        <v>1960</v>
      </c>
    </row>
    <row r="5" spans="1:17">
      <c r="A5" s="69">
        <v>45540</v>
      </c>
      <c r="B5" s="70">
        <v>45544</v>
      </c>
      <c r="C5" s="40">
        <v>103</v>
      </c>
      <c r="D5" s="40" t="str">
        <f t="shared" si="0"/>
        <v>田中　五郎</v>
      </c>
      <c r="E5" s="40">
        <f t="shared" si="1"/>
        <v>5</v>
      </c>
      <c r="F5" s="47">
        <f t="shared" si="2"/>
        <v>9550</v>
      </c>
      <c r="G5" s="40">
        <v>224</v>
      </c>
      <c r="H5" s="47">
        <v>3195</v>
      </c>
      <c r="I5" s="40">
        <f t="shared" si="3"/>
        <v>65</v>
      </c>
      <c r="J5" s="47">
        <f t="shared" si="4"/>
        <v>35400</v>
      </c>
      <c r="K5" s="47">
        <f t="shared" si="5"/>
        <v>3420</v>
      </c>
      <c r="L5" s="48">
        <f t="shared" si="6"/>
        <v>48370</v>
      </c>
      <c r="N5" s="40">
        <v>102</v>
      </c>
      <c r="O5" s="40" t="s">
        <v>323</v>
      </c>
      <c r="P5" s="47">
        <v>1800</v>
      </c>
      <c r="Q5" s="47">
        <v>2070</v>
      </c>
    </row>
    <row r="6" spans="1:17">
      <c r="A6" s="69">
        <v>45541</v>
      </c>
      <c r="B6" s="70">
        <v>45548</v>
      </c>
      <c r="C6" s="40">
        <v>104</v>
      </c>
      <c r="D6" s="40" t="str">
        <f t="shared" si="0"/>
        <v>森　美和子</v>
      </c>
      <c r="E6" s="40">
        <f t="shared" si="1"/>
        <v>8</v>
      </c>
      <c r="F6" s="47">
        <f t="shared" si="2"/>
        <v>18320</v>
      </c>
      <c r="G6" s="40">
        <v>310</v>
      </c>
      <c r="H6" s="47">
        <v>4063</v>
      </c>
      <c r="I6" s="40">
        <f t="shared" si="3"/>
        <v>100</v>
      </c>
      <c r="J6" s="47">
        <f t="shared" si="4"/>
        <v>69100</v>
      </c>
      <c r="K6" s="47">
        <f t="shared" si="5"/>
        <v>7700</v>
      </c>
      <c r="L6" s="48">
        <f t="shared" si="6"/>
        <v>95120</v>
      </c>
      <c r="N6" s="40">
        <v>103</v>
      </c>
      <c r="O6" s="40" t="s">
        <v>324</v>
      </c>
      <c r="P6" s="47">
        <v>1910</v>
      </c>
      <c r="Q6" s="47">
        <v>2180</v>
      </c>
    </row>
    <row r="7" spans="1:17">
      <c r="A7" s="69">
        <v>45543</v>
      </c>
      <c r="B7" s="70">
        <v>45550</v>
      </c>
      <c r="C7" s="40">
        <v>101</v>
      </c>
      <c r="D7" s="40" t="str">
        <f t="shared" si="0"/>
        <v>鈴木　英明</v>
      </c>
      <c r="E7" s="40">
        <f t="shared" si="1"/>
        <v>8</v>
      </c>
      <c r="F7" s="47">
        <f t="shared" si="2"/>
        <v>15680</v>
      </c>
      <c r="G7" s="40">
        <v>307</v>
      </c>
      <c r="H7" s="47">
        <v>3964</v>
      </c>
      <c r="I7" s="40">
        <f t="shared" si="3"/>
        <v>85</v>
      </c>
      <c r="J7" s="47">
        <f t="shared" si="4"/>
        <v>57300</v>
      </c>
      <c r="K7" s="47">
        <f t="shared" si="5"/>
        <v>6430</v>
      </c>
      <c r="L7" s="48">
        <f t="shared" si="6"/>
        <v>79410</v>
      </c>
      <c r="N7" s="40">
        <v>104</v>
      </c>
      <c r="O7" s="40" t="s">
        <v>325</v>
      </c>
      <c r="P7" s="47">
        <v>2020</v>
      </c>
      <c r="Q7" s="47">
        <v>2290</v>
      </c>
    </row>
    <row r="8" spans="1:12">
      <c r="A8" s="69">
        <v>45546</v>
      </c>
      <c r="B8" s="70">
        <v>45552</v>
      </c>
      <c r="C8" s="40">
        <v>102</v>
      </c>
      <c r="D8" s="40" t="str">
        <f t="shared" si="0"/>
        <v>加藤　愛奈</v>
      </c>
      <c r="E8" s="40">
        <f t="shared" si="1"/>
        <v>7</v>
      </c>
      <c r="F8" s="47">
        <f t="shared" si="2"/>
        <v>14490</v>
      </c>
      <c r="G8" s="40">
        <v>265</v>
      </c>
      <c r="H8" s="47">
        <v>3692</v>
      </c>
      <c r="I8" s="40">
        <f t="shared" si="3"/>
        <v>85</v>
      </c>
      <c r="J8" s="47">
        <f t="shared" si="4"/>
        <v>53400</v>
      </c>
      <c r="K8" s="47">
        <f t="shared" si="5"/>
        <v>5980</v>
      </c>
      <c r="L8" s="48">
        <f t="shared" si="6"/>
        <v>73870</v>
      </c>
    </row>
    <row r="9" spans="1:15">
      <c r="A9" s="69">
        <v>45547</v>
      </c>
      <c r="B9" s="70">
        <v>45553</v>
      </c>
      <c r="C9" s="40">
        <v>103</v>
      </c>
      <c r="D9" s="40" t="str">
        <f t="shared" si="0"/>
        <v>田中　五郎</v>
      </c>
      <c r="E9" s="40">
        <f t="shared" si="1"/>
        <v>7</v>
      </c>
      <c r="F9" s="47">
        <f t="shared" si="2"/>
        <v>15260</v>
      </c>
      <c r="G9" s="40">
        <v>290</v>
      </c>
      <c r="H9" s="47">
        <v>3805</v>
      </c>
      <c r="I9" s="40">
        <f t="shared" si="3"/>
        <v>85</v>
      </c>
      <c r="J9" s="47">
        <f t="shared" si="4"/>
        <v>55000</v>
      </c>
      <c r="K9" s="47">
        <f t="shared" si="5"/>
        <v>6190</v>
      </c>
      <c r="L9" s="48">
        <f t="shared" si="6"/>
        <v>76450</v>
      </c>
      <c r="N9" s="40" t="s">
        <v>326</v>
      </c>
      <c r="O9" s="40" t="s">
        <v>318</v>
      </c>
    </row>
    <row r="10" spans="1:15">
      <c r="A10" s="69">
        <v>45550</v>
      </c>
      <c r="B10" s="70">
        <v>45554</v>
      </c>
      <c r="C10" s="40">
        <v>104</v>
      </c>
      <c r="D10" s="40" t="str">
        <f t="shared" si="0"/>
        <v>森　美和子</v>
      </c>
      <c r="E10" s="40">
        <f t="shared" si="1"/>
        <v>5</v>
      </c>
      <c r="F10" s="47">
        <f t="shared" si="2"/>
        <v>10100</v>
      </c>
      <c r="G10" s="40">
        <v>213</v>
      </c>
      <c r="H10" s="47">
        <v>3026</v>
      </c>
      <c r="I10" s="40">
        <f t="shared" si="3"/>
        <v>65</v>
      </c>
      <c r="J10" s="47">
        <f t="shared" si="4"/>
        <v>33500</v>
      </c>
      <c r="K10" s="47">
        <f t="shared" si="5"/>
        <v>3320</v>
      </c>
      <c r="L10" s="48">
        <f t="shared" si="6"/>
        <v>46920</v>
      </c>
      <c r="N10" s="40">
        <v>1</v>
      </c>
      <c r="O10" s="40">
        <v>65</v>
      </c>
    </row>
    <row r="11" spans="1:15">
      <c r="A11" s="69">
        <v>45552</v>
      </c>
      <c r="B11" s="70">
        <v>45556</v>
      </c>
      <c r="C11" s="40">
        <v>101</v>
      </c>
      <c r="D11" s="40" t="str">
        <f t="shared" si="0"/>
        <v>鈴木　英明</v>
      </c>
      <c r="E11" s="40">
        <f t="shared" si="1"/>
        <v>5</v>
      </c>
      <c r="F11" s="47">
        <f t="shared" si="2"/>
        <v>8450</v>
      </c>
      <c r="G11" s="40">
        <v>208</v>
      </c>
      <c r="H11" s="47">
        <v>2961</v>
      </c>
      <c r="I11" s="40">
        <f t="shared" si="3"/>
        <v>65</v>
      </c>
      <c r="J11" s="47">
        <f t="shared" si="4"/>
        <v>32800</v>
      </c>
      <c r="K11" s="47">
        <f t="shared" si="5"/>
        <v>3140</v>
      </c>
      <c r="L11" s="48">
        <f t="shared" si="6"/>
        <v>44390</v>
      </c>
      <c r="N11" s="40">
        <v>230</v>
      </c>
      <c r="O11" s="40">
        <v>75</v>
      </c>
    </row>
    <row r="12" spans="1:15">
      <c r="A12" s="69">
        <v>45553</v>
      </c>
      <c r="B12" s="70">
        <v>45557</v>
      </c>
      <c r="C12" s="40">
        <v>102</v>
      </c>
      <c r="D12" s="40" t="str">
        <f t="shared" si="0"/>
        <v>加藤　愛奈</v>
      </c>
      <c r="E12" s="40">
        <f t="shared" si="1"/>
        <v>5</v>
      </c>
      <c r="F12" s="47">
        <f t="shared" si="2"/>
        <v>9000</v>
      </c>
      <c r="G12" s="40">
        <v>230</v>
      </c>
      <c r="H12" s="47">
        <v>3074</v>
      </c>
      <c r="I12" s="40">
        <f t="shared" si="3"/>
        <v>75</v>
      </c>
      <c r="J12" s="47">
        <f t="shared" si="4"/>
        <v>39200</v>
      </c>
      <c r="K12" s="47">
        <f t="shared" si="5"/>
        <v>3670</v>
      </c>
      <c r="L12" s="48">
        <f t="shared" si="6"/>
        <v>51870</v>
      </c>
      <c r="N12" s="40">
        <v>260</v>
      </c>
      <c r="O12" s="40">
        <v>85</v>
      </c>
    </row>
    <row r="13" spans="1:15">
      <c r="A13" s="69">
        <v>45555</v>
      </c>
      <c r="B13" s="70">
        <v>45563</v>
      </c>
      <c r="C13" s="40">
        <v>103</v>
      </c>
      <c r="D13" s="40" t="str">
        <f t="shared" si="0"/>
        <v>田中　五郎</v>
      </c>
      <c r="E13" s="40">
        <f t="shared" si="1"/>
        <v>9</v>
      </c>
      <c r="F13" s="47">
        <f t="shared" si="2"/>
        <v>19620</v>
      </c>
      <c r="G13" s="40">
        <v>317</v>
      </c>
      <c r="H13" s="47">
        <v>4282</v>
      </c>
      <c r="I13" s="40">
        <f t="shared" si="3"/>
        <v>100</v>
      </c>
      <c r="J13" s="47">
        <f t="shared" si="4"/>
        <v>72800</v>
      </c>
      <c r="K13" s="47">
        <f t="shared" si="5"/>
        <v>8140</v>
      </c>
      <c r="L13" s="48">
        <f t="shared" si="6"/>
        <v>100560</v>
      </c>
      <c r="N13" s="40">
        <v>310</v>
      </c>
      <c r="O13" s="40">
        <v>100</v>
      </c>
    </row>
    <row r="14" spans="1:12">
      <c r="A14" s="69">
        <v>45556</v>
      </c>
      <c r="B14" s="70">
        <v>45561</v>
      </c>
      <c r="C14" s="40">
        <v>104</v>
      </c>
      <c r="D14" s="40" t="str">
        <f t="shared" si="0"/>
        <v>森　美和子</v>
      </c>
      <c r="E14" s="40">
        <f t="shared" si="1"/>
        <v>6</v>
      </c>
      <c r="F14" s="47">
        <f t="shared" si="2"/>
        <v>12120</v>
      </c>
      <c r="G14" s="40">
        <v>248</v>
      </c>
      <c r="H14" s="47">
        <v>3215</v>
      </c>
      <c r="I14" s="40">
        <f t="shared" si="3"/>
        <v>75</v>
      </c>
      <c r="J14" s="47">
        <f t="shared" si="4"/>
        <v>41000</v>
      </c>
      <c r="K14" s="47">
        <f t="shared" si="5"/>
        <v>4040</v>
      </c>
      <c r="L14" s="48">
        <f t="shared" si="6"/>
        <v>57160</v>
      </c>
    </row>
    <row r="15" spans="1:12">
      <c r="A15" s="41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62"/>
    </row>
    <row r="16" ht="14.75" spans="1:12">
      <c r="A16" s="42"/>
      <c r="B16" s="43"/>
      <c r="C16" s="43"/>
      <c r="D16" s="44" t="s">
        <v>31</v>
      </c>
      <c r="E16" s="45">
        <f>SUM(E3:E14)</f>
        <v>78</v>
      </c>
      <c r="F16" s="45">
        <f t="shared" ref="F16:L16" si="7">SUM(F3:F14)</f>
        <v>157110</v>
      </c>
      <c r="G16" s="45">
        <f t="shared" si="7"/>
        <v>3128</v>
      </c>
      <c r="H16" s="45">
        <f t="shared" si="7"/>
        <v>42414</v>
      </c>
      <c r="I16" s="45"/>
      <c r="J16" s="45">
        <f t="shared" si="7"/>
        <v>586900</v>
      </c>
      <c r="K16" s="45">
        <f t="shared" si="7"/>
        <v>62120</v>
      </c>
      <c r="L16" s="50">
        <f t="shared" si="7"/>
        <v>806130</v>
      </c>
    </row>
    <row r="18" ht="14.75" spans="1:12">
      <c r="A18" s="36" t="s">
        <v>327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</row>
    <row r="19" spans="1:12">
      <c r="A19" s="37" t="s">
        <v>313</v>
      </c>
      <c r="B19" s="38" t="s">
        <v>314</v>
      </c>
      <c r="C19" s="38" t="s">
        <v>1</v>
      </c>
      <c r="D19" s="38" t="s">
        <v>2</v>
      </c>
      <c r="E19" s="38" t="s">
        <v>315</v>
      </c>
      <c r="F19" s="38" t="s">
        <v>316</v>
      </c>
      <c r="G19" s="38" t="s">
        <v>58</v>
      </c>
      <c r="H19" s="38" t="s">
        <v>317</v>
      </c>
      <c r="I19" s="38" t="s">
        <v>318</v>
      </c>
      <c r="J19" s="38" t="s">
        <v>10</v>
      </c>
      <c r="K19" s="38" t="s">
        <v>319</v>
      </c>
      <c r="L19" s="46" t="s">
        <v>11</v>
      </c>
    </row>
    <row r="20" spans="1:12">
      <c r="A20" s="69">
        <v>45536</v>
      </c>
      <c r="B20" s="70">
        <v>45542</v>
      </c>
      <c r="C20" s="40">
        <v>101</v>
      </c>
      <c r="D20" s="40" t="s">
        <v>322</v>
      </c>
      <c r="E20" s="40">
        <v>7</v>
      </c>
      <c r="F20" s="47">
        <v>13720</v>
      </c>
      <c r="G20" s="40">
        <v>276</v>
      </c>
      <c r="H20" s="47">
        <v>3728</v>
      </c>
      <c r="I20" s="40">
        <v>85</v>
      </c>
      <c r="J20" s="47">
        <v>53900</v>
      </c>
      <c r="K20" s="47">
        <v>5960</v>
      </c>
      <c r="L20" s="48">
        <v>73580</v>
      </c>
    </row>
    <row r="21" spans="1:12">
      <c r="A21" s="69">
        <v>45546</v>
      </c>
      <c r="B21" s="70">
        <v>45552</v>
      </c>
      <c r="C21" s="40">
        <v>102</v>
      </c>
      <c r="D21" s="40" t="s">
        <v>323</v>
      </c>
      <c r="E21" s="40">
        <v>7</v>
      </c>
      <c r="F21" s="47">
        <v>14490</v>
      </c>
      <c r="G21" s="40">
        <v>265</v>
      </c>
      <c r="H21" s="47">
        <v>3692</v>
      </c>
      <c r="I21" s="40">
        <v>85</v>
      </c>
      <c r="J21" s="47">
        <v>53400</v>
      </c>
      <c r="K21" s="47">
        <v>5980</v>
      </c>
      <c r="L21" s="48">
        <v>73870</v>
      </c>
    </row>
    <row r="22" spans="1:12">
      <c r="A22" s="69">
        <v>45556</v>
      </c>
      <c r="B22" s="70">
        <v>45561</v>
      </c>
      <c r="C22" s="40">
        <v>104</v>
      </c>
      <c r="D22" s="40" t="s">
        <v>325</v>
      </c>
      <c r="E22" s="40">
        <v>6</v>
      </c>
      <c r="F22" s="47">
        <v>12120</v>
      </c>
      <c r="G22" s="40">
        <v>248</v>
      </c>
      <c r="H22" s="47">
        <v>3215</v>
      </c>
      <c r="I22" s="40">
        <v>75</v>
      </c>
      <c r="J22" s="47">
        <v>41000</v>
      </c>
      <c r="K22" s="47">
        <v>4040</v>
      </c>
      <c r="L22" s="48">
        <v>57160</v>
      </c>
    </row>
    <row r="23" spans="1:12">
      <c r="A23" s="69">
        <v>45538</v>
      </c>
      <c r="B23" s="70">
        <v>45543</v>
      </c>
      <c r="C23" s="40">
        <v>102</v>
      </c>
      <c r="D23" s="40" t="s">
        <v>323</v>
      </c>
      <c r="E23" s="40">
        <v>6</v>
      </c>
      <c r="F23" s="47">
        <v>10800</v>
      </c>
      <c r="G23" s="40">
        <v>240</v>
      </c>
      <c r="H23" s="47">
        <v>3409</v>
      </c>
      <c r="I23" s="40">
        <v>75</v>
      </c>
      <c r="J23" s="47">
        <v>43500</v>
      </c>
      <c r="K23" s="47">
        <v>4130</v>
      </c>
      <c r="L23" s="48">
        <v>58430</v>
      </c>
    </row>
    <row r="24" spans="1:12">
      <c r="A24" s="41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62"/>
    </row>
    <row r="25" ht="14.75" spans="1:12">
      <c r="A25" s="42"/>
      <c r="B25" s="43"/>
      <c r="C25" s="43"/>
      <c r="D25" s="44" t="s">
        <v>31</v>
      </c>
      <c r="E25" s="45">
        <f>SUM(E20:E23)</f>
        <v>26</v>
      </c>
      <c r="F25" s="45">
        <f t="shared" ref="F25:L25" si="8">SUM(F20:F23)</f>
        <v>51130</v>
      </c>
      <c r="G25" s="45">
        <f t="shared" si="8"/>
        <v>1029</v>
      </c>
      <c r="H25" s="45">
        <f t="shared" si="8"/>
        <v>14044</v>
      </c>
      <c r="I25" s="45"/>
      <c r="J25" s="45">
        <f t="shared" si="8"/>
        <v>191800</v>
      </c>
      <c r="K25" s="45">
        <f t="shared" si="8"/>
        <v>20110</v>
      </c>
      <c r="L25" s="45">
        <f t="shared" si="8"/>
        <v>263040</v>
      </c>
    </row>
    <row r="27" ht="14.75" spans="1:4">
      <c r="A27" s="36" t="s">
        <v>328</v>
      </c>
      <c r="B27" s="36"/>
      <c r="C27" s="36"/>
      <c r="D27" s="36"/>
    </row>
    <row r="28" spans="1:10">
      <c r="A28" s="37" t="s">
        <v>2</v>
      </c>
      <c r="B28" s="38" t="s">
        <v>316</v>
      </c>
      <c r="C28" s="38" t="s">
        <v>10</v>
      </c>
      <c r="D28" s="46" t="s">
        <v>319</v>
      </c>
      <c r="G28" s="59" t="s">
        <v>2</v>
      </c>
      <c r="H28" s="59" t="s">
        <v>2</v>
      </c>
      <c r="I28" s="59" t="s">
        <v>2</v>
      </c>
      <c r="J28" s="59" t="s">
        <v>2</v>
      </c>
    </row>
    <row r="29" spans="1:10">
      <c r="A29" s="41" t="s">
        <v>322</v>
      </c>
      <c r="B29" s="47">
        <f>DSUM(出張諸手当一覧表9,B$28,$G$28:$G$29)</f>
        <v>37850</v>
      </c>
      <c r="C29" s="47">
        <f>DSUM(出張諸手当一覧表9,C$28,$G$28:$G$29)</f>
        <v>144000</v>
      </c>
      <c r="D29" s="48">
        <f>DSUM(出張諸手当一覧表9,D$28,$G$28:$G$29)</f>
        <v>15530</v>
      </c>
      <c r="G29" s="40" t="s">
        <v>322</v>
      </c>
      <c r="H29" s="40" t="s">
        <v>323</v>
      </c>
      <c r="I29" s="40" t="s">
        <v>324</v>
      </c>
      <c r="J29" s="40" t="s">
        <v>325</v>
      </c>
    </row>
    <row r="30" spans="1:7">
      <c r="A30" s="41" t="s">
        <v>323</v>
      </c>
      <c r="B30" s="47">
        <f>DSUM(出張諸手当一覧表9,B$28,$H$28:$H$29)</f>
        <v>34290</v>
      </c>
      <c r="C30" s="47">
        <f>DSUM(出張諸手当一覧表9,C$28,$H$28:$H$29)</f>
        <v>136100</v>
      </c>
      <c r="D30" s="48">
        <f>DSUM(出張諸手当一覧表9,D$28,$H$28:$H$29)</f>
        <v>13780</v>
      </c>
      <c r="G30" s="73"/>
    </row>
    <row r="31" spans="1:10">
      <c r="A31" s="41" t="s">
        <v>324</v>
      </c>
      <c r="B31" s="47">
        <f>DSUM(出張諸手当一覧表9,B$28,$I$28:$I$29)</f>
        <v>44430</v>
      </c>
      <c r="C31" s="47">
        <f>DSUM(出張諸手当一覧表9,C$28,$I$28:$I$29)</f>
        <v>163200</v>
      </c>
      <c r="D31" s="48">
        <f>DSUM(出張諸手当一覧表9,D$28,$I$28:$I$29)</f>
        <v>17750</v>
      </c>
      <c r="G31" s="73"/>
      <c r="I31" s="59" t="s">
        <v>315</v>
      </c>
      <c r="J31" s="59" t="s">
        <v>58</v>
      </c>
    </row>
    <row r="32" ht="14.75" spans="1:10">
      <c r="A32" s="42" t="s">
        <v>325</v>
      </c>
      <c r="B32" s="45">
        <f>DSUM(出張諸手当一覧表9,B$28,$J$28:$J$29)</f>
        <v>40540</v>
      </c>
      <c r="C32" s="45">
        <f>DSUM(出張諸手当一覧表9,C$28,$J$28:$J$29)</f>
        <v>143600</v>
      </c>
      <c r="D32" s="50">
        <f>DSUM(出張諸手当一覧表9,D$28,$J$28:$J$29)</f>
        <v>15060</v>
      </c>
      <c r="G32" s="73"/>
      <c r="I32" s="40" t="s">
        <v>329</v>
      </c>
      <c r="J32" s="40" t="s">
        <v>330</v>
      </c>
    </row>
    <row r="33" ht="14.75" spans="9:10">
      <c r="I33" s="59" t="s">
        <v>11</v>
      </c>
      <c r="J33" s="73"/>
    </row>
    <row r="34" spans="1:10">
      <c r="A34" s="71" t="s">
        <v>331</v>
      </c>
      <c r="B34" s="72"/>
      <c r="C34" s="72"/>
      <c r="D34" s="72"/>
      <c r="E34" s="72"/>
      <c r="F34" s="60">
        <f>DCOUNT(出張諸手当一覧表9,,I31:J32)</f>
        <v>7</v>
      </c>
      <c r="I34" s="40" t="s">
        <v>332</v>
      </c>
      <c r="J34" s="73"/>
    </row>
    <row r="35" spans="1:10">
      <c r="A35" s="53" t="s">
        <v>333</v>
      </c>
      <c r="B35" s="54"/>
      <c r="C35" s="54"/>
      <c r="D35" s="54"/>
      <c r="E35" s="54"/>
      <c r="F35" s="48">
        <f>ROUND(DAVERAGE(出張諸手当一覧表9,"特別手当",I33:I34),0)</f>
        <v>6733</v>
      </c>
      <c r="I35" s="59" t="s">
        <v>1</v>
      </c>
      <c r="J35" s="59" t="s">
        <v>318</v>
      </c>
    </row>
    <row r="36" ht="14.75" spans="1:10">
      <c r="A36" s="55" t="s">
        <v>334</v>
      </c>
      <c r="B36" s="56"/>
      <c r="C36" s="56"/>
      <c r="D36" s="56"/>
      <c r="E36" s="56"/>
      <c r="F36" s="50">
        <f>DSUM(出張諸手当一覧表9,"総支給額",I35:J36)</f>
        <v>482280</v>
      </c>
      <c r="I36" s="40" t="s">
        <v>335</v>
      </c>
      <c r="J36" s="40" t="s">
        <v>336</v>
      </c>
    </row>
  </sheetData>
  <sortState ref="A20:L24">
    <sortCondition ref="G20" descending="1"/>
  </sortState>
  <mergeCells count="9">
    <mergeCell ref="A1:L1"/>
    <mergeCell ref="P2:Q2"/>
    <mergeCell ref="A18:L18"/>
    <mergeCell ref="A27:D27"/>
    <mergeCell ref="A34:E34"/>
    <mergeCell ref="A35:E35"/>
    <mergeCell ref="A36:E36"/>
    <mergeCell ref="N2:N3"/>
    <mergeCell ref="O2:O3"/>
  </mergeCells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P43"/>
  <sheetViews>
    <sheetView topLeftCell="A35" workbookViewId="0">
      <selection activeCell="A2" sqref="A$1:P$1048576"/>
    </sheetView>
  </sheetViews>
  <sheetFormatPr defaultColWidth="9" defaultRowHeight="14"/>
  <cols>
    <col min="1" max="1" width="8" customWidth="1"/>
    <col min="2" max="2" width="6.75" customWidth="1"/>
    <col min="3" max="3" width="8.5" customWidth="1"/>
    <col min="4" max="4" width="10" customWidth="1"/>
    <col min="5" max="5" width="8.5" customWidth="1"/>
    <col min="6" max="6" width="11.125" customWidth="1"/>
    <col min="7" max="7" width="6.75" customWidth="1"/>
    <col min="8" max="8" width="10" customWidth="1"/>
    <col min="9" max="9" width="11.125" customWidth="1"/>
    <col min="10" max="10" width="10.6875" customWidth="1"/>
    <col min="11" max="11" width="7.625" customWidth="1"/>
    <col min="12" max="12" width="5" customWidth="1"/>
    <col min="14" max="14" width="8" customWidth="1"/>
    <col min="15" max="15" width="8.5" customWidth="1"/>
    <col min="16" max="16" width="7" customWidth="1"/>
  </cols>
  <sheetData>
    <row r="1" ht="14.75" spans="1:12">
      <c r="A1" s="36" t="s">
        <v>337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6">
      <c r="A2" s="37" t="s">
        <v>338</v>
      </c>
      <c r="B2" s="38" t="s">
        <v>54</v>
      </c>
      <c r="C2" s="38" t="s">
        <v>55</v>
      </c>
      <c r="D2" s="38" t="s">
        <v>339</v>
      </c>
      <c r="E2" s="38" t="s">
        <v>340</v>
      </c>
      <c r="F2" s="38" t="s">
        <v>341</v>
      </c>
      <c r="G2" s="38" t="s">
        <v>97</v>
      </c>
      <c r="H2" s="38" t="s">
        <v>98</v>
      </c>
      <c r="I2" s="38" t="s">
        <v>214</v>
      </c>
      <c r="J2" s="38" t="s">
        <v>100</v>
      </c>
      <c r="K2" s="38" t="s">
        <v>109</v>
      </c>
      <c r="L2" s="46" t="s">
        <v>63</v>
      </c>
      <c r="N2" s="59" t="s">
        <v>54</v>
      </c>
      <c r="O2" s="59" t="s">
        <v>55</v>
      </c>
      <c r="P2" s="59" t="s">
        <v>342</v>
      </c>
    </row>
    <row r="3" spans="1:16">
      <c r="A3" s="39">
        <v>45477</v>
      </c>
      <c r="B3" s="40">
        <v>11</v>
      </c>
      <c r="C3" s="40" t="str">
        <f>VLOOKUP(B3,$N$3:$P$6,2,FALSE)&amp;"商品"</f>
        <v>E商品</v>
      </c>
      <c r="D3" s="40">
        <v>357</v>
      </c>
      <c r="E3" s="40">
        <f>VLOOKUP(A3,$N$9:$O$12,2,FALSE)</f>
        <v>128.76</v>
      </c>
      <c r="F3" s="47">
        <f>ROUNDUP(VLOOKUP(B3,$N$3:$P$6,3,0)*D3*E3,0)</f>
        <v>830170</v>
      </c>
      <c r="G3" s="57">
        <f>VLOOKUP(D3,$N$16:$P$18,INT(B3/10)+1,1)</f>
        <v>0.063</v>
      </c>
      <c r="H3" s="47">
        <f>ROUND(F3*G3,-1)</f>
        <v>52300</v>
      </c>
      <c r="I3" s="47">
        <f>F3-H3</f>
        <v>777870</v>
      </c>
      <c r="J3" s="40">
        <f>ROUNDUP(D3*4.7%,0)</f>
        <v>17</v>
      </c>
      <c r="K3" s="47">
        <f>INT(I3/(D3+J3))</f>
        <v>2079</v>
      </c>
      <c r="L3" s="62" t="str">
        <f>IF(AND(D3&gt;=550,K3&gt;=2020),"A",IF(OR(D3&gt;=550,K3&gt;=2020),"B","C"))</f>
        <v>B</v>
      </c>
      <c r="N3" s="40">
        <v>11</v>
      </c>
      <c r="O3" s="40" t="s">
        <v>114</v>
      </c>
      <c r="P3" s="40">
        <v>18.06</v>
      </c>
    </row>
    <row r="4" spans="1:16">
      <c r="A4" s="39">
        <v>45477</v>
      </c>
      <c r="B4" s="40">
        <v>12</v>
      </c>
      <c r="C4" s="40" t="str">
        <f t="shared" ref="C4:C18" si="0">VLOOKUP(B4,$N$3:$P$6,2,FALSE)&amp;"商品"</f>
        <v>F商品</v>
      </c>
      <c r="D4" s="40">
        <v>584</v>
      </c>
      <c r="E4" s="40">
        <f t="shared" ref="E4:E18" si="1">VLOOKUP(A4,$N$9:$O$12,2,FALSE)</f>
        <v>128.76</v>
      </c>
      <c r="F4" s="47">
        <f t="shared" ref="F4:F18" si="2">ROUNDUP(VLOOKUP(B4,$N$3:$P$6,3,0)*D4*E4,0)</f>
        <v>1446768</v>
      </c>
      <c r="G4" s="58">
        <f t="shared" ref="G4:G18" si="3">VLOOKUP(D4,$N$16:$P$18,INT(B4/10)+1,1)</f>
        <v>0.066</v>
      </c>
      <c r="H4" s="47">
        <f t="shared" ref="H4:H18" si="4">ROUND(F4*G4,-1)</f>
        <v>95490</v>
      </c>
      <c r="I4" s="47">
        <f t="shared" ref="I4:I18" si="5">F4-H4</f>
        <v>1351278</v>
      </c>
      <c r="J4" s="40">
        <f t="shared" ref="J4:J18" si="6">ROUNDUP(D4*4.7%,0)</f>
        <v>28</v>
      </c>
      <c r="K4" s="47">
        <f t="shared" ref="K4:K18" si="7">INT(I4/(D4+J4))</f>
        <v>2207</v>
      </c>
      <c r="L4" s="62" t="str">
        <f t="shared" ref="L4:L18" si="8">IF(AND(D4&gt;=550,K4&gt;=2020),"A",IF(OR(D4&gt;=550,K4&gt;=2020),"B","C"))</f>
        <v>A</v>
      </c>
      <c r="N4" s="40">
        <v>12</v>
      </c>
      <c r="O4" s="40" t="s">
        <v>115</v>
      </c>
      <c r="P4" s="40">
        <v>19.24</v>
      </c>
    </row>
    <row r="5" spans="1:16">
      <c r="A5" s="39">
        <v>45477</v>
      </c>
      <c r="B5" s="40">
        <v>21</v>
      </c>
      <c r="C5" s="40" t="str">
        <f t="shared" si="0"/>
        <v>G商品</v>
      </c>
      <c r="D5" s="40">
        <v>430</v>
      </c>
      <c r="E5" s="40">
        <f t="shared" si="1"/>
        <v>128.76</v>
      </c>
      <c r="F5" s="47">
        <f t="shared" si="2"/>
        <v>870920</v>
      </c>
      <c r="G5" s="58">
        <f t="shared" si="3"/>
        <v>0.052</v>
      </c>
      <c r="H5" s="47">
        <f t="shared" si="4"/>
        <v>45290</v>
      </c>
      <c r="I5" s="47">
        <f t="shared" si="5"/>
        <v>825630</v>
      </c>
      <c r="J5" s="40">
        <f t="shared" si="6"/>
        <v>21</v>
      </c>
      <c r="K5" s="47">
        <f t="shared" si="7"/>
        <v>1830</v>
      </c>
      <c r="L5" s="62" t="str">
        <f t="shared" si="8"/>
        <v>C</v>
      </c>
      <c r="N5" s="40">
        <v>21</v>
      </c>
      <c r="O5" s="40" t="s">
        <v>167</v>
      </c>
      <c r="P5" s="40">
        <v>15.73</v>
      </c>
    </row>
    <row r="6" spans="1:16">
      <c r="A6" s="39">
        <v>45477</v>
      </c>
      <c r="B6" s="40">
        <v>22</v>
      </c>
      <c r="C6" s="40" t="str">
        <f t="shared" si="0"/>
        <v>H商品</v>
      </c>
      <c r="D6" s="40">
        <v>539</v>
      </c>
      <c r="E6" s="40">
        <f t="shared" si="1"/>
        <v>128.76</v>
      </c>
      <c r="F6" s="47">
        <f t="shared" si="2"/>
        <v>1170806</v>
      </c>
      <c r="G6" s="58">
        <f t="shared" si="3"/>
        <v>0.055</v>
      </c>
      <c r="H6" s="47">
        <f t="shared" si="4"/>
        <v>64390</v>
      </c>
      <c r="I6" s="47">
        <f t="shared" si="5"/>
        <v>1106416</v>
      </c>
      <c r="J6" s="40">
        <f t="shared" si="6"/>
        <v>26</v>
      </c>
      <c r="K6" s="47">
        <f t="shared" si="7"/>
        <v>1958</v>
      </c>
      <c r="L6" s="62" t="str">
        <f t="shared" si="8"/>
        <v>C</v>
      </c>
      <c r="N6" s="40">
        <v>22</v>
      </c>
      <c r="O6" s="40" t="s">
        <v>172</v>
      </c>
      <c r="P6" s="40">
        <v>16.87</v>
      </c>
    </row>
    <row r="7" spans="1:12">
      <c r="A7" s="39">
        <v>45484</v>
      </c>
      <c r="B7" s="40">
        <v>11</v>
      </c>
      <c r="C7" s="40" t="str">
        <f t="shared" si="0"/>
        <v>E商品</v>
      </c>
      <c r="D7" s="40">
        <v>672</v>
      </c>
      <c r="E7" s="40">
        <f t="shared" si="1"/>
        <v>127.83</v>
      </c>
      <c r="F7" s="47">
        <f t="shared" si="2"/>
        <v>1551386</v>
      </c>
      <c r="G7" s="58">
        <f t="shared" si="3"/>
        <v>0.069</v>
      </c>
      <c r="H7" s="47">
        <f t="shared" si="4"/>
        <v>107050</v>
      </c>
      <c r="I7" s="47">
        <f t="shared" si="5"/>
        <v>1444336</v>
      </c>
      <c r="J7" s="40">
        <f t="shared" si="6"/>
        <v>32</v>
      </c>
      <c r="K7" s="47">
        <f t="shared" si="7"/>
        <v>2051</v>
      </c>
      <c r="L7" s="62" t="str">
        <f t="shared" si="8"/>
        <v>A</v>
      </c>
    </row>
    <row r="8" spans="1:15">
      <c r="A8" s="39">
        <v>45484</v>
      </c>
      <c r="B8" s="40">
        <v>12</v>
      </c>
      <c r="C8" s="40" t="str">
        <f t="shared" si="0"/>
        <v>F商品</v>
      </c>
      <c r="D8" s="40">
        <v>549</v>
      </c>
      <c r="E8" s="40">
        <f t="shared" si="1"/>
        <v>127.83</v>
      </c>
      <c r="F8" s="47">
        <f t="shared" si="2"/>
        <v>1350238</v>
      </c>
      <c r="G8" s="58">
        <f t="shared" si="3"/>
        <v>0.066</v>
      </c>
      <c r="H8" s="47">
        <f t="shared" si="4"/>
        <v>89120</v>
      </c>
      <c r="I8" s="47">
        <f t="shared" si="5"/>
        <v>1261118</v>
      </c>
      <c r="J8" s="40">
        <f t="shared" si="6"/>
        <v>26</v>
      </c>
      <c r="K8" s="47">
        <f t="shared" si="7"/>
        <v>2193</v>
      </c>
      <c r="L8" s="62" t="str">
        <f t="shared" si="8"/>
        <v>B</v>
      </c>
      <c r="N8" s="59" t="s">
        <v>338</v>
      </c>
      <c r="O8" s="59" t="s">
        <v>340</v>
      </c>
    </row>
    <row r="9" spans="1:15">
      <c r="A9" s="39">
        <v>45484</v>
      </c>
      <c r="B9" s="40">
        <v>21</v>
      </c>
      <c r="C9" s="40" t="str">
        <f t="shared" si="0"/>
        <v>G商品</v>
      </c>
      <c r="D9" s="40">
        <v>685</v>
      </c>
      <c r="E9" s="40">
        <f t="shared" si="1"/>
        <v>127.83</v>
      </c>
      <c r="F9" s="47">
        <f t="shared" si="2"/>
        <v>1377375</v>
      </c>
      <c r="G9" s="58">
        <f t="shared" si="3"/>
        <v>0.058</v>
      </c>
      <c r="H9" s="47">
        <f t="shared" si="4"/>
        <v>79890</v>
      </c>
      <c r="I9" s="47">
        <f t="shared" si="5"/>
        <v>1297485</v>
      </c>
      <c r="J9" s="40">
        <f t="shared" si="6"/>
        <v>33</v>
      </c>
      <c r="K9" s="47">
        <f t="shared" si="7"/>
        <v>1807</v>
      </c>
      <c r="L9" s="62" t="str">
        <f t="shared" si="8"/>
        <v>B</v>
      </c>
      <c r="N9" s="65">
        <v>45477</v>
      </c>
      <c r="O9" s="40">
        <v>128.76</v>
      </c>
    </row>
    <row r="10" spans="1:15">
      <c r="A10" s="39">
        <v>45484</v>
      </c>
      <c r="B10" s="40">
        <v>22</v>
      </c>
      <c r="C10" s="40" t="str">
        <f t="shared" si="0"/>
        <v>H商品</v>
      </c>
      <c r="D10" s="40">
        <v>397</v>
      </c>
      <c r="E10" s="40">
        <f t="shared" si="1"/>
        <v>127.83</v>
      </c>
      <c r="F10" s="47">
        <f t="shared" si="2"/>
        <v>856128</v>
      </c>
      <c r="G10" s="58">
        <f t="shared" si="3"/>
        <v>0.052</v>
      </c>
      <c r="H10" s="47">
        <f t="shared" si="4"/>
        <v>44520</v>
      </c>
      <c r="I10" s="47">
        <f t="shared" si="5"/>
        <v>811608</v>
      </c>
      <c r="J10" s="40">
        <f t="shared" si="6"/>
        <v>19</v>
      </c>
      <c r="K10" s="47">
        <f t="shared" si="7"/>
        <v>1950</v>
      </c>
      <c r="L10" s="62" t="str">
        <f t="shared" si="8"/>
        <v>C</v>
      </c>
      <c r="N10" s="65">
        <v>45484</v>
      </c>
      <c r="O10" s="40">
        <v>127.83</v>
      </c>
    </row>
    <row r="11" spans="1:15">
      <c r="A11" s="39">
        <v>45491</v>
      </c>
      <c r="B11" s="40">
        <v>11</v>
      </c>
      <c r="C11" s="40" t="str">
        <f t="shared" si="0"/>
        <v>E商品</v>
      </c>
      <c r="D11" s="40">
        <v>610</v>
      </c>
      <c r="E11" s="40">
        <f t="shared" si="1"/>
        <v>129.41</v>
      </c>
      <c r="F11" s="47">
        <f t="shared" si="2"/>
        <v>1425659</v>
      </c>
      <c r="G11" s="58">
        <f t="shared" si="3"/>
        <v>0.069</v>
      </c>
      <c r="H11" s="47">
        <f t="shared" si="4"/>
        <v>98370</v>
      </c>
      <c r="I11" s="47">
        <f t="shared" si="5"/>
        <v>1327289</v>
      </c>
      <c r="J11" s="40">
        <f t="shared" si="6"/>
        <v>29</v>
      </c>
      <c r="K11" s="47">
        <f t="shared" si="7"/>
        <v>2077</v>
      </c>
      <c r="L11" s="62" t="str">
        <f t="shared" si="8"/>
        <v>A</v>
      </c>
      <c r="N11" s="65">
        <v>45491</v>
      </c>
      <c r="O11" s="40">
        <v>129.41</v>
      </c>
    </row>
    <row r="12" spans="1:15">
      <c r="A12" s="39">
        <v>45491</v>
      </c>
      <c r="B12" s="40">
        <v>12</v>
      </c>
      <c r="C12" s="40" t="str">
        <f t="shared" si="0"/>
        <v>F商品</v>
      </c>
      <c r="D12" s="40">
        <v>473</v>
      </c>
      <c r="E12" s="40">
        <f t="shared" si="1"/>
        <v>129.41</v>
      </c>
      <c r="F12" s="47">
        <f t="shared" si="2"/>
        <v>1177699</v>
      </c>
      <c r="G12" s="58">
        <f t="shared" si="3"/>
        <v>0.063</v>
      </c>
      <c r="H12" s="47">
        <f t="shared" si="4"/>
        <v>74200</v>
      </c>
      <c r="I12" s="47">
        <f t="shared" si="5"/>
        <v>1103499</v>
      </c>
      <c r="J12" s="40">
        <f t="shared" si="6"/>
        <v>23</v>
      </c>
      <c r="K12" s="47">
        <f t="shared" si="7"/>
        <v>2224</v>
      </c>
      <c r="L12" s="62" t="str">
        <f t="shared" si="8"/>
        <v>B</v>
      </c>
      <c r="N12" s="65">
        <v>45498</v>
      </c>
      <c r="O12" s="40">
        <v>130.15</v>
      </c>
    </row>
    <row r="13" spans="1:12">
      <c r="A13" s="39">
        <v>45491</v>
      </c>
      <c r="B13" s="40">
        <v>21</v>
      </c>
      <c r="C13" s="40" t="str">
        <f t="shared" si="0"/>
        <v>G商品</v>
      </c>
      <c r="D13" s="40">
        <v>654</v>
      </c>
      <c r="E13" s="40">
        <f t="shared" si="1"/>
        <v>129.41</v>
      </c>
      <c r="F13" s="47">
        <f t="shared" si="2"/>
        <v>1331296</v>
      </c>
      <c r="G13" s="58">
        <f t="shared" si="3"/>
        <v>0.058</v>
      </c>
      <c r="H13" s="47">
        <f t="shared" si="4"/>
        <v>77220</v>
      </c>
      <c r="I13" s="47">
        <f t="shared" si="5"/>
        <v>1254076</v>
      </c>
      <c r="J13" s="40">
        <f t="shared" si="6"/>
        <v>31</v>
      </c>
      <c r="K13" s="47">
        <f t="shared" si="7"/>
        <v>1830</v>
      </c>
      <c r="L13" s="62" t="str">
        <f t="shared" si="8"/>
        <v>B</v>
      </c>
    </row>
    <row r="14" spans="1:16">
      <c r="A14" s="39">
        <v>45491</v>
      </c>
      <c r="B14" s="40">
        <v>22</v>
      </c>
      <c r="C14" s="40" t="str">
        <f t="shared" si="0"/>
        <v>H商品</v>
      </c>
      <c r="D14" s="40">
        <v>510</v>
      </c>
      <c r="E14" s="40">
        <f t="shared" si="1"/>
        <v>129.41</v>
      </c>
      <c r="F14" s="47">
        <f t="shared" si="2"/>
        <v>1113405</v>
      </c>
      <c r="G14" s="58">
        <f t="shared" si="3"/>
        <v>0.055</v>
      </c>
      <c r="H14" s="47">
        <f t="shared" si="4"/>
        <v>61240</v>
      </c>
      <c r="I14" s="47">
        <f t="shared" si="5"/>
        <v>1052165</v>
      </c>
      <c r="J14" s="40">
        <f t="shared" si="6"/>
        <v>24</v>
      </c>
      <c r="K14" s="47">
        <f t="shared" si="7"/>
        <v>1970</v>
      </c>
      <c r="L14" s="62" t="str">
        <f t="shared" si="8"/>
        <v>C</v>
      </c>
      <c r="N14" s="66" t="s">
        <v>339</v>
      </c>
      <c r="O14" s="59" t="s">
        <v>54</v>
      </c>
      <c r="P14" s="59"/>
    </row>
    <row r="15" spans="1:16">
      <c r="A15" s="39">
        <v>45498</v>
      </c>
      <c r="B15" s="40">
        <v>11</v>
      </c>
      <c r="C15" s="40" t="str">
        <f t="shared" si="0"/>
        <v>E商品</v>
      </c>
      <c r="D15" s="40">
        <v>560</v>
      </c>
      <c r="E15" s="40">
        <f t="shared" si="1"/>
        <v>130.15</v>
      </c>
      <c r="F15" s="47">
        <f t="shared" si="2"/>
        <v>1316286</v>
      </c>
      <c r="G15" s="58">
        <f t="shared" si="3"/>
        <v>0.066</v>
      </c>
      <c r="H15" s="47">
        <f t="shared" si="4"/>
        <v>86870</v>
      </c>
      <c r="I15" s="47">
        <f t="shared" si="5"/>
        <v>1229416</v>
      </c>
      <c r="J15" s="40">
        <f t="shared" si="6"/>
        <v>27</v>
      </c>
      <c r="K15" s="47">
        <f t="shared" si="7"/>
        <v>2094</v>
      </c>
      <c r="L15" s="62" t="str">
        <f t="shared" si="8"/>
        <v>A</v>
      </c>
      <c r="N15" s="66"/>
      <c r="O15" s="67" t="s">
        <v>343</v>
      </c>
      <c r="P15" s="67" t="s">
        <v>344</v>
      </c>
    </row>
    <row r="16" spans="1:16">
      <c r="A16" s="39">
        <v>45498</v>
      </c>
      <c r="B16" s="40">
        <v>12</v>
      </c>
      <c r="C16" s="40" t="str">
        <f t="shared" si="0"/>
        <v>F商品</v>
      </c>
      <c r="D16" s="40">
        <v>630</v>
      </c>
      <c r="E16" s="40">
        <f t="shared" si="1"/>
        <v>130.15</v>
      </c>
      <c r="F16" s="47">
        <f t="shared" si="2"/>
        <v>1577575</v>
      </c>
      <c r="G16" s="58">
        <f t="shared" si="3"/>
        <v>0.069</v>
      </c>
      <c r="H16" s="47">
        <f t="shared" si="4"/>
        <v>108850</v>
      </c>
      <c r="I16" s="47">
        <f t="shared" si="5"/>
        <v>1468725</v>
      </c>
      <c r="J16" s="40">
        <f t="shared" si="6"/>
        <v>30</v>
      </c>
      <c r="K16" s="47">
        <f t="shared" si="7"/>
        <v>2225</v>
      </c>
      <c r="L16" s="62" t="str">
        <f t="shared" si="8"/>
        <v>A</v>
      </c>
      <c r="N16" s="40">
        <v>1</v>
      </c>
      <c r="O16" s="68">
        <v>0.063</v>
      </c>
      <c r="P16" s="68">
        <v>0.052</v>
      </c>
    </row>
    <row r="17" spans="1:16">
      <c r="A17" s="39">
        <v>45498</v>
      </c>
      <c r="B17" s="40">
        <v>21</v>
      </c>
      <c r="C17" s="40" t="str">
        <f t="shared" si="0"/>
        <v>G商品</v>
      </c>
      <c r="D17" s="40">
        <v>439</v>
      </c>
      <c r="E17" s="40">
        <f t="shared" si="1"/>
        <v>130.15</v>
      </c>
      <c r="F17" s="47">
        <f t="shared" si="2"/>
        <v>898747</v>
      </c>
      <c r="G17" s="58">
        <f t="shared" si="3"/>
        <v>0.052</v>
      </c>
      <c r="H17" s="47">
        <f t="shared" si="4"/>
        <v>46730</v>
      </c>
      <c r="I17" s="47">
        <f t="shared" si="5"/>
        <v>852017</v>
      </c>
      <c r="J17" s="40">
        <f t="shared" si="6"/>
        <v>21</v>
      </c>
      <c r="K17" s="47">
        <f t="shared" si="7"/>
        <v>1852</v>
      </c>
      <c r="L17" s="62" t="str">
        <f t="shared" si="8"/>
        <v>C</v>
      </c>
      <c r="N17" s="40">
        <v>510</v>
      </c>
      <c r="O17" s="68">
        <v>0.066</v>
      </c>
      <c r="P17" s="68">
        <v>0.055</v>
      </c>
    </row>
    <row r="18" spans="1:16">
      <c r="A18" s="39">
        <v>45498</v>
      </c>
      <c r="B18" s="40">
        <v>22</v>
      </c>
      <c r="C18" s="40" t="str">
        <f t="shared" si="0"/>
        <v>H商品</v>
      </c>
      <c r="D18" s="40">
        <v>704</v>
      </c>
      <c r="E18" s="40">
        <f t="shared" si="1"/>
        <v>130.15</v>
      </c>
      <c r="F18" s="47">
        <f t="shared" si="2"/>
        <v>1545724</v>
      </c>
      <c r="G18" s="58">
        <f t="shared" si="3"/>
        <v>0.058</v>
      </c>
      <c r="H18" s="47">
        <f t="shared" si="4"/>
        <v>89650</v>
      </c>
      <c r="I18" s="47">
        <f t="shared" si="5"/>
        <v>1456074</v>
      </c>
      <c r="J18" s="40">
        <f t="shared" si="6"/>
        <v>34</v>
      </c>
      <c r="K18" s="47">
        <f t="shared" si="7"/>
        <v>1973</v>
      </c>
      <c r="L18" s="62" t="str">
        <f t="shared" si="8"/>
        <v>B</v>
      </c>
      <c r="N18" s="40">
        <v>610</v>
      </c>
      <c r="O18" s="68">
        <v>0.069</v>
      </c>
      <c r="P18" s="68">
        <v>0.058</v>
      </c>
    </row>
    <row r="19" spans="1:12">
      <c r="A19" s="41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62"/>
    </row>
    <row r="20" ht="14.75" spans="1:12">
      <c r="A20" s="42"/>
      <c r="B20" s="43"/>
      <c r="C20" s="44" t="s">
        <v>31</v>
      </c>
      <c r="D20" s="45">
        <f>SUM(D3:D18)</f>
        <v>8793</v>
      </c>
      <c r="E20" s="45"/>
      <c r="F20" s="45">
        <f t="shared" ref="E20:K20" si="9">SUM(F3:F18)</f>
        <v>19840182</v>
      </c>
      <c r="G20" s="45"/>
      <c r="H20" s="45">
        <f t="shared" si="9"/>
        <v>1221180</v>
      </c>
      <c r="I20" s="45">
        <f t="shared" si="9"/>
        <v>18619002</v>
      </c>
      <c r="J20" s="45">
        <f t="shared" si="9"/>
        <v>421</v>
      </c>
      <c r="K20" s="45"/>
      <c r="L20" s="63"/>
    </row>
    <row r="22" ht="14.75" spans="1:12">
      <c r="A22" s="36" t="s">
        <v>345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</row>
    <row r="23" spans="1:12">
      <c r="A23" s="37" t="s">
        <v>338</v>
      </c>
      <c r="B23" s="38" t="s">
        <v>54</v>
      </c>
      <c r="C23" s="38" t="s">
        <v>55</v>
      </c>
      <c r="D23" s="38" t="s">
        <v>339</v>
      </c>
      <c r="E23" s="38" t="s">
        <v>340</v>
      </c>
      <c r="F23" s="38" t="s">
        <v>341</v>
      </c>
      <c r="G23" s="38" t="s">
        <v>97</v>
      </c>
      <c r="H23" s="38" t="s">
        <v>98</v>
      </c>
      <c r="I23" s="38" t="s">
        <v>214</v>
      </c>
      <c r="J23" s="38" t="s">
        <v>100</v>
      </c>
      <c r="K23" s="38" t="s">
        <v>109</v>
      </c>
      <c r="L23" s="46" t="s">
        <v>63</v>
      </c>
    </row>
    <row r="24" spans="1:12">
      <c r="A24" s="39">
        <v>45477</v>
      </c>
      <c r="B24" s="40">
        <v>11</v>
      </c>
      <c r="C24" s="40" t="s">
        <v>346</v>
      </c>
      <c r="D24" s="40">
        <v>357</v>
      </c>
      <c r="E24" s="40">
        <v>128.76</v>
      </c>
      <c r="F24" s="47">
        <v>830170</v>
      </c>
      <c r="G24" s="58">
        <v>0.063</v>
      </c>
      <c r="H24" s="47">
        <v>52300</v>
      </c>
      <c r="I24" s="47">
        <v>777870</v>
      </c>
      <c r="J24" s="40">
        <v>17</v>
      </c>
      <c r="K24" s="47">
        <v>2079</v>
      </c>
      <c r="L24" s="62" t="s">
        <v>273</v>
      </c>
    </row>
    <row r="25" spans="1:12">
      <c r="A25" s="39">
        <v>45477</v>
      </c>
      <c r="B25" s="40">
        <v>22</v>
      </c>
      <c r="C25" s="40" t="s">
        <v>347</v>
      </c>
      <c r="D25" s="40">
        <v>539</v>
      </c>
      <c r="E25" s="40">
        <v>128.76</v>
      </c>
      <c r="F25" s="47">
        <v>1170806</v>
      </c>
      <c r="G25" s="58">
        <v>0.055</v>
      </c>
      <c r="H25" s="47">
        <v>64390</v>
      </c>
      <c r="I25" s="47">
        <v>1106416</v>
      </c>
      <c r="J25" s="40">
        <v>26</v>
      </c>
      <c r="K25" s="47">
        <v>1958</v>
      </c>
      <c r="L25" s="62" t="s">
        <v>274</v>
      </c>
    </row>
    <row r="26" spans="1:12">
      <c r="A26" s="39">
        <v>45484</v>
      </c>
      <c r="B26" s="40">
        <v>22</v>
      </c>
      <c r="C26" s="40" t="s">
        <v>347</v>
      </c>
      <c r="D26" s="40">
        <v>397</v>
      </c>
      <c r="E26" s="40">
        <v>127.83</v>
      </c>
      <c r="F26" s="47">
        <v>856128</v>
      </c>
      <c r="G26" s="58">
        <v>0.052</v>
      </c>
      <c r="H26" s="47">
        <v>44520</v>
      </c>
      <c r="I26" s="47">
        <v>811608</v>
      </c>
      <c r="J26" s="40">
        <v>19</v>
      </c>
      <c r="K26" s="47">
        <v>1950</v>
      </c>
      <c r="L26" s="62" t="s">
        <v>274</v>
      </c>
    </row>
    <row r="27" spans="1:12">
      <c r="A27" s="39">
        <v>45484</v>
      </c>
      <c r="B27" s="40">
        <v>12</v>
      </c>
      <c r="C27" s="40" t="s">
        <v>348</v>
      </c>
      <c r="D27" s="40">
        <v>549</v>
      </c>
      <c r="E27" s="40">
        <v>127.83</v>
      </c>
      <c r="F27" s="47">
        <v>1350238</v>
      </c>
      <c r="G27" s="58">
        <v>0.066</v>
      </c>
      <c r="H27" s="47">
        <v>89120</v>
      </c>
      <c r="I27" s="47">
        <v>1261118</v>
      </c>
      <c r="J27" s="40">
        <v>26</v>
      </c>
      <c r="K27" s="47">
        <v>2193</v>
      </c>
      <c r="L27" s="62" t="s">
        <v>273</v>
      </c>
    </row>
    <row r="28" spans="1:12">
      <c r="A28" s="39">
        <v>45491</v>
      </c>
      <c r="B28" s="40">
        <v>12</v>
      </c>
      <c r="C28" s="40" t="s">
        <v>348</v>
      </c>
      <c r="D28" s="40">
        <v>473</v>
      </c>
      <c r="E28" s="40">
        <v>129.41</v>
      </c>
      <c r="F28" s="47">
        <v>1177699</v>
      </c>
      <c r="G28" s="58">
        <v>0.063</v>
      </c>
      <c r="H28" s="47">
        <v>74200</v>
      </c>
      <c r="I28" s="47">
        <v>1103499</v>
      </c>
      <c r="J28" s="40">
        <v>23</v>
      </c>
      <c r="K28" s="47">
        <v>2224</v>
      </c>
      <c r="L28" s="62" t="s">
        <v>273</v>
      </c>
    </row>
    <row r="29" spans="1:12">
      <c r="A29" s="39">
        <v>45491</v>
      </c>
      <c r="B29" s="40">
        <v>22</v>
      </c>
      <c r="C29" s="40" t="s">
        <v>347</v>
      </c>
      <c r="D29" s="40">
        <v>510</v>
      </c>
      <c r="E29" s="40">
        <v>129.41</v>
      </c>
      <c r="F29" s="47">
        <v>1113405</v>
      </c>
      <c r="G29" s="58">
        <v>0.055</v>
      </c>
      <c r="H29" s="47">
        <v>61240</v>
      </c>
      <c r="I29" s="47">
        <v>1052165</v>
      </c>
      <c r="J29" s="40">
        <v>24</v>
      </c>
      <c r="K29" s="47">
        <v>1970</v>
      </c>
      <c r="L29" s="62" t="s">
        <v>274</v>
      </c>
    </row>
    <row r="30" spans="1:12">
      <c r="A30" s="41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62"/>
    </row>
    <row r="31" ht="14.75" spans="1:12">
      <c r="A31" s="42"/>
      <c r="B31" s="43"/>
      <c r="C31" s="44" t="s">
        <v>31</v>
      </c>
      <c r="D31" s="45">
        <f>SUM(D24:D29)</f>
        <v>2825</v>
      </c>
      <c r="E31" s="45"/>
      <c r="F31" s="45">
        <f t="shared" ref="E31:J31" si="10">SUM(F24:F29)</f>
        <v>6498446</v>
      </c>
      <c r="G31" s="45"/>
      <c r="H31" s="45">
        <f t="shared" si="10"/>
        <v>385770</v>
      </c>
      <c r="I31" s="45">
        <f t="shared" si="10"/>
        <v>6112676</v>
      </c>
      <c r="J31" s="45">
        <f t="shared" si="10"/>
        <v>135</v>
      </c>
      <c r="K31" s="45"/>
      <c r="L31" s="63"/>
    </row>
    <row r="33" ht="14.75" spans="1:4">
      <c r="A33" s="36" t="s">
        <v>83</v>
      </c>
      <c r="B33" s="36"/>
      <c r="C33" s="36"/>
      <c r="D33" s="36"/>
    </row>
    <row r="34" spans="1:11">
      <c r="A34" s="37" t="s">
        <v>55</v>
      </c>
      <c r="B34" s="38" t="s">
        <v>339</v>
      </c>
      <c r="C34" s="38" t="s">
        <v>98</v>
      </c>
      <c r="D34" s="46" t="s">
        <v>214</v>
      </c>
      <c r="H34" s="59" t="s">
        <v>55</v>
      </c>
      <c r="I34" s="59" t="s">
        <v>55</v>
      </c>
      <c r="J34" s="59" t="s">
        <v>55</v>
      </c>
      <c r="K34" s="59" t="s">
        <v>55</v>
      </c>
    </row>
    <row r="35" ht="17" spans="1:11">
      <c r="A35" s="41" t="s">
        <v>346</v>
      </c>
      <c r="B35" s="47">
        <f>DSUM(輸入品仕入一覧表10,B$34,$H$34:$H$35)</f>
        <v>2199</v>
      </c>
      <c r="C35" s="47">
        <f>DSUM(輸入品仕入一覧表10,C$34,$H$34:$H$35)</f>
        <v>344590</v>
      </c>
      <c r="D35" s="48">
        <f>DSUM(輸入品仕入一覧表10,D$34,$H$34:$H$35)</f>
        <v>4778911</v>
      </c>
      <c r="H35" s="40" t="s">
        <v>346</v>
      </c>
      <c r="I35" s="40" t="s">
        <v>348</v>
      </c>
      <c r="J35" s="40" t="s">
        <v>349</v>
      </c>
      <c r="K35" s="64" t="s">
        <v>350</v>
      </c>
    </row>
    <row r="36" spans="1:4">
      <c r="A36" s="41" t="s">
        <v>348</v>
      </c>
      <c r="B36" s="47">
        <f>DSUM(輸入品仕入一覧表10,B$34,$I$34:$I$35)</f>
        <v>2236</v>
      </c>
      <c r="C36" s="47">
        <f>DSUM(輸入品仕入一覧表10,C$34,$I$34:$I$35)</f>
        <v>367660</v>
      </c>
      <c r="D36" s="48">
        <f>DSUM(輸入品仕入一覧表10,D$34,$I$34:$I$35)</f>
        <v>5184620</v>
      </c>
    </row>
    <row r="37" spans="1:4">
      <c r="A37" s="41" t="s">
        <v>349</v>
      </c>
      <c r="B37" s="47">
        <f>DSUM(輸入品仕入一覧表10,B$34,$J$34:$J$35)</f>
        <v>2208</v>
      </c>
      <c r="C37" s="47">
        <f>DSUM(輸入品仕入一覧表10,C$34,$J$34:$J$35)</f>
        <v>249130</v>
      </c>
      <c r="D37" s="48">
        <f>DSUM(輸入品仕入一覧表10,D$34,$J$34:$J$35)</f>
        <v>4229208</v>
      </c>
    </row>
    <row r="38" ht="17.75" spans="1:11">
      <c r="A38" s="49" t="s">
        <v>350</v>
      </c>
      <c r="B38" s="45">
        <f>DSUM(輸入品仕入一覧表10,B$34,$K$34:$K$35)</f>
        <v>2150</v>
      </c>
      <c r="C38" s="45">
        <f>DSUM(輸入品仕入一覧表10,C$34,$K$34:$K$35)</f>
        <v>259800</v>
      </c>
      <c r="D38" s="50">
        <f>DSUM(輸入品仕入一覧表10,D$34,$K$34:$K$35)</f>
        <v>4426263</v>
      </c>
      <c r="J38" s="59" t="s">
        <v>339</v>
      </c>
      <c r="K38" s="59" t="s">
        <v>339</v>
      </c>
    </row>
    <row r="39" spans="10:11">
      <c r="J39" s="5" t="s">
        <v>351</v>
      </c>
      <c r="K39" s="5" t="s">
        <v>352</v>
      </c>
    </row>
    <row r="40" spans="10:11">
      <c r="J40" s="5" t="s">
        <v>100</v>
      </c>
      <c r="K40" s="5" t="s">
        <v>109</v>
      </c>
    </row>
    <row r="41" spans="1:11">
      <c r="A41" s="51" t="s">
        <v>353</v>
      </c>
      <c r="B41" s="52"/>
      <c r="C41" s="52"/>
      <c r="D41" s="52"/>
      <c r="E41" s="52"/>
      <c r="F41" s="60">
        <f>ROUND(DAVERAGE(輸入品仕入一覧表10,"原価",J38:K39),0)</f>
        <v>2083</v>
      </c>
      <c r="J41" s="5" t="s">
        <v>311</v>
      </c>
      <c r="K41" s="5" t="s">
        <v>354</v>
      </c>
    </row>
    <row r="42" spans="1:11">
      <c r="A42" s="53" t="s">
        <v>355</v>
      </c>
      <c r="B42" s="54"/>
      <c r="C42" s="54"/>
      <c r="D42" s="54"/>
      <c r="E42" s="54"/>
      <c r="F42" s="61">
        <f>DCOUNT(輸入品仕入一覧表10,,J40:K41)</f>
        <v>5</v>
      </c>
      <c r="J42" s="5" t="s">
        <v>341</v>
      </c>
      <c r="K42" s="59" t="s">
        <v>63</v>
      </c>
    </row>
    <row r="43" spans="1:11">
      <c r="A43" s="55" t="s">
        <v>356</v>
      </c>
      <c r="B43" s="56"/>
      <c r="C43" s="56"/>
      <c r="D43" s="56"/>
      <c r="E43" s="56"/>
      <c r="F43" s="50">
        <f>DSUM(輸入品仕入一覧表10,"値引額",J42:K43)</f>
        <v>409760</v>
      </c>
      <c r="J43" s="5" t="s">
        <v>357</v>
      </c>
      <c r="K43" s="5" t="str">
        <f>"&lt;&gt;B"</f>
        <v>&lt;&gt;B</v>
      </c>
    </row>
  </sheetData>
  <sortState ref="A24:L29">
    <sortCondition ref="A24:A29"/>
    <sortCondition ref="D24:D29"/>
  </sortState>
  <mergeCells count="8">
    <mergeCell ref="A1:L1"/>
    <mergeCell ref="O14:P14"/>
    <mergeCell ref="A22:L22"/>
    <mergeCell ref="A33:D33"/>
    <mergeCell ref="A41:E41"/>
    <mergeCell ref="A42:E42"/>
    <mergeCell ref="A43:E43"/>
    <mergeCell ref="N14:N15"/>
  </mergeCell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3"/>
  <sheetViews>
    <sheetView tabSelected="1" topLeftCell="A29" workbookViewId="0">
      <selection activeCell="P16" sqref="P16"/>
    </sheetView>
  </sheetViews>
  <sheetFormatPr defaultColWidth="9" defaultRowHeight="14"/>
  <cols>
    <col min="1" max="1" width="6.75" customWidth="1"/>
    <col min="2" max="2" width="8.5" customWidth="1"/>
    <col min="3" max="4" width="10" customWidth="1"/>
    <col min="5" max="5" width="8" customWidth="1"/>
    <col min="6" max="6" width="10" customWidth="1"/>
    <col min="7" max="7" width="5" customWidth="1"/>
    <col min="8" max="8" width="7.5" customWidth="1"/>
    <col min="9" max="9" width="8.5" customWidth="1"/>
    <col min="10" max="10" width="10" customWidth="1"/>
    <col min="11" max="11" width="9.625" customWidth="1"/>
    <col min="12" max="12" width="8.5" customWidth="1"/>
    <col min="13" max="13" width="10" customWidth="1"/>
    <col min="15" max="15" width="8" customWidth="1"/>
    <col min="16" max="16" width="8.5" customWidth="1"/>
    <col min="17" max="17" width="7.5" customWidth="1"/>
  </cols>
  <sheetData>
    <row r="1" ht="14.75" spans="1:13">
      <c r="A1" s="1" t="s">
        <v>358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>
      <c r="A2" s="2" t="s">
        <v>359</v>
      </c>
      <c r="B2" s="3" t="s">
        <v>360</v>
      </c>
      <c r="C2" s="3" t="s">
        <v>54</v>
      </c>
      <c r="D2" s="3" t="s">
        <v>55</v>
      </c>
      <c r="E2" s="3" t="s">
        <v>361</v>
      </c>
      <c r="F2" s="3" t="s">
        <v>315</v>
      </c>
      <c r="G2" s="3" t="s">
        <v>362</v>
      </c>
      <c r="H2" s="3" t="s">
        <v>363</v>
      </c>
      <c r="I2" s="3" t="s">
        <v>364</v>
      </c>
      <c r="J2" s="3" t="s">
        <v>365</v>
      </c>
      <c r="K2" s="3" t="s">
        <v>366</v>
      </c>
      <c r="L2" s="3" t="s">
        <v>367</v>
      </c>
      <c r="M2" s="33" t="s">
        <v>287</v>
      </c>
      <c r="O2" s="5" t="s">
        <v>359</v>
      </c>
      <c r="P2" s="5" t="s">
        <v>360</v>
      </c>
    </row>
    <row r="3" spans="1:16">
      <c r="A3" s="4" t="s">
        <v>368</v>
      </c>
      <c r="B3" s="5" t="str">
        <f>VLOOKUP(A3,$O$3:$P$6,2,0)</f>
        <v>山田産業</v>
      </c>
      <c r="C3" s="5">
        <v>11</v>
      </c>
      <c r="D3" s="5" t="str">
        <f>VLOOKUP(C3,$O$9:$Q$12,2,0)</f>
        <v>商品E</v>
      </c>
      <c r="E3" s="24">
        <v>45491</v>
      </c>
      <c r="F3" s="5">
        <f>$P$14-E3+1</f>
        <v>13</v>
      </c>
      <c r="G3" s="5">
        <v>8</v>
      </c>
      <c r="H3" s="25">
        <f>VLOOKUP(C3,$O$9:$Q$12,3,0)</f>
        <v>51600</v>
      </c>
      <c r="I3" s="25">
        <f>INT(IF(F3&lt;=7,0,H3/7*0.5*(F3-7)))</f>
        <v>22114</v>
      </c>
      <c r="J3" s="25">
        <f>(H3+I3)*G3</f>
        <v>589712</v>
      </c>
      <c r="K3" s="25">
        <f>ROUND(IF(F3&gt;=9,J3*3.4%,J3*3.9%),-1)</f>
        <v>20050</v>
      </c>
      <c r="L3" s="25">
        <f>ROUNDDOWN(J3*VLOOKUP(RIGHT(A3,1),$O$18:$P$19,2,0),-1)</f>
        <v>43040</v>
      </c>
      <c r="M3" s="30">
        <f>J3+K3-L3</f>
        <v>566722</v>
      </c>
      <c r="O3" s="5" t="s">
        <v>368</v>
      </c>
      <c r="P3" s="5" t="s">
        <v>369</v>
      </c>
    </row>
    <row r="4" spans="1:16">
      <c r="A4" s="4" t="s">
        <v>368</v>
      </c>
      <c r="B4" s="5" t="str">
        <f t="shared" ref="B4:B18" si="0">VLOOKUP(A4,$O$3:$P$6,2,0)</f>
        <v>山田産業</v>
      </c>
      <c r="C4" s="5">
        <v>12</v>
      </c>
      <c r="D4" s="5" t="str">
        <f t="shared" ref="D4:D18" si="1">VLOOKUP(C4,$O$9:$Q$12,2,0)</f>
        <v>商品F</v>
      </c>
      <c r="E4" s="24">
        <v>45493</v>
      </c>
      <c r="F4" s="5">
        <f t="shared" ref="F4:F18" si="2">$P$14-E4+1</f>
        <v>11</v>
      </c>
      <c r="G4" s="5">
        <v>7</v>
      </c>
      <c r="H4" s="25">
        <f t="shared" ref="H4:H18" si="3">VLOOKUP(C4,$O$9:$Q$12,3,0)</f>
        <v>47200</v>
      </c>
      <c r="I4" s="25">
        <f t="shared" ref="I4:I18" si="4">INT(IF(F4&lt;=7,0,H4/7*0.5*(F4-7)))</f>
        <v>13485</v>
      </c>
      <c r="J4" s="25">
        <f t="shared" ref="J4:J18" si="5">(H4+I4)*G4</f>
        <v>424795</v>
      </c>
      <c r="K4" s="25">
        <f t="shared" ref="K4:K18" si="6">ROUND(IF(F4&gt;=9,J4*3.4%,J4*3.9%),-1)</f>
        <v>14440</v>
      </c>
      <c r="L4" s="25">
        <f t="shared" ref="L4:L18" si="7">ROUNDDOWN(J4*VLOOKUP(RIGHT(A4,1),$O$18:$P$19,2,0),-1)</f>
        <v>31010</v>
      </c>
      <c r="M4" s="30">
        <f t="shared" ref="M4:M18" si="8">J4+K4-L4</f>
        <v>408225</v>
      </c>
      <c r="O4" s="5" t="s">
        <v>370</v>
      </c>
      <c r="P4" s="5" t="s">
        <v>371</v>
      </c>
    </row>
    <row r="5" spans="1:16">
      <c r="A5" s="4" t="s">
        <v>368</v>
      </c>
      <c r="B5" s="5" t="str">
        <f t="shared" si="0"/>
        <v>山田産業</v>
      </c>
      <c r="C5" s="5">
        <v>13</v>
      </c>
      <c r="D5" s="5" t="str">
        <f t="shared" si="1"/>
        <v>商品G</v>
      </c>
      <c r="E5" s="24">
        <v>45494</v>
      </c>
      <c r="F5" s="5">
        <f t="shared" si="2"/>
        <v>10</v>
      </c>
      <c r="G5" s="5">
        <v>11</v>
      </c>
      <c r="H5" s="25">
        <f t="shared" si="3"/>
        <v>38400</v>
      </c>
      <c r="I5" s="25">
        <f t="shared" si="4"/>
        <v>8228</v>
      </c>
      <c r="J5" s="25">
        <f t="shared" si="5"/>
        <v>512908</v>
      </c>
      <c r="K5" s="25">
        <f t="shared" si="6"/>
        <v>17440</v>
      </c>
      <c r="L5" s="25">
        <f t="shared" si="7"/>
        <v>37440</v>
      </c>
      <c r="M5" s="30">
        <f t="shared" si="8"/>
        <v>492908</v>
      </c>
      <c r="O5" s="5" t="s">
        <v>259</v>
      </c>
      <c r="P5" s="5" t="s">
        <v>372</v>
      </c>
    </row>
    <row r="6" spans="1:16">
      <c r="A6" s="4" t="s">
        <v>368</v>
      </c>
      <c r="B6" s="5" t="str">
        <f t="shared" si="0"/>
        <v>山田産業</v>
      </c>
      <c r="C6" s="5">
        <v>14</v>
      </c>
      <c r="D6" s="5" t="str">
        <f t="shared" si="1"/>
        <v>商品H</v>
      </c>
      <c r="E6" s="24">
        <v>45497</v>
      </c>
      <c r="F6" s="5">
        <f t="shared" si="2"/>
        <v>7</v>
      </c>
      <c r="G6" s="5">
        <v>8</v>
      </c>
      <c r="H6" s="25">
        <f t="shared" si="3"/>
        <v>45700</v>
      </c>
      <c r="I6" s="25">
        <f t="shared" si="4"/>
        <v>0</v>
      </c>
      <c r="J6" s="25">
        <f t="shared" si="5"/>
        <v>365600</v>
      </c>
      <c r="K6" s="25">
        <f t="shared" si="6"/>
        <v>14260</v>
      </c>
      <c r="L6" s="25">
        <f t="shared" si="7"/>
        <v>26680</v>
      </c>
      <c r="M6" s="30">
        <f t="shared" si="8"/>
        <v>353180</v>
      </c>
      <c r="O6" s="5" t="s">
        <v>373</v>
      </c>
      <c r="P6" s="5" t="s">
        <v>374</v>
      </c>
    </row>
    <row r="7" spans="1:13">
      <c r="A7" s="4" t="s">
        <v>370</v>
      </c>
      <c r="B7" s="5" t="str">
        <f t="shared" si="0"/>
        <v>関西電工</v>
      </c>
      <c r="C7" s="5">
        <v>11</v>
      </c>
      <c r="D7" s="5" t="str">
        <f t="shared" si="1"/>
        <v>商品E</v>
      </c>
      <c r="E7" s="24">
        <v>45496</v>
      </c>
      <c r="F7" s="5">
        <f t="shared" si="2"/>
        <v>8</v>
      </c>
      <c r="G7" s="5">
        <v>6</v>
      </c>
      <c r="H7" s="25">
        <f t="shared" si="3"/>
        <v>51600</v>
      </c>
      <c r="I7" s="25">
        <f t="shared" si="4"/>
        <v>3685</v>
      </c>
      <c r="J7" s="25">
        <f t="shared" si="5"/>
        <v>331710</v>
      </c>
      <c r="K7" s="25">
        <f t="shared" si="6"/>
        <v>12940</v>
      </c>
      <c r="L7" s="25">
        <f t="shared" si="7"/>
        <v>21220</v>
      </c>
      <c r="M7" s="30">
        <f t="shared" si="8"/>
        <v>323430</v>
      </c>
    </row>
    <row r="8" spans="1:17">
      <c r="A8" s="4" t="s">
        <v>370</v>
      </c>
      <c r="B8" s="5" t="str">
        <f t="shared" si="0"/>
        <v>関西電工</v>
      </c>
      <c r="C8" s="5">
        <v>12</v>
      </c>
      <c r="D8" s="5" t="str">
        <f t="shared" si="1"/>
        <v>商品F</v>
      </c>
      <c r="E8" s="24">
        <v>45493</v>
      </c>
      <c r="F8" s="5">
        <f t="shared" si="2"/>
        <v>11</v>
      </c>
      <c r="G8" s="5">
        <v>9</v>
      </c>
      <c r="H8" s="25">
        <f t="shared" si="3"/>
        <v>47200</v>
      </c>
      <c r="I8" s="25">
        <f t="shared" si="4"/>
        <v>13485</v>
      </c>
      <c r="J8" s="25">
        <f t="shared" si="5"/>
        <v>546165</v>
      </c>
      <c r="K8" s="25">
        <f t="shared" si="6"/>
        <v>18570</v>
      </c>
      <c r="L8" s="25">
        <f t="shared" si="7"/>
        <v>34950</v>
      </c>
      <c r="M8" s="30">
        <f t="shared" si="8"/>
        <v>529785</v>
      </c>
      <c r="O8" s="32" t="s">
        <v>54</v>
      </c>
      <c r="P8" s="32" t="s">
        <v>55</v>
      </c>
      <c r="Q8" s="32" t="s">
        <v>363</v>
      </c>
    </row>
    <row r="9" spans="1:17">
      <c r="A9" s="4" t="s">
        <v>370</v>
      </c>
      <c r="B9" s="5" t="str">
        <f t="shared" si="0"/>
        <v>関西電工</v>
      </c>
      <c r="C9" s="5">
        <v>13</v>
      </c>
      <c r="D9" s="5" t="str">
        <f t="shared" si="1"/>
        <v>商品G</v>
      </c>
      <c r="E9" s="24">
        <v>45495</v>
      </c>
      <c r="F9" s="5">
        <f t="shared" si="2"/>
        <v>9</v>
      </c>
      <c r="G9" s="5">
        <v>7</v>
      </c>
      <c r="H9" s="25">
        <f t="shared" si="3"/>
        <v>38400</v>
      </c>
      <c r="I9" s="25">
        <f t="shared" si="4"/>
        <v>5485</v>
      </c>
      <c r="J9" s="25">
        <f t="shared" si="5"/>
        <v>307195</v>
      </c>
      <c r="K9" s="25">
        <f t="shared" si="6"/>
        <v>10440</v>
      </c>
      <c r="L9" s="25">
        <f t="shared" si="7"/>
        <v>19660</v>
      </c>
      <c r="M9" s="30">
        <f t="shared" si="8"/>
        <v>297975</v>
      </c>
      <c r="O9" s="5">
        <v>11</v>
      </c>
      <c r="P9" s="5" t="s">
        <v>293</v>
      </c>
      <c r="Q9" s="25">
        <v>51600</v>
      </c>
    </row>
    <row r="10" spans="1:17">
      <c r="A10" s="4" t="s">
        <v>370</v>
      </c>
      <c r="B10" s="5" t="str">
        <f t="shared" si="0"/>
        <v>関西電工</v>
      </c>
      <c r="C10" s="5">
        <v>14</v>
      </c>
      <c r="D10" s="5" t="str">
        <f t="shared" si="1"/>
        <v>商品H</v>
      </c>
      <c r="E10" s="24">
        <v>45492</v>
      </c>
      <c r="F10" s="5">
        <f t="shared" si="2"/>
        <v>12</v>
      </c>
      <c r="G10" s="5">
        <v>10</v>
      </c>
      <c r="H10" s="25">
        <f t="shared" si="3"/>
        <v>45700</v>
      </c>
      <c r="I10" s="25">
        <f t="shared" si="4"/>
        <v>16321</v>
      </c>
      <c r="J10" s="25">
        <f t="shared" si="5"/>
        <v>620210</v>
      </c>
      <c r="K10" s="25">
        <f t="shared" si="6"/>
        <v>21090</v>
      </c>
      <c r="L10" s="25">
        <f t="shared" si="7"/>
        <v>39690</v>
      </c>
      <c r="M10" s="30">
        <f t="shared" si="8"/>
        <v>601610</v>
      </c>
      <c r="O10" s="5">
        <v>12</v>
      </c>
      <c r="P10" s="5" t="s">
        <v>294</v>
      </c>
      <c r="Q10" s="25">
        <v>47200</v>
      </c>
    </row>
    <row r="11" spans="1:17">
      <c r="A11" s="4" t="s">
        <v>259</v>
      </c>
      <c r="B11" s="5" t="str">
        <f t="shared" si="0"/>
        <v>中部建設</v>
      </c>
      <c r="C11" s="5">
        <v>11</v>
      </c>
      <c r="D11" s="5" t="str">
        <f t="shared" si="1"/>
        <v>商品E</v>
      </c>
      <c r="E11" s="24">
        <v>45491</v>
      </c>
      <c r="F11" s="5">
        <f t="shared" si="2"/>
        <v>13</v>
      </c>
      <c r="G11" s="5">
        <v>5</v>
      </c>
      <c r="H11" s="25">
        <f t="shared" si="3"/>
        <v>51600</v>
      </c>
      <c r="I11" s="25">
        <f t="shared" si="4"/>
        <v>22114</v>
      </c>
      <c r="J11" s="25">
        <f t="shared" si="5"/>
        <v>368570</v>
      </c>
      <c r="K11" s="25">
        <f t="shared" si="6"/>
        <v>12530</v>
      </c>
      <c r="L11" s="25">
        <f t="shared" si="7"/>
        <v>26900</v>
      </c>
      <c r="M11" s="30">
        <f t="shared" si="8"/>
        <v>354200</v>
      </c>
      <c r="O11" s="5">
        <v>13</v>
      </c>
      <c r="P11" s="5" t="s">
        <v>295</v>
      </c>
      <c r="Q11" s="25">
        <v>38400</v>
      </c>
    </row>
    <row r="12" spans="1:17">
      <c r="A12" s="4" t="s">
        <v>259</v>
      </c>
      <c r="B12" s="5" t="str">
        <f t="shared" si="0"/>
        <v>中部建設</v>
      </c>
      <c r="C12" s="5">
        <v>12</v>
      </c>
      <c r="D12" s="5" t="str">
        <f t="shared" si="1"/>
        <v>商品F</v>
      </c>
      <c r="E12" s="24">
        <v>45497</v>
      </c>
      <c r="F12" s="5">
        <f t="shared" si="2"/>
        <v>7</v>
      </c>
      <c r="G12" s="5">
        <v>7</v>
      </c>
      <c r="H12" s="25">
        <f t="shared" si="3"/>
        <v>47200</v>
      </c>
      <c r="I12" s="25">
        <f t="shared" si="4"/>
        <v>0</v>
      </c>
      <c r="J12" s="25">
        <f t="shared" si="5"/>
        <v>330400</v>
      </c>
      <c r="K12" s="25">
        <f t="shared" si="6"/>
        <v>12890</v>
      </c>
      <c r="L12" s="25">
        <f t="shared" si="7"/>
        <v>24110</v>
      </c>
      <c r="M12" s="30">
        <f t="shared" si="8"/>
        <v>319180</v>
      </c>
      <c r="O12" s="5">
        <v>14</v>
      </c>
      <c r="P12" s="5" t="s">
        <v>375</v>
      </c>
      <c r="Q12" s="25">
        <v>45700</v>
      </c>
    </row>
    <row r="13" spans="1:13">
      <c r="A13" s="4" t="s">
        <v>259</v>
      </c>
      <c r="B13" s="5" t="str">
        <f t="shared" si="0"/>
        <v>中部建設</v>
      </c>
      <c r="C13" s="5">
        <v>13</v>
      </c>
      <c r="D13" s="5" t="str">
        <f t="shared" si="1"/>
        <v>商品G</v>
      </c>
      <c r="E13" s="24">
        <v>45492</v>
      </c>
      <c r="F13" s="5">
        <f t="shared" si="2"/>
        <v>12</v>
      </c>
      <c r="G13" s="5">
        <v>8</v>
      </c>
      <c r="H13" s="25">
        <f t="shared" si="3"/>
        <v>38400</v>
      </c>
      <c r="I13" s="25">
        <f t="shared" si="4"/>
        <v>13714</v>
      </c>
      <c r="J13" s="25">
        <f t="shared" si="5"/>
        <v>416912</v>
      </c>
      <c r="K13" s="25">
        <f t="shared" si="6"/>
        <v>14180</v>
      </c>
      <c r="L13" s="25">
        <f t="shared" si="7"/>
        <v>30430</v>
      </c>
      <c r="M13" s="30">
        <f t="shared" si="8"/>
        <v>400662</v>
      </c>
    </row>
    <row r="14" spans="1:16">
      <c r="A14" s="4" t="s">
        <v>259</v>
      </c>
      <c r="B14" s="5" t="str">
        <f t="shared" si="0"/>
        <v>中部建設</v>
      </c>
      <c r="C14" s="5">
        <v>14</v>
      </c>
      <c r="D14" s="5" t="str">
        <f t="shared" si="1"/>
        <v>商品H</v>
      </c>
      <c r="E14" s="24">
        <v>45497</v>
      </c>
      <c r="F14" s="5">
        <f t="shared" si="2"/>
        <v>7</v>
      </c>
      <c r="G14" s="5">
        <v>9</v>
      </c>
      <c r="H14" s="25">
        <f t="shared" si="3"/>
        <v>45700</v>
      </c>
      <c r="I14" s="25">
        <f t="shared" si="4"/>
        <v>0</v>
      </c>
      <c r="J14" s="25">
        <f t="shared" si="5"/>
        <v>411300</v>
      </c>
      <c r="K14" s="25">
        <f t="shared" si="6"/>
        <v>16040</v>
      </c>
      <c r="L14" s="25">
        <f t="shared" si="7"/>
        <v>30020</v>
      </c>
      <c r="M14" s="30">
        <f t="shared" si="8"/>
        <v>397320</v>
      </c>
      <c r="O14" s="5" t="s">
        <v>376</v>
      </c>
      <c r="P14" s="24">
        <v>45503</v>
      </c>
    </row>
    <row r="15" spans="1:13">
      <c r="A15" s="4" t="s">
        <v>373</v>
      </c>
      <c r="B15" s="5" t="str">
        <f t="shared" si="0"/>
        <v>健康住宅</v>
      </c>
      <c r="C15" s="5">
        <v>11</v>
      </c>
      <c r="D15" s="5" t="str">
        <f t="shared" si="1"/>
        <v>商品E</v>
      </c>
      <c r="E15" s="24">
        <v>45496</v>
      </c>
      <c r="F15" s="5">
        <f t="shared" si="2"/>
        <v>8</v>
      </c>
      <c r="G15" s="5">
        <v>5</v>
      </c>
      <c r="H15" s="25">
        <f t="shared" si="3"/>
        <v>51600</v>
      </c>
      <c r="I15" s="25">
        <f t="shared" si="4"/>
        <v>3685</v>
      </c>
      <c r="J15" s="25">
        <f t="shared" si="5"/>
        <v>276425</v>
      </c>
      <c r="K15" s="25">
        <f t="shared" si="6"/>
        <v>10780</v>
      </c>
      <c r="L15" s="25">
        <f t="shared" si="7"/>
        <v>17690</v>
      </c>
      <c r="M15" s="30">
        <f t="shared" si="8"/>
        <v>269515</v>
      </c>
    </row>
    <row r="16" spans="1:13">
      <c r="A16" s="4" t="s">
        <v>373</v>
      </c>
      <c r="B16" s="5" t="str">
        <f t="shared" si="0"/>
        <v>健康住宅</v>
      </c>
      <c r="C16" s="5">
        <v>12</v>
      </c>
      <c r="D16" s="5" t="str">
        <f t="shared" si="1"/>
        <v>商品F</v>
      </c>
      <c r="E16" s="24">
        <v>45495</v>
      </c>
      <c r="F16" s="5">
        <f t="shared" si="2"/>
        <v>9</v>
      </c>
      <c r="G16" s="5">
        <v>8</v>
      </c>
      <c r="H16" s="25">
        <f t="shared" si="3"/>
        <v>47200</v>
      </c>
      <c r="I16" s="25">
        <f t="shared" si="4"/>
        <v>6742</v>
      </c>
      <c r="J16" s="25">
        <f t="shared" si="5"/>
        <v>431536</v>
      </c>
      <c r="K16" s="25">
        <f t="shared" si="6"/>
        <v>14670</v>
      </c>
      <c r="L16" s="25">
        <f t="shared" si="7"/>
        <v>27610</v>
      </c>
      <c r="M16" s="30">
        <f t="shared" si="8"/>
        <v>418596</v>
      </c>
    </row>
    <row r="17" spans="1:16">
      <c r="A17" s="4" t="s">
        <v>373</v>
      </c>
      <c r="B17" s="5" t="str">
        <f t="shared" si="0"/>
        <v>健康住宅</v>
      </c>
      <c r="C17" s="5">
        <v>13</v>
      </c>
      <c r="D17" s="5" t="str">
        <f t="shared" si="1"/>
        <v>商品G</v>
      </c>
      <c r="E17" s="24">
        <v>45493</v>
      </c>
      <c r="F17" s="5">
        <f t="shared" si="2"/>
        <v>11</v>
      </c>
      <c r="G17" s="5">
        <v>9</v>
      </c>
      <c r="H17" s="25">
        <f t="shared" si="3"/>
        <v>38400</v>
      </c>
      <c r="I17" s="25">
        <f t="shared" si="4"/>
        <v>10971</v>
      </c>
      <c r="J17" s="25">
        <f t="shared" si="5"/>
        <v>444339</v>
      </c>
      <c r="K17" s="25">
        <f t="shared" si="6"/>
        <v>15110</v>
      </c>
      <c r="L17" s="25">
        <f t="shared" si="7"/>
        <v>28430</v>
      </c>
      <c r="M17" s="30">
        <f t="shared" si="8"/>
        <v>431019</v>
      </c>
      <c r="O17" s="5" t="s">
        <v>270</v>
      </c>
      <c r="P17" s="5" t="s">
        <v>377</v>
      </c>
    </row>
    <row r="18" spans="1:16">
      <c r="A18" s="4" t="s">
        <v>373</v>
      </c>
      <c r="B18" s="5" t="str">
        <f t="shared" si="0"/>
        <v>健康住宅</v>
      </c>
      <c r="C18" s="5">
        <v>14</v>
      </c>
      <c r="D18" s="5" t="str">
        <f t="shared" si="1"/>
        <v>商品H</v>
      </c>
      <c r="E18" s="24">
        <v>45492</v>
      </c>
      <c r="F18" s="5">
        <f t="shared" si="2"/>
        <v>12</v>
      </c>
      <c r="G18" s="5">
        <v>6</v>
      </c>
      <c r="H18" s="25">
        <f t="shared" si="3"/>
        <v>45700</v>
      </c>
      <c r="I18" s="25">
        <f t="shared" si="4"/>
        <v>16321</v>
      </c>
      <c r="J18" s="25">
        <f t="shared" si="5"/>
        <v>372126</v>
      </c>
      <c r="K18" s="25">
        <f t="shared" si="6"/>
        <v>12650</v>
      </c>
      <c r="L18" s="25">
        <f t="shared" si="7"/>
        <v>23810</v>
      </c>
      <c r="M18" s="30">
        <f t="shared" si="8"/>
        <v>360966</v>
      </c>
      <c r="O18" s="5" t="s">
        <v>272</v>
      </c>
      <c r="P18" s="34">
        <v>0.073</v>
      </c>
    </row>
    <row r="19" spans="1:16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35"/>
      <c r="O19" s="5" t="s">
        <v>273</v>
      </c>
      <c r="P19" s="34">
        <v>0.064</v>
      </c>
    </row>
    <row r="20" ht="14.75" spans="1:13">
      <c r="A20" s="6"/>
      <c r="B20" s="7" t="s">
        <v>31</v>
      </c>
      <c r="C20" s="8"/>
      <c r="D20" s="8"/>
      <c r="E20" s="8"/>
      <c r="F20" s="26">
        <f>SUM(F3:F18)</f>
        <v>160</v>
      </c>
      <c r="G20" s="26">
        <f t="shared" ref="G20:M20" si="9">SUM(G3:G18)</f>
        <v>123</v>
      </c>
      <c r="H20" s="26"/>
      <c r="I20" s="26"/>
      <c r="J20" s="26">
        <f t="shared" si="9"/>
        <v>6749903</v>
      </c>
      <c r="K20" s="26">
        <f t="shared" si="9"/>
        <v>238080</v>
      </c>
      <c r="L20" s="26">
        <f t="shared" si="9"/>
        <v>462690</v>
      </c>
      <c r="M20" s="31">
        <f t="shared" si="9"/>
        <v>6525293</v>
      </c>
    </row>
    <row r="22" ht="14.75" spans="1:13">
      <c r="A22" s="1" t="s">
        <v>378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2" t="s">
        <v>359</v>
      </c>
      <c r="B23" s="3" t="s">
        <v>360</v>
      </c>
      <c r="C23" s="3" t="s">
        <v>54</v>
      </c>
      <c r="D23" s="3" t="s">
        <v>55</v>
      </c>
      <c r="E23" s="3" t="s">
        <v>361</v>
      </c>
      <c r="F23" s="3" t="s">
        <v>315</v>
      </c>
      <c r="G23" s="3" t="s">
        <v>362</v>
      </c>
      <c r="H23" s="3" t="s">
        <v>363</v>
      </c>
      <c r="I23" s="3" t="s">
        <v>364</v>
      </c>
      <c r="J23" s="3" t="s">
        <v>365</v>
      </c>
      <c r="K23" s="3" t="s">
        <v>366</v>
      </c>
      <c r="L23" s="3" t="s">
        <v>367</v>
      </c>
      <c r="M23" s="33" t="s">
        <v>287</v>
      </c>
    </row>
    <row r="24" spans="1:13">
      <c r="A24" s="4" t="s">
        <v>373</v>
      </c>
      <c r="B24" s="5" t="s">
        <v>374</v>
      </c>
      <c r="C24" s="5">
        <v>11</v>
      </c>
      <c r="D24" s="5" t="s">
        <v>293</v>
      </c>
      <c r="E24" s="24">
        <v>45496</v>
      </c>
      <c r="F24" s="5">
        <v>8</v>
      </c>
      <c r="G24" s="5">
        <v>5</v>
      </c>
      <c r="H24" s="25">
        <v>51600</v>
      </c>
      <c r="I24" s="25">
        <v>3685</v>
      </c>
      <c r="J24" s="25">
        <v>276425</v>
      </c>
      <c r="K24" s="25">
        <v>10780</v>
      </c>
      <c r="L24" s="25">
        <v>17690</v>
      </c>
      <c r="M24" s="30">
        <v>269515</v>
      </c>
    </row>
    <row r="25" spans="1:13">
      <c r="A25" s="4" t="s">
        <v>373</v>
      </c>
      <c r="B25" s="5" t="s">
        <v>374</v>
      </c>
      <c r="C25" s="5">
        <v>12</v>
      </c>
      <c r="D25" s="5" t="s">
        <v>294</v>
      </c>
      <c r="E25" s="24">
        <v>45495</v>
      </c>
      <c r="F25" s="5">
        <v>9</v>
      </c>
      <c r="G25" s="5">
        <v>8</v>
      </c>
      <c r="H25" s="25">
        <v>47200</v>
      </c>
      <c r="I25" s="25">
        <v>6742</v>
      </c>
      <c r="J25" s="25">
        <v>431536</v>
      </c>
      <c r="K25" s="25">
        <v>14670</v>
      </c>
      <c r="L25" s="25">
        <v>27610</v>
      </c>
      <c r="M25" s="30">
        <v>418596</v>
      </c>
    </row>
    <row r="26" spans="1:13">
      <c r="A26" s="4" t="s">
        <v>370</v>
      </c>
      <c r="B26" s="5" t="s">
        <v>371</v>
      </c>
      <c r="C26" s="5">
        <v>13</v>
      </c>
      <c r="D26" s="5" t="s">
        <v>295</v>
      </c>
      <c r="E26" s="24">
        <v>45495</v>
      </c>
      <c r="F26" s="5">
        <v>9</v>
      </c>
      <c r="G26" s="5">
        <v>7</v>
      </c>
      <c r="H26" s="25">
        <v>38400</v>
      </c>
      <c r="I26" s="25">
        <v>5485</v>
      </c>
      <c r="J26" s="25">
        <v>307195</v>
      </c>
      <c r="K26" s="25">
        <v>10440</v>
      </c>
      <c r="L26" s="25">
        <v>19660</v>
      </c>
      <c r="M26" s="30">
        <v>297975</v>
      </c>
    </row>
    <row r="27" spans="1:13">
      <c r="A27" s="4" t="s">
        <v>370</v>
      </c>
      <c r="B27" s="5" t="s">
        <v>371</v>
      </c>
      <c r="C27" s="5">
        <v>11</v>
      </c>
      <c r="D27" s="5" t="s">
        <v>293</v>
      </c>
      <c r="E27" s="24">
        <v>45496</v>
      </c>
      <c r="F27" s="5">
        <v>8</v>
      </c>
      <c r="G27" s="5">
        <v>6</v>
      </c>
      <c r="H27" s="25">
        <v>51600</v>
      </c>
      <c r="I27" s="25">
        <v>3685</v>
      </c>
      <c r="J27" s="25">
        <v>331710</v>
      </c>
      <c r="K27" s="25">
        <v>12940</v>
      </c>
      <c r="L27" s="25">
        <v>21220</v>
      </c>
      <c r="M27" s="30">
        <v>323430</v>
      </c>
    </row>
    <row r="28" spans="1:13">
      <c r="A28" s="4" t="s">
        <v>368</v>
      </c>
      <c r="B28" s="5" t="s">
        <v>369</v>
      </c>
      <c r="C28" s="5">
        <v>14</v>
      </c>
      <c r="D28" s="5" t="s">
        <v>375</v>
      </c>
      <c r="E28" s="24">
        <v>45497</v>
      </c>
      <c r="F28" s="5">
        <v>7</v>
      </c>
      <c r="G28" s="5">
        <v>8</v>
      </c>
      <c r="H28" s="25">
        <v>45700</v>
      </c>
      <c r="I28" s="25">
        <v>0</v>
      </c>
      <c r="J28" s="25">
        <v>365600</v>
      </c>
      <c r="K28" s="25">
        <v>14260</v>
      </c>
      <c r="L28" s="25">
        <v>26680</v>
      </c>
      <c r="M28" s="30">
        <v>353180</v>
      </c>
    </row>
    <row r="29" spans="1:13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35"/>
    </row>
    <row r="30" ht="14.75" spans="1:13">
      <c r="A30" s="6"/>
      <c r="B30" s="7" t="s">
        <v>31</v>
      </c>
      <c r="C30" s="8"/>
      <c r="D30" s="8"/>
      <c r="E30" s="8"/>
      <c r="F30" s="26">
        <f>SUM(F24:F28)</f>
        <v>41</v>
      </c>
      <c r="G30" s="26">
        <f t="shared" ref="G30:M30" si="10">SUM(G24:G28)</f>
        <v>34</v>
      </c>
      <c r="H30" s="26"/>
      <c r="I30" s="26"/>
      <c r="J30" s="26">
        <f t="shared" si="10"/>
        <v>1712466</v>
      </c>
      <c r="K30" s="26">
        <f t="shared" si="10"/>
        <v>63090</v>
      </c>
      <c r="L30" s="26">
        <f t="shared" si="10"/>
        <v>112860</v>
      </c>
      <c r="M30" s="26">
        <f t="shared" si="10"/>
        <v>1662696</v>
      </c>
    </row>
    <row r="33" ht="14.75" spans="1:4">
      <c r="A33" s="1" t="s">
        <v>83</v>
      </c>
      <c r="B33" s="1"/>
      <c r="C33" s="1"/>
      <c r="D33" s="1"/>
    </row>
    <row r="34" spans="1:11">
      <c r="A34" s="9" t="s">
        <v>55</v>
      </c>
      <c r="B34" s="10" t="s">
        <v>362</v>
      </c>
      <c r="C34" s="10" t="s">
        <v>365</v>
      </c>
      <c r="D34" s="11" t="s">
        <v>287</v>
      </c>
      <c r="H34" s="27" t="s">
        <v>55</v>
      </c>
      <c r="I34" s="27" t="s">
        <v>55</v>
      </c>
      <c r="J34" s="27" t="s">
        <v>55</v>
      </c>
      <c r="K34" s="27" t="s">
        <v>55</v>
      </c>
    </row>
    <row r="35" spans="1:11">
      <c r="A35" s="12" t="s">
        <v>293</v>
      </c>
      <c r="B35" s="13">
        <f>DSUM(貸出料金計算表11,B$34,$H$34:$H$35)</f>
        <v>24</v>
      </c>
      <c r="C35" s="13">
        <f>DSUM(貸出料金計算表11,C$34,$H$34:$H$35)</f>
        <v>1566417</v>
      </c>
      <c r="D35" s="14">
        <f>DSUM(貸出料金計算表11,D$34,$H$34:$H$35)</f>
        <v>1513867</v>
      </c>
      <c r="H35" s="28" t="s">
        <v>293</v>
      </c>
      <c r="I35" s="28" t="s">
        <v>294</v>
      </c>
      <c r="J35" s="28" t="s">
        <v>295</v>
      </c>
      <c r="K35" s="28" t="s">
        <v>375</v>
      </c>
    </row>
    <row r="36" spans="1:4">
      <c r="A36" s="12" t="s">
        <v>294</v>
      </c>
      <c r="B36" s="13">
        <f>DSUM(貸出料金計算表11,B$34,$I$34:$I$35)</f>
        <v>31</v>
      </c>
      <c r="C36" s="13">
        <f>DSUM(貸出料金計算表11,C$34,$I$34:$I$35)</f>
        <v>1732896</v>
      </c>
      <c r="D36" s="14">
        <f>DSUM(貸出料金計算表11,D$34,$I$34:$I$35)</f>
        <v>1675786</v>
      </c>
    </row>
    <row r="37" ht="14.75" spans="1:4">
      <c r="A37" s="12" t="s">
        <v>295</v>
      </c>
      <c r="B37" s="13">
        <f>DSUM(貸出料金計算表11,B$34,$J$34:$J$35)</f>
        <v>35</v>
      </c>
      <c r="C37" s="13">
        <f>DSUM(貸出料金計算表11,C$34,$J$34:$J$35)</f>
        <v>1681354</v>
      </c>
      <c r="D37" s="14">
        <f>DSUM(貸出料金計算表11,D$34,$J$34:$J$35)</f>
        <v>1622564</v>
      </c>
    </row>
    <row r="38" ht="14.75" spans="1:11">
      <c r="A38" s="15" t="s">
        <v>375</v>
      </c>
      <c r="B38" s="16">
        <f>DSUM(貸出料金計算表11,B$34,$K$34:$K$35)</f>
        <v>33</v>
      </c>
      <c r="C38" s="16">
        <f>DSUM(貸出料金計算表11,C$34,$K$34:$K$35)</f>
        <v>1769236</v>
      </c>
      <c r="D38" s="17">
        <f>DSUM(貸出料金計算表11,D$34,$K$34:$K$35)</f>
        <v>1713076</v>
      </c>
      <c r="J38" s="32" t="s">
        <v>315</v>
      </c>
      <c r="K38" s="32" t="s">
        <v>367</v>
      </c>
    </row>
    <row r="39" spans="10:11">
      <c r="J39" s="5" t="s">
        <v>379</v>
      </c>
      <c r="K39" s="5" t="s">
        <v>282</v>
      </c>
    </row>
    <row r="40" ht="14.75" spans="10:11">
      <c r="J40" s="32" t="s">
        <v>362</v>
      </c>
      <c r="K40" s="32" t="s">
        <v>365</v>
      </c>
    </row>
    <row r="41" ht="14.75" spans="1:11">
      <c r="A41" s="18" t="s">
        <v>380</v>
      </c>
      <c r="B41" s="19"/>
      <c r="C41" s="19"/>
      <c r="D41" s="19"/>
      <c r="E41" s="19"/>
      <c r="F41" s="29">
        <f>DCOUNT(貸出料金計算表11,,J38:K39)</f>
        <v>4</v>
      </c>
      <c r="J41" s="5" t="s">
        <v>381</v>
      </c>
      <c r="K41" s="5" t="s">
        <v>382</v>
      </c>
    </row>
    <row r="42" spans="1:11">
      <c r="A42" s="20" t="s">
        <v>383</v>
      </c>
      <c r="B42" s="21"/>
      <c r="C42" s="21"/>
      <c r="D42" s="21"/>
      <c r="E42" s="21"/>
      <c r="F42" s="30">
        <f>DSUM(貸出料金計算表11,"請求額",J40:K41)</f>
        <v>2493685</v>
      </c>
      <c r="J42" s="32" t="s">
        <v>54</v>
      </c>
      <c r="K42" s="5"/>
    </row>
    <row r="43" ht="14.75" spans="1:11">
      <c r="A43" s="22" t="s">
        <v>384</v>
      </c>
      <c r="B43" s="23"/>
      <c r="C43" s="23"/>
      <c r="D43" s="23"/>
      <c r="E43" s="23"/>
      <c r="F43" s="31">
        <f>ROUND(DAVERAGE(貸出料金計算表11,"割引額",J42:J43),0)</f>
        <v>28751</v>
      </c>
      <c r="J43" s="5" t="s">
        <v>385</v>
      </c>
      <c r="K43" s="5"/>
    </row>
  </sheetData>
  <sortState ref="A24:M28">
    <sortCondition ref="A24:A28" descending="1"/>
    <sortCondition ref="M24:M28"/>
  </sortState>
  <mergeCells count="6">
    <mergeCell ref="A1:M1"/>
    <mergeCell ref="A22:M22"/>
    <mergeCell ref="A33:D33"/>
    <mergeCell ref="A41:E41"/>
    <mergeCell ref="A42:E42"/>
    <mergeCell ref="A43:E43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43"/>
  <sheetViews>
    <sheetView showFormulas="1" topLeftCell="D1" workbookViewId="0">
      <selection activeCell="E14" sqref="E14"/>
    </sheetView>
  </sheetViews>
  <sheetFormatPr defaultColWidth="9" defaultRowHeight="14"/>
  <cols>
    <col min="1" max="1" width="6.25" customWidth="1"/>
    <col min="2" max="4" width="23.5" customWidth="1"/>
    <col min="5" max="5" width="8.125" customWidth="1"/>
    <col min="6" max="6" width="15.125" customWidth="1"/>
    <col min="7" max="7" width="15.5" customWidth="1"/>
    <col min="8" max="8" width="38.625" customWidth="1"/>
    <col min="9" max="9" width="18" customWidth="1"/>
    <col min="10" max="10" width="28.75" customWidth="1"/>
    <col min="11" max="11" width="8.25" customWidth="1"/>
    <col min="12" max="12" width="21.625" customWidth="1"/>
    <col min="13" max="13" width="2.5" customWidth="1"/>
    <col min="14" max="14" width="7.75" customWidth="1"/>
    <col min="15" max="15" width="5.25" customWidth="1"/>
    <col min="16" max="16" width="2.75" customWidth="1"/>
    <col min="17" max="17" width="15.375" customWidth="1"/>
    <col min="18" max="18" width="10.25" customWidth="1"/>
  </cols>
  <sheetData>
    <row r="1" ht="14.75" spans="1:1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ht="14.75" spans="1:15">
      <c r="A2" s="37" t="s">
        <v>1</v>
      </c>
      <c r="B2" s="38" t="s">
        <v>2</v>
      </c>
      <c r="C2" s="38" t="s">
        <v>3</v>
      </c>
      <c r="D2" s="38" t="s">
        <v>4</v>
      </c>
      <c r="E2" s="38" t="s">
        <v>5</v>
      </c>
      <c r="F2" s="38" t="s">
        <v>6</v>
      </c>
      <c r="G2" s="38" t="s">
        <v>7</v>
      </c>
      <c r="H2" s="38" t="s">
        <v>8</v>
      </c>
      <c r="I2" s="38" t="s">
        <v>9</v>
      </c>
      <c r="J2" s="38" t="s">
        <v>10</v>
      </c>
      <c r="K2" s="38" t="s">
        <v>11</v>
      </c>
      <c r="L2" s="46" t="s">
        <v>12</v>
      </c>
      <c r="N2" s="107" t="s">
        <v>13</v>
      </c>
      <c r="O2" s="107"/>
    </row>
    <row r="3" spans="1:15">
      <c r="A3" s="41">
        <v>101</v>
      </c>
      <c r="B3" s="40" t="s">
        <v>14</v>
      </c>
      <c r="C3" s="40" t="str">
        <f t="shared" ref="C3:C11" si="0">VLOOKUP(A3,$N$4:$O$6,2,1)&amp;"チーム"</f>
        <v>営業Aチーム</v>
      </c>
      <c r="D3" s="74">
        <v>370</v>
      </c>
      <c r="E3" s="74">
        <v>5967</v>
      </c>
      <c r="F3" s="74">
        <f t="shared" ref="F3:F11" si="1">ROUNDUP(D3/$O$9*100,0)</f>
        <v>99</v>
      </c>
      <c r="G3" s="74">
        <f t="shared" ref="G3:G11" si="2">ROUNDUP(E3/$O$10*100,0)</f>
        <v>102</v>
      </c>
      <c r="H3" s="74">
        <f t="shared" ref="H3:H11" si="3">VLOOKUP(F3,$N$14:$O$16,2,1)*F3+VLOOKUP(G3,$N$20:$O$22,2,1)*G3</f>
        <v>144600</v>
      </c>
      <c r="I3" s="74">
        <f>ROUNDUP(H3*13.7%*F3/100,-1)</f>
        <v>19620</v>
      </c>
      <c r="J3" s="74">
        <f t="shared" ref="J3:J11" si="4">ROUNDDOWN(VLOOKUP(G3,$N$26:$O$27,2,1)*H3,-1)</f>
        <v>9830</v>
      </c>
      <c r="K3" s="80">
        <f>H3+I3+J3</f>
        <v>174050</v>
      </c>
      <c r="L3" s="62" t="str">
        <f>IF(AND(D3&lt;=410,K3&gt;=175000),"*","")</f>
        <v/>
      </c>
      <c r="N3" s="37" t="s">
        <v>1</v>
      </c>
      <c r="O3" s="46" t="s">
        <v>15</v>
      </c>
    </row>
    <row r="4" spans="1:15">
      <c r="A4" s="41">
        <v>102</v>
      </c>
      <c r="B4" s="40" t="s">
        <v>16</v>
      </c>
      <c r="C4" s="40" t="str">
        <f t="shared" si="0"/>
        <v>営業Aチーム</v>
      </c>
      <c r="D4" s="74">
        <v>312</v>
      </c>
      <c r="E4" s="74">
        <v>5235</v>
      </c>
      <c r="F4" s="74">
        <f t="shared" si="1"/>
        <v>84</v>
      </c>
      <c r="G4" s="74">
        <f t="shared" si="2"/>
        <v>89</v>
      </c>
      <c r="H4" s="74">
        <f t="shared" si="3"/>
        <v>121690</v>
      </c>
      <c r="I4" s="74">
        <f t="shared" ref="I4:I11" si="5">ROUNDUP(H4*13.7%*F4/100,-1)</f>
        <v>14010</v>
      </c>
      <c r="J4" s="74">
        <f t="shared" si="4"/>
        <v>8270</v>
      </c>
      <c r="K4" s="80">
        <f t="shared" ref="K4:K11" si="6">H4+I4+J4</f>
        <v>143970</v>
      </c>
      <c r="L4" s="62" t="str">
        <f t="shared" ref="L4:L11" si="7">IF(AND(D4&lt;=410,K4&gt;=175000),"*","")</f>
        <v/>
      </c>
      <c r="N4" s="41">
        <v>100</v>
      </c>
      <c r="O4" s="62" t="s">
        <v>17</v>
      </c>
    </row>
    <row r="5" spans="1:15">
      <c r="A5" s="41">
        <v>103</v>
      </c>
      <c r="B5" s="40" t="s">
        <v>18</v>
      </c>
      <c r="C5" s="40" t="str">
        <f t="shared" si="0"/>
        <v>営業Aチーム</v>
      </c>
      <c r="D5" s="74">
        <v>410</v>
      </c>
      <c r="E5" s="74">
        <v>6218</v>
      </c>
      <c r="F5" s="74">
        <f t="shared" si="1"/>
        <v>110</v>
      </c>
      <c r="G5" s="74">
        <f t="shared" si="2"/>
        <v>106</v>
      </c>
      <c r="H5" s="74">
        <f t="shared" si="3"/>
        <v>165460</v>
      </c>
      <c r="I5" s="74">
        <f t="shared" si="5"/>
        <v>24940</v>
      </c>
      <c r="J5" s="74">
        <f t="shared" si="4"/>
        <v>13070</v>
      </c>
      <c r="K5" s="80">
        <f t="shared" si="6"/>
        <v>203470</v>
      </c>
      <c r="L5" s="62" t="str">
        <f t="shared" si="7"/>
        <v>*</v>
      </c>
      <c r="N5" s="41">
        <v>200</v>
      </c>
      <c r="O5" s="62" t="s">
        <v>19</v>
      </c>
    </row>
    <row r="6" ht="14.75" spans="1:15">
      <c r="A6" s="41">
        <v>201</v>
      </c>
      <c r="B6" s="40" t="s">
        <v>20</v>
      </c>
      <c r="C6" s="40" t="str">
        <f t="shared" si="0"/>
        <v>営業Bチーム</v>
      </c>
      <c r="D6" s="74">
        <v>378</v>
      </c>
      <c r="E6" s="74">
        <v>5871</v>
      </c>
      <c r="F6" s="74">
        <f t="shared" si="1"/>
        <v>101</v>
      </c>
      <c r="G6" s="74">
        <f t="shared" si="2"/>
        <v>100</v>
      </c>
      <c r="H6" s="74">
        <f t="shared" si="3"/>
        <v>147790</v>
      </c>
      <c r="I6" s="74">
        <f t="shared" si="5"/>
        <v>20450</v>
      </c>
      <c r="J6" s="74">
        <f t="shared" si="4"/>
        <v>10040</v>
      </c>
      <c r="K6" s="80">
        <f t="shared" si="6"/>
        <v>178280</v>
      </c>
      <c r="L6" s="62" t="str">
        <f t="shared" si="7"/>
        <v>*</v>
      </c>
      <c r="N6" s="42">
        <v>300</v>
      </c>
      <c r="O6" s="63" t="s">
        <v>21</v>
      </c>
    </row>
    <row r="7" spans="1:12">
      <c r="A7" s="41">
        <v>202</v>
      </c>
      <c r="B7" s="40" t="s">
        <v>22</v>
      </c>
      <c r="C7" s="40" t="str">
        <f t="shared" si="0"/>
        <v>営業Bチーム</v>
      </c>
      <c r="D7" s="74">
        <v>387</v>
      </c>
      <c r="E7" s="74">
        <v>6034</v>
      </c>
      <c r="F7" s="74">
        <f t="shared" si="1"/>
        <v>104</v>
      </c>
      <c r="G7" s="74">
        <f t="shared" si="2"/>
        <v>103</v>
      </c>
      <c r="H7" s="74">
        <f t="shared" si="3"/>
        <v>152200</v>
      </c>
      <c r="I7" s="74">
        <f t="shared" si="5"/>
        <v>21690</v>
      </c>
      <c r="J7" s="74">
        <f t="shared" si="4"/>
        <v>12020</v>
      </c>
      <c r="K7" s="80">
        <f t="shared" si="6"/>
        <v>185910</v>
      </c>
      <c r="L7" s="62" t="str">
        <f t="shared" si="7"/>
        <v>*</v>
      </c>
    </row>
    <row r="8" ht="14.75" spans="1:15">
      <c r="A8" s="41">
        <v>203</v>
      </c>
      <c r="B8" s="40" t="s">
        <v>23</v>
      </c>
      <c r="C8" s="40" t="str">
        <f t="shared" si="0"/>
        <v>営業Bチーム</v>
      </c>
      <c r="D8" s="74">
        <v>345</v>
      </c>
      <c r="E8" s="74">
        <v>5246</v>
      </c>
      <c r="F8" s="74">
        <f t="shared" si="1"/>
        <v>92</v>
      </c>
      <c r="G8" s="74">
        <f t="shared" si="2"/>
        <v>89</v>
      </c>
      <c r="H8" s="74">
        <f t="shared" si="3"/>
        <v>127770</v>
      </c>
      <c r="I8" s="74">
        <f t="shared" si="5"/>
        <v>16110</v>
      </c>
      <c r="J8" s="74">
        <f t="shared" si="4"/>
        <v>8680</v>
      </c>
      <c r="K8" s="80">
        <f t="shared" si="6"/>
        <v>152560</v>
      </c>
      <c r="L8" s="62" t="str">
        <f t="shared" si="7"/>
        <v/>
      </c>
      <c r="N8" s="107" t="s">
        <v>24</v>
      </c>
      <c r="O8" s="107"/>
    </row>
    <row r="9" spans="1:15">
      <c r="A9" s="41">
        <v>301</v>
      </c>
      <c r="B9" s="40" t="s">
        <v>25</v>
      </c>
      <c r="C9" s="40" t="str">
        <f t="shared" si="0"/>
        <v>営業Cチーム</v>
      </c>
      <c r="D9" s="74">
        <v>372</v>
      </c>
      <c r="E9" s="74">
        <v>5630</v>
      </c>
      <c r="F9" s="74">
        <f t="shared" si="1"/>
        <v>100</v>
      </c>
      <c r="G9" s="74">
        <f t="shared" si="2"/>
        <v>96</v>
      </c>
      <c r="H9" s="74">
        <f t="shared" si="3"/>
        <v>141400</v>
      </c>
      <c r="I9" s="74">
        <f t="shared" si="5"/>
        <v>19380</v>
      </c>
      <c r="J9" s="74">
        <f t="shared" si="4"/>
        <v>9610</v>
      </c>
      <c r="K9" s="80">
        <f t="shared" si="6"/>
        <v>170390</v>
      </c>
      <c r="L9" s="62" t="str">
        <f t="shared" si="7"/>
        <v/>
      </c>
      <c r="N9" s="71" t="s">
        <v>26</v>
      </c>
      <c r="O9" s="78">
        <v>375</v>
      </c>
    </row>
    <row r="10" ht="14.75" spans="1:15">
      <c r="A10" s="41">
        <v>302</v>
      </c>
      <c r="B10" s="40" t="s">
        <v>27</v>
      </c>
      <c r="C10" s="40" t="str">
        <f t="shared" si="0"/>
        <v>営業Cチーム</v>
      </c>
      <c r="D10" s="74">
        <v>391</v>
      </c>
      <c r="E10" s="74">
        <v>6258</v>
      </c>
      <c r="F10" s="74">
        <f t="shared" si="1"/>
        <v>105</v>
      </c>
      <c r="G10" s="74">
        <f t="shared" si="2"/>
        <v>107</v>
      </c>
      <c r="H10" s="74">
        <f t="shared" si="3"/>
        <v>162070</v>
      </c>
      <c r="I10" s="74">
        <f t="shared" si="5"/>
        <v>23320</v>
      </c>
      <c r="J10" s="74">
        <f t="shared" si="4"/>
        <v>12800</v>
      </c>
      <c r="K10" s="80">
        <f t="shared" si="6"/>
        <v>198190</v>
      </c>
      <c r="L10" s="62" t="str">
        <f t="shared" si="7"/>
        <v>*</v>
      </c>
      <c r="N10" s="42" t="s">
        <v>28</v>
      </c>
      <c r="O10" s="77">
        <v>5900</v>
      </c>
    </row>
    <row r="11" spans="1:12">
      <c r="A11" s="41">
        <v>303</v>
      </c>
      <c r="B11" s="40" t="s">
        <v>29</v>
      </c>
      <c r="C11" s="40" t="str">
        <f t="shared" si="0"/>
        <v>営業Cチーム</v>
      </c>
      <c r="D11" s="74">
        <v>416</v>
      </c>
      <c r="E11" s="74">
        <v>6173</v>
      </c>
      <c r="F11" s="74">
        <f t="shared" si="1"/>
        <v>111</v>
      </c>
      <c r="G11" s="74">
        <f t="shared" si="2"/>
        <v>105</v>
      </c>
      <c r="H11" s="74">
        <f t="shared" si="3"/>
        <v>165570</v>
      </c>
      <c r="I11" s="74">
        <f t="shared" si="5"/>
        <v>25180</v>
      </c>
      <c r="J11" s="74">
        <f t="shared" si="4"/>
        <v>13080</v>
      </c>
      <c r="K11" s="80">
        <f t="shared" si="6"/>
        <v>203830</v>
      </c>
      <c r="L11" s="62" t="str">
        <f t="shared" si="7"/>
        <v/>
      </c>
    </row>
    <row r="12" ht="14.75" spans="1:15">
      <c r="A12" s="41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62"/>
      <c r="N12" s="107" t="s">
        <v>30</v>
      </c>
      <c r="O12" s="107"/>
    </row>
    <row r="13" ht="14.75" spans="1:15">
      <c r="A13" s="42"/>
      <c r="B13" s="44" t="s">
        <v>31</v>
      </c>
      <c r="C13" s="43"/>
      <c r="D13" s="83">
        <f>SUM(D3:D11)</f>
        <v>3381</v>
      </c>
      <c r="E13" s="83">
        <f t="shared" ref="E13:K13" si="8">SUM(E3:E11)</f>
        <v>52632</v>
      </c>
      <c r="F13" s="83">
        <f t="shared" si="8"/>
        <v>906</v>
      </c>
      <c r="G13" s="83">
        <f t="shared" si="8"/>
        <v>897</v>
      </c>
      <c r="H13" s="83">
        <f t="shared" si="8"/>
        <v>1328550</v>
      </c>
      <c r="I13" s="83">
        <f t="shared" si="8"/>
        <v>184700</v>
      </c>
      <c r="J13" s="83">
        <f t="shared" si="8"/>
        <v>97400</v>
      </c>
      <c r="K13" s="83">
        <f t="shared" si="8"/>
        <v>1610650</v>
      </c>
      <c r="L13" s="63"/>
      <c r="N13" s="37" t="s">
        <v>6</v>
      </c>
      <c r="O13" s="46" t="s">
        <v>32</v>
      </c>
    </row>
    <row r="14" spans="14:15">
      <c r="N14" s="41">
        <v>1</v>
      </c>
      <c r="O14" s="62">
        <v>760</v>
      </c>
    </row>
    <row r="15" ht="14.75" spans="1:15">
      <c r="A15" s="106" t="s">
        <v>33</v>
      </c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N15" s="41">
        <v>100</v>
      </c>
      <c r="O15" s="62">
        <v>790</v>
      </c>
    </row>
    <row r="16" ht="14.75" spans="1:15">
      <c r="A16" s="37" t="s">
        <v>1</v>
      </c>
      <c r="B16" s="38" t="s">
        <v>2</v>
      </c>
      <c r="C16" s="38" t="s">
        <v>3</v>
      </c>
      <c r="D16" s="38" t="s">
        <v>4</v>
      </c>
      <c r="E16" s="38" t="s">
        <v>5</v>
      </c>
      <c r="F16" s="38" t="s">
        <v>6</v>
      </c>
      <c r="G16" s="38" t="s">
        <v>7</v>
      </c>
      <c r="H16" s="38" t="s">
        <v>8</v>
      </c>
      <c r="I16" s="38" t="s">
        <v>9</v>
      </c>
      <c r="J16" s="38" t="s">
        <v>10</v>
      </c>
      <c r="K16" s="38" t="s">
        <v>11</v>
      </c>
      <c r="L16" s="46" t="s">
        <v>12</v>
      </c>
      <c r="N16" s="42">
        <v>105</v>
      </c>
      <c r="O16" s="63">
        <v>820</v>
      </c>
    </row>
    <row r="17" spans="1:12">
      <c r="A17" s="41">
        <v>301</v>
      </c>
      <c r="B17" s="40" t="s">
        <v>25</v>
      </c>
      <c r="C17" s="40" t="s">
        <v>34</v>
      </c>
      <c r="D17" s="74">
        <v>372</v>
      </c>
      <c r="E17" s="74">
        <v>5630</v>
      </c>
      <c r="F17" s="74">
        <v>100</v>
      </c>
      <c r="G17" s="74">
        <v>96</v>
      </c>
      <c r="H17" s="74">
        <v>141400</v>
      </c>
      <c r="I17" s="74">
        <v>19380</v>
      </c>
      <c r="J17" s="74">
        <v>9610</v>
      </c>
      <c r="K17" s="80">
        <v>170390</v>
      </c>
      <c r="L17" s="62" t="s">
        <v>35</v>
      </c>
    </row>
    <row r="18" ht="14.75" spans="1:15">
      <c r="A18" s="41">
        <v>101</v>
      </c>
      <c r="B18" s="40" t="s">
        <v>14</v>
      </c>
      <c r="C18" s="40" t="s">
        <v>36</v>
      </c>
      <c r="D18" s="74">
        <v>370</v>
      </c>
      <c r="E18" s="74">
        <v>5967</v>
      </c>
      <c r="F18" s="74">
        <v>99</v>
      </c>
      <c r="G18" s="74">
        <v>102</v>
      </c>
      <c r="H18" s="74">
        <v>144600</v>
      </c>
      <c r="I18" s="74">
        <v>19620</v>
      </c>
      <c r="J18" s="74">
        <v>9830</v>
      </c>
      <c r="K18" s="80">
        <v>174050</v>
      </c>
      <c r="L18" s="62" t="s">
        <v>35</v>
      </c>
      <c r="N18" s="107" t="s">
        <v>37</v>
      </c>
      <c r="O18" s="107"/>
    </row>
    <row r="19" spans="1:15">
      <c r="A19" s="41">
        <v>201</v>
      </c>
      <c r="B19" s="40" t="s">
        <v>20</v>
      </c>
      <c r="C19" s="40" t="s">
        <v>38</v>
      </c>
      <c r="D19" s="74">
        <v>378</v>
      </c>
      <c r="E19" s="74">
        <v>5871</v>
      </c>
      <c r="F19" s="74">
        <v>101</v>
      </c>
      <c r="G19" s="74">
        <v>100</v>
      </c>
      <c r="H19" s="74">
        <v>147790</v>
      </c>
      <c r="I19" s="74">
        <v>20450</v>
      </c>
      <c r="J19" s="74">
        <v>10040</v>
      </c>
      <c r="K19" s="80">
        <v>178280</v>
      </c>
      <c r="L19" s="62" t="s">
        <v>39</v>
      </c>
      <c r="N19" s="37" t="s">
        <v>7</v>
      </c>
      <c r="O19" s="46" t="s">
        <v>40</v>
      </c>
    </row>
    <row r="20" spans="1:15">
      <c r="A20" s="41">
        <v>202</v>
      </c>
      <c r="B20" s="40" t="s">
        <v>22</v>
      </c>
      <c r="C20" s="40" t="s">
        <v>38</v>
      </c>
      <c r="D20" s="74">
        <v>387</v>
      </c>
      <c r="E20" s="74">
        <v>6034</v>
      </c>
      <c r="F20" s="74">
        <v>104</v>
      </c>
      <c r="G20" s="74">
        <v>103</v>
      </c>
      <c r="H20" s="74">
        <v>152200</v>
      </c>
      <c r="I20" s="74">
        <v>21690</v>
      </c>
      <c r="J20" s="74">
        <v>12020</v>
      </c>
      <c r="K20" s="80">
        <v>185910</v>
      </c>
      <c r="L20" s="62" t="s">
        <v>39</v>
      </c>
      <c r="N20" s="41">
        <v>1</v>
      </c>
      <c r="O20" s="62">
        <v>650</v>
      </c>
    </row>
    <row r="21" spans="1:15">
      <c r="A21" s="41">
        <v>302</v>
      </c>
      <c r="B21" s="40" t="s">
        <v>27</v>
      </c>
      <c r="C21" s="40" t="s">
        <v>34</v>
      </c>
      <c r="D21" s="74">
        <v>391</v>
      </c>
      <c r="E21" s="74">
        <v>6258</v>
      </c>
      <c r="F21" s="74">
        <v>105</v>
      </c>
      <c r="G21" s="74">
        <v>107</v>
      </c>
      <c r="H21" s="74">
        <v>162070</v>
      </c>
      <c r="I21" s="74">
        <v>23320</v>
      </c>
      <c r="J21" s="74">
        <v>12800</v>
      </c>
      <c r="K21" s="80">
        <v>198190</v>
      </c>
      <c r="L21" s="62" t="s">
        <v>39</v>
      </c>
      <c r="N21" s="41">
        <v>100</v>
      </c>
      <c r="O21" s="62">
        <v>680</v>
      </c>
    </row>
    <row r="22" ht="14.75" spans="1:15">
      <c r="A22" s="41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62"/>
      <c r="N22" s="42">
        <v>105</v>
      </c>
      <c r="O22" s="63">
        <v>710</v>
      </c>
    </row>
    <row r="23" ht="14.75" spans="1:12">
      <c r="A23" s="42"/>
      <c r="B23" s="44" t="s">
        <v>31</v>
      </c>
      <c r="C23" s="43"/>
      <c r="D23" s="83">
        <f>SUM(D17:D21)</f>
        <v>1898</v>
      </c>
      <c r="E23" s="83">
        <f t="shared" ref="E23:K23" si="9">SUM(E17:E21)</f>
        <v>29760</v>
      </c>
      <c r="F23" s="83">
        <f t="shared" si="9"/>
        <v>509</v>
      </c>
      <c r="G23" s="83">
        <f t="shared" si="9"/>
        <v>508</v>
      </c>
      <c r="H23" s="83">
        <f t="shared" si="9"/>
        <v>748060</v>
      </c>
      <c r="I23" s="83">
        <f t="shared" si="9"/>
        <v>104460</v>
      </c>
      <c r="J23" s="83">
        <f t="shared" si="9"/>
        <v>54300</v>
      </c>
      <c r="K23" s="83">
        <f t="shared" si="9"/>
        <v>906820</v>
      </c>
      <c r="L23" s="63"/>
    </row>
    <row r="24" ht="14.75" spans="14:15">
      <c r="N24" s="107" t="s">
        <v>41</v>
      </c>
      <c r="O24" s="107"/>
    </row>
    <row r="25" ht="14.75" spans="1:15">
      <c r="A25" s="36" t="s">
        <v>42</v>
      </c>
      <c r="B25" s="36"/>
      <c r="C25" s="36"/>
      <c r="D25" s="36"/>
      <c r="N25" s="37" t="s">
        <v>7</v>
      </c>
      <c r="O25" s="46" t="s">
        <v>10</v>
      </c>
    </row>
    <row r="26" ht="14.75" spans="1:15">
      <c r="A26" s="37" t="s">
        <v>3</v>
      </c>
      <c r="B26" s="38" t="s">
        <v>4</v>
      </c>
      <c r="C26" s="38" t="s">
        <v>9</v>
      </c>
      <c r="D26" s="46" t="s">
        <v>10</v>
      </c>
      <c r="N26" s="41">
        <v>1</v>
      </c>
      <c r="O26" s="108">
        <v>0.068</v>
      </c>
    </row>
    <row r="27" ht="14.75" spans="1:15">
      <c r="A27" s="41" t="s">
        <v>36</v>
      </c>
      <c r="B27" s="74">
        <f>DSUM(社員別賃金一覧表1,B$26,$N$29:$N$30)</f>
        <v>1092</v>
      </c>
      <c r="C27" s="74">
        <f>DSUM(社員別賃金一覧表1,C$26,$N$29:$N$30)</f>
        <v>58570</v>
      </c>
      <c r="D27" s="75">
        <f>DSUM(社員別賃金一覧表1,D$26,$N$29:$N$30)</f>
        <v>31170</v>
      </c>
      <c r="F27" s="104" t="s">
        <v>43</v>
      </c>
      <c r="G27" s="105"/>
      <c r="H27" s="105"/>
      <c r="I27" s="105"/>
      <c r="J27" s="105"/>
      <c r="K27" s="105"/>
      <c r="L27" s="84">
        <f>DSUM(社員別賃金一覧表1,K16,N36:O37)</f>
        <v>562380</v>
      </c>
      <c r="N27" s="42">
        <v>103</v>
      </c>
      <c r="O27" s="109">
        <v>0.079</v>
      </c>
    </row>
    <row r="28" ht="14.75" spans="1:12">
      <c r="A28" s="41" t="s">
        <v>38</v>
      </c>
      <c r="B28" s="74">
        <f>DSUM(社員別賃金一覧表1,B$26,$N$31:$N$32)</f>
        <v>1110</v>
      </c>
      <c r="C28" s="74">
        <f>DSUM(社員別賃金一覧表1,C$26,$N$31:$N$32)</f>
        <v>58250</v>
      </c>
      <c r="D28" s="75">
        <f>DSUM(社員別賃金一覧表1,D$26,$N$31:$N$32)</f>
        <v>30740</v>
      </c>
      <c r="F28" s="53" t="s">
        <v>44</v>
      </c>
      <c r="G28" s="54"/>
      <c r="H28" s="54"/>
      <c r="I28" s="54"/>
      <c r="J28" s="54"/>
      <c r="K28" s="54"/>
      <c r="L28" s="62">
        <f>DCOUNTA(社員別賃金一覧表1,C2,N39:O40)</f>
        <v>5</v>
      </c>
    </row>
    <row r="29" ht="14.75" spans="1:14">
      <c r="A29" s="42" t="s">
        <v>34</v>
      </c>
      <c r="B29" s="76">
        <f>DSUM(社員別賃金一覧表1,B$26,$N$33:$N$34)</f>
        <v>1179</v>
      </c>
      <c r="C29" s="76">
        <f>DSUM(社員別賃金一覧表1,C$26,$N$33:$N$34)</f>
        <v>67880</v>
      </c>
      <c r="D29" s="77">
        <f>DSUM(社員別賃金一覧表1,D$26,$N$33:$N$34)</f>
        <v>35490</v>
      </c>
      <c r="F29" s="55" t="s">
        <v>45</v>
      </c>
      <c r="G29" s="56"/>
      <c r="H29" s="56"/>
      <c r="I29" s="56"/>
      <c r="J29" s="56"/>
      <c r="K29" s="56"/>
      <c r="L29" s="77">
        <f>DMAX(社員別賃金一覧表1,I2,N42:N43)</f>
        <v>25180</v>
      </c>
      <c r="N29" s="110" t="s">
        <v>3</v>
      </c>
    </row>
    <row r="30" spans="14:14">
      <c r="N30" s="111" t="s">
        <v>36</v>
      </c>
    </row>
    <row r="31" spans="14:14">
      <c r="N31" s="111" t="s">
        <v>3</v>
      </c>
    </row>
    <row r="32" spans="14:14">
      <c r="N32" s="111" t="s">
        <v>38</v>
      </c>
    </row>
    <row r="33" spans="14:14">
      <c r="N33" s="111" t="s">
        <v>3</v>
      </c>
    </row>
    <row r="34" ht="14.75" spans="14:14">
      <c r="N34" s="112" t="s">
        <v>34</v>
      </c>
    </row>
    <row r="35" ht="14.75"/>
    <row r="36" spans="14:15">
      <c r="N36" s="71" t="s">
        <v>6</v>
      </c>
      <c r="O36" s="78" t="s">
        <v>6</v>
      </c>
    </row>
    <row r="37" ht="14.75" spans="14:15">
      <c r="N37" s="42" t="s">
        <v>46</v>
      </c>
      <c r="O37" s="63" t="s">
        <v>47</v>
      </c>
    </row>
    <row r="38" ht="14.75"/>
    <row r="39" spans="14:15">
      <c r="N39" s="71" t="s">
        <v>3</v>
      </c>
      <c r="O39" s="78" t="s">
        <v>8</v>
      </c>
    </row>
    <row r="40" ht="14.75" spans="14:15">
      <c r="N40" s="42" t="s">
        <v>48</v>
      </c>
      <c r="O40" s="63" t="s">
        <v>49</v>
      </c>
    </row>
    <row r="41" ht="14.75"/>
    <row r="42" spans="14:14">
      <c r="N42" s="110" t="s">
        <v>7</v>
      </c>
    </row>
    <row r="43" ht="14.75" spans="14:14">
      <c r="N43" s="112" t="s">
        <v>50</v>
      </c>
    </row>
  </sheetData>
  <mergeCells count="11">
    <mergeCell ref="A1:L1"/>
    <mergeCell ref="N2:O2"/>
    <mergeCell ref="N8:O8"/>
    <mergeCell ref="N12:O12"/>
    <mergeCell ref="A15:L15"/>
    <mergeCell ref="N18:O18"/>
    <mergeCell ref="N24:O24"/>
    <mergeCell ref="A25:D25"/>
    <mergeCell ref="F27:K27"/>
    <mergeCell ref="F28:K28"/>
    <mergeCell ref="F29:K29"/>
  </mergeCells>
  <pageMargins left="0.25" right="0.25" top="0.75" bottom="0.75" header="0.3" footer="0.3"/>
  <pageSetup paperSize="9" scale="26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42"/>
  <sheetViews>
    <sheetView workbookViewId="0">
      <selection activeCell="N42" sqref="N42"/>
    </sheetView>
  </sheetViews>
  <sheetFormatPr defaultColWidth="9" defaultRowHeight="14"/>
  <cols>
    <col min="1" max="1" width="7.125" customWidth="1"/>
    <col min="3" max="3" width="8" customWidth="1"/>
    <col min="4" max="4" width="7.125" customWidth="1"/>
    <col min="5" max="5" width="6" customWidth="1"/>
    <col min="6" max="7" width="7.125" customWidth="1"/>
    <col min="8" max="8" width="9.5" customWidth="1"/>
    <col min="9" max="9" width="7.125" customWidth="1"/>
    <col min="10" max="10" width="8" customWidth="1"/>
    <col min="11" max="11" width="7.125" customWidth="1"/>
    <col min="12" max="12" width="5.25" customWidth="1"/>
    <col min="13" max="13" width="3.625" customWidth="1"/>
    <col min="14" max="14" width="7.25" customWidth="1"/>
    <col min="15" max="15" width="10.25" customWidth="1"/>
    <col min="16" max="16" width="6" customWidth="1"/>
  </cols>
  <sheetData>
    <row r="1" ht="14.75" spans="1:12">
      <c r="A1" s="36" t="s">
        <v>51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>
      <c r="A2" s="37" t="s">
        <v>52</v>
      </c>
      <c r="B2" s="38" t="s">
        <v>53</v>
      </c>
      <c r="C2" s="38" t="s">
        <v>54</v>
      </c>
      <c r="D2" s="38" t="s">
        <v>55</v>
      </c>
      <c r="E2" s="38" t="s">
        <v>56</v>
      </c>
      <c r="F2" s="38" t="s">
        <v>57</v>
      </c>
      <c r="G2" s="38" t="s">
        <v>58</v>
      </c>
      <c r="H2" s="38" t="s">
        <v>59</v>
      </c>
      <c r="I2" s="38" t="s">
        <v>60</v>
      </c>
      <c r="J2" s="38" t="s">
        <v>61</v>
      </c>
      <c r="K2" s="38" t="s">
        <v>62</v>
      </c>
      <c r="L2" s="46" t="s">
        <v>63</v>
      </c>
      <c r="N2" s="40" t="s">
        <v>52</v>
      </c>
      <c r="O2" s="40" t="s">
        <v>53</v>
      </c>
    </row>
    <row r="3" spans="1:15">
      <c r="A3" s="41" t="s">
        <v>64</v>
      </c>
      <c r="B3" s="40" t="str">
        <f>VLOOKUP(A3,$N$3:$O$6,2,0)</f>
        <v>北陸商事</v>
      </c>
      <c r="C3" s="40">
        <v>101</v>
      </c>
      <c r="D3" s="40" t="str">
        <f>VLOOKUP(C3,$N$9:$P$12,2,0)</f>
        <v>商品A</v>
      </c>
      <c r="E3" s="74">
        <f>ROUNDUP(VLOOKUP(C3,$N$9:$P$12,3,0)*0.9,-1)</f>
        <v>2590</v>
      </c>
      <c r="F3" s="40">
        <v>130</v>
      </c>
      <c r="G3" s="40">
        <v>118</v>
      </c>
      <c r="H3" s="74">
        <f>E3*G3</f>
        <v>305620</v>
      </c>
      <c r="I3" s="86">
        <f>VLOOKUP(RIGHT(A3,1),$N$15:$O$17,2,0)</f>
        <v>0.117</v>
      </c>
      <c r="J3" s="74">
        <f>ROUND(H3*I3,-1)</f>
        <v>35760</v>
      </c>
      <c r="K3" s="74">
        <f>ROUNDUP(IF(OR(G3&gt;=190,H3&gt;=510000),J3*12.8%,J3*11.4%),0)</f>
        <v>4077</v>
      </c>
      <c r="L3" s="62" t="str">
        <f>IF(AND(H3&gt;=500000,J3&gt;=57000),"**","*")</f>
        <v>*</v>
      </c>
      <c r="N3" s="40" t="s">
        <v>64</v>
      </c>
      <c r="O3" s="40" t="s">
        <v>65</v>
      </c>
    </row>
    <row r="4" spans="1:15">
      <c r="A4" s="41" t="s">
        <v>64</v>
      </c>
      <c r="B4" s="40" t="str">
        <f t="shared" ref="B4:B18" si="0">VLOOKUP(A4,$N$3:$O$6,2,0)</f>
        <v>北陸商事</v>
      </c>
      <c r="C4" s="40">
        <v>102</v>
      </c>
      <c r="D4" s="40" t="str">
        <f t="shared" ref="D4:D18" si="1">VLOOKUP(C4,$N$9:$P$12,2,0)</f>
        <v>商品B</v>
      </c>
      <c r="E4" s="74">
        <f t="shared" ref="E4:E18" si="2">ROUNDUP(VLOOKUP(C4,$N$9:$P$12,3,0)*0.9,-1)</f>
        <v>2760</v>
      </c>
      <c r="F4" s="40">
        <v>210</v>
      </c>
      <c r="G4" s="40">
        <v>190</v>
      </c>
      <c r="H4" s="74">
        <f t="shared" ref="H4:H18" si="3">E4*G4</f>
        <v>524400</v>
      </c>
      <c r="I4" s="86">
        <f t="shared" ref="I4:I18" si="4">VLOOKUP(RIGHT(A4,1),$N$15:$O$17,2,0)</f>
        <v>0.117</v>
      </c>
      <c r="J4" s="74">
        <f t="shared" ref="J4:J18" si="5">ROUND(H4*I4,-1)</f>
        <v>61350</v>
      </c>
      <c r="K4" s="74">
        <f t="shared" ref="K4:K18" si="6">ROUNDUP(IF(OR(G4&gt;=190,H4&gt;=510000),J4*12.8%,J4*11.4%),0)</f>
        <v>7853</v>
      </c>
      <c r="L4" s="62" t="str">
        <f t="shared" ref="L4:L18" si="7">IF(AND(H4&gt;=500000,J4&gt;=57000),"**","*")</f>
        <v>**</v>
      </c>
      <c r="N4" s="40" t="s">
        <v>66</v>
      </c>
      <c r="O4" s="40" t="s">
        <v>67</v>
      </c>
    </row>
    <row r="5" spans="1:15">
      <c r="A5" s="41" t="s">
        <v>64</v>
      </c>
      <c r="B5" s="40" t="str">
        <f t="shared" si="0"/>
        <v>北陸商事</v>
      </c>
      <c r="C5" s="40">
        <v>103</v>
      </c>
      <c r="D5" s="40" t="str">
        <f t="shared" si="1"/>
        <v>商品C</v>
      </c>
      <c r="E5" s="74">
        <f t="shared" si="2"/>
        <v>2430</v>
      </c>
      <c r="F5" s="40">
        <v>226</v>
      </c>
      <c r="G5" s="40">
        <v>211</v>
      </c>
      <c r="H5" s="74">
        <f t="shared" si="3"/>
        <v>512730</v>
      </c>
      <c r="I5" s="86">
        <f t="shared" si="4"/>
        <v>0.117</v>
      </c>
      <c r="J5" s="74">
        <f t="shared" si="5"/>
        <v>59990</v>
      </c>
      <c r="K5" s="74">
        <f t="shared" si="6"/>
        <v>7679</v>
      </c>
      <c r="L5" s="62" t="str">
        <f t="shared" si="7"/>
        <v>**</v>
      </c>
      <c r="N5" s="40" t="s">
        <v>68</v>
      </c>
      <c r="O5" s="40" t="s">
        <v>69</v>
      </c>
    </row>
    <row r="6" spans="1:15">
      <c r="A6" s="41" t="s">
        <v>64</v>
      </c>
      <c r="B6" s="40" t="str">
        <f t="shared" si="0"/>
        <v>北陸商事</v>
      </c>
      <c r="C6" s="40">
        <v>104</v>
      </c>
      <c r="D6" s="40" t="str">
        <f t="shared" si="1"/>
        <v>商品D</v>
      </c>
      <c r="E6" s="74">
        <f t="shared" si="2"/>
        <v>3160</v>
      </c>
      <c r="F6" s="40">
        <v>117</v>
      </c>
      <c r="G6" s="40">
        <v>98</v>
      </c>
      <c r="H6" s="74">
        <f t="shared" si="3"/>
        <v>309680</v>
      </c>
      <c r="I6" s="86">
        <f t="shared" si="4"/>
        <v>0.117</v>
      </c>
      <c r="J6" s="74">
        <f t="shared" si="5"/>
        <v>36230</v>
      </c>
      <c r="K6" s="74">
        <f t="shared" si="6"/>
        <v>4131</v>
      </c>
      <c r="L6" s="62" t="str">
        <f t="shared" si="7"/>
        <v>*</v>
      </c>
      <c r="N6" s="40" t="s">
        <v>70</v>
      </c>
      <c r="O6" s="40" t="s">
        <v>71</v>
      </c>
    </row>
    <row r="7" spans="1:12">
      <c r="A7" s="41" t="s">
        <v>66</v>
      </c>
      <c r="B7" s="40" t="str">
        <f t="shared" si="0"/>
        <v>大川電機</v>
      </c>
      <c r="C7" s="40">
        <v>101</v>
      </c>
      <c r="D7" s="40" t="str">
        <f t="shared" si="1"/>
        <v>商品A</v>
      </c>
      <c r="E7" s="74">
        <f t="shared" si="2"/>
        <v>2590</v>
      </c>
      <c r="F7" s="40">
        <v>208</v>
      </c>
      <c r="G7" s="40">
        <v>193</v>
      </c>
      <c r="H7" s="74">
        <f t="shared" si="3"/>
        <v>499870</v>
      </c>
      <c r="I7" s="86">
        <f t="shared" si="4"/>
        <v>0.126</v>
      </c>
      <c r="J7" s="74">
        <f t="shared" si="5"/>
        <v>62980</v>
      </c>
      <c r="K7" s="74">
        <f t="shared" si="6"/>
        <v>8062</v>
      </c>
      <c r="L7" s="62" t="str">
        <f t="shared" si="7"/>
        <v>*</v>
      </c>
    </row>
    <row r="8" spans="1:16">
      <c r="A8" s="41" t="s">
        <v>66</v>
      </c>
      <c r="B8" s="40" t="str">
        <f t="shared" si="0"/>
        <v>大川電機</v>
      </c>
      <c r="C8" s="40">
        <v>102</v>
      </c>
      <c r="D8" s="40" t="str">
        <f t="shared" si="1"/>
        <v>商品B</v>
      </c>
      <c r="E8" s="74">
        <f t="shared" si="2"/>
        <v>2760</v>
      </c>
      <c r="F8" s="40">
        <v>146</v>
      </c>
      <c r="G8" s="40">
        <v>133</v>
      </c>
      <c r="H8" s="74">
        <f t="shared" si="3"/>
        <v>367080</v>
      </c>
      <c r="I8" s="86">
        <f t="shared" si="4"/>
        <v>0.126</v>
      </c>
      <c r="J8" s="74">
        <f t="shared" si="5"/>
        <v>46250</v>
      </c>
      <c r="K8" s="74">
        <f t="shared" si="6"/>
        <v>5273</v>
      </c>
      <c r="L8" s="62" t="str">
        <f t="shared" si="7"/>
        <v>*</v>
      </c>
      <c r="N8" s="40" t="s">
        <v>54</v>
      </c>
      <c r="O8" s="40" t="s">
        <v>55</v>
      </c>
      <c r="P8" s="40" t="s">
        <v>72</v>
      </c>
    </row>
    <row r="9" spans="1:16">
      <c r="A9" s="41" t="s">
        <v>66</v>
      </c>
      <c r="B9" s="40" t="str">
        <f t="shared" si="0"/>
        <v>大川電機</v>
      </c>
      <c r="C9" s="40">
        <v>103</v>
      </c>
      <c r="D9" s="40" t="str">
        <f t="shared" si="1"/>
        <v>商品C</v>
      </c>
      <c r="E9" s="74">
        <f t="shared" si="2"/>
        <v>2430</v>
      </c>
      <c r="F9" s="40">
        <v>116</v>
      </c>
      <c r="G9" s="40">
        <v>104</v>
      </c>
      <c r="H9" s="74">
        <f t="shared" si="3"/>
        <v>252720</v>
      </c>
      <c r="I9" s="86">
        <f t="shared" si="4"/>
        <v>0.126</v>
      </c>
      <c r="J9" s="74">
        <f t="shared" si="5"/>
        <v>31840</v>
      </c>
      <c r="K9" s="74">
        <f t="shared" si="6"/>
        <v>3630</v>
      </c>
      <c r="L9" s="62" t="str">
        <f t="shared" si="7"/>
        <v>*</v>
      </c>
      <c r="N9" s="40">
        <v>101</v>
      </c>
      <c r="O9" s="40" t="s">
        <v>73</v>
      </c>
      <c r="P9" s="74">
        <v>2870</v>
      </c>
    </row>
    <row r="10" spans="1:16">
      <c r="A10" s="41" t="s">
        <v>66</v>
      </c>
      <c r="B10" s="40" t="str">
        <f t="shared" si="0"/>
        <v>大川電機</v>
      </c>
      <c r="C10" s="40">
        <v>104</v>
      </c>
      <c r="D10" s="40" t="str">
        <f t="shared" si="1"/>
        <v>商品D</v>
      </c>
      <c r="E10" s="74">
        <f t="shared" si="2"/>
        <v>3160</v>
      </c>
      <c r="F10" s="40">
        <v>193</v>
      </c>
      <c r="G10" s="40">
        <v>176</v>
      </c>
      <c r="H10" s="74">
        <f t="shared" si="3"/>
        <v>556160</v>
      </c>
      <c r="I10" s="86">
        <f t="shared" si="4"/>
        <v>0.126</v>
      </c>
      <c r="J10" s="74">
        <f t="shared" si="5"/>
        <v>70080</v>
      </c>
      <c r="K10" s="74">
        <f t="shared" si="6"/>
        <v>8971</v>
      </c>
      <c r="L10" s="62" t="str">
        <f t="shared" si="7"/>
        <v>**</v>
      </c>
      <c r="N10" s="40">
        <v>102</v>
      </c>
      <c r="O10" s="40" t="s">
        <v>74</v>
      </c>
      <c r="P10" s="74">
        <v>3060</v>
      </c>
    </row>
    <row r="11" spans="1:16">
      <c r="A11" s="41" t="s">
        <v>68</v>
      </c>
      <c r="B11" s="40" t="str">
        <f t="shared" si="0"/>
        <v>佐藤企画</v>
      </c>
      <c r="C11" s="40">
        <v>101</v>
      </c>
      <c r="D11" s="40" t="str">
        <f t="shared" si="1"/>
        <v>商品A</v>
      </c>
      <c r="E11" s="74">
        <f t="shared" si="2"/>
        <v>2590</v>
      </c>
      <c r="F11" s="40">
        <v>143</v>
      </c>
      <c r="G11" s="40">
        <v>126</v>
      </c>
      <c r="H11" s="74">
        <f t="shared" si="3"/>
        <v>326340</v>
      </c>
      <c r="I11" s="86">
        <f t="shared" si="4"/>
        <v>0.108</v>
      </c>
      <c r="J11" s="74">
        <f t="shared" si="5"/>
        <v>35240</v>
      </c>
      <c r="K11" s="74">
        <f t="shared" si="6"/>
        <v>4018</v>
      </c>
      <c r="L11" s="62" t="str">
        <f t="shared" si="7"/>
        <v>*</v>
      </c>
      <c r="N11" s="40">
        <v>103</v>
      </c>
      <c r="O11" s="40" t="s">
        <v>75</v>
      </c>
      <c r="P11" s="74">
        <v>2690</v>
      </c>
    </row>
    <row r="12" spans="1:16">
      <c r="A12" s="41" t="s">
        <v>68</v>
      </c>
      <c r="B12" s="40" t="str">
        <f t="shared" si="0"/>
        <v>佐藤企画</v>
      </c>
      <c r="C12" s="40">
        <v>102</v>
      </c>
      <c r="D12" s="40" t="str">
        <f t="shared" si="1"/>
        <v>商品B</v>
      </c>
      <c r="E12" s="74">
        <f t="shared" si="2"/>
        <v>2760</v>
      </c>
      <c r="F12" s="40">
        <v>203</v>
      </c>
      <c r="G12" s="40">
        <v>187</v>
      </c>
      <c r="H12" s="74">
        <f t="shared" si="3"/>
        <v>516120</v>
      </c>
      <c r="I12" s="86">
        <f t="shared" si="4"/>
        <v>0.108</v>
      </c>
      <c r="J12" s="74">
        <f t="shared" si="5"/>
        <v>55740</v>
      </c>
      <c r="K12" s="74">
        <f t="shared" si="6"/>
        <v>7135</v>
      </c>
      <c r="L12" s="62" t="str">
        <f t="shared" si="7"/>
        <v>*</v>
      </c>
      <c r="N12" s="40">
        <v>104</v>
      </c>
      <c r="O12" s="40" t="s">
        <v>76</v>
      </c>
      <c r="P12" s="74">
        <v>3510</v>
      </c>
    </row>
    <row r="13" spans="1:12">
      <c r="A13" s="41" t="s">
        <v>68</v>
      </c>
      <c r="B13" s="40" t="str">
        <f t="shared" si="0"/>
        <v>佐藤企画</v>
      </c>
      <c r="C13" s="40">
        <v>103</v>
      </c>
      <c r="D13" s="40" t="str">
        <f t="shared" si="1"/>
        <v>商品C</v>
      </c>
      <c r="E13" s="74">
        <f t="shared" si="2"/>
        <v>2430</v>
      </c>
      <c r="F13" s="40">
        <v>105</v>
      </c>
      <c r="G13" s="40">
        <v>89</v>
      </c>
      <c r="H13" s="74">
        <f t="shared" si="3"/>
        <v>216270</v>
      </c>
      <c r="I13" s="86">
        <f t="shared" si="4"/>
        <v>0.108</v>
      </c>
      <c r="J13" s="74">
        <f t="shared" si="5"/>
        <v>23360</v>
      </c>
      <c r="K13" s="74">
        <f t="shared" si="6"/>
        <v>2664</v>
      </c>
      <c r="L13" s="62" t="str">
        <f t="shared" si="7"/>
        <v>*</v>
      </c>
    </row>
    <row r="14" spans="1:15">
      <c r="A14" s="41" t="s">
        <v>68</v>
      </c>
      <c r="B14" s="40" t="str">
        <f t="shared" si="0"/>
        <v>佐藤企画</v>
      </c>
      <c r="C14" s="40">
        <v>104</v>
      </c>
      <c r="D14" s="40" t="str">
        <f t="shared" si="1"/>
        <v>商品D</v>
      </c>
      <c r="E14" s="74">
        <f t="shared" si="2"/>
        <v>3160</v>
      </c>
      <c r="F14" s="40">
        <v>196</v>
      </c>
      <c r="G14" s="40">
        <v>180</v>
      </c>
      <c r="H14" s="74">
        <f t="shared" si="3"/>
        <v>568800</v>
      </c>
      <c r="I14" s="86">
        <f t="shared" si="4"/>
        <v>0.108</v>
      </c>
      <c r="J14" s="74">
        <f t="shared" si="5"/>
        <v>61430</v>
      </c>
      <c r="K14" s="74">
        <f t="shared" si="6"/>
        <v>7864</v>
      </c>
      <c r="L14" s="62" t="str">
        <f t="shared" si="7"/>
        <v>**</v>
      </c>
      <c r="N14" s="40" t="s">
        <v>77</v>
      </c>
      <c r="O14" s="40" t="s">
        <v>60</v>
      </c>
    </row>
    <row r="15" spans="1:15">
      <c r="A15" s="41" t="s">
        <v>70</v>
      </c>
      <c r="B15" s="40" t="str">
        <f t="shared" si="0"/>
        <v>明光電化</v>
      </c>
      <c r="C15" s="40">
        <v>101</v>
      </c>
      <c r="D15" s="40" t="str">
        <f t="shared" si="1"/>
        <v>商品A</v>
      </c>
      <c r="E15" s="74">
        <f t="shared" si="2"/>
        <v>2590</v>
      </c>
      <c r="F15" s="40">
        <v>200</v>
      </c>
      <c r="G15" s="40">
        <v>189</v>
      </c>
      <c r="H15" s="74">
        <f t="shared" si="3"/>
        <v>489510</v>
      </c>
      <c r="I15" s="86">
        <f t="shared" si="4"/>
        <v>0.117</v>
      </c>
      <c r="J15" s="74">
        <f t="shared" si="5"/>
        <v>57270</v>
      </c>
      <c r="K15" s="74">
        <f t="shared" si="6"/>
        <v>6529</v>
      </c>
      <c r="L15" s="62" t="str">
        <f t="shared" si="7"/>
        <v>*</v>
      </c>
      <c r="N15" s="40" t="s">
        <v>78</v>
      </c>
      <c r="O15" s="68">
        <v>0.108</v>
      </c>
    </row>
    <row r="16" spans="1:15">
      <c r="A16" s="41" t="s">
        <v>70</v>
      </c>
      <c r="B16" s="40" t="str">
        <f t="shared" si="0"/>
        <v>明光電化</v>
      </c>
      <c r="C16" s="40">
        <v>102</v>
      </c>
      <c r="D16" s="40" t="str">
        <f t="shared" si="1"/>
        <v>商品B</v>
      </c>
      <c r="E16" s="74">
        <f t="shared" si="2"/>
        <v>2760</v>
      </c>
      <c r="F16" s="40">
        <v>121</v>
      </c>
      <c r="G16" s="40">
        <v>103</v>
      </c>
      <c r="H16" s="74">
        <f t="shared" si="3"/>
        <v>284280</v>
      </c>
      <c r="I16" s="86">
        <f t="shared" si="4"/>
        <v>0.117</v>
      </c>
      <c r="J16" s="74">
        <f t="shared" si="5"/>
        <v>33260</v>
      </c>
      <c r="K16" s="74">
        <f t="shared" si="6"/>
        <v>3792</v>
      </c>
      <c r="L16" s="62" t="str">
        <f t="shared" si="7"/>
        <v>*</v>
      </c>
      <c r="N16" s="40" t="s">
        <v>79</v>
      </c>
      <c r="O16" s="68">
        <v>0.117</v>
      </c>
    </row>
    <row r="17" spans="1:15">
      <c r="A17" s="41" t="s">
        <v>70</v>
      </c>
      <c r="B17" s="40" t="str">
        <f t="shared" si="0"/>
        <v>明光電化</v>
      </c>
      <c r="C17" s="40">
        <v>103</v>
      </c>
      <c r="D17" s="40" t="str">
        <f t="shared" si="1"/>
        <v>商品C</v>
      </c>
      <c r="E17" s="74">
        <f t="shared" si="2"/>
        <v>2430</v>
      </c>
      <c r="F17" s="40">
        <v>227</v>
      </c>
      <c r="G17" s="40">
        <v>210</v>
      </c>
      <c r="H17" s="74">
        <f t="shared" si="3"/>
        <v>510300</v>
      </c>
      <c r="I17" s="86">
        <f t="shared" si="4"/>
        <v>0.117</v>
      </c>
      <c r="J17" s="74">
        <f t="shared" si="5"/>
        <v>59710</v>
      </c>
      <c r="K17" s="74">
        <f t="shared" si="6"/>
        <v>7643</v>
      </c>
      <c r="L17" s="62" t="str">
        <f t="shared" si="7"/>
        <v>**</v>
      </c>
      <c r="N17" s="40" t="s">
        <v>80</v>
      </c>
      <c r="O17" s="68">
        <v>0.126</v>
      </c>
    </row>
    <row r="18" spans="1:12">
      <c r="A18" s="41" t="s">
        <v>70</v>
      </c>
      <c r="B18" s="40" t="str">
        <f t="shared" si="0"/>
        <v>明光電化</v>
      </c>
      <c r="C18" s="40">
        <v>104</v>
      </c>
      <c r="D18" s="40" t="str">
        <f t="shared" si="1"/>
        <v>商品D</v>
      </c>
      <c r="E18" s="74">
        <f t="shared" si="2"/>
        <v>3160</v>
      </c>
      <c r="F18" s="40">
        <v>183</v>
      </c>
      <c r="G18" s="40">
        <v>165</v>
      </c>
      <c r="H18" s="74">
        <f t="shared" si="3"/>
        <v>521400</v>
      </c>
      <c r="I18" s="86">
        <f t="shared" si="4"/>
        <v>0.117</v>
      </c>
      <c r="J18" s="74">
        <f t="shared" si="5"/>
        <v>61000</v>
      </c>
      <c r="K18" s="74">
        <f t="shared" si="6"/>
        <v>7808</v>
      </c>
      <c r="L18" s="62" t="str">
        <f t="shared" si="7"/>
        <v>**</v>
      </c>
    </row>
    <row r="19" spans="1:12">
      <c r="A19" s="41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62"/>
    </row>
    <row r="20" ht="14.75" spans="1:12">
      <c r="A20" s="42"/>
      <c r="B20" s="44" t="s">
        <v>31</v>
      </c>
      <c r="C20" s="43"/>
      <c r="D20" s="43"/>
      <c r="E20" s="43"/>
      <c r="F20" s="76">
        <f>SUM(F3:F18)</f>
        <v>2724</v>
      </c>
      <c r="G20" s="76">
        <f t="shared" ref="G20:K20" si="8">SUM(G3:G18)</f>
        <v>2472</v>
      </c>
      <c r="H20" s="76">
        <f t="shared" si="8"/>
        <v>6761280</v>
      </c>
      <c r="I20" s="76"/>
      <c r="J20" s="76">
        <f t="shared" si="8"/>
        <v>791490</v>
      </c>
      <c r="K20" s="76">
        <f t="shared" si="8"/>
        <v>97129</v>
      </c>
      <c r="L20" s="63"/>
    </row>
    <row r="22" ht="14.75" spans="1:12">
      <c r="A22" s="36" t="s">
        <v>81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</row>
    <row r="23" spans="1:12">
      <c r="A23" s="37" t="s">
        <v>52</v>
      </c>
      <c r="B23" s="38" t="s">
        <v>53</v>
      </c>
      <c r="C23" s="38" t="s">
        <v>54</v>
      </c>
      <c r="D23" s="38" t="s">
        <v>55</v>
      </c>
      <c r="E23" s="38" t="s">
        <v>56</v>
      </c>
      <c r="F23" s="38" t="s">
        <v>57</v>
      </c>
      <c r="G23" s="38" t="s">
        <v>58</v>
      </c>
      <c r="H23" s="38" t="s">
        <v>59</v>
      </c>
      <c r="I23" s="38" t="s">
        <v>60</v>
      </c>
      <c r="J23" s="38" t="s">
        <v>61</v>
      </c>
      <c r="K23" s="38" t="s">
        <v>62</v>
      </c>
      <c r="L23" s="46" t="s">
        <v>63</v>
      </c>
    </row>
    <row r="24" spans="1:12">
      <c r="A24" s="41" t="s">
        <v>66</v>
      </c>
      <c r="B24" s="40" t="s">
        <v>67</v>
      </c>
      <c r="C24" s="40">
        <v>104</v>
      </c>
      <c r="D24" s="40" t="s">
        <v>76</v>
      </c>
      <c r="E24" s="74">
        <v>3160</v>
      </c>
      <c r="F24" s="40">
        <v>193</v>
      </c>
      <c r="G24" s="40">
        <v>176</v>
      </c>
      <c r="H24" s="74">
        <v>556160</v>
      </c>
      <c r="I24" s="86">
        <v>0.126</v>
      </c>
      <c r="J24" s="74">
        <v>70080</v>
      </c>
      <c r="K24" s="74">
        <v>8971</v>
      </c>
      <c r="L24" s="62" t="s">
        <v>82</v>
      </c>
    </row>
    <row r="25" spans="1:12">
      <c r="A25" s="41" t="s">
        <v>68</v>
      </c>
      <c r="B25" s="40" t="s">
        <v>69</v>
      </c>
      <c r="C25" s="40">
        <v>104</v>
      </c>
      <c r="D25" s="40" t="s">
        <v>76</v>
      </c>
      <c r="E25" s="74">
        <v>3160</v>
      </c>
      <c r="F25" s="40">
        <v>196</v>
      </c>
      <c r="G25" s="40">
        <v>180</v>
      </c>
      <c r="H25" s="74">
        <v>568800</v>
      </c>
      <c r="I25" s="86">
        <v>0.108</v>
      </c>
      <c r="J25" s="74">
        <v>61430</v>
      </c>
      <c r="K25" s="74">
        <v>7864</v>
      </c>
      <c r="L25" s="62" t="s">
        <v>82</v>
      </c>
    </row>
    <row r="26" spans="1:12">
      <c r="A26" s="41" t="s">
        <v>70</v>
      </c>
      <c r="B26" s="40" t="s">
        <v>71</v>
      </c>
      <c r="C26" s="40">
        <v>104</v>
      </c>
      <c r="D26" s="40" t="s">
        <v>76</v>
      </c>
      <c r="E26" s="74">
        <v>3160</v>
      </c>
      <c r="F26" s="40">
        <v>183</v>
      </c>
      <c r="G26" s="40">
        <v>165</v>
      </c>
      <c r="H26" s="74">
        <v>521400</v>
      </c>
      <c r="I26" s="86">
        <v>0.117</v>
      </c>
      <c r="J26" s="74">
        <v>61000</v>
      </c>
      <c r="K26" s="74">
        <v>7808</v>
      </c>
      <c r="L26" s="62" t="s">
        <v>82</v>
      </c>
    </row>
    <row r="27" spans="1:14">
      <c r="A27" s="41" t="s">
        <v>68</v>
      </c>
      <c r="B27" s="40" t="s">
        <v>69</v>
      </c>
      <c r="C27" s="40">
        <v>102</v>
      </c>
      <c r="D27" s="40" t="s">
        <v>74</v>
      </c>
      <c r="E27" s="74">
        <v>2760</v>
      </c>
      <c r="F27" s="40">
        <v>203</v>
      </c>
      <c r="G27" s="40">
        <v>187</v>
      </c>
      <c r="H27" s="74">
        <v>516120</v>
      </c>
      <c r="I27" s="86">
        <v>0.108</v>
      </c>
      <c r="J27" s="74">
        <v>55740</v>
      </c>
      <c r="K27" s="74">
        <v>7135</v>
      </c>
      <c r="L27" s="62" t="s">
        <v>39</v>
      </c>
      <c r="N27" s="36"/>
    </row>
    <row r="28" spans="1:12">
      <c r="A28" s="41" t="s">
        <v>70</v>
      </c>
      <c r="B28" s="40" t="s">
        <v>71</v>
      </c>
      <c r="C28" s="40">
        <v>101</v>
      </c>
      <c r="D28" s="40" t="s">
        <v>73</v>
      </c>
      <c r="E28" s="74">
        <v>2590</v>
      </c>
      <c r="F28" s="40">
        <v>200</v>
      </c>
      <c r="G28" s="40">
        <v>189</v>
      </c>
      <c r="H28" s="74">
        <v>489510</v>
      </c>
      <c r="I28" s="86">
        <v>0.117</v>
      </c>
      <c r="J28" s="74">
        <v>57270</v>
      </c>
      <c r="K28" s="74">
        <v>6529</v>
      </c>
      <c r="L28" s="62" t="s">
        <v>39</v>
      </c>
    </row>
    <row r="29" spans="1:12">
      <c r="A29" s="41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62"/>
    </row>
    <row r="30" ht="14.75" spans="1:12">
      <c r="A30" s="42"/>
      <c r="B30" s="44" t="s">
        <v>31</v>
      </c>
      <c r="C30" s="43"/>
      <c r="D30" s="43"/>
      <c r="E30" s="43"/>
      <c r="F30" s="76">
        <f>SUM(F24:F28)</f>
        <v>975</v>
      </c>
      <c r="G30" s="76">
        <f t="shared" ref="G30:K30" si="9">SUM(G24:G28)</f>
        <v>897</v>
      </c>
      <c r="H30" s="76">
        <f t="shared" si="9"/>
        <v>2651990</v>
      </c>
      <c r="I30" s="76"/>
      <c r="J30" s="76">
        <f t="shared" si="9"/>
        <v>305520</v>
      </c>
      <c r="K30" s="76">
        <f t="shared" si="9"/>
        <v>38307</v>
      </c>
      <c r="L30" s="63"/>
    </row>
    <row r="32" ht="14.75" spans="1:4">
      <c r="A32" s="36" t="s">
        <v>83</v>
      </c>
      <c r="B32" s="36"/>
      <c r="C32" s="36"/>
      <c r="D32" s="36"/>
    </row>
    <row r="33" spans="1:9">
      <c r="A33" s="37" t="s">
        <v>55</v>
      </c>
      <c r="B33" s="38" t="s">
        <v>58</v>
      </c>
      <c r="C33" s="38" t="s">
        <v>61</v>
      </c>
      <c r="D33" s="46" t="s">
        <v>62</v>
      </c>
      <c r="F33" s="59" t="s">
        <v>55</v>
      </c>
      <c r="G33" s="59" t="s">
        <v>55</v>
      </c>
      <c r="H33" s="59" t="s">
        <v>55</v>
      </c>
      <c r="I33" s="59" t="s">
        <v>55</v>
      </c>
    </row>
    <row r="34" spans="1:9">
      <c r="A34" s="41" t="s">
        <v>73</v>
      </c>
      <c r="B34" s="74">
        <f>DSUM(委託販売一覧表2,B$33,$F$33:$F$34)</f>
        <v>626</v>
      </c>
      <c r="C34" s="74">
        <f>DSUM(委託販売一覧表2,C$33,$F$33:$F$34)</f>
        <v>191250</v>
      </c>
      <c r="D34" s="75">
        <f>DSUM(委託販売一覧表2,D$33,$F$33:$F$34)</f>
        <v>22686</v>
      </c>
      <c r="F34" s="40" t="s">
        <v>73</v>
      </c>
      <c r="G34" s="40" t="s">
        <v>74</v>
      </c>
      <c r="H34" s="40" t="s">
        <v>75</v>
      </c>
      <c r="I34" s="40" t="s">
        <v>76</v>
      </c>
    </row>
    <row r="35" spans="1:15">
      <c r="A35" s="41" t="s">
        <v>74</v>
      </c>
      <c r="B35" s="74">
        <f>DSUM(委託販売一覧表2,B$33,$G$33:$G$34)</f>
        <v>613</v>
      </c>
      <c r="C35" s="74">
        <f>DSUM(委託販売一覧表2,C$33,$G$33:$G$34)</f>
        <v>196600</v>
      </c>
      <c r="D35" s="75">
        <f>DSUM(委託販売一覧表2,D$33,$G$33:$G$34)</f>
        <v>24053</v>
      </c>
      <c r="N35" s="59" t="s">
        <v>57</v>
      </c>
      <c r="O35" s="59" t="s">
        <v>57</v>
      </c>
    </row>
    <row r="36" spans="1:15">
      <c r="A36" s="41" t="s">
        <v>75</v>
      </c>
      <c r="B36" s="74">
        <f>DSUM(委託販売一覧表2,B$33,$H$33:$H$34)</f>
        <v>614</v>
      </c>
      <c r="C36" s="74">
        <f>DSUM(委託販売一覧表2,C$33,$H$33:$H$34)</f>
        <v>174900</v>
      </c>
      <c r="D36" s="75">
        <f>DSUM(委託販売一覧表2,D$33,$H$33:$H$34)</f>
        <v>21616</v>
      </c>
      <c r="N36" s="40" t="s">
        <v>84</v>
      </c>
      <c r="O36" s="40" t="s">
        <v>85</v>
      </c>
    </row>
    <row r="37" ht="14.75" spans="1:4">
      <c r="A37" s="42" t="s">
        <v>76</v>
      </c>
      <c r="B37" s="76">
        <f>DSUM(委託販売一覧表2,B$33,$I$33:$I$34)</f>
        <v>619</v>
      </c>
      <c r="C37" s="76">
        <f>DSUM(委託販売一覧表2,C$33,$I$33:$I$34)</f>
        <v>228740</v>
      </c>
      <c r="D37" s="77">
        <f>DSUM(委託販売一覧表2,D$33,$I$33:$I$34)</f>
        <v>28774</v>
      </c>
    </row>
    <row r="38" spans="14:15">
      <c r="N38" s="59" t="s">
        <v>58</v>
      </c>
      <c r="O38" s="59" t="s">
        <v>61</v>
      </c>
    </row>
    <row r="39" ht="14.75" spans="14:15">
      <c r="N39" s="40" t="s">
        <v>85</v>
      </c>
      <c r="O39" s="40" t="s">
        <v>86</v>
      </c>
    </row>
    <row r="40" spans="1:8">
      <c r="A40" s="104" t="s">
        <v>87</v>
      </c>
      <c r="B40" s="105"/>
      <c r="C40" s="105"/>
      <c r="D40" s="105"/>
      <c r="E40" s="105"/>
      <c r="F40" s="105"/>
      <c r="G40" s="105"/>
      <c r="H40" s="84">
        <f>DSUM(委託販売一覧表2,K2,N35:O36)</f>
        <v>55660</v>
      </c>
    </row>
    <row r="41" spans="1:15">
      <c r="A41" s="53" t="s">
        <v>88</v>
      </c>
      <c r="B41" s="54"/>
      <c r="C41" s="54"/>
      <c r="D41" s="54"/>
      <c r="E41" s="54"/>
      <c r="F41" s="54"/>
      <c r="G41" s="54"/>
      <c r="H41" s="62">
        <f>DCOUNTA(委託販売一覧表2,A2,N38:O39)</f>
        <v>7</v>
      </c>
      <c r="N41" s="59" t="s">
        <v>54</v>
      </c>
      <c r="O41" s="59" t="s">
        <v>59</v>
      </c>
    </row>
    <row r="42" ht="14.75" spans="1:15">
      <c r="A42" s="55" t="s">
        <v>89</v>
      </c>
      <c r="B42" s="56"/>
      <c r="C42" s="56"/>
      <c r="D42" s="56"/>
      <c r="E42" s="56"/>
      <c r="F42" s="56"/>
      <c r="G42" s="56"/>
      <c r="H42" s="63">
        <f>ROUND(DAVERAGE(委託販売一覧表2,J2,N41:O42),0)</f>
        <v>61407</v>
      </c>
      <c r="N42" s="40" t="s">
        <v>90</v>
      </c>
      <c r="O42" s="40" t="s">
        <v>91</v>
      </c>
    </row>
  </sheetData>
  <sortState ref="A24:L28">
    <sortCondition ref="K23" descending="1"/>
  </sortState>
  <mergeCells count="6">
    <mergeCell ref="A1:L1"/>
    <mergeCell ref="A22:L22"/>
    <mergeCell ref="A32:D32"/>
    <mergeCell ref="A40:G40"/>
    <mergeCell ref="A41:G41"/>
    <mergeCell ref="A42:G42"/>
  </mergeCells>
  <pageMargins left="0.25" right="0.25" top="0.75" bottom="0.75" header="0.3" footer="0.3"/>
  <pageSetup paperSize="9" scale="7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42"/>
  <sheetViews>
    <sheetView showFormulas="1" topLeftCell="I1" workbookViewId="0">
      <selection activeCell="A2" sqref="A$1:P$1048576"/>
    </sheetView>
  </sheetViews>
  <sheetFormatPr defaultColWidth="9" defaultRowHeight="14"/>
  <cols>
    <col min="1" max="1" width="3.625" customWidth="1"/>
    <col min="2" max="3" width="22.375" customWidth="1"/>
    <col min="4" max="4" width="22.5" customWidth="1"/>
    <col min="5" max="5" width="25.875" customWidth="1"/>
    <col min="6" max="6" width="8.125" customWidth="1"/>
    <col min="7" max="7" width="8.375" customWidth="1"/>
    <col min="8" max="8" width="26.25" customWidth="1"/>
    <col min="9" max="9" width="22" customWidth="1"/>
    <col min="10" max="10" width="10.75" customWidth="1"/>
    <col min="11" max="11" width="34.5" customWidth="1"/>
    <col min="12" max="12" width="22.75" customWidth="1"/>
    <col min="13" max="13" width="3.625" customWidth="1"/>
    <col min="14" max="14" width="3.75" customWidth="1"/>
    <col min="15" max="15" width="5.25" customWidth="1"/>
    <col min="16" max="16" width="2.875" customWidth="1"/>
  </cols>
  <sheetData>
    <row r="1" ht="14.75" spans="1:12">
      <c r="A1" s="36" t="s">
        <v>51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>
      <c r="A2" s="37" t="s">
        <v>52</v>
      </c>
      <c r="B2" s="38" t="s">
        <v>53</v>
      </c>
      <c r="C2" s="38" t="s">
        <v>54</v>
      </c>
      <c r="D2" s="38" t="s">
        <v>55</v>
      </c>
      <c r="E2" s="38" t="s">
        <v>56</v>
      </c>
      <c r="F2" s="38" t="s">
        <v>57</v>
      </c>
      <c r="G2" s="38" t="s">
        <v>58</v>
      </c>
      <c r="H2" s="38" t="s">
        <v>59</v>
      </c>
      <c r="I2" s="38" t="s">
        <v>60</v>
      </c>
      <c r="J2" s="38" t="s">
        <v>61</v>
      </c>
      <c r="K2" s="38" t="s">
        <v>62</v>
      </c>
      <c r="L2" s="46" t="s">
        <v>63</v>
      </c>
      <c r="N2" s="40" t="s">
        <v>52</v>
      </c>
      <c r="O2" s="40" t="s">
        <v>53</v>
      </c>
    </row>
    <row r="3" spans="1:15">
      <c r="A3" s="41" t="s">
        <v>64</v>
      </c>
      <c r="B3" s="40" t="str">
        <f>VLOOKUP(A3,$N$3:$O$6,2,0)</f>
        <v>北陸商事</v>
      </c>
      <c r="C3" s="40">
        <v>101</v>
      </c>
      <c r="D3" s="40" t="str">
        <f>VLOOKUP(C3,$N$9:$P$12,2,0)</f>
        <v>商品A</v>
      </c>
      <c r="E3" s="74">
        <f>ROUNDUP(VLOOKUP(C3,$N$9:$P$12,3,0)*0.9,-1)</f>
        <v>2590</v>
      </c>
      <c r="F3" s="40">
        <v>130</v>
      </c>
      <c r="G3" s="40">
        <v>118</v>
      </c>
      <c r="H3" s="74">
        <f>E3*G3</f>
        <v>305620</v>
      </c>
      <c r="I3" s="86">
        <f>VLOOKUP(RIGHT(A3,1),$N$15:$O$17,2,0)</f>
        <v>0.117</v>
      </c>
      <c r="J3" s="74">
        <f>ROUND(H3*I3,-1)</f>
        <v>35760</v>
      </c>
      <c r="K3" s="74">
        <f>ROUNDUP(IF(OR(G3&gt;=190,H3&gt;=510000),J3*12.8%,J3*11.4%),0)</f>
        <v>4077</v>
      </c>
      <c r="L3" s="62" t="str">
        <f>IF(AND(H3&gt;=500000,J3&gt;=57000),"**","*")</f>
        <v>*</v>
      </c>
      <c r="N3" s="40" t="s">
        <v>64</v>
      </c>
      <c r="O3" s="40" t="s">
        <v>65</v>
      </c>
    </row>
    <row r="4" spans="1:15">
      <c r="A4" s="41" t="s">
        <v>64</v>
      </c>
      <c r="B4" s="40" t="str">
        <f t="shared" ref="B4:B18" si="0">VLOOKUP(A4,$N$3:$O$6,2,0)</f>
        <v>北陸商事</v>
      </c>
      <c r="C4" s="40">
        <v>102</v>
      </c>
      <c r="D4" s="40" t="str">
        <f t="shared" ref="D4:D18" si="1">VLOOKUP(C4,$N$9:$P$12,2,0)</f>
        <v>商品B</v>
      </c>
      <c r="E4" s="74">
        <f t="shared" ref="E4:E18" si="2">ROUNDUP(VLOOKUP(C4,$N$9:$P$12,3,0)*0.9,-1)</f>
        <v>2760</v>
      </c>
      <c r="F4" s="40">
        <v>210</v>
      </c>
      <c r="G4" s="40">
        <v>190</v>
      </c>
      <c r="H4" s="74">
        <f t="shared" ref="H4:H18" si="3">E4*G4</f>
        <v>524400</v>
      </c>
      <c r="I4" s="86">
        <f t="shared" ref="I4:I18" si="4">VLOOKUP(RIGHT(A4,1),$N$15:$O$17,2,0)</f>
        <v>0.117</v>
      </c>
      <c r="J4" s="74">
        <f t="shared" ref="J4:J18" si="5">ROUND(H4*I4,-1)</f>
        <v>61350</v>
      </c>
      <c r="K4" s="74">
        <f t="shared" ref="K4:K18" si="6">ROUNDUP(IF(OR(G4&gt;=190,H4&gt;=510000),J4*12.8%,J4*11.4%),0)</f>
        <v>7853</v>
      </c>
      <c r="L4" s="62" t="str">
        <f t="shared" ref="L4:L18" si="7">IF(AND(H4&gt;=500000,J4&gt;=57000),"**","*")</f>
        <v>**</v>
      </c>
      <c r="N4" s="40" t="s">
        <v>66</v>
      </c>
      <c r="O4" s="40" t="s">
        <v>67</v>
      </c>
    </row>
    <row r="5" spans="1:15">
      <c r="A5" s="41" t="s">
        <v>64</v>
      </c>
      <c r="B5" s="40" t="str">
        <f t="shared" si="0"/>
        <v>北陸商事</v>
      </c>
      <c r="C5" s="40">
        <v>103</v>
      </c>
      <c r="D5" s="40" t="str">
        <f t="shared" si="1"/>
        <v>商品C</v>
      </c>
      <c r="E5" s="74">
        <f t="shared" si="2"/>
        <v>2430</v>
      </c>
      <c r="F5" s="40">
        <v>226</v>
      </c>
      <c r="G5" s="40">
        <v>211</v>
      </c>
      <c r="H5" s="74">
        <f t="shared" si="3"/>
        <v>512730</v>
      </c>
      <c r="I5" s="86">
        <f t="shared" si="4"/>
        <v>0.117</v>
      </c>
      <c r="J5" s="74">
        <f t="shared" si="5"/>
        <v>59990</v>
      </c>
      <c r="K5" s="74">
        <f t="shared" si="6"/>
        <v>7679</v>
      </c>
      <c r="L5" s="62" t="str">
        <f t="shared" si="7"/>
        <v>**</v>
      </c>
      <c r="N5" s="40" t="s">
        <v>68</v>
      </c>
      <c r="O5" s="40" t="s">
        <v>69</v>
      </c>
    </row>
    <row r="6" spans="1:15">
      <c r="A6" s="41" t="s">
        <v>64</v>
      </c>
      <c r="B6" s="40" t="str">
        <f t="shared" si="0"/>
        <v>北陸商事</v>
      </c>
      <c r="C6" s="40">
        <v>104</v>
      </c>
      <c r="D6" s="40" t="str">
        <f t="shared" si="1"/>
        <v>商品D</v>
      </c>
      <c r="E6" s="74">
        <f t="shared" si="2"/>
        <v>3160</v>
      </c>
      <c r="F6" s="40">
        <v>117</v>
      </c>
      <c r="G6" s="40">
        <v>98</v>
      </c>
      <c r="H6" s="74">
        <f t="shared" si="3"/>
        <v>309680</v>
      </c>
      <c r="I6" s="86">
        <f t="shared" si="4"/>
        <v>0.117</v>
      </c>
      <c r="J6" s="74">
        <f t="shared" si="5"/>
        <v>36230</v>
      </c>
      <c r="K6" s="74">
        <f t="shared" si="6"/>
        <v>4131</v>
      </c>
      <c r="L6" s="62" t="str">
        <f t="shared" si="7"/>
        <v>*</v>
      </c>
      <c r="N6" s="40" t="s">
        <v>70</v>
      </c>
      <c r="O6" s="40" t="s">
        <v>71</v>
      </c>
    </row>
    <row r="7" spans="1:12">
      <c r="A7" s="41" t="s">
        <v>66</v>
      </c>
      <c r="B7" s="40" t="str">
        <f t="shared" si="0"/>
        <v>大川電機</v>
      </c>
      <c r="C7" s="40">
        <v>101</v>
      </c>
      <c r="D7" s="40" t="str">
        <f t="shared" si="1"/>
        <v>商品A</v>
      </c>
      <c r="E7" s="74">
        <f t="shared" si="2"/>
        <v>2590</v>
      </c>
      <c r="F7" s="40">
        <v>208</v>
      </c>
      <c r="G7" s="40">
        <v>193</v>
      </c>
      <c r="H7" s="74">
        <f t="shared" si="3"/>
        <v>499870</v>
      </c>
      <c r="I7" s="86">
        <f t="shared" si="4"/>
        <v>0.126</v>
      </c>
      <c r="J7" s="74">
        <f t="shared" si="5"/>
        <v>62980</v>
      </c>
      <c r="K7" s="74">
        <f t="shared" si="6"/>
        <v>8062</v>
      </c>
      <c r="L7" s="62" t="str">
        <f t="shared" si="7"/>
        <v>*</v>
      </c>
    </row>
    <row r="8" spans="1:16">
      <c r="A8" s="41" t="s">
        <v>66</v>
      </c>
      <c r="B8" s="40" t="str">
        <f t="shared" si="0"/>
        <v>大川電機</v>
      </c>
      <c r="C8" s="40">
        <v>102</v>
      </c>
      <c r="D8" s="40" t="str">
        <f t="shared" si="1"/>
        <v>商品B</v>
      </c>
      <c r="E8" s="74">
        <f t="shared" si="2"/>
        <v>2760</v>
      </c>
      <c r="F8" s="40">
        <v>146</v>
      </c>
      <c r="G8" s="40">
        <v>133</v>
      </c>
      <c r="H8" s="74">
        <f t="shared" si="3"/>
        <v>367080</v>
      </c>
      <c r="I8" s="86">
        <f t="shared" si="4"/>
        <v>0.126</v>
      </c>
      <c r="J8" s="74">
        <f t="shared" si="5"/>
        <v>46250</v>
      </c>
      <c r="K8" s="74">
        <f t="shared" si="6"/>
        <v>5273</v>
      </c>
      <c r="L8" s="62" t="str">
        <f t="shared" si="7"/>
        <v>*</v>
      </c>
      <c r="N8" s="40" t="s">
        <v>54</v>
      </c>
      <c r="O8" s="40" t="s">
        <v>55</v>
      </c>
      <c r="P8" s="40" t="s">
        <v>72</v>
      </c>
    </row>
    <row r="9" spans="1:16">
      <c r="A9" s="41" t="s">
        <v>66</v>
      </c>
      <c r="B9" s="40" t="str">
        <f t="shared" si="0"/>
        <v>大川電機</v>
      </c>
      <c r="C9" s="40">
        <v>103</v>
      </c>
      <c r="D9" s="40" t="str">
        <f t="shared" si="1"/>
        <v>商品C</v>
      </c>
      <c r="E9" s="74">
        <f t="shared" si="2"/>
        <v>2430</v>
      </c>
      <c r="F9" s="40">
        <v>116</v>
      </c>
      <c r="G9" s="40">
        <v>104</v>
      </c>
      <c r="H9" s="74">
        <f t="shared" si="3"/>
        <v>252720</v>
      </c>
      <c r="I9" s="86">
        <f t="shared" si="4"/>
        <v>0.126</v>
      </c>
      <c r="J9" s="74">
        <f t="shared" si="5"/>
        <v>31840</v>
      </c>
      <c r="K9" s="74">
        <f t="shared" si="6"/>
        <v>3630</v>
      </c>
      <c r="L9" s="62" t="str">
        <f t="shared" si="7"/>
        <v>*</v>
      </c>
      <c r="N9" s="40">
        <v>101</v>
      </c>
      <c r="O9" s="40" t="s">
        <v>73</v>
      </c>
      <c r="P9" s="74">
        <v>2870</v>
      </c>
    </row>
    <row r="10" spans="1:16">
      <c r="A10" s="41" t="s">
        <v>66</v>
      </c>
      <c r="B10" s="40" t="str">
        <f t="shared" si="0"/>
        <v>大川電機</v>
      </c>
      <c r="C10" s="40">
        <v>104</v>
      </c>
      <c r="D10" s="40" t="str">
        <f t="shared" si="1"/>
        <v>商品D</v>
      </c>
      <c r="E10" s="74">
        <f t="shared" si="2"/>
        <v>3160</v>
      </c>
      <c r="F10" s="40">
        <v>193</v>
      </c>
      <c r="G10" s="40">
        <v>176</v>
      </c>
      <c r="H10" s="74">
        <f t="shared" si="3"/>
        <v>556160</v>
      </c>
      <c r="I10" s="86">
        <f t="shared" si="4"/>
        <v>0.126</v>
      </c>
      <c r="J10" s="74">
        <f t="shared" si="5"/>
        <v>70080</v>
      </c>
      <c r="K10" s="74">
        <f t="shared" si="6"/>
        <v>8971</v>
      </c>
      <c r="L10" s="62" t="str">
        <f t="shared" si="7"/>
        <v>**</v>
      </c>
      <c r="N10" s="40">
        <v>102</v>
      </c>
      <c r="O10" s="40" t="s">
        <v>74</v>
      </c>
      <c r="P10" s="74">
        <v>3060</v>
      </c>
    </row>
    <row r="11" spans="1:16">
      <c r="A11" s="41" t="s">
        <v>68</v>
      </c>
      <c r="B11" s="40" t="str">
        <f t="shared" si="0"/>
        <v>佐藤企画</v>
      </c>
      <c r="C11" s="40">
        <v>101</v>
      </c>
      <c r="D11" s="40" t="str">
        <f t="shared" si="1"/>
        <v>商品A</v>
      </c>
      <c r="E11" s="74">
        <f t="shared" si="2"/>
        <v>2590</v>
      </c>
      <c r="F11" s="40">
        <v>143</v>
      </c>
      <c r="G11" s="40">
        <v>126</v>
      </c>
      <c r="H11" s="74">
        <f t="shared" si="3"/>
        <v>326340</v>
      </c>
      <c r="I11" s="86">
        <f t="shared" si="4"/>
        <v>0.108</v>
      </c>
      <c r="J11" s="74">
        <f t="shared" si="5"/>
        <v>35240</v>
      </c>
      <c r="K11" s="74">
        <f t="shared" si="6"/>
        <v>4018</v>
      </c>
      <c r="L11" s="62" t="str">
        <f t="shared" si="7"/>
        <v>*</v>
      </c>
      <c r="N11" s="40">
        <v>103</v>
      </c>
      <c r="O11" s="40" t="s">
        <v>75</v>
      </c>
      <c r="P11" s="74">
        <v>2690</v>
      </c>
    </row>
    <row r="12" spans="1:16">
      <c r="A12" s="41" t="s">
        <v>68</v>
      </c>
      <c r="B12" s="40" t="str">
        <f t="shared" si="0"/>
        <v>佐藤企画</v>
      </c>
      <c r="C12" s="40">
        <v>102</v>
      </c>
      <c r="D12" s="40" t="str">
        <f t="shared" si="1"/>
        <v>商品B</v>
      </c>
      <c r="E12" s="74">
        <f t="shared" si="2"/>
        <v>2760</v>
      </c>
      <c r="F12" s="40">
        <v>203</v>
      </c>
      <c r="G12" s="40">
        <v>187</v>
      </c>
      <c r="H12" s="74">
        <f t="shared" si="3"/>
        <v>516120</v>
      </c>
      <c r="I12" s="86">
        <f t="shared" si="4"/>
        <v>0.108</v>
      </c>
      <c r="J12" s="74">
        <f t="shared" si="5"/>
        <v>55740</v>
      </c>
      <c r="K12" s="74">
        <f t="shared" si="6"/>
        <v>7135</v>
      </c>
      <c r="L12" s="62" t="str">
        <f t="shared" si="7"/>
        <v>*</v>
      </c>
      <c r="N12" s="40">
        <v>104</v>
      </c>
      <c r="O12" s="40" t="s">
        <v>76</v>
      </c>
      <c r="P12" s="74">
        <v>3510</v>
      </c>
    </row>
    <row r="13" spans="1:12">
      <c r="A13" s="41" t="s">
        <v>68</v>
      </c>
      <c r="B13" s="40" t="str">
        <f t="shared" si="0"/>
        <v>佐藤企画</v>
      </c>
      <c r="C13" s="40">
        <v>103</v>
      </c>
      <c r="D13" s="40" t="str">
        <f t="shared" si="1"/>
        <v>商品C</v>
      </c>
      <c r="E13" s="74">
        <f t="shared" si="2"/>
        <v>2430</v>
      </c>
      <c r="F13" s="40">
        <v>105</v>
      </c>
      <c r="G13" s="40">
        <v>89</v>
      </c>
      <c r="H13" s="74">
        <f t="shared" si="3"/>
        <v>216270</v>
      </c>
      <c r="I13" s="86">
        <f t="shared" si="4"/>
        <v>0.108</v>
      </c>
      <c r="J13" s="74">
        <f t="shared" si="5"/>
        <v>23360</v>
      </c>
      <c r="K13" s="74">
        <f t="shared" si="6"/>
        <v>2664</v>
      </c>
      <c r="L13" s="62" t="str">
        <f t="shared" si="7"/>
        <v>*</v>
      </c>
    </row>
    <row r="14" spans="1:15">
      <c r="A14" s="41" t="s">
        <v>68</v>
      </c>
      <c r="B14" s="40" t="str">
        <f t="shared" si="0"/>
        <v>佐藤企画</v>
      </c>
      <c r="C14" s="40">
        <v>104</v>
      </c>
      <c r="D14" s="40" t="str">
        <f t="shared" si="1"/>
        <v>商品D</v>
      </c>
      <c r="E14" s="74">
        <f t="shared" si="2"/>
        <v>3160</v>
      </c>
      <c r="F14" s="40">
        <v>196</v>
      </c>
      <c r="G14" s="40">
        <v>180</v>
      </c>
      <c r="H14" s="74">
        <f t="shared" si="3"/>
        <v>568800</v>
      </c>
      <c r="I14" s="86">
        <f t="shared" si="4"/>
        <v>0.108</v>
      </c>
      <c r="J14" s="74">
        <f t="shared" si="5"/>
        <v>61430</v>
      </c>
      <c r="K14" s="74">
        <f t="shared" si="6"/>
        <v>7864</v>
      </c>
      <c r="L14" s="62" t="str">
        <f t="shared" si="7"/>
        <v>**</v>
      </c>
      <c r="N14" s="40" t="s">
        <v>77</v>
      </c>
      <c r="O14" s="40" t="s">
        <v>60</v>
      </c>
    </row>
    <row r="15" spans="1:15">
      <c r="A15" s="41" t="s">
        <v>70</v>
      </c>
      <c r="B15" s="40" t="str">
        <f t="shared" si="0"/>
        <v>明光電化</v>
      </c>
      <c r="C15" s="40">
        <v>101</v>
      </c>
      <c r="D15" s="40" t="str">
        <f t="shared" si="1"/>
        <v>商品A</v>
      </c>
      <c r="E15" s="74">
        <f t="shared" si="2"/>
        <v>2590</v>
      </c>
      <c r="F15" s="40">
        <v>200</v>
      </c>
      <c r="G15" s="40">
        <v>189</v>
      </c>
      <c r="H15" s="74">
        <f t="shared" si="3"/>
        <v>489510</v>
      </c>
      <c r="I15" s="86">
        <f t="shared" si="4"/>
        <v>0.117</v>
      </c>
      <c r="J15" s="74">
        <f t="shared" si="5"/>
        <v>57270</v>
      </c>
      <c r="K15" s="74">
        <f t="shared" si="6"/>
        <v>6529</v>
      </c>
      <c r="L15" s="62" t="str">
        <f t="shared" si="7"/>
        <v>*</v>
      </c>
      <c r="N15" s="40" t="s">
        <v>78</v>
      </c>
      <c r="O15" s="68">
        <v>0.108</v>
      </c>
    </row>
    <row r="16" spans="1:15">
      <c r="A16" s="41" t="s">
        <v>70</v>
      </c>
      <c r="B16" s="40" t="str">
        <f t="shared" si="0"/>
        <v>明光電化</v>
      </c>
      <c r="C16" s="40">
        <v>102</v>
      </c>
      <c r="D16" s="40" t="str">
        <f t="shared" si="1"/>
        <v>商品B</v>
      </c>
      <c r="E16" s="74">
        <f t="shared" si="2"/>
        <v>2760</v>
      </c>
      <c r="F16" s="40">
        <v>121</v>
      </c>
      <c r="G16" s="40">
        <v>103</v>
      </c>
      <c r="H16" s="74">
        <f t="shared" si="3"/>
        <v>284280</v>
      </c>
      <c r="I16" s="86">
        <f t="shared" si="4"/>
        <v>0.117</v>
      </c>
      <c r="J16" s="74">
        <f t="shared" si="5"/>
        <v>33260</v>
      </c>
      <c r="K16" s="74">
        <f t="shared" si="6"/>
        <v>3792</v>
      </c>
      <c r="L16" s="62" t="str">
        <f t="shared" si="7"/>
        <v>*</v>
      </c>
      <c r="N16" s="40" t="s">
        <v>79</v>
      </c>
      <c r="O16" s="68">
        <v>0.117</v>
      </c>
    </row>
    <row r="17" spans="1:15">
      <c r="A17" s="41" t="s">
        <v>70</v>
      </c>
      <c r="B17" s="40" t="str">
        <f t="shared" si="0"/>
        <v>明光電化</v>
      </c>
      <c r="C17" s="40">
        <v>103</v>
      </c>
      <c r="D17" s="40" t="str">
        <f t="shared" si="1"/>
        <v>商品C</v>
      </c>
      <c r="E17" s="74">
        <f t="shared" si="2"/>
        <v>2430</v>
      </c>
      <c r="F17" s="40">
        <v>227</v>
      </c>
      <c r="G17" s="40">
        <v>210</v>
      </c>
      <c r="H17" s="74">
        <f t="shared" si="3"/>
        <v>510300</v>
      </c>
      <c r="I17" s="86">
        <f t="shared" si="4"/>
        <v>0.117</v>
      </c>
      <c r="J17" s="74">
        <f t="shared" si="5"/>
        <v>59710</v>
      </c>
      <c r="K17" s="74">
        <f t="shared" si="6"/>
        <v>7643</v>
      </c>
      <c r="L17" s="62" t="str">
        <f t="shared" si="7"/>
        <v>**</v>
      </c>
      <c r="N17" s="40" t="s">
        <v>80</v>
      </c>
      <c r="O17" s="68">
        <v>0.126</v>
      </c>
    </row>
    <row r="18" spans="1:12">
      <c r="A18" s="41" t="s">
        <v>70</v>
      </c>
      <c r="B18" s="40" t="str">
        <f t="shared" si="0"/>
        <v>明光電化</v>
      </c>
      <c r="C18" s="40">
        <v>104</v>
      </c>
      <c r="D18" s="40" t="str">
        <f t="shared" si="1"/>
        <v>商品D</v>
      </c>
      <c r="E18" s="74">
        <f t="shared" si="2"/>
        <v>3160</v>
      </c>
      <c r="F18" s="40">
        <v>183</v>
      </c>
      <c r="G18" s="40">
        <v>165</v>
      </c>
      <c r="H18" s="74">
        <f t="shared" si="3"/>
        <v>521400</v>
      </c>
      <c r="I18" s="86">
        <f t="shared" si="4"/>
        <v>0.117</v>
      </c>
      <c r="J18" s="74">
        <f t="shared" si="5"/>
        <v>61000</v>
      </c>
      <c r="K18" s="74">
        <f t="shared" si="6"/>
        <v>7808</v>
      </c>
      <c r="L18" s="62" t="str">
        <f t="shared" si="7"/>
        <v>**</v>
      </c>
    </row>
    <row r="19" spans="1:12">
      <c r="A19" s="41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62"/>
    </row>
    <row r="20" ht="14.75" spans="1:12">
      <c r="A20" s="42"/>
      <c r="B20" s="44" t="s">
        <v>31</v>
      </c>
      <c r="C20" s="43"/>
      <c r="D20" s="43"/>
      <c r="E20" s="43"/>
      <c r="F20" s="76">
        <f>SUM(F3:F18)</f>
        <v>2724</v>
      </c>
      <c r="G20" s="76">
        <f t="shared" ref="G20:K20" si="8">SUM(G3:G18)</f>
        <v>2472</v>
      </c>
      <c r="H20" s="76">
        <f t="shared" si="8"/>
        <v>6761280</v>
      </c>
      <c r="I20" s="76"/>
      <c r="J20" s="76">
        <f t="shared" si="8"/>
        <v>791490</v>
      </c>
      <c r="K20" s="76">
        <f t="shared" si="8"/>
        <v>97129</v>
      </c>
      <c r="L20" s="63"/>
    </row>
    <row r="22" ht="14.75" spans="1:12">
      <c r="A22" s="36" t="s">
        <v>81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</row>
    <row r="23" spans="1:12">
      <c r="A23" s="37" t="s">
        <v>52</v>
      </c>
      <c r="B23" s="38" t="s">
        <v>53</v>
      </c>
      <c r="C23" s="38" t="s">
        <v>54</v>
      </c>
      <c r="D23" s="38" t="s">
        <v>55</v>
      </c>
      <c r="E23" s="38" t="s">
        <v>56</v>
      </c>
      <c r="F23" s="38" t="s">
        <v>57</v>
      </c>
      <c r="G23" s="38" t="s">
        <v>58</v>
      </c>
      <c r="H23" s="38" t="s">
        <v>59</v>
      </c>
      <c r="I23" s="38" t="s">
        <v>60</v>
      </c>
      <c r="J23" s="38" t="s">
        <v>61</v>
      </c>
      <c r="K23" s="38" t="s">
        <v>62</v>
      </c>
      <c r="L23" s="46" t="s">
        <v>63</v>
      </c>
    </row>
    <row r="24" spans="1:12">
      <c r="A24" s="41" t="s">
        <v>66</v>
      </c>
      <c r="B24" s="40" t="s">
        <v>67</v>
      </c>
      <c r="C24" s="40">
        <v>104</v>
      </c>
      <c r="D24" s="40" t="s">
        <v>76</v>
      </c>
      <c r="E24" s="74">
        <v>3160</v>
      </c>
      <c r="F24" s="40">
        <v>193</v>
      </c>
      <c r="G24" s="40">
        <v>176</v>
      </c>
      <c r="H24" s="74">
        <v>556160</v>
      </c>
      <c r="I24" s="86">
        <v>0.126</v>
      </c>
      <c r="J24" s="74">
        <v>70080</v>
      </c>
      <c r="K24" s="74">
        <v>8971</v>
      </c>
      <c r="L24" s="62" t="s">
        <v>82</v>
      </c>
    </row>
    <row r="25" spans="1:12">
      <c r="A25" s="41" t="s">
        <v>68</v>
      </c>
      <c r="B25" s="40" t="s">
        <v>69</v>
      </c>
      <c r="C25" s="40">
        <v>104</v>
      </c>
      <c r="D25" s="40" t="s">
        <v>76</v>
      </c>
      <c r="E25" s="74">
        <v>3160</v>
      </c>
      <c r="F25" s="40">
        <v>196</v>
      </c>
      <c r="G25" s="40">
        <v>180</v>
      </c>
      <c r="H25" s="74">
        <v>568800</v>
      </c>
      <c r="I25" s="86">
        <v>0.108</v>
      </c>
      <c r="J25" s="74">
        <v>61430</v>
      </c>
      <c r="K25" s="74">
        <v>7864</v>
      </c>
      <c r="L25" s="62" t="s">
        <v>82</v>
      </c>
    </row>
    <row r="26" spans="1:12">
      <c r="A26" s="41" t="s">
        <v>70</v>
      </c>
      <c r="B26" s="40" t="s">
        <v>71</v>
      </c>
      <c r="C26" s="40">
        <v>104</v>
      </c>
      <c r="D26" s="40" t="s">
        <v>76</v>
      </c>
      <c r="E26" s="74">
        <v>3160</v>
      </c>
      <c r="F26" s="40">
        <v>183</v>
      </c>
      <c r="G26" s="40">
        <v>165</v>
      </c>
      <c r="H26" s="74">
        <v>521400</v>
      </c>
      <c r="I26" s="86">
        <v>0.117</v>
      </c>
      <c r="J26" s="74">
        <v>61000</v>
      </c>
      <c r="K26" s="74">
        <v>7808</v>
      </c>
      <c r="L26" s="62" t="s">
        <v>82</v>
      </c>
    </row>
    <row r="27" spans="1:14">
      <c r="A27" s="41" t="s">
        <v>68</v>
      </c>
      <c r="B27" s="40" t="s">
        <v>69</v>
      </c>
      <c r="C27" s="40">
        <v>102</v>
      </c>
      <c r="D27" s="40" t="s">
        <v>74</v>
      </c>
      <c r="E27" s="74">
        <v>2760</v>
      </c>
      <c r="F27" s="40">
        <v>203</v>
      </c>
      <c r="G27" s="40">
        <v>187</v>
      </c>
      <c r="H27" s="74">
        <v>516120</v>
      </c>
      <c r="I27" s="86">
        <v>0.108</v>
      </c>
      <c r="J27" s="74">
        <v>55740</v>
      </c>
      <c r="K27" s="74">
        <v>7135</v>
      </c>
      <c r="L27" s="62" t="s">
        <v>39</v>
      </c>
      <c r="N27" s="36"/>
    </row>
    <row r="28" spans="1:12">
      <c r="A28" s="41" t="s">
        <v>70</v>
      </c>
      <c r="B28" s="40" t="s">
        <v>71</v>
      </c>
      <c r="C28" s="40">
        <v>101</v>
      </c>
      <c r="D28" s="40" t="s">
        <v>73</v>
      </c>
      <c r="E28" s="74">
        <v>2590</v>
      </c>
      <c r="F28" s="40">
        <v>200</v>
      </c>
      <c r="G28" s="40">
        <v>189</v>
      </c>
      <c r="H28" s="74">
        <v>489510</v>
      </c>
      <c r="I28" s="86">
        <v>0.117</v>
      </c>
      <c r="J28" s="74">
        <v>57270</v>
      </c>
      <c r="K28" s="74">
        <v>6529</v>
      </c>
      <c r="L28" s="62" t="s">
        <v>39</v>
      </c>
    </row>
    <row r="29" spans="1:12">
      <c r="A29" s="41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62"/>
    </row>
    <row r="30" ht="14.75" spans="1:12">
      <c r="A30" s="42"/>
      <c r="B30" s="44" t="s">
        <v>31</v>
      </c>
      <c r="C30" s="43"/>
      <c r="D30" s="43"/>
      <c r="E30" s="43"/>
      <c r="F30" s="76">
        <f>SUM(F24:F28)</f>
        <v>975</v>
      </c>
      <c r="G30" s="76">
        <f t="shared" ref="G30:K30" si="9">SUM(G24:G28)</f>
        <v>897</v>
      </c>
      <c r="H30" s="76">
        <f t="shared" si="9"/>
        <v>2651990</v>
      </c>
      <c r="I30" s="76"/>
      <c r="J30" s="76">
        <f t="shared" si="9"/>
        <v>305520</v>
      </c>
      <c r="K30" s="76">
        <f t="shared" si="9"/>
        <v>38307</v>
      </c>
      <c r="L30" s="63"/>
    </row>
    <row r="32" ht="14.75" spans="1:4">
      <c r="A32" s="36" t="s">
        <v>83</v>
      </c>
      <c r="B32" s="36"/>
      <c r="C32" s="36"/>
      <c r="D32" s="36"/>
    </row>
    <row r="33" spans="1:9">
      <c r="A33" s="37" t="s">
        <v>55</v>
      </c>
      <c r="B33" s="38" t="s">
        <v>58</v>
      </c>
      <c r="C33" s="38" t="s">
        <v>61</v>
      </c>
      <c r="D33" s="46" t="s">
        <v>62</v>
      </c>
      <c r="F33" s="59" t="s">
        <v>55</v>
      </c>
      <c r="G33" s="59" t="s">
        <v>55</v>
      </c>
      <c r="H33" s="59" t="s">
        <v>55</v>
      </c>
      <c r="I33" s="59" t="s">
        <v>55</v>
      </c>
    </row>
    <row r="34" spans="1:9">
      <c r="A34" s="41" t="s">
        <v>73</v>
      </c>
      <c r="B34" s="74">
        <f>DSUM(委託販売一覧表2,B$33,$F$33:$F$34)</f>
        <v>626</v>
      </c>
      <c r="C34" s="74">
        <f>DSUM(委託販売一覧表2,C$33,$F$33:$F$34)</f>
        <v>191250</v>
      </c>
      <c r="D34" s="75">
        <f>DSUM(委託販売一覧表2,D$33,$F$33:$F$34)</f>
        <v>22686</v>
      </c>
      <c r="F34" s="40" t="s">
        <v>73</v>
      </c>
      <c r="G34" s="40" t="s">
        <v>74</v>
      </c>
      <c r="H34" s="40" t="s">
        <v>75</v>
      </c>
      <c r="I34" s="40" t="s">
        <v>76</v>
      </c>
    </row>
    <row r="35" spans="1:15">
      <c r="A35" s="41" t="s">
        <v>74</v>
      </c>
      <c r="B35" s="74">
        <f>DSUM(委託販売一覧表2,B$33,$G$33:$G$34)</f>
        <v>613</v>
      </c>
      <c r="C35" s="74">
        <f>DSUM(委託販売一覧表2,C$33,$G$33:$G$34)</f>
        <v>196600</v>
      </c>
      <c r="D35" s="75">
        <f>DSUM(委託販売一覧表2,D$33,$G$33:$G$34)</f>
        <v>24053</v>
      </c>
      <c r="N35" s="59" t="s">
        <v>57</v>
      </c>
      <c r="O35" s="59" t="s">
        <v>57</v>
      </c>
    </row>
    <row r="36" spans="1:15">
      <c r="A36" s="41" t="s">
        <v>75</v>
      </c>
      <c r="B36" s="74">
        <f>DSUM(委託販売一覧表2,B$33,$H$33:$H$34)</f>
        <v>614</v>
      </c>
      <c r="C36" s="74">
        <f>DSUM(委託販売一覧表2,C$33,$H$33:$H$34)</f>
        <v>174900</v>
      </c>
      <c r="D36" s="75">
        <f>DSUM(委託販売一覧表2,D$33,$H$33:$H$34)</f>
        <v>21616</v>
      </c>
      <c r="N36" s="40" t="s">
        <v>84</v>
      </c>
      <c r="O36" s="40" t="s">
        <v>85</v>
      </c>
    </row>
    <row r="37" ht="14.75" spans="1:4">
      <c r="A37" s="42" t="s">
        <v>76</v>
      </c>
      <c r="B37" s="76">
        <f>DSUM(委託販売一覧表2,B$33,$I$33:$I$34)</f>
        <v>619</v>
      </c>
      <c r="C37" s="76">
        <f>DSUM(委託販売一覧表2,C$33,$I$33:$I$34)</f>
        <v>228740</v>
      </c>
      <c r="D37" s="77">
        <f>DSUM(委託販売一覧表2,D$33,$I$33:$I$34)</f>
        <v>28774</v>
      </c>
    </row>
    <row r="38" spans="14:15">
      <c r="N38" s="59" t="s">
        <v>58</v>
      </c>
      <c r="O38" s="59" t="s">
        <v>61</v>
      </c>
    </row>
    <row r="39" ht="14.75" spans="14:15">
      <c r="N39" s="40" t="s">
        <v>85</v>
      </c>
      <c r="O39" s="40" t="s">
        <v>86</v>
      </c>
    </row>
    <row r="40" spans="1:8">
      <c r="A40" s="104" t="s">
        <v>87</v>
      </c>
      <c r="B40" s="105"/>
      <c r="C40" s="105"/>
      <c r="D40" s="105"/>
      <c r="E40" s="105"/>
      <c r="F40" s="105"/>
      <c r="G40" s="105"/>
      <c r="H40" s="84">
        <f>DSUM(委託販売一覧表2,K2,N35:O36)</f>
        <v>55660</v>
      </c>
    </row>
    <row r="41" spans="1:15">
      <c r="A41" s="53" t="s">
        <v>88</v>
      </c>
      <c r="B41" s="54"/>
      <c r="C41" s="54"/>
      <c r="D41" s="54"/>
      <c r="E41" s="54"/>
      <c r="F41" s="54"/>
      <c r="G41" s="54"/>
      <c r="H41" s="62">
        <f>DCOUNTA(委託販売一覧表2,A2,N38:O39)</f>
        <v>7</v>
      </c>
      <c r="N41" s="59" t="s">
        <v>54</v>
      </c>
      <c r="O41" s="59" t="s">
        <v>59</v>
      </c>
    </row>
    <row r="42" ht="14.75" spans="1:15">
      <c r="A42" s="55" t="s">
        <v>89</v>
      </c>
      <c r="B42" s="56"/>
      <c r="C42" s="56"/>
      <c r="D42" s="56"/>
      <c r="E42" s="56"/>
      <c r="F42" s="56"/>
      <c r="G42" s="56"/>
      <c r="H42" s="63">
        <f>ROUND(DAVERAGE(委託販売一覧表2,J2,N41:O42),0)</f>
        <v>61407</v>
      </c>
      <c r="N42" s="40" t="s">
        <v>90</v>
      </c>
      <c r="O42" s="40" t="s">
        <v>91</v>
      </c>
    </row>
  </sheetData>
  <mergeCells count="6">
    <mergeCell ref="A1:L1"/>
    <mergeCell ref="A22:L22"/>
    <mergeCell ref="A32:D32"/>
    <mergeCell ref="A40:G40"/>
    <mergeCell ref="A41:G41"/>
    <mergeCell ref="A42:G42"/>
  </mergeCells>
  <pageMargins left="0.25" right="0.25" top="0.75" bottom="0.75" header="0.3" footer="0.3"/>
  <pageSetup paperSize="9" scale="26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40"/>
  <sheetViews>
    <sheetView workbookViewId="0">
      <selection activeCell="E39" sqref="E39"/>
    </sheetView>
  </sheetViews>
  <sheetFormatPr defaultColWidth="9" defaultRowHeight="14"/>
  <cols>
    <col min="1" max="2" width="11" customWidth="1"/>
    <col min="3" max="3" width="9.5" customWidth="1"/>
    <col min="4" max="4" width="7.125" customWidth="1"/>
    <col min="5" max="5" width="8" customWidth="1"/>
    <col min="6" max="6" width="7.125" customWidth="1"/>
    <col min="7" max="10" width="11" customWidth="1"/>
    <col min="11" max="11" width="7.125" customWidth="1"/>
    <col min="12" max="12" width="5.25" customWidth="1"/>
    <col min="13" max="13" width="2.875" customWidth="1"/>
    <col min="14" max="14" width="9.25" customWidth="1"/>
    <col min="15" max="15" width="11" customWidth="1"/>
    <col min="16" max="16" width="6" customWidth="1"/>
  </cols>
  <sheetData>
    <row r="1" ht="14.75" spans="1:12">
      <c r="A1" s="36" t="s">
        <v>92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>
      <c r="A2" s="37" t="s">
        <v>93</v>
      </c>
      <c r="B2" s="38" t="s">
        <v>94</v>
      </c>
      <c r="C2" s="38" t="s">
        <v>54</v>
      </c>
      <c r="D2" s="38" t="s">
        <v>55</v>
      </c>
      <c r="E2" s="38" t="s">
        <v>72</v>
      </c>
      <c r="F2" s="38" t="s">
        <v>95</v>
      </c>
      <c r="G2" s="38" t="s">
        <v>96</v>
      </c>
      <c r="H2" s="38" t="s">
        <v>97</v>
      </c>
      <c r="I2" s="38" t="s">
        <v>98</v>
      </c>
      <c r="J2" s="38" t="s">
        <v>99</v>
      </c>
      <c r="K2" s="38" t="s">
        <v>100</v>
      </c>
      <c r="L2" s="46" t="s">
        <v>12</v>
      </c>
      <c r="N2" s="59" t="s">
        <v>93</v>
      </c>
      <c r="O2" s="59" t="s">
        <v>94</v>
      </c>
    </row>
    <row r="3" spans="1:15">
      <c r="A3" s="41" t="s">
        <v>101</v>
      </c>
      <c r="B3" s="40" t="str">
        <f>VLOOKUP(A3,$N$3:$O$6,2,0)</f>
        <v>ＪＫマート</v>
      </c>
      <c r="C3" s="40">
        <v>101</v>
      </c>
      <c r="D3" s="40" t="str">
        <f>VLOOKUP(C3,$N$9:$P$12,2,0)</f>
        <v>P商品</v>
      </c>
      <c r="E3" s="74">
        <f>ROUND(VLOOKUP(C3,$N$9:$P$12,3,FALSE)*1.24,-1)</f>
        <v>1590</v>
      </c>
      <c r="F3" s="40">
        <v>463</v>
      </c>
      <c r="G3" s="74">
        <f>E3*F3</f>
        <v>736170</v>
      </c>
      <c r="H3" s="86">
        <f>IF(F3&lt;=450,5.3%,VLOOKUP(LEFT(A3,1),$N$15:$O$16,2,0))</f>
        <v>0.075</v>
      </c>
      <c r="I3" s="74">
        <f>ROUNDUP(G3*H3,-1)</f>
        <v>55220</v>
      </c>
      <c r="J3" s="80">
        <f>G3-I3</f>
        <v>680950</v>
      </c>
      <c r="K3" s="40">
        <f>ROUNDUP(IF(OR(E3&gt;=1500,F3&gt;=620),F3*4.9%,F3*3.8%),0)</f>
        <v>23</v>
      </c>
      <c r="L3" s="62" t="str">
        <f>IF(AND(F3&lt;630,J3&gt;=680000),"***",IF(AND(F3&lt;630,J3&lt;680000,J3&gt;=510000),"**","*"))</f>
        <v>***</v>
      </c>
      <c r="N3" s="40" t="s">
        <v>101</v>
      </c>
      <c r="O3" s="40" t="s">
        <v>102</v>
      </c>
    </row>
    <row r="4" spans="1:15">
      <c r="A4" s="41" t="s">
        <v>101</v>
      </c>
      <c r="B4" s="40" t="str">
        <f t="shared" ref="B4:B18" si="0">VLOOKUP(A4,$N$3:$O$6,2,0)</f>
        <v>ＪＫマート</v>
      </c>
      <c r="C4" s="40">
        <v>102</v>
      </c>
      <c r="D4" s="40" t="str">
        <f t="shared" ref="D4:D18" si="1">VLOOKUP(C4,$N$9:$P$12,2,0)</f>
        <v>Q商品</v>
      </c>
      <c r="E4" s="74">
        <f t="shared" ref="E4:E18" si="2">ROUND(VLOOKUP(C4,$N$9:$P$12,3,FALSE)*1.24,-1)</f>
        <v>890</v>
      </c>
      <c r="F4" s="40">
        <v>610</v>
      </c>
      <c r="G4" s="74">
        <f t="shared" ref="G4:G18" si="3">E4*F4</f>
        <v>542900</v>
      </c>
      <c r="H4" s="86">
        <f t="shared" ref="H4:H18" si="4">IF(F4&lt;=450,5.3%,VLOOKUP(LEFT(A4,1),$N$15:$O$16,2,0))</f>
        <v>0.075</v>
      </c>
      <c r="I4" s="74">
        <f t="shared" ref="I4:I18" si="5">ROUNDUP(G4*H4,-1)</f>
        <v>40720</v>
      </c>
      <c r="J4" s="80">
        <f t="shared" ref="J4:J18" si="6">G4-I4</f>
        <v>502180</v>
      </c>
      <c r="K4" s="40">
        <f t="shared" ref="K4:K18" si="7">ROUNDUP(IF(OR(E4&gt;=1500,F4&gt;=620),F4*4.9%,F4*3.8%),0)</f>
        <v>24</v>
      </c>
      <c r="L4" s="62" t="str">
        <f t="shared" ref="L4:L18" si="8">IF(AND(F4&lt;630,J4&gt;=680000),"***",IF(AND(F4&lt;630,J4&lt;680000,J4&gt;=510000),"**","*"))</f>
        <v>*</v>
      </c>
      <c r="N4" s="40" t="s">
        <v>103</v>
      </c>
      <c r="O4" s="40" t="s">
        <v>104</v>
      </c>
    </row>
    <row r="5" spans="1:15">
      <c r="A5" s="41" t="s">
        <v>101</v>
      </c>
      <c r="B5" s="40" t="str">
        <f t="shared" si="0"/>
        <v>ＪＫマート</v>
      </c>
      <c r="C5" s="40">
        <v>103</v>
      </c>
      <c r="D5" s="40" t="str">
        <f t="shared" si="1"/>
        <v>R商品</v>
      </c>
      <c r="E5" s="74">
        <f t="shared" si="2"/>
        <v>1430</v>
      </c>
      <c r="F5" s="40">
        <v>423</v>
      </c>
      <c r="G5" s="74">
        <f t="shared" si="3"/>
        <v>604890</v>
      </c>
      <c r="H5" s="86">
        <f t="shared" si="4"/>
        <v>0.053</v>
      </c>
      <c r="I5" s="74">
        <f t="shared" si="5"/>
        <v>32060</v>
      </c>
      <c r="J5" s="80">
        <f t="shared" si="6"/>
        <v>572830</v>
      </c>
      <c r="K5" s="40">
        <f t="shared" si="7"/>
        <v>17</v>
      </c>
      <c r="L5" s="62" t="str">
        <f t="shared" si="8"/>
        <v>**</v>
      </c>
      <c r="N5" s="40" t="s">
        <v>105</v>
      </c>
      <c r="O5" s="40" t="s">
        <v>106</v>
      </c>
    </row>
    <row r="6" spans="1:15">
      <c r="A6" s="41" t="s">
        <v>101</v>
      </c>
      <c r="B6" s="40" t="str">
        <f t="shared" si="0"/>
        <v>ＪＫマート</v>
      </c>
      <c r="C6" s="40">
        <v>104</v>
      </c>
      <c r="D6" s="40" t="str">
        <f t="shared" si="1"/>
        <v>S商品</v>
      </c>
      <c r="E6" s="74">
        <f t="shared" si="2"/>
        <v>1040</v>
      </c>
      <c r="F6" s="40">
        <v>450</v>
      </c>
      <c r="G6" s="74">
        <f t="shared" si="3"/>
        <v>468000</v>
      </c>
      <c r="H6" s="86">
        <f t="shared" si="4"/>
        <v>0.053</v>
      </c>
      <c r="I6" s="74">
        <f t="shared" si="5"/>
        <v>24810</v>
      </c>
      <c r="J6" s="80">
        <f t="shared" si="6"/>
        <v>443190</v>
      </c>
      <c r="K6" s="40">
        <f t="shared" si="7"/>
        <v>18</v>
      </c>
      <c r="L6" s="62" t="str">
        <f t="shared" si="8"/>
        <v>*</v>
      </c>
      <c r="N6" s="40" t="s">
        <v>107</v>
      </c>
      <c r="O6" s="40" t="s">
        <v>108</v>
      </c>
    </row>
    <row r="7" spans="1:12">
      <c r="A7" s="41" t="s">
        <v>103</v>
      </c>
      <c r="B7" s="40" t="str">
        <f t="shared" si="0"/>
        <v>共栄百貨店</v>
      </c>
      <c r="C7" s="40">
        <v>101</v>
      </c>
      <c r="D7" s="40" t="str">
        <f t="shared" si="1"/>
        <v>P商品</v>
      </c>
      <c r="E7" s="74">
        <f t="shared" si="2"/>
        <v>1590</v>
      </c>
      <c r="F7" s="40">
        <v>350</v>
      </c>
      <c r="G7" s="74">
        <f t="shared" si="3"/>
        <v>556500</v>
      </c>
      <c r="H7" s="86">
        <f t="shared" si="4"/>
        <v>0.053</v>
      </c>
      <c r="I7" s="74">
        <f t="shared" si="5"/>
        <v>29500</v>
      </c>
      <c r="J7" s="80">
        <f t="shared" si="6"/>
        <v>527000</v>
      </c>
      <c r="K7" s="40">
        <f t="shared" si="7"/>
        <v>18</v>
      </c>
      <c r="L7" s="62" t="str">
        <f t="shared" si="8"/>
        <v>**</v>
      </c>
    </row>
    <row r="8" spans="1:16">
      <c r="A8" s="41" t="s">
        <v>103</v>
      </c>
      <c r="B8" s="40" t="str">
        <f t="shared" si="0"/>
        <v>共栄百貨店</v>
      </c>
      <c r="C8" s="40">
        <v>102</v>
      </c>
      <c r="D8" s="40" t="str">
        <f t="shared" si="1"/>
        <v>Q商品</v>
      </c>
      <c r="E8" s="74">
        <f t="shared" si="2"/>
        <v>890</v>
      </c>
      <c r="F8" s="40">
        <v>630</v>
      </c>
      <c r="G8" s="74">
        <f t="shared" si="3"/>
        <v>560700</v>
      </c>
      <c r="H8" s="86">
        <f t="shared" si="4"/>
        <v>0.075</v>
      </c>
      <c r="I8" s="74">
        <f t="shared" si="5"/>
        <v>42060</v>
      </c>
      <c r="J8" s="80">
        <f t="shared" si="6"/>
        <v>518640</v>
      </c>
      <c r="K8" s="40">
        <f t="shared" si="7"/>
        <v>31</v>
      </c>
      <c r="L8" s="62" t="str">
        <f t="shared" si="8"/>
        <v>*</v>
      </c>
      <c r="N8" s="40" t="s">
        <v>54</v>
      </c>
      <c r="O8" s="59" t="s">
        <v>55</v>
      </c>
      <c r="P8" s="59" t="s">
        <v>109</v>
      </c>
    </row>
    <row r="9" spans="1:16">
      <c r="A9" s="41" t="s">
        <v>103</v>
      </c>
      <c r="B9" s="40" t="str">
        <f t="shared" si="0"/>
        <v>共栄百貨店</v>
      </c>
      <c r="C9" s="40">
        <v>103</v>
      </c>
      <c r="D9" s="40" t="str">
        <f t="shared" si="1"/>
        <v>R商品</v>
      </c>
      <c r="E9" s="74">
        <f t="shared" si="2"/>
        <v>1430</v>
      </c>
      <c r="F9" s="40">
        <v>529</v>
      </c>
      <c r="G9" s="74">
        <f t="shared" si="3"/>
        <v>756470</v>
      </c>
      <c r="H9" s="86">
        <f t="shared" si="4"/>
        <v>0.075</v>
      </c>
      <c r="I9" s="74">
        <f t="shared" si="5"/>
        <v>56740</v>
      </c>
      <c r="J9" s="80">
        <f t="shared" si="6"/>
        <v>699730</v>
      </c>
      <c r="K9" s="40">
        <f t="shared" si="7"/>
        <v>21</v>
      </c>
      <c r="L9" s="62" t="str">
        <f t="shared" si="8"/>
        <v>***</v>
      </c>
      <c r="N9" s="40">
        <v>101</v>
      </c>
      <c r="O9" s="40" t="s">
        <v>110</v>
      </c>
      <c r="P9" s="74">
        <v>1283</v>
      </c>
    </row>
    <row r="10" spans="1:16">
      <c r="A10" s="41" t="s">
        <v>103</v>
      </c>
      <c r="B10" s="40" t="str">
        <f t="shared" si="0"/>
        <v>共栄百貨店</v>
      </c>
      <c r="C10" s="40">
        <v>104</v>
      </c>
      <c r="D10" s="40" t="str">
        <f t="shared" si="1"/>
        <v>S商品</v>
      </c>
      <c r="E10" s="74">
        <f t="shared" si="2"/>
        <v>1040</v>
      </c>
      <c r="F10" s="40">
        <v>570</v>
      </c>
      <c r="G10" s="74">
        <f t="shared" si="3"/>
        <v>592800</v>
      </c>
      <c r="H10" s="86">
        <f t="shared" si="4"/>
        <v>0.075</v>
      </c>
      <c r="I10" s="74">
        <f t="shared" si="5"/>
        <v>44460</v>
      </c>
      <c r="J10" s="80">
        <f t="shared" si="6"/>
        <v>548340</v>
      </c>
      <c r="K10" s="40">
        <f t="shared" si="7"/>
        <v>22</v>
      </c>
      <c r="L10" s="62" t="str">
        <f t="shared" si="8"/>
        <v>**</v>
      </c>
      <c r="N10" s="40">
        <v>102</v>
      </c>
      <c r="O10" s="40" t="s">
        <v>111</v>
      </c>
      <c r="P10" s="74">
        <v>716</v>
      </c>
    </row>
    <row r="11" spans="1:16">
      <c r="A11" s="41" t="s">
        <v>105</v>
      </c>
      <c r="B11" s="40" t="str">
        <f t="shared" si="0"/>
        <v>長谷川商店</v>
      </c>
      <c r="C11" s="40">
        <v>101</v>
      </c>
      <c r="D11" s="40" t="str">
        <f t="shared" si="1"/>
        <v>P商品</v>
      </c>
      <c r="E11" s="74">
        <f t="shared" si="2"/>
        <v>1590</v>
      </c>
      <c r="F11" s="40">
        <v>385</v>
      </c>
      <c r="G11" s="74">
        <f t="shared" si="3"/>
        <v>612150</v>
      </c>
      <c r="H11" s="86">
        <f t="shared" si="4"/>
        <v>0.053</v>
      </c>
      <c r="I11" s="74">
        <f t="shared" si="5"/>
        <v>32450</v>
      </c>
      <c r="J11" s="80">
        <f t="shared" si="6"/>
        <v>579700</v>
      </c>
      <c r="K11" s="40">
        <f t="shared" si="7"/>
        <v>19</v>
      </c>
      <c r="L11" s="62" t="str">
        <f t="shared" si="8"/>
        <v>**</v>
      </c>
      <c r="N11" s="40">
        <v>103</v>
      </c>
      <c r="O11" s="40" t="s">
        <v>112</v>
      </c>
      <c r="P11" s="74">
        <v>1154</v>
      </c>
    </row>
    <row r="12" spans="1:16">
      <c r="A12" s="41" t="s">
        <v>105</v>
      </c>
      <c r="B12" s="40" t="str">
        <f t="shared" si="0"/>
        <v>長谷川商店</v>
      </c>
      <c r="C12" s="40">
        <v>102</v>
      </c>
      <c r="D12" s="40" t="str">
        <f t="shared" si="1"/>
        <v>Q商品</v>
      </c>
      <c r="E12" s="74">
        <f t="shared" si="2"/>
        <v>890</v>
      </c>
      <c r="F12" s="40">
        <v>638</v>
      </c>
      <c r="G12" s="74">
        <f t="shared" si="3"/>
        <v>567820</v>
      </c>
      <c r="H12" s="86">
        <f t="shared" si="4"/>
        <v>0.064</v>
      </c>
      <c r="I12" s="74">
        <f t="shared" si="5"/>
        <v>36350</v>
      </c>
      <c r="J12" s="80">
        <f t="shared" si="6"/>
        <v>531470</v>
      </c>
      <c r="K12" s="40">
        <f t="shared" si="7"/>
        <v>32</v>
      </c>
      <c r="L12" s="62" t="str">
        <f t="shared" si="8"/>
        <v>*</v>
      </c>
      <c r="N12" s="40">
        <v>104</v>
      </c>
      <c r="O12" s="40" t="s">
        <v>113</v>
      </c>
      <c r="P12" s="74">
        <v>839</v>
      </c>
    </row>
    <row r="13" spans="1:12">
      <c r="A13" s="41" t="s">
        <v>105</v>
      </c>
      <c r="B13" s="40" t="str">
        <f t="shared" si="0"/>
        <v>長谷川商店</v>
      </c>
      <c r="C13" s="40">
        <v>103</v>
      </c>
      <c r="D13" s="40" t="str">
        <f t="shared" si="1"/>
        <v>R商品</v>
      </c>
      <c r="E13" s="74">
        <f t="shared" si="2"/>
        <v>1430</v>
      </c>
      <c r="F13" s="40">
        <v>590</v>
      </c>
      <c r="G13" s="74">
        <f t="shared" si="3"/>
        <v>843700</v>
      </c>
      <c r="H13" s="86">
        <f t="shared" si="4"/>
        <v>0.064</v>
      </c>
      <c r="I13" s="74">
        <f t="shared" si="5"/>
        <v>54000</v>
      </c>
      <c r="J13" s="80">
        <f t="shared" si="6"/>
        <v>789700</v>
      </c>
      <c r="K13" s="40">
        <f t="shared" si="7"/>
        <v>23</v>
      </c>
      <c r="L13" s="62" t="str">
        <f t="shared" si="8"/>
        <v>***</v>
      </c>
    </row>
    <row r="14" spans="1:15">
      <c r="A14" s="41" t="s">
        <v>105</v>
      </c>
      <c r="B14" s="40" t="str">
        <f t="shared" si="0"/>
        <v>長谷川商店</v>
      </c>
      <c r="C14" s="40">
        <v>104</v>
      </c>
      <c r="D14" s="40" t="str">
        <f t="shared" si="1"/>
        <v>S商品</v>
      </c>
      <c r="E14" s="74">
        <f t="shared" si="2"/>
        <v>1040</v>
      </c>
      <c r="F14" s="40">
        <v>524</v>
      </c>
      <c r="G14" s="74">
        <f t="shared" si="3"/>
        <v>544960</v>
      </c>
      <c r="H14" s="86">
        <f t="shared" si="4"/>
        <v>0.064</v>
      </c>
      <c r="I14" s="74">
        <f t="shared" si="5"/>
        <v>34880</v>
      </c>
      <c r="J14" s="80">
        <f t="shared" si="6"/>
        <v>510080</v>
      </c>
      <c r="K14" s="40">
        <f t="shared" si="7"/>
        <v>20</v>
      </c>
      <c r="L14" s="62" t="str">
        <f t="shared" si="8"/>
        <v>**</v>
      </c>
      <c r="N14" s="59" t="s">
        <v>77</v>
      </c>
      <c r="O14" s="59" t="s">
        <v>97</v>
      </c>
    </row>
    <row r="15" spans="1:15">
      <c r="A15" s="41" t="s">
        <v>107</v>
      </c>
      <c r="B15" s="40" t="str">
        <f t="shared" si="0"/>
        <v>新鮮ストア</v>
      </c>
      <c r="C15" s="40">
        <v>101</v>
      </c>
      <c r="D15" s="40" t="str">
        <f t="shared" si="1"/>
        <v>P商品</v>
      </c>
      <c r="E15" s="74">
        <f t="shared" si="2"/>
        <v>1590</v>
      </c>
      <c r="F15" s="40">
        <v>571</v>
      </c>
      <c r="G15" s="74">
        <f t="shared" si="3"/>
        <v>907890</v>
      </c>
      <c r="H15" s="86">
        <f t="shared" si="4"/>
        <v>0.064</v>
      </c>
      <c r="I15" s="74">
        <f t="shared" si="5"/>
        <v>58110</v>
      </c>
      <c r="J15" s="80">
        <f t="shared" si="6"/>
        <v>849780</v>
      </c>
      <c r="K15" s="40">
        <f t="shared" si="7"/>
        <v>28</v>
      </c>
      <c r="L15" s="62" t="str">
        <f t="shared" si="8"/>
        <v>***</v>
      </c>
      <c r="N15" s="40" t="s">
        <v>114</v>
      </c>
      <c r="O15" s="68">
        <v>0.075</v>
      </c>
    </row>
    <row r="16" spans="1:15">
      <c r="A16" s="41" t="s">
        <v>107</v>
      </c>
      <c r="B16" s="40" t="str">
        <f t="shared" si="0"/>
        <v>新鮮ストア</v>
      </c>
      <c r="C16" s="40">
        <v>102</v>
      </c>
      <c r="D16" s="40" t="str">
        <f t="shared" si="1"/>
        <v>Q商品</v>
      </c>
      <c r="E16" s="74">
        <f t="shared" si="2"/>
        <v>890</v>
      </c>
      <c r="F16" s="40">
        <v>680</v>
      </c>
      <c r="G16" s="74">
        <f t="shared" si="3"/>
        <v>605200</v>
      </c>
      <c r="H16" s="86">
        <f t="shared" si="4"/>
        <v>0.064</v>
      </c>
      <c r="I16" s="74">
        <f t="shared" si="5"/>
        <v>38740</v>
      </c>
      <c r="J16" s="80">
        <f t="shared" si="6"/>
        <v>566460</v>
      </c>
      <c r="K16" s="40">
        <f t="shared" si="7"/>
        <v>34</v>
      </c>
      <c r="L16" s="62" t="str">
        <f t="shared" si="8"/>
        <v>*</v>
      </c>
      <c r="N16" s="40" t="s">
        <v>115</v>
      </c>
      <c r="O16" s="68">
        <v>0.064</v>
      </c>
    </row>
    <row r="17" spans="1:12">
      <c r="A17" s="41" t="s">
        <v>107</v>
      </c>
      <c r="B17" s="40" t="str">
        <f t="shared" si="0"/>
        <v>新鮮ストア</v>
      </c>
      <c r="C17" s="40">
        <v>103</v>
      </c>
      <c r="D17" s="40" t="str">
        <f t="shared" si="1"/>
        <v>R商品</v>
      </c>
      <c r="E17" s="74">
        <f t="shared" si="2"/>
        <v>1430</v>
      </c>
      <c r="F17" s="40">
        <v>625</v>
      </c>
      <c r="G17" s="74">
        <f t="shared" si="3"/>
        <v>893750</v>
      </c>
      <c r="H17" s="86">
        <f t="shared" si="4"/>
        <v>0.064</v>
      </c>
      <c r="I17" s="74">
        <f t="shared" si="5"/>
        <v>57200</v>
      </c>
      <c r="J17" s="80">
        <f t="shared" si="6"/>
        <v>836550</v>
      </c>
      <c r="K17" s="40">
        <f t="shared" si="7"/>
        <v>31</v>
      </c>
      <c r="L17" s="62" t="str">
        <f t="shared" si="8"/>
        <v>***</v>
      </c>
    </row>
    <row r="18" spans="1:12">
      <c r="A18" s="41" t="s">
        <v>107</v>
      </c>
      <c r="B18" s="40" t="str">
        <f t="shared" si="0"/>
        <v>新鮮ストア</v>
      </c>
      <c r="C18" s="40">
        <v>104</v>
      </c>
      <c r="D18" s="40" t="str">
        <f t="shared" si="1"/>
        <v>S商品</v>
      </c>
      <c r="E18" s="74">
        <f t="shared" si="2"/>
        <v>1040</v>
      </c>
      <c r="F18" s="40">
        <v>516</v>
      </c>
      <c r="G18" s="74">
        <f t="shared" si="3"/>
        <v>536640</v>
      </c>
      <c r="H18" s="86">
        <f t="shared" si="4"/>
        <v>0.064</v>
      </c>
      <c r="I18" s="74">
        <f t="shared" si="5"/>
        <v>34350</v>
      </c>
      <c r="J18" s="80">
        <f t="shared" si="6"/>
        <v>502290</v>
      </c>
      <c r="K18" s="40">
        <f t="shared" si="7"/>
        <v>20</v>
      </c>
      <c r="L18" s="62" t="str">
        <f t="shared" si="8"/>
        <v>*</v>
      </c>
    </row>
    <row r="19" spans="1:12">
      <c r="A19" s="41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62"/>
    </row>
    <row r="20" ht="14.75" spans="1:12">
      <c r="A20" s="42"/>
      <c r="B20" s="44" t="s">
        <v>31</v>
      </c>
      <c r="C20" s="43"/>
      <c r="D20" s="43"/>
      <c r="E20" s="43"/>
      <c r="F20" s="76">
        <f>SUM(F3:F18)</f>
        <v>8554</v>
      </c>
      <c r="G20" s="76">
        <f t="shared" ref="G20:K20" si="9">SUM(G3:G18)</f>
        <v>10330540</v>
      </c>
      <c r="H20" s="76"/>
      <c r="I20" s="76">
        <f t="shared" si="9"/>
        <v>671650</v>
      </c>
      <c r="J20" s="76">
        <f t="shared" si="9"/>
        <v>9658890</v>
      </c>
      <c r="K20" s="76">
        <f t="shared" si="9"/>
        <v>381</v>
      </c>
      <c r="L20" s="63"/>
    </row>
    <row r="22" ht="14.75" spans="1:12">
      <c r="A22" s="36" t="s">
        <v>116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</row>
    <row r="23" spans="1:12">
      <c r="A23" s="37" t="s">
        <v>93</v>
      </c>
      <c r="B23" s="38" t="s">
        <v>94</v>
      </c>
      <c r="C23" s="38" t="s">
        <v>54</v>
      </c>
      <c r="D23" s="38" t="s">
        <v>55</v>
      </c>
      <c r="E23" s="38" t="s">
        <v>72</v>
      </c>
      <c r="F23" s="38" t="s">
        <v>95</v>
      </c>
      <c r="G23" s="38" t="s">
        <v>96</v>
      </c>
      <c r="H23" s="38" t="s">
        <v>97</v>
      </c>
      <c r="I23" s="38" t="s">
        <v>98</v>
      </c>
      <c r="J23" s="38" t="s">
        <v>99</v>
      </c>
      <c r="K23" s="38" t="s">
        <v>100</v>
      </c>
      <c r="L23" s="46" t="s">
        <v>12</v>
      </c>
    </row>
    <row r="24" spans="1:12">
      <c r="A24" s="41" t="s">
        <v>107</v>
      </c>
      <c r="B24" s="40" t="s">
        <v>108</v>
      </c>
      <c r="C24" s="40">
        <v>101</v>
      </c>
      <c r="D24" s="40" t="s">
        <v>110</v>
      </c>
      <c r="E24" s="74">
        <v>1590</v>
      </c>
      <c r="F24" s="40">
        <v>571</v>
      </c>
      <c r="G24" s="74">
        <v>907890</v>
      </c>
      <c r="H24" s="86">
        <v>0.064</v>
      </c>
      <c r="I24" s="74">
        <v>58110</v>
      </c>
      <c r="J24" s="80">
        <v>849780</v>
      </c>
      <c r="K24" s="40">
        <v>28</v>
      </c>
      <c r="L24" s="62" t="s">
        <v>117</v>
      </c>
    </row>
    <row r="25" spans="1:12">
      <c r="A25" s="41" t="s">
        <v>101</v>
      </c>
      <c r="B25" s="40" t="s">
        <v>102</v>
      </c>
      <c r="C25" s="40">
        <v>101</v>
      </c>
      <c r="D25" s="40" t="s">
        <v>110</v>
      </c>
      <c r="E25" s="74">
        <v>1590</v>
      </c>
      <c r="F25" s="40">
        <v>463</v>
      </c>
      <c r="G25" s="74">
        <v>736170</v>
      </c>
      <c r="H25" s="86">
        <v>0.075</v>
      </c>
      <c r="I25" s="74">
        <v>55220</v>
      </c>
      <c r="J25" s="80">
        <v>680950</v>
      </c>
      <c r="K25" s="40">
        <v>23</v>
      </c>
      <c r="L25" s="62" t="s">
        <v>117</v>
      </c>
    </row>
    <row r="26" spans="1:12">
      <c r="A26" s="41" t="s">
        <v>103</v>
      </c>
      <c r="B26" s="40" t="s">
        <v>104</v>
      </c>
      <c r="C26" s="40">
        <v>103</v>
      </c>
      <c r="D26" s="40" t="s">
        <v>112</v>
      </c>
      <c r="E26" s="74">
        <v>1430</v>
      </c>
      <c r="F26" s="40">
        <v>529</v>
      </c>
      <c r="G26" s="74">
        <v>756470</v>
      </c>
      <c r="H26" s="86">
        <v>0.075</v>
      </c>
      <c r="I26" s="74">
        <v>56740</v>
      </c>
      <c r="J26" s="80">
        <v>699730</v>
      </c>
      <c r="K26" s="40">
        <v>21</v>
      </c>
      <c r="L26" s="62" t="s">
        <v>117</v>
      </c>
    </row>
    <row r="27" spans="1:12">
      <c r="A27" s="41" t="s">
        <v>105</v>
      </c>
      <c r="B27" s="40" t="s">
        <v>106</v>
      </c>
      <c r="C27" s="40">
        <v>103</v>
      </c>
      <c r="D27" s="40" t="s">
        <v>112</v>
      </c>
      <c r="E27" s="74">
        <v>1430</v>
      </c>
      <c r="F27" s="40">
        <v>590</v>
      </c>
      <c r="G27" s="74">
        <v>843700</v>
      </c>
      <c r="H27" s="86">
        <v>0.064</v>
      </c>
      <c r="I27" s="74">
        <v>54000</v>
      </c>
      <c r="J27" s="80">
        <v>789700</v>
      </c>
      <c r="K27" s="40">
        <v>23</v>
      </c>
      <c r="L27" s="62" t="s">
        <v>117</v>
      </c>
    </row>
    <row r="28" spans="1:12">
      <c r="A28" s="41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62"/>
    </row>
    <row r="29" ht="14.75" spans="1:12">
      <c r="A29" s="42"/>
      <c r="B29" s="44" t="s">
        <v>31</v>
      </c>
      <c r="C29" s="43"/>
      <c r="D29" s="43"/>
      <c r="E29" s="43"/>
      <c r="F29" s="76">
        <f>SUM(F24:F27)</f>
        <v>2153</v>
      </c>
      <c r="G29" s="76">
        <f t="shared" ref="G29:K29" si="10">SUM(G24:G27)</f>
        <v>3244230</v>
      </c>
      <c r="H29" s="76"/>
      <c r="I29" s="76">
        <f t="shared" si="10"/>
        <v>224070</v>
      </c>
      <c r="J29" s="76">
        <f t="shared" si="10"/>
        <v>3020160</v>
      </c>
      <c r="K29" s="76">
        <f t="shared" si="10"/>
        <v>95</v>
      </c>
      <c r="L29" s="63"/>
    </row>
    <row r="31" ht="14.75" spans="1:4">
      <c r="A31" s="36" t="s">
        <v>92</v>
      </c>
      <c r="B31" s="36"/>
      <c r="C31" s="36"/>
      <c r="D31" s="36"/>
    </row>
    <row r="32" spans="1:10">
      <c r="A32" s="37" t="s">
        <v>94</v>
      </c>
      <c r="B32" s="38" t="s">
        <v>95</v>
      </c>
      <c r="C32" s="38" t="s">
        <v>99</v>
      </c>
      <c r="D32" s="46" t="s">
        <v>100</v>
      </c>
      <c r="G32" s="59" t="s">
        <v>94</v>
      </c>
      <c r="H32" s="59" t="s">
        <v>94</v>
      </c>
      <c r="I32" s="59" t="s">
        <v>94</v>
      </c>
      <c r="J32" s="59" t="s">
        <v>94</v>
      </c>
    </row>
    <row r="33" spans="1:15">
      <c r="A33" s="41" t="s">
        <v>102</v>
      </c>
      <c r="B33" s="74">
        <f>DSUM(得意先別売上一覧表3,B$32,$G$32:$G$33)</f>
        <v>1946</v>
      </c>
      <c r="C33" s="74">
        <f>DSUM(得意先別売上一覧表3,C$32,$G$32:$G$33)</f>
        <v>2199150</v>
      </c>
      <c r="D33" s="75">
        <f>DSUM(得意先別売上一覧表3,D$32,$G$32:$G$33)</f>
        <v>82</v>
      </c>
      <c r="G33" s="40" t="s">
        <v>102</v>
      </c>
      <c r="H33" s="40" t="s">
        <v>104</v>
      </c>
      <c r="I33" s="40" t="s">
        <v>106</v>
      </c>
      <c r="J33" s="40" t="s">
        <v>108</v>
      </c>
      <c r="O33" s="40" t="s">
        <v>95</v>
      </c>
    </row>
    <row r="34" spans="1:15">
      <c r="A34" s="41" t="s">
        <v>104</v>
      </c>
      <c r="B34" s="74">
        <f>DSUM(得意先別売上一覧表3,B$32,$H$32:$H$33)</f>
        <v>2079</v>
      </c>
      <c r="C34" s="74">
        <f>DSUM(得意先別売上一覧表3,C$32,$H$32:$H$33)</f>
        <v>2293710</v>
      </c>
      <c r="D34" s="75">
        <f>DSUM(得意先別売上一覧表3,D$32,$H$32:$H$33)</f>
        <v>92</v>
      </c>
      <c r="O34" s="40" t="s">
        <v>118</v>
      </c>
    </row>
    <row r="35" spans="1:4">
      <c r="A35" s="41" t="s">
        <v>106</v>
      </c>
      <c r="B35" s="74">
        <f>DSUM(得意先別売上一覧表3,B$32,$I$32:$I$33)</f>
        <v>2137</v>
      </c>
      <c r="C35" s="74">
        <f>DSUM(得意先別売上一覧表3,C$32,$I$32:$I$33)</f>
        <v>2410950</v>
      </c>
      <c r="D35" s="75">
        <f>DSUM(得意先別売上一覧表3,D$32,$I$32:$I$33)</f>
        <v>94</v>
      </c>
    </row>
    <row r="36" ht="14.75" spans="1:15">
      <c r="A36" s="42" t="s">
        <v>108</v>
      </c>
      <c r="B36" s="76">
        <f>DSUM(得意先別売上一覧表3,B$32,$J$32:$J$33)</f>
        <v>2392</v>
      </c>
      <c r="C36" s="76">
        <f>DSUM(得意先別売上一覧表3,C$32,$J$32:$J$33)</f>
        <v>2755080</v>
      </c>
      <c r="D36" s="77">
        <f>DSUM(得意先別売上一覧表3,D$32,$J$32:$J$33)</f>
        <v>113</v>
      </c>
      <c r="N36" s="40" t="s">
        <v>55</v>
      </c>
      <c r="O36" s="40" t="s">
        <v>96</v>
      </c>
    </row>
    <row r="37" ht="14.75" spans="14:15">
      <c r="N37" s="40" t="s">
        <v>119</v>
      </c>
      <c r="O37" s="40" t="s">
        <v>120</v>
      </c>
    </row>
    <row r="38" spans="1:5">
      <c r="A38" s="71" t="s">
        <v>121</v>
      </c>
      <c r="B38" s="72"/>
      <c r="C38" s="72"/>
      <c r="D38" s="72"/>
      <c r="E38" s="84">
        <f>ROUND(DAVERAGE(得意先別売上一覧表3,J2,O33:O34),0)</f>
        <v>656397</v>
      </c>
    </row>
    <row r="39" spans="1:15">
      <c r="A39" s="41" t="s">
        <v>122</v>
      </c>
      <c r="B39" s="40"/>
      <c r="C39" s="40"/>
      <c r="D39" s="40"/>
      <c r="E39" s="62">
        <f>DCOUNT(得意先別売上一覧表3,G2,N36:O37)</f>
        <v>10</v>
      </c>
      <c r="N39" s="40" t="s">
        <v>100</v>
      </c>
      <c r="O39" s="40" t="s">
        <v>100</v>
      </c>
    </row>
    <row r="40" ht="14.75" spans="1:15">
      <c r="A40" s="42" t="s">
        <v>123</v>
      </c>
      <c r="B40" s="43"/>
      <c r="C40" s="43"/>
      <c r="D40" s="43"/>
      <c r="E40" s="77">
        <f>DSUM(得意先別売上一覧表3,I2,N39:O40)</f>
        <v>352820</v>
      </c>
      <c r="N40" s="40" t="s">
        <v>124</v>
      </c>
      <c r="O40" s="40" t="s">
        <v>125</v>
      </c>
    </row>
  </sheetData>
  <sortState ref="A24:L27">
    <sortCondition ref="C24:C27"/>
    <sortCondition ref="I24:I27" descending="1"/>
  </sortState>
  <mergeCells count="6">
    <mergeCell ref="A1:L1"/>
    <mergeCell ref="A22:L22"/>
    <mergeCell ref="A31:D31"/>
    <mergeCell ref="A38:D38"/>
    <mergeCell ref="A39:D39"/>
    <mergeCell ref="A40:D40"/>
  </mergeCells>
  <pageMargins left="0.25" right="0.25" top="0.75" bottom="0.75" header="0.3" footer="0.3"/>
  <pageSetup paperSize="9" scale="65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40"/>
  <sheetViews>
    <sheetView showFormulas="1" topLeftCell="D1" workbookViewId="0">
      <selection activeCell="A29" sqref="A$1:O$1048576"/>
    </sheetView>
  </sheetViews>
  <sheetFormatPr defaultColWidth="9" defaultRowHeight="14"/>
  <cols>
    <col min="1" max="1" width="5.625" customWidth="1"/>
    <col min="2" max="3" width="24.5" customWidth="1"/>
    <col min="4" max="4" width="24.625" customWidth="1"/>
    <col min="5" max="5" width="28.375" customWidth="1"/>
    <col min="6" max="6" width="8.125" customWidth="1"/>
    <col min="7" max="7" width="8.375" customWidth="1"/>
    <col min="8" max="8" width="30.875" customWidth="1"/>
    <col min="9" max="9" width="12.75" customWidth="1"/>
    <col min="10" max="10" width="7.625" customWidth="1"/>
    <col min="11" max="11" width="32.125" customWidth="1"/>
    <col min="12" max="12" width="44.75" customWidth="1"/>
    <col min="13" max="13" width="2.875" customWidth="1"/>
    <col min="14" max="14" width="4.75" customWidth="1"/>
    <col min="15" max="15" width="5.625" customWidth="1"/>
    <col min="16" max="16" width="6" customWidth="1"/>
  </cols>
  <sheetData>
    <row r="1" ht="14.75" spans="1:12">
      <c r="A1" s="36" t="s">
        <v>92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>
      <c r="A2" s="37" t="s">
        <v>93</v>
      </c>
      <c r="B2" s="38" t="s">
        <v>94</v>
      </c>
      <c r="C2" s="38" t="s">
        <v>54</v>
      </c>
      <c r="D2" s="38" t="s">
        <v>55</v>
      </c>
      <c r="E2" s="38" t="s">
        <v>72</v>
      </c>
      <c r="F2" s="38" t="s">
        <v>95</v>
      </c>
      <c r="G2" s="38" t="s">
        <v>96</v>
      </c>
      <c r="H2" s="38" t="s">
        <v>97</v>
      </c>
      <c r="I2" s="38" t="s">
        <v>98</v>
      </c>
      <c r="J2" s="38" t="s">
        <v>99</v>
      </c>
      <c r="K2" s="38" t="s">
        <v>100</v>
      </c>
      <c r="L2" s="46" t="s">
        <v>12</v>
      </c>
      <c r="N2" s="59" t="s">
        <v>93</v>
      </c>
      <c r="O2" s="59" t="s">
        <v>94</v>
      </c>
    </row>
    <row r="3" spans="1:15">
      <c r="A3" s="41" t="s">
        <v>101</v>
      </c>
      <c r="B3" s="40" t="str">
        <f>VLOOKUP(A3,$N$3:$O$6,2,0)</f>
        <v>ＪＫマート</v>
      </c>
      <c r="C3" s="40">
        <v>101</v>
      </c>
      <c r="D3" s="40" t="str">
        <f>VLOOKUP(C3,$N$9:$P$12,2,0)</f>
        <v>P商品</v>
      </c>
      <c r="E3" s="74">
        <f>ROUND(VLOOKUP(C3,$N$9:$P$12,3,FALSE)*1.24,-1)</f>
        <v>1590</v>
      </c>
      <c r="F3" s="40">
        <v>463</v>
      </c>
      <c r="G3" s="74">
        <f>E3*F3</f>
        <v>736170</v>
      </c>
      <c r="H3" s="86">
        <f>IF(F3&lt;=450,5.3%,VLOOKUP(LEFT(A3,1),$N$15:$O$16,2,0))</f>
        <v>0.075</v>
      </c>
      <c r="I3" s="74">
        <f>ROUNDUP(G3*H3,-1)</f>
        <v>55220</v>
      </c>
      <c r="J3" s="80">
        <f>G3-I3</f>
        <v>680950</v>
      </c>
      <c r="K3" s="40">
        <f>ROUNDUP(IF(OR(E3&gt;=1500,F3&gt;=620),F3*4.9%,F3*3.8%),0)</f>
        <v>23</v>
      </c>
      <c r="L3" s="62" t="str">
        <f>IF(AND(F3&lt;630,J3&gt;=680000),"***",IF(AND(F3&lt;630,J3&lt;680000,J3&gt;=510000),"**","*"))</f>
        <v>***</v>
      </c>
      <c r="N3" s="40" t="s">
        <v>101</v>
      </c>
      <c r="O3" s="40" t="s">
        <v>102</v>
      </c>
    </row>
    <row r="4" spans="1:15">
      <c r="A4" s="41" t="s">
        <v>101</v>
      </c>
      <c r="B4" s="40" t="str">
        <f t="shared" ref="B4:B18" si="0">VLOOKUP(A4,$N$3:$O$6,2,0)</f>
        <v>ＪＫマート</v>
      </c>
      <c r="C4" s="40">
        <v>102</v>
      </c>
      <c r="D4" s="40" t="str">
        <f t="shared" ref="D4:D18" si="1">VLOOKUP(C4,$N$9:$P$12,2,0)</f>
        <v>Q商品</v>
      </c>
      <c r="E4" s="74">
        <f t="shared" ref="E4:E18" si="2">ROUND(VLOOKUP(C4,$N$9:$P$12,3,FALSE)*1.24,-1)</f>
        <v>890</v>
      </c>
      <c r="F4" s="40">
        <v>610</v>
      </c>
      <c r="G4" s="74">
        <f t="shared" ref="G4:G18" si="3">E4*F4</f>
        <v>542900</v>
      </c>
      <c r="H4" s="86">
        <f t="shared" ref="H4:H18" si="4">IF(F4&lt;=450,5.3%,VLOOKUP(LEFT(A4,1),$N$15:$O$16,2,0))</f>
        <v>0.075</v>
      </c>
      <c r="I4" s="74">
        <f t="shared" ref="I4:I18" si="5">ROUNDUP(G4*H4,-1)</f>
        <v>40720</v>
      </c>
      <c r="J4" s="80">
        <f t="shared" ref="J4:J18" si="6">G4-I4</f>
        <v>502180</v>
      </c>
      <c r="K4" s="40">
        <f t="shared" ref="K4:K18" si="7">ROUNDUP(IF(OR(E4&gt;=1500,F4&gt;=620),F4*4.9%,F4*3.8%),0)</f>
        <v>24</v>
      </c>
      <c r="L4" s="62" t="str">
        <f t="shared" ref="L4:L18" si="8">IF(AND(F4&lt;630,J4&gt;=680000),"***",IF(AND(F4&lt;630,J4&lt;680000,J4&gt;=510000),"**","*"))</f>
        <v>*</v>
      </c>
      <c r="N4" s="40" t="s">
        <v>103</v>
      </c>
      <c r="O4" s="40" t="s">
        <v>104</v>
      </c>
    </row>
    <row r="5" spans="1:15">
      <c r="A5" s="41" t="s">
        <v>101</v>
      </c>
      <c r="B5" s="40" t="str">
        <f t="shared" si="0"/>
        <v>ＪＫマート</v>
      </c>
      <c r="C5" s="40">
        <v>103</v>
      </c>
      <c r="D5" s="40" t="str">
        <f t="shared" si="1"/>
        <v>R商品</v>
      </c>
      <c r="E5" s="74">
        <f t="shared" si="2"/>
        <v>1430</v>
      </c>
      <c r="F5" s="40">
        <v>423</v>
      </c>
      <c r="G5" s="74">
        <f t="shared" si="3"/>
        <v>604890</v>
      </c>
      <c r="H5" s="86">
        <f t="shared" si="4"/>
        <v>0.053</v>
      </c>
      <c r="I5" s="74">
        <f t="shared" si="5"/>
        <v>32060</v>
      </c>
      <c r="J5" s="80">
        <f t="shared" si="6"/>
        <v>572830</v>
      </c>
      <c r="K5" s="40">
        <f t="shared" si="7"/>
        <v>17</v>
      </c>
      <c r="L5" s="62" t="str">
        <f t="shared" si="8"/>
        <v>**</v>
      </c>
      <c r="N5" s="40" t="s">
        <v>105</v>
      </c>
      <c r="O5" s="40" t="s">
        <v>106</v>
      </c>
    </row>
    <row r="6" spans="1:15">
      <c r="A6" s="41" t="s">
        <v>101</v>
      </c>
      <c r="B6" s="40" t="str">
        <f t="shared" si="0"/>
        <v>ＪＫマート</v>
      </c>
      <c r="C6" s="40">
        <v>104</v>
      </c>
      <c r="D6" s="40" t="str">
        <f t="shared" si="1"/>
        <v>S商品</v>
      </c>
      <c r="E6" s="74">
        <f t="shared" si="2"/>
        <v>1040</v>
      </c>
      <c r="F6" s="40">
        <v>450</v>
      </c>
      <c r="G6" s="74">
        <f t="shared" si="3"/>
        <v>468000</v>
      </c>
      <c r="H6" s="86">
        <f t="shared" si="4"/>
        <v>0.053</v>
      </c>
      <c r="I6" s="74">
        <f t="shared" si="5"/>
        <v>24810</v>
      </c>
      <c r="J6" s="80">
        <f t="shared" si="6"/>
        <v>443190</v>
      </c>
      <c r="K6" s="40">
        <f t="shared" si="7"/>
        <v>18</v>
      </c>
      <c r="L6" s="62" t="str">
        <f t="shared" si="8"/>
        <v>*</v>
      </c>
      <c r="N6" s="40" t="s">
        <v>107</v>
      </c>
      <c r="O6" s="40" t="s">
        <v>108</v>
      </c>
    </row>
    <row r="7" spans="1:12">
      <c r="A7" s="41" t="s">
        <v>103</v>
      </c>
      <c r="B7" s="40" t="str">
        <f t="shared" si="0"/>
        <v>共栄百貨店</v>
      </c>
      <c r="C7" s="40">
        <v>101</v>
      </c>
      <c r="D7" s="40" t="str">
        <f t="shared" si="1"/>
        <v>P商品</v>
      </c>
      <c r="E7" s="74">
        <f t="shared" si="2"/>
        <v>1590</v>
      </c>
      <c r="F7" s="40">
        <v>350</v>
      </c>
      <c r="G7" s="74">
        <f t="shared" si="3"/>
        <v>556500</v>
      </c>
      <c r="H7" s="86">
        <f t="shared" si="4"/>
        <v>0.053</v>
      </c>
      <c r="I7" s="74">
        <f t="shared" si="5"/>
        <v>29500</v>
      </c>
      <c r="J7" s="80">
        <f t="shared" si="6"/>
        <v>527000</v>
      </c>
      <c r="K7" s="40">
        <f t="shared" si="7"/>
        <v>18</v>
      </c>
      <c r="L7" s="62" t="str">
        <f t="shared" si="8"/>
        <v>**</v>
      </c>
    </row>
    <row r="8" spans="1:16">
      <c r="A8" s="41" t="s">
        <v>103</v>
      </c>
      <c r="B8" s="40" t="str">
        <f t="shared" si="0"/>
        <v>共栄百貨店</v>
      </c>
      <c r="C8" s="40">
        <v>102</v>
      </c>
      <c r="D8" s="40" t="str">
        <f t="shared" si="1"/>
        <v>Q商品</v>
      </c>
      <c r="E8" s="74">
        <f t="shared" si="2"/>
        <v>890</v>
      </c>
      <c r="F8" s="40">
        <v>630</v>
      </c>
      <c r="G8" s="74">
        <f t="shared" si="3"/>
        <v>560700</v>
      </c>
      <c r="H8" s="86">
        <f t="shared" si="4"/>
        <v>0.075</v>
      </c>
      <c r="I8" s="74">
        <f t="shared" si="5"/>
        <v>42060</v>
      </c>
      <c r="J8" s="80">
        <f t="shared" si="6"/>
        <v>518640</v>
      </c>
      <c r="K8" s="40">
        <f t="shared" si="7"/>
        <v>31</v>
      </c>
      <c r="L8" s="62" t="str">
        <f t="shared" si="8"/>
        <v>*</v>
      </c>
      <c r="N8" s="40" t="s">
        <v>54</v>
      </c>
      <c r="O8" s="59" t="s">
        <v>55</v>
      </c>
      <c r="P8" s="59" t="s">
        <v>109</v>
      </c>
    </row>
    <row r="9" spans="1:16">
      <c r="A9" s="41" t="s">
        <v>103</v>
      </c>
      <c r="B9" s="40" t="str">
        <f t="shared" si="0"/>
        <v>共栄百貨店</v>
      </c>
      <c r="C9" s="40">
        <v>103</v>
      </c>
      <c r="D9" s="40" t="str">
        <f t="shared" si="1"/>
        <v>R商品</v>
      </c>
      <c r="E9" s="74">
        <f t="shared" si="2"/>
        <v>1430</v>
      </c>
      <c r="F9" s="40">
        <v>529</v>
      </c>
      <c r="G9" s="74">
        <f t="shared" si="3"/>
        <v>756470</v>
      </c>
      <c r="H9" s="86">
        <f t="shared" si="4"/>
        <v>0.075</v>
      </c>
      <c r="I9" s="74">
        <f t="shared" si="5"/>
        <v>56740</v>
      </c>
      <c r="J9" s="80">
        <f t="shared" si="6"/>
        <v>699730</v>
      </c>
      <c r="K9" s="40">
        <f t="shared" si="7"/>
        <v>21</v>
      </c>
      <c r="L9" s="62" t="str">
        <f t="shared" si="8"/>
        <v>***</v>
      </c>
      <c r="N9" s="40">
        <v>101</v>
      </c>
      <c r="O9" s="40" t="s">
        <v>110</v>
      </c>
      <c r="P9" s="74">
        <v>1283</v>
      </c>
    </row>
    <row r="10" spans="1:16">
      <c r="A10" s="41" t="s">
        <v>103</v>
      </c>
      <c r="B10" s="40" t="str">
        <f t="shared" si="0"/>
        <v>共栄百貨店</v>
      </c>
      <c r="C10" s="40">
        <v>104</v>
      </c>
      <c r="D10" s="40" t="str">
        <f t="shared" si="1"/>
        <v>S商品</v>
      </c>
      <c r="E10" s="74">
        <f t="shared" si="2"/>
        <v>1040</v>
      </c>
      <c r="F10" s="40">
        <v>570</v>
      </c>
      <c r="G10" s="74">
        <f t="shared" si="3"/>
        <v>592800</v>
      </c>
      <c r="H10" s="86">
        <f t="shared" si="4"/>
        <v>0.075</v>
      </c>
      <c r="I10" s="74">
        <f t="shared" si="5"/>
        <v>44460</v>
      </c>
      <c r="J10" s="80">
        <f t="shared" si="6"/>
        <v>548340</v>
      </c>
      <c r="K10" s="40">
        <f t="shared" si="7"/>
        <v>22</v>
      </c>
      <c r="L10" s="62" t="str">
        <f t="shared" si="8"/>
        <v>**</v>
      </c>
      <c r="N10" s="40">
        <v>102</v>
      </c>
      <c r="O10" s="40" t="s">
        <v>111</v>
      </c>
      <c r="P10" s="74">
        <v>716</v>
      </c>
    </row>
    <row r="11" spans="1:16">
      <c r="A11" s="41" t="s">
        <v>105</v>
      </c>
      <c r="B11" s="40" t="str">
        <f t="shared" si="0"/>
        <v>長谷川商店</v>
      </c>
      <c r="C11" s="40">
        <v>101</v>
      </c>
      <c r="D11" s="40" t="str">
        <f t="shared" si="1"/>
        <v>P商品</v>
      </c>
      <c r="E11" s="74">
        <f t="shared" si="2"/>
        <v>1590</v>
      </c>
      <c r="F11" s="40">
        <v>385</v>
      </c>
      <c r="G11" s="74">
        <f t="shared" si="3"/>
        <v>612150</v>
      </c>
      <c r="H11" s="86">
        <f t="shared" si="4"/>
        <v>0.053</v>
      </c>
      <c r="I11" s="74">
        <f t="shared" si="5"/>
        <v>32450</v>
      </c>
      <c r="J11" s="80">
        <f t="shared" si="6"/>
        <v>579700</v>
      </c>
      <c r="K11" s="40">
        <f t="shared" si="7"/>
        <v>19</v>
      </c>
      <c r="L11" s="62" t="str">
        <f t="shared" si="8"/>
        <v>**</v>
      </c>
      <c r="N11" s="40">
        <v>103</v>
      </c>
      <c r="O11" s="40" t="s">
        <v>112</v>
      </c>
      <c r="P11" s="74">
        <v>1154</v>
      </c>
    </row>
    <row r="12" spans="1:16">
      <c r="A12" s="41" t="s">
        <v>105</v>
      </c>
      <c r="B12" s="40" t="str">
        <f t="shared" si="0"/>
        <v>長谷川商店</v>
      </c>
      <c r="C12" s="40">
        <v>102</v>
      </c>
      <c r="D12" s="40" t="str">
        <f t="shared" si="1"/>
        <v>Q商品</v>
      </c>
      <c r="E12" s="74">
        <f t="shared" si="2"/>
        <v>890</v>
      </c>
      <c r="F12" s="40">
        <v>638</v>
      </c>
      <c r="G12" s="74">
        <f t="shared" si="3"/>
        <v>567820</v>
      </c>
      <c r="H12" s="86">
        <f t="shared" si="4"/>
        <v>0.064</v>
      </c>
      <c r="I12" s="74">
        <f t="shared" si="5"/>
        <v>36350</v>
      </c>
      <c r="J12" s="80">
        <f t="shared" si="6"/>
        <v>531470</v>
      </c>
      <c r="K12" s="40">
        <f t="shared" si="7"/>
        <v>32</v>
      </c>
      <c r="L12" s="62" t="str">
        <f t="shared" si="8"/>
        <v>*</v>
      </c>
      <c r="N12" s="40">
        <v>104</v>
      </c>
      <c r="O12" s="40" t="s">
        <v>113</v>
      </c>
      <c r="P12" s="74">
        <v>839</v>
      </c>
    </row>
    <row r="13" spans="1:12">
      <c r="A13" s="41" t="s">
        <v>105</v>
      </c>
      <c r="B13" s="40" t="str">
        <f t="shared" si="0"/>
        <v>長谷川商店</v>
      </c>
      <c r="C13" s="40">
        <v>103</v>
      </c>
      <c r="D13" s="40" t="str">
        <f t="shared" si="1"/>
        <v>R商品</v>
      </c>
      <c r="E13" s="74">
        <f t="shared" si="2"/>
        <v>1430</v>
      </c>
      <c r="F13" s="40">
        <v>590</v>
      </c>
      <c r="G13" s="74">
        <f t="shared" si="3"/>
        <v>843700</v>
      </c>
      <c r="H13" s="86">
        <f t="shared" si="4"/>
        <v>0.064</v>
      </c>
      <c r="I13" s="74">
        <f t="shared" si="5"/>
        <v>54000</v>
      </c>
      <c r="J13" s="80">
        <f t="shared" si="6"/>
        <v>789700</v>
      </c>
      <c r="K13" s="40">
        <f t="shared" si="7"/>
        <v>23</v>
      </c>
      <c r="L13" s="62" t="str">
        <f t="shared" si="8"/>
        <v>***</v>
      </c>
    </row>
    <row r="14" spans="1:15">
      <c r="A14" s="41" t="s">
        <v>105</v>
      </c>
      <c r="B14" s="40" t="str">
        <f t="shared" si="0"/>
        <v>長谷川商店</v>
      </c>
      <c r="C14" s="40">
        <v>104</v>
      </c>
      <c r="D14" s="40" t="str">
        <f t="shared" si="1"/>
        <v>S商品</v>
      </c>
      <c r="E14" s="74">
        <f t="shared" si="2"/>
        <v>1040</v>
      </c>
      <c r="F14" s="40">
        <v>524</v>
      </c>
      <c r="G14" s="74">
        <f t="shared" si="3"/>
        <v>544960</v>
      </c>
      <c r="H14" s="86">
        <f t="shared" si="4"/>
        <v>0.064</v>
      </c>
      <c r="I14" s="74">
        <f t="shared" si="5"/>
        <v>34880</v>
      </c>
      <c r="J14" s="80">
        <f t="shared" si="6"/>
        <v>510080</v>
      </c>
      <c r="K14" s="40">
        <f t="shared" si="7"/>
        <v>20</v>
      </c>
      <c r="L14" s="62" t="str">
        <f t="shared" si="8"/>
        <v>**</v>
      </c>
      <c r="N14" s="59" t="s">
        <v>77</v>
      </c>
      <c r="O14" s="59" t="s">
        <v>97</v>
      </c>
    </row>
    <row r="15" spans="1:15">
      <c r="A15" s="41" t="s">
        <v>107</v>
      </c>
      <c r="B15" s="40" t="str">
        <f t="shared" si="0"/>
        <v>新鮮ストア</v>
      </c>
      <c r="C15" s="40">
        <v>101</v>
      </c>
      <c r="D15" s="40" t="str">
        <f t="shared" si="1"/>
        <v>P商品</v>
      </c>
      <c r="E15" s="74">
        <f t="shared" si="2"/>
        <v>1590</v>
      </c>
      <c r="F15" s="40">
        <v>571</v>
      </c>
      <c r="G15" s="74">
        <f t="shared" si="3"/>
        <v>907890</v>
      </c>
      <c r="H15" s="86">
        <f t="shared" si="4"/>
        <v>0.064</v>
      </c>
      <c r="I15" s="74">
        <f t="shared" si="5"/>
        <v>58110</v>
      </c>
      <c r="J15" s="80">
        <f t="shared" si="6"/>
        <v>849780</v>
      </c>
      <c r="K15" s="40">
        <f t="shared" si="7"/>
        <v>28</v>
      </c>
      <c r="L15" s="62" t="str">
        <f t="shared" si="8"/>
        <v>***</v>
      </c>
      <c r="N15" s="40" t="s">
        <v>114</v>
      </c>
      <c r="O15" s="68">
        <v>0.075</v>
      </c>
    </row>
    <row r="16" spans="1:15">
      <c r="A16" s="41" t="s">
        <v>107</v>
      </c>
      <c r="B16" s="40" t="str">
        <f t="shared" si="0"/>
        <v>新鮮ストア</v>
      </c>
      <c r="C16" s="40">
        <v>102</v>
      </c>
      <c r="D16" s="40" t="str">
        <f t="shared" si="1"/>
        <v>Q商品</v>
      </c>
      <c r="E16" s="74">
        <f t="shared" si="2"/>
        <v>890</v>
      </c>
      <c r="F16" s="40">
        <v>680</v>
      </c>
      <c r="G16" s="74">
        <f t="shared" si="3"/>
        <v>605200</v>
      </c>
      <c r="H16" s="86">
        <f t="shared" si="4"/>
        <v>0.064</v>
      </c>
      <c r="I16" s="74">
        <f t="shared" si="5"/>
        <v>38740</v>
      </c>
      <c r="J16" s="80">
        <f t="shared" si="6"/>
        <v>566460</v>
      </c>
      <c r="K16" s="40">
        <f t="shared" si="7"/>
        <v>34</v>
      </c>
      <c r="L16" s="62" t="str">
        <f t="shared" si="8"/>
        <v>*</v>
      </c>
      <c r="N16" s="40" t="s">
        <v>115</v>
      </c>
      <c r="O16" s="68">
        <v>0.064</v>
      </c>
    </row>
    <row r="17" spans="1:12">
      <c r="A17" s="41" t="s">
        <v>107</v>
      </c>
      <c r="B17" s="40" t="str">
        <f t="shared" si="0"/>
        <v>新鮮ストア</v>
      </c>
      <c r="C17" s="40">
        <v>103</v>
      </c>
      <c r="D17" s="40" t="str">
        <f t="shared" si="1"/>
        <v>R商品</v>
      </c>
      <c r="E17" s="74">
        <f t="shared" si="2"/>
        <v>1430</v>
      </c>
      <c r="F17" s="40">
        <v>625</v>
      </c>
      <c r="G17" s="74">
        <f t="shared" si="3"/>
        <v>893750</v>
      </c>
      <c r="H17" s="86">
        <f t="shared" si="4"/>
        <v>0.064</v>
      </c>
      <c r="I17" s="74">
        <f t="shared" si="5"/>
        <v>57200</v>
      </c>
      <c r="J17" s="80">
        <f t="shared" si="6"/>
        <v>836550</v>
      </c>
      <c r="K17" s="40">
        <f t="shared" si="7"/>
        <v>31</v>
      </c>
      <c r="L17" s="62" t="str">
        <f t="shared" si="8"/>
        <v>***</v>
      </c>
    </row>
    <row r="18" spans="1:12">
      <c r="A18" s="41" t="s">
        <v>107</v>
      </c>
      <c r="B18" s="40" t="str">
        <f t="shared" si="0"/>
        <v>新鮮ストア</v>
      </c>
      <c r="C18" s="40">
        <v>104</v>
      </c>
      <c r="D18" s="40" t="str">
        <f t="shared" si="1"/>
        <v>S商品</v>
      </c>
      <c r="E18" s="74">
        <f t="shared" si="2"/>
        <v>1040</v>
      </c>
      <c r="F18" s="40">
        <v>516</v>
      </c>
      <c r="G18" s="74">
        <f t="shared" si="3"/>
        <v>536640</v>
      </c>
      <c r="H18" s="86">
        <f t="shared" si="4"/>
        <v>0.064</v>
      </c>
      <c r="I18" s="74">
        <f t="shared" si="5"/>
        <v>34350</v>
      </c>
      <c r="J18" s="80">
        <f t="shared" si="6"/>
        <v>502290</v>
      </c>
      <c r="K18" s="40">
        <f t="shared" si="7"/>
        <v>20</v>
      </c>
      <c r="L18" s="62" t="str">
        <f t="shared" si="8"/>
        <v>*</v>
      </c>
    </row>
    <row r="19" spans="1:12">
      <c r="A19" s="41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62"/>
    </row>
    <row r="20" ht="14.75" spans="1:12">
      <c r="A20" s="42"/>
      <c r="B20" s="44" t="s">
        <v>31</v>
      </c>
      <c r="C20" s="43"/>
      <c r="D20" s="43"/>
      <c r="E20" s="43"/>
      <c r="F20" s="76">
        <f>SUM(F3:F18)</f>
        <v>8554</v>
      </c>
      <c r="G20" s="76">
        <f t="shared" ref="G20:K20" si="9">SUM(G3:G18)</f>
        <v>10330540</v>
      </c>
      <c r="H20" s="76"/>
      <c r="I20" s="76">
        <f t="shared" si="9"/>
        <v>671650</v>
      </c>
      <c r="J20" s="76">
        <f t="shared" si="9"/>
        <v>9658890</v>
      </c>
      <c r="K20" s="76">
        <f t="shared" si="9"/>
        <v>381</v>
      </c>
      <c r="L20" s="63"/>
    </row>
    <row r="22" ht="14.75" spans="1:12">
      <c r="A22" s="36" t="s">
        <v>116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</row>
    <row r="23" spans="1:12">
      <c r="A23" s="37" t="s">
        <v>93</v>
      </c>
      <c r="B23" s="38" t="s">
        <v>94</v>
      </c>
      <c r="C23" s="38" t="s">
        <v>54</v>
      </c>
      <c r="D23" s="38" t="s">
        <v>55</v>
      </c>
      <c r="E23" s="38" t="s">
        <v>72</v>
      </c>
      <c r="F23" s="38" t="s">
        <v>95</v>
      </c>
      <c r="G23" s="38" t="s">
        <v>96</v>
      </c>
      <c r="H23" s="38" t="s">
        <v>97</v>
      </c>
      <c r="I23" s="38" t="s">
        <v>98</v>
      </c>
      <c r="J23" s="38" t="s">
        <v>99</v>
      </c>
      <c r="K23" s="38" t="s">
        <v>100</v>
      </c>
      <c r="L23" s="46" t="s">
        <v>12</v>
      </c>
    </row>
    <row r="24" spans="1:12">
      <c r="A24" s="41" t="s">
        <v>107</v>
      </c>
      <c r="B24" s="40" t="s">
        <v>108</v>
      </c>
      <c r="C24" s="40">
        <v>101</v>
      </c>
      <c r="D24" s="40" t="s">
        <v>110</v>
      </c>
      <c r="E24" s="74">
        <v>1590</v>
      </c>
      <c r="F24" s="40">
        <v>571</v>
      </c>
      <c r="G24" s="74">
        <v>907890</v>
      </c>
      <c r="H24" s="86">
        <v>0.064</v>
      </c>
      <c r="I24" s="74">
        <v>58110</v>
      </c>
      <c r="J24" s="80">
        <v>849780</v>
      </c>
      <c r="K24" s="40">
        <v>28</v>
      </c>
      <c r="L24" s="62" t="s">
        <v>117</v>
      </c>
    </row>
    <row r="25" spans="1:12">
      <c r="A25" s="41" t="s">
        <v>101</v>
      </c>
      <c r="B25" s="40" t="s">
        <v>102</v>
      </c>
      <c r="C25" s="40">
        <v>101</v>
      </c>
      <c r="D25" s="40" t="s">
        <v>110</v>
      </c>
      <c r="E25" s="74">
        <v>1590</v>
      </c>
      <c r="F25" s="40">
        <v>463</v>
      </c>
      <c r="G25" s="74">
        <v>736170</v>
      </c>
      <c r="H25" s="86">
        <v>0.075</v>
      </c>
      <c r="I25" s="74">
        <v>55220</v>
      </c>
      <c r="J25" s="80">
        <v>680950</v>
      </c>
      <c r="K25" s="40">
        <v>23</v>
      </c>
      <c r="L25" s="62" t="s">
        <v>117</v>
      </c>
    </row>
    <row r="26" spans="1:12">
      <c r="A26" s="41" t="s">
        <v>103</v>
      </c>
      <c r="B26" s="40" t="s">
        <v>104</v>
      </c>
      <c r="C26" s="40">
        <v>103</v>
      </c>
      <c r="D26" s="40" t="s">
        <v>112</v>
      </c>
      <c r="E26" s="74">
        <v>1430</v>
      </c>
      <c r="F26" s="40">
        <v>529</v>
      </c>
      <c r="G26" s="74">
        <v>756470</v>
      </c>
      <c r="H26" s="86">
        <v>0.075</v>
      </c>
      <c r="I26" s="74">
        <v>56740</v>
      </c>
      <c r="J26" s="80">
        <v>699730</v>
      </c>
      <c r="K26" s="40">
        <v>21</v>
      </c>
      <c r="L26" s="62" t="s">
        <v>117</v>
      </c>
    </row>
    <row r="27" spans="1:12">
      <c r="A27" s="41" t="s">
        <v>105</v>
      </c>
      <c r="B27" s="40" t="s">
        <v>106</v>
      </c>
      <c r="C27" s="40">
        <v>103</v>
      </c>
      <c r="D27" s="40" t="s">
        <v>112</v>
      </c>
      <c r="E27" s="74">
        <v>1430</v>
      </c>
      <c r="F27" s="40">
        <v>590</v>
      </c>
      <c r="G27" s="74">
        <v>843700</v>
      </c>
      <c r="H27" s="86">
        <v>0.064</v>
      </c>
      <c r="I27" s="74">
        <v>54000</v>
      </c>
      <c r="J27" s="80">
        <v>789700</v>
      </c>
      <c r="K27" s="40">
        <v>23</v>
      </c>
      <c r="L27" s="62" t="s">
        <v>117</v>
      </c>
    </row>
    <row r="28" spans="1:12">
      <c r="A28" s="41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62"/>
    </row>
    <row r="29" ht="14.75" spans="1:12">
      <c r="A29" s="42"/>
      <c r="B29" s="44" t="s">
        <v>31</v>
      </c>
      <c r="C29" s="43"/>
      <c r="D29" s="43"/>
      <c r="E29" s="43"/>
      <c r="F29" s="76">
        <f>SUM(F24:F27)</f>
        <v>2153</v>
      </c>
      <c r="G29" s="76">
        <f t="shared" ref="G29:K29" si="10">SUM(G24:G27)</f>
        <v>3244230</v>
      </c>
      <c r="H29" s="76"/>
      <c r="I29" s="76">
        <f t="shared" si="10"/>
        <v>224070</v>
      </c>
      <c r="J29" s="76">
        <f t="shared" si="10"/>
        <v>3020160</v>
      </c>
      <c r="K29" s="76">
        <f t="shared" si="10"/>
        <v>95</v>
      </c>
      <c r="L29" s="63"/>
    </row>
    <row r="31" ht="14.75" spans="1:4">
      <c r="A31" s="36" t="s">
        <v>92</v>
      </c>
      <c r="B31" s="36"/>
      <c r="C31" s="36"/>
      <c r="D31" s="36"/>
    </row>
    <row r="32" spans="1:10">
      <c r="A32" s="37" t="s">
        <v>94</v>
      </c>
      <c r="B32" s="38" t="s">
        <v>95</v>
      </c>
      <c r="C32" s="38" t="s">
        <v>99</v>
      </c>
      <c r="D32" s="46" t="s">
        <v>100</v>
      </c>
      <c r="G32" s="59" t="s">
        <v>94</v>
      </c>
      <c r="H32" s="59" t="s">
        <v>94</v>
      </c>
      <c r="I32" s="59" t="s">
        <v>94</v>
      </c>
      <c r="J32" s="59" t="s">
        <v>94</v>
      </c>
    </row>
    <row r="33" spans="1:15">
      <c r="A33" s="41" t="s">
        <v>102</v>
      </c>
      <c r="B33" s="74">
        <f>DSUM(得意先別売上一覧表3,B$32,$G$32:$G$33)</f>
        <v>1946</v>
      </c>
      <c r="C33" s="74">
        <f>DSUM(得意先別売上一覧表3,C$32,$G$32:$G$33)</f>
        <v>2199150</v>
      </c>
      <c r="D33" s="75">
        <f>DSUM(得意先別売上一覧表3,D$32,$G$32:$G$33)</f>
        <v>82</v>
      </c>
      <c r="G33" s="40" t="s">
        <v>102</v>
      </c>
      <c r="H33" s="40" t="s">
        <v>104</v>
      </c>
      <c r="I33" s="40" t="s">
        <v>106</v>
      </c>
      <c r="J33" s="40" t="s">
        <v>108</v>
      </c>
      <c r="O33" s="40" t="s">
        <v>95</v>
      </c>
    </row>
    <row r="34" spans="1:15">
      <c r="A34" s="41" t="s">
        <v>104</v>
      </c>
      <c r="B34" s="74">
        <f>DSUM(得意先別売上一覧表3,B$32,$H$32:$H$33)</f>
        <v>2079</v>
      </c>
      <c r="C34" s="74">
        <f>DSUM(得意先別売上一覧表3,C$32,$H$32:$H$33)</f>
        <v>2293710</v>
      </c>
      <c r="D34" s="75">
        <f>DSUM(得意先別売上一覧表3,D$32,$H$32:$H$33)</f>
        <v>92</v>
      </c>
      <c r="O34" s="40" t="s">
        <v>118</v>
      </c>
    </row>
    <row r="35" spans="1:4">
      <c r="A35" s="41" t="s">
        <v>106</v>
      </c>
      <c r="B35" s="74">
        <f>DSUM(得意先別売上一覧表3,B$32,$I$32:$I$33)</f>
        <v>2137</v>
      </c>
      <c r="C35" s="74">
        <f>DSUM(得意先別売上一覧表3,C$32,$I$32:$I$33)</f>
        <v>2410950</v>
      </c>
      <c r="D35" s="75">
        <f>DSUM(得意先別売上一覧表3,D$32,$I$32:$I$33)</f>
        <v>94</v>
      </c>
    </row>
    <row r="36" ht="14.75" spans="1:15">
      <c r="A36" s="42" t="s">
        <v>108</v>
      </c>
      <c r="B36" s="76">
        <f>DSUM(得意先別売上一覧表3,B$32,$J$32:$J$33)</f>
        <v>2392</v>
      </c>
      <c r="C36" s="76">
        <f>DSUM(得意先別売上一覧表3,C$32,$J$32:$J$33)</f>
        <v>2755080</v>
      </c>
      <c r="D36" s="77">
        <f>DSUM(得意先別売上一覧表3,D$32,$J$32:$J$33)</f>
        <v>113</v>
      </c>
      <c r="N36" s="40" t="s">
        <v>55</v>
      </c>
      <c r="O36" s="40" t="s">
        <v>96</v>
      </c>
    </row>
    <row r="37" ht="14.75" spans="14:15">
      <c r="N37" s="40" t="s">
        <v>119</v>
      </c>
      <c r="O37" s="40" t="s">
        <v>120</v>
      </c>
    </row>
    <row r="38" spans="1:5">
      <c r="A38" s="71" t="s">
        <v>121</v>
      </c>
      <c r="B38" s="72"/>
      <c r="C38" s="72"/>
      <c r="D38" s="72"/>
      <c r="E38" s="84">
        <f>ROUND(DAVERAGE(得意先別売上一覧表3,J2,O33:O34),0)</f>
        <v>656397</v>
      </c>
    </row>
    <row r="39" spans="1:15">
      <c r="A39" s="41" t="s">
        <v>122</v>
      </c>
      <c r="B39" s="40"/>
      <c r="C39" s="40"/>
      <c r="D39" s="40"/>
      <c r="E39" s="62">
        <f>DCOUNT(得意先別売上一覧表3,G2,N36:O37)</f>
        <v>10</v>
      </c>
      <c r="N39" s="40" t="s">
        <v>100</v>
      </c>
      <c r="O39" s="40" t="s">
        <v>100</v>
      </c>
    </row>
    <row r="40" ht="14.75" spans="1:15">
      <c r="A40" s="42" t="s">
        <v>123</v>
      </c>
      <c r="B40" s="43"/>
      <c r="C40" s="43"/>
      <c r="D40" s="43"/>
      <c r="E40" s="77">
        <f>DSUM(得意先別売上一覧表3,I2,N39:O40)</f>
        <v>352820</v>
      </c>
      <c r="N40" s="40" t="s">
        <v>124</v>
      </c>
      <c r="O40" s="40" t="s">
        <v>125</v>
      </c>
    </row>
  </sheetData>
  <mergeCells count="6">
    <mergeCell ref="A1:L1"/>
    <mergeCell ref="A22:L22"/>
    <mergeCell ref="A31:D31"/>
    <mergeCell ref="A38:D38"/>
    <mergeCell ref="A39:D39"/>
    <mergeCell ref="A40:D40"/>
  </mergeCells>
  <pageMargins left="0.25" right="0.25" top="0.75" bottom="0.75" header="0.3" footer="0.3"/>
  <pageSetup paperSize="9" scale="24" orientation="landscape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41"/>
  <sheetViews>
    <sheetView workbookViewId="0">
      <selection activeCell="M41" sqref="M41"/>
    </sheetView>
  </sheetViews>
  <sheetFormatPr defaultColWidth="9" defaultRowHeight="14"/>
  <cols>
    <col min="1" max="2" width="9" customWidth="1"/>
    <col min="3" max="3" width="9.5" customWidth="1"/>
    <col min="4" max="4" width="8" customWidth="1"/>
    <col min="5" max="5" width="6" customWidth="1"/>
    <col min="7" max="7" width="9.5" customWidth="1"/>
    <col min="8" max="8" width="9" customWidth="1"/>
    <col min="9" max="9" width="10.25" customWidth="1"/>
    <col min="10" max="10" width="7.5" customWidth="1"/>
    <col min="11" max="11" width="9.25" customWidth="1"/>
    <col min="12" max="12" width="13" customWidth="1"/>
    <col min="13" max="13" width="11.875" customWidth="1"/>
    <col min="14" max="14" width="5.5" customWidth="1"/>
    <col min="15" max="18" width="7.125" customWidth="1"/>
  </cols>
  <sheetData>
    <row r="1" ht="14.75" spans="1:13">
      <c r="A1" s="36" t="s">
        <v>126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7">
      <c r="A2" s="37" t="s">
        <v>127</v>
      </c>
      <c r="B2" s="38" t="s">
        <v>128</v>
      </c>
      <c r="C2" s="38" t="s">
        <v>54</v>
      </c>
      <c r="D2" s="38" t="s">
        <v>55</v>
      </c>
      <c r="E2" s="38" t="s">
        <v>109</v>
      </c>
      <c r="F2" s="38" t="s">
        <v>58</v>
      </c>
      <c r="G2" s="38" t="s">
        <v>59</v>
      </c>
      <c r="H2" s="38" t="s">
        <v>129</v>
      </c>
      <c r="I2" s="38" t="s">
        <v>130</v>
      </c>
      <c r="J2" s="38" t="s">
        <v>131</v>
      </c>
      <c r="K2" s="38" t="s">
        <v>132</v>
      </c>
      <c r="L2" s="38" t="s">
        <v>133</v>
      </c>
      <c r="M2" s="46" t="s">
        <v>12</v>
      </c>
      <c r="O2" s="59" t="s">
        <v>127</v>
      </c>
      <c r="P2" s="59" t="s">
        <v>134</v>
      </c>
      <c r="Q2" s="59" t="s">
        <v>135</v>
      </c>
    </row>
    <row r="3" spans="1:17">
      <c r="A3" s="41">
        <v>101</v>
      </c>
      <c r="B3" s="40" t="str">
        <f>_xlfn.TEXTJOIN("",TRUE,VLOOKUP(A3,$O$3:$Q$6,2,0),"支店")</f>
        <v>新宿支店</v>
      </c>
      <c r="C3" s="40">
        <v>1001</v>
      </c>
      <c r="D3" s="40" t="str">
        <f>VLOOKUP(C3,$O$9:$R$12,2,0)</f>
        <v>商品J</v>
      </c>
      <c r="E3" s="74">
        <f>VLOOKUP(C3,$O$9:$R$12,3,0)</f>
        <v>1867</v>
      </c>
      <c r="F3" s="40">
        <v>209</v>
      </c>
      <c r="G3" s="74">
        <v>459000</v>
      </c>
      <c r="H3" s="74">
        <f>ROUNDUP(G3/F3,0)</f>
        <v>2197</v>
      </c>
      <c r="I3" s="74">
        <f>G3-E3*F3</f>
        <v>68797</v>
      </c>
      <c r="J3" s="86">
        <f>ROUNDUP(F3/VLOOKUP(C3,$O$9:$R$12,4,0),3)</f>
        <v>0.964</v>
      </c>
      <c r="K3" s="86">
        <f>ROUNDDOWN(I3/(E3*F3),3)</f>
        <v>0.176</v>
      </c>
      <c r="L3" s="74">
        <f>ROUND(G3/VLOOKUP(A3,$O$3:$Q$6,3,0),-1)</f>
        <v>41730</v>
      </c>
      <c r="M3" s="62" t="str">
        <f>IF(OR(I3&gt;=95000,K3&gt;=19%),"順調","")</f>
        <v/>
      </c>
      <c r="O3" s="40">
        <v>101</v>
      </c>
      <c r="P3" s="40" t="s">
        <v>136</v>
      </c>
      <c r="Q3" s="40">
        <v>11</v>
      </c>
    </row>
    <row r="4" spans="1:17">
      <c r="A4" s="41">
        <v>101</v>
      </c>
      <c r="B4" s="40" t="str">
        <f t="shared" ref="B4:B18" si="0">_xlfn.TEXTJOIN("",TRUE,VLOOKUP(A4,$O$3:$Q$6,2,0),"支店")</f>
        <v>新宿支店</v>
      </c>
      <c r="C4" s="40">
        <v>1002</v>
      </c>
      <c r="D4" s="40" t="str">
        <f t="shared" ref="D4:D18" si="1">VLOOKUP(C4,$O$9:$R$12,2,0)</f>
        <v>商品K</v>
      </c>
      <c r="E4" s="74">
        <f t="shared" ref="E4:E18" si="2">VLOOKUP(C4,$O$9:$R$12,3,0)</f>
        <v>2059</v>
      </c>
      <c r="F4" s="40">
        <v>235</v>
      </c>
      <c r="G4" s="74">
        <v>569000</v>
      </c>
      <c r="H4" s="74">
        <f t="shared" ref="H4:H18" si="3">ROUNDUP(G4/F4,0)</f>
        <v>2422</v>
      </c>
      <c r="I4" s="74">
        <f t="shared" ref="I4:I18" si="4">G4-E4*F4</f>
        <v>85135</v>
      </c>
      <c r="J4" s="86">
        <f t="shared" ref="J4:J18" si="5">ROUNDUP(F4/VLOOKUP(C4,$O$9:$R$12,4,0),3)</f>
        <v>1.045</v>
      </c>
      <c r="K4" s="86">
        <f t="shared" ref="K4:K18" si="6">ROUNDDOWN(I4/(E4*F4),3)</f>
        <v>0.175</v>
      </c>
      <c r="L4" s="74">
        <f t="shared" ref="L4:L18" si="7">ROUND(G4/VLOOKUP(A4,$O$3:$Q$6,3,0),-1)</f>
        <v>51730</v>
      </c>
      <c r="M4" s="62" t="str">
        <f t="shared" ref="M4:M18" si="8">IF(OR(I4&gt;=95000,K4&gt;=19%),"順調","")</f>
        <v/>
      </c>
      <c r="O4" s="40">
        <v>102</v>
      </c>
      <c r="P4" s="40" t="s">
        <v>137</v>
      </c>
      <c r="Q4" s="40">
        <v>9</v>
      </c>
    </row>
    <row r="5" spans="1:17">
      <c r="A5" s="41">
        <v>101</v>
      </c>
      <c r="B5" s="40" t="str">
        <f t="shared" si="0"/>
        <v>新宿支店</v>
      </c>
      <c r="C5" s="40">
        <v>1003</v>
      </c>
      <c r="D5" s="40" t="str">
        <f t="shared" si="1"/>
        <v>商品L</v>
      </c>
      <c r="E5" s="74">
        <f t="shared" si="2"/>
        <v>1954</v>
      </c>
      <c r="F5" s="40">
        <v>242</v>
      </c>
      <c r="G5" s="74">
        <v>553000</v>
      </c>
      <c r="H5" s="74">
        <f t="shared" si="3"/>
        <v>2286</v>
      </c>
      <c r="I5" s="74">
        <f t="shared" si="4"/>
        <v>80132</v>
      </c>
      <c r="J5" s="86">
        <f t="shared" si="5"/>
        <v>1.1</v>
      </c>
      <c r="K5" s="86">
        <f t="shared" si="6"/>
        <v>0.169</v>
      </c>
      <c r="L5" s="74">
        <f t="shared" si="7"/>
        <v>50270</v>
      </c>
      <c r="M5" s="62" t="str">
        <f t="shared" si="8"/>
        <v/>
      </c>
      <c r="O5" s="40">
        <v>103</v>
      </c>
      <c r="P5" s="40" t="s">
        <v>138</v>
      </c>
      <c r="Q5" s="40">
        <v>10</v>
      </c>
    </row>
    <row r="6" spans="1:17">
      <c r="A6" s="41">
        <v>101</v>
      </c>
      <c r="B6" s="40" t="str">
        <f t="shared" si="0"/>
        <v>新宿支店</v>
      </c>
      <c r="C6" s="40">
        <v>1004</v>
      </c>
      <c r="D6" s="40" t="str">
        <f t="shared" si="1"/>
        <v>商品M</v>
      </c>
      <c r="E6" s="74">
        <f t="shared" si="2"/>
        <v>2173</v>
      </c>
      <c r="F6" s="40">
        <v>205</v>
      </c>
      <c r="G6" s="74">
        <v>523000</v>
      </c>
      <c r="H6" s="74">
        <f t="shared" si="3"/>
        <v>2552</v>
      </c>
      <c r="I6" s="74">
        <f t="shared" si="4"/>
        <v>77535</v>
      </c>
      <c r="J6" s="86">
        <f t="shared" si="5"/>
        <v>0.892</v>
      </c>
      <c r="K6" s="86">
        <f t="shared" si="6"/>
        <v>0.174</v>
      </c>
      <c r="L6" s="74">
        <f t="shared" si="7"/>
        <v>47550</v>
      </c>
      <c r="M6" s="62" t="str">
        <f t="shared" si="8"/>
        <v/>
      </c>
      <c r="O6" s="40">
        <v>104</v>
      </c>
      <c r="P6" s="40" t="s">
        <v>139</v>
      </c>
      <c r="Q6" s="40">
        <v>12</v>
      </c>
    </row>
    <row r="7" spans="1:13">
      <c r="A7" s="41">
        <v>102</v>
      </c>
      <c r="B7" s="40" t="str">
        <f t="shared" si="0"/>
        <v>池袋支店</v>
      </c>
      <c r="C7" s="40">
        <v>1001</v>
      </c>
      <c r="D7" s="40" t="str">
        <f t="shared" si="1"/>
        <v>商品J</v>
      </c>
      <c r="E7" s="74">
        <f t="shared" si="2"/>
        <v>1867</v>
      </c>
      <c r="F7" s="40">
        <v>240</v>
      </c>
      <c r="G7" s="74">
        <v>547000</v>
      </c>
      <c r="H7" s="74">
        <f t="shared" si="3"/>
        <v>2280</v>
      </c>
      <c r="I7" s="74">
        <f t="shared" si="4"/>
        <v>98920</v>
      </c>
      <c r="J7" s="86">
        <f t="shared" si="5"/>
        <v>1.106</v>
      </c>
      <c r="K7" s="86">
        <f t="shared" si="6"/>
        <v>0.22</v>
      </c>
      <c r="L7" s="74">
        <f t="shared" si="7"/>
        <v>60780</v>
      </c>
      <c r="M7" s="62" t="str">
        <f t="shared" si="8"/>
        <v>順調</v>
      </c>
    </row>
    <row r="8" spans="1:18">
      <c r="A8" s="41">
        <v>102</v>
      </c>
      <c r="B8" s="40" t="str">
        <f t="shared" si="0"/>
        <v>池袋支店</v>
      </c>
      <c r="C8" s="40">
        <v>1002</v>
      </c>
      <c r="D8" s="40" t="str">
        <f t="shared" si="1"/>
        <v>商品K</v>
      </c>
      <c r="E8" s="74">
        <f t="shared" si="2"/>
        <v>2059</v>
      </c>
      <c r="F8" s="40">
        <v>220</v>
      </c>
      <c r="G8" s="74">
        <v>528000</v>
      </c>
      <c r="H8" s="74">
        <f t="shared" si="3"/>
        <v>2400</v>
      </c>
      <c r="I8" s="74">
        <f t="shared" si="4"/>
        <v>75020</v>
      </c>
      <c r="J8" s="86">
        <f t="shared" si="5"/>
        <v>0.978</v>
      </c>
      <c r="K8" s="86">
        <f t="shared" si="6"/>
        <v>0.165</v>
      </c>
      <c r="L8" s="74">
        <f t="shared" si="7"/>
        <v>58670</v>
      </c>
      <c r="M8" s="62" t="str">
        <f t="shared" si="8"/>
        <v/>
      </c>
      <c r="O8" s="59" t="s">
        <v>54</v>
      </c>
      <c r="P8" s="59" t="s">
        <v>55</v>
      </c>
      <c r="Q8" s="59" t="s">
        <v>109</v>
      </c>
      <c r="R8" s="59" t="s">
        <v>26</v>
      </c>
    </row>
    <row r="9" spans="1:18">
      <c r="A9" s="41">
        <v>102</v>
      </c>
      <c r="B9" s="40" t="str">
        <f t="shared" si="0"/>
        <v>池袋支店</v>
      </c>
      <c r="C9" s="40">
        <v>1003</v>
      </c>
      <c r="D9" s="40" t="str">
        <f t="shared" si="1"/>
        <v>商品L</v>
      </c>
      <c r="E9" s="74">
        <f t="shared" si="2"/>
        <v>1954</v>
      </c>
      <c r="F9" s="40">
        <v>236</v>
      </c>
      <c r="G9" s="74">
        <v>550000</v>
      </c>
      <c r="H9" s="74">
        <f t="shared" si="3"/>
        <v>2331</v>
      </c>
      <c r="I9" s="74">
        <f t="shared" si="4"/>
        <v>88856</v>
      </c>
      <c r="J9" s="86">
        <f t="shared" si="5"/>
        <v>1.073</v>
      </c>
      <c r="K9" s="86">
        <f t="shared" si="6"/>
        <v>0.192</v>
      </c>
      <c r="L9" s="74">
        <f t="shared" si="7"/>
        <v>61110</v>
      </c>
      <c r="M9" s="62" t="str">
        <f t="shared" si="8"/>
        <v>順調</v>
      </c>
      <c r="O9" s="40">
        <v>1001</v>
      </c>
      <c r="P9" s="40" t="s">
        <v>140</v>
      </c>
      <c r="Q9" s="74">
        <v>1867</v>
      </c>
      <c r="R9" s="40">
        <v>217</v>
      </c>
    </row>
    <row r="10" spans="1:18">
      <c r="A10" s="41">
        <v>102</v>
      </c>
      <c r="B10" s="40" t="str">
        <f t="shared" si="0"/>
        <v>池袋支店</v>
      </c>
      <c r="C10" s="40">
        <v>1004</v>
      </c>
      <c r="D10" s="40" t="str">
        <f t="shared" si="1"/>
        <v>商品M</v>
      </c>
      <c r="E10" s="74">
        <f t="shared" si="2"/>
        <v>2173</v>
      </c>
      <c r="F10" s="40">
        <v>241</v>
      </c>
      <c r="G10" s="74">
        <v>618000</v>
      </c>
      <c r="H10" s="74">
        <f t="shared" si="3"/>
        <v>2565</v>
      </c>
      <c r="I10" s="74">
        <f t="shared" si="4"/>
        <v>94307</v>
      </c>
      <c r="J10" s="86">
        <f t="shared" si="5"/>
        <v>1.048</v>
      </c>
      <c r="K10" s="86">
        <f t="shared" si="6"/>
        <v>0.18</v>
      </c>
      <c r="L10" s="74">
        <f t="shared" si="7"/>
        <v>68670</v>
      </c>
      <c r="M10" s="62" t="str">
        <f t="shared" si="8"/>
        <v/>
      </c>
      <c r="O10" s="40">
        <v>1002</v>
      </c>
      <c r="P10" s="40" t="s">
        <v>141</v>
      </c>
      <c r="Q10" s="74">
        <v>2059</v>
      </c>
      <c r="R10" s="40">
        <v>225</v>
      </c>
    </row>
    <row r="11" spans="1:18">
      <c r="A11" s="41">
        <v>103</v>
      </c>
      <c r="B11" s="40" t="str">
        <f t="shared" si="0"/>
        <v>銀座支店</v>
      </c>
      <c r="C11" s="40">
        <v>1001</v>
      </c>
      <c r="D11" s="40" t="str">
        <f t="shared" si="1"/>
        <v>商品J</v>
      </c>
      <c r="E11" s="74">
        <f t="shared" si="2"/>
        <v>1867</v>
      </c>
      <c r="F11" s="40">
        <v>226</v>
      </c>
      <c r="G11" s="74">
        <v>512000</v>
      </c>
      <c r="H11" s="74">
        <f t="shared" si="3"/>
        <v>2266</v>
      </c>
      <c r="I11" s="74">
        <f t="shared" si="4"/>
        <v>90058</v>
      </c>
      <c r="J11" s="86">
        <f t="shared" si="5"/>
        <v>1.042</v>
      </c>
      <c r="K11" s="86">
        <f t="shared" si="6"/>
        <v>0.213</v>
      </c>
      <c r="L11" s="74">
        <f t="shared" si="7"/>
        <v>51200</v>
      </c>
      <c r="M11" s="62" t="str">
        <f t="shared" si="8"/>
        <v>順調</v>
      </c>
      <c r="O11" s="40">
        <v>1003</v>
      </c>
      <c r="P11" s="40" t="s">
        <v>142</v>
      </c>
      <c r="Q11" s="74">
        <v>1954</v>
      </c>
      <c r="R11" s="40">
        <v>220</v>
      </c>
    </row>
    <row r="12" spans="1:18">
      <c r="A12" s="41">
        <v>103</v>
      </c>
      <c r="B12" s="40" t="str">
        <f t="shared" si="0"/>
        <v>銀座支店</v>
      </c>
      <c r="C12" s="40">
        <v>1002</v>
      </c>
      <c r="D12" s="40" t="str">
        <f t="shared" si="1"/>
        <v>商品K</v>
      </c>
      <c r="E12" s="74">
        <f t="shared" si="2"/>
        <v>2059</v>
      </c>
      <c r="F12" s="40">
        <v>259</v>
      </c>
      <c r="G12" s="74">
        <v>629000</v>
      </c>
      <c r="H12" s="74">
        <f t="shared" si="3"/>
        <v>2429</v>
      </c>
      <c r="I12" s="74">
        <f t="shared" si="4"/>
        <v>95719</v>
      </c>
      <c r="J12" s="86">
        <f t="shared" si="5"/>
        <v>1.152</v>
      </c>
      <c r="K12" s="86">
        <f t="shared" si="6"/>
        <v>0.179</v>
      </c>
      <c r="L12" s="74">
        <f t="shared" si="7"/>
        <v>62900</v>
      </c>
      <c r="M12" s="62" t="str">
        <f t="shared" si="8"/>
        <v>順調</v>
      </c>
      <c r="O12" s="40">
        <v>1004</v>
      </c>
      <c r="P12" s="40" t="s">
        <v>143</v>
      </c>
      <c r="Q12" s="74">
        <v>2173</v>
      </c>
      <c r="R12" s="40">
        <v>230</v>
      </c>
    </row>
    <row r="13" spans="1:13">
      <c r="A13" s="41">
        <v>103</v>
      </c>
      <c r="B13" s="40" t="str">
        <f t="shared" si="0"/>
        <v>銀座支店</v>
      </c>
      <c r="C13" s="40">
        <v>1003</v>
      </c>
      <c r="D13" s="40" t="str">
        <f t="shared" si="1"/>
        <v>商品L</v>
      </c>
      <c r="E13" s="74">
        <f t="shared" si="2"/>
        <v>1954</v>
      </c>
      <c r="F13" s="40">
        <v>225</v>
      </c>
      <c r="G13" s="74">
        <v>505000</v>
      </c>
      <c r="H13" s="74">
        <f t="shared" si="3"/>
        <v>2245</v>
      </c>
      <c r="I13" s="74">
        <f t="shared" si="4"/>
        <v>65350</v>
      </c>
      <c r="J13" s="86">
        <f t="shared" si="5"/>
        <v>1.023</v>
      </c>
      <c r="K13" s="86">
        <f t="shared" si="6"/>
        <v>0.148</v>
      </c>
      <c r="L13" s="74">
        <f t="shared" si="7"/>
        <v>50500</v>
      </c>
      <c r="M13" s="62" t="str">
        <f t="shared" si="8"/>
        <v/>
      </c>
    </row>
    <row r="14" spans="1:13">
      <c r="A14" s="41">
        <v>103</v>
      </c>
      <c r="B14" s="40" t="str">
        <f t="shared" si="0"/>
        <v>銀座支店</v>
      </c>
      <c r="C14" s="40">
        <v>1004</v>
      </c>
      <c r="D14" s="40" t="str">
        <f t="shared" si="1"/>
        <v>商品M</v>
      </c>
      <c r="E14" s="74">
        <f t="shared" si="2"/>
        <v>2173</v>
      </c>
      <c r="F14" s="40">
        <v>237</v>
      </c>
      <c r="G14" s="74">
        <v>613000</v>
      </c>
      <c r="H14" s="74">
        <f t="shared" si="3"/>
        <v>2587</v>
      </c>
      <c r="I14" s="74">
        <f t="shared" si="4"/>
        <v>97999</v>
      </c>
      <c r="J14" s="86">
        <f t="shared" si="5"/>
        <v>1.031</v>
      </c>
      <c r="K14" s="86">
        <f t="shared" si="6"/>
        <v>0.19</v>
      </c>
      <c r="L14" s="74">
        <f t="shared" si="7"/>
        <v>61300</v>
      </c>
      <c r="M14" s="62" t="str">
        <f t="shared" si="8"/>
        <v>順調</v>
      </c>
    </row>
    <row r="15" spans="1:13">
      <c r="A15" s="41">
        <v>104</v>
      </c>
      <c r="B15" s="40" t="str">
        <f t="shared" si="0"/>
        <v>渋谷支店</v>
      </c>
      <c r="C15" s="40">
        <v>1001</v>
      </c>
      <c r="D15" s="40" t="str">
        <f t="shared" si="1"/>
        <v>商品J</v>
      </c>
      <c r="E15" s="74">
        <f t="shared" si="2"/>
        <v>1867</v>
      </c>
      <c r="F15" s="40">
        <v>198</v>
      </c>
      <c r="G15" s="74">
        <v>437000</v>
      </c>
      <c r="H15" s="74">
        <f t="shared" si="3"/>
        <v>2208</v>
      </c>
      <c r="I15" s="74">
        <f t="shared" si="4"/>
        <v>67334</v>
      </c>
      <c r="J15" s="86">
        <f t="shared" si="5"/>
        <v>0.913</v>
      </c>
      <c r="K15" s="86">
        <f t="shared" si="6"/>
        <v>0.182</v>
      </c>
      <c r="L15" s="74">
        <f t="shared" si="7"/>
        <v>36420</v>
      </c>
      <c r="M15" s="62" t="str">
        <f t="shared" si="8"/>
        <v/>
      </c>
    </row>
    <row r="16" spans="1:13">
      <c r="A16" s="41">
        <v>104</v>
      </c>
      <c r="B16" s="40" t="str">
        <f t="shared" si="0"/>
        <v>渋谷支店</v>
      </c>
      <c r="C16" s="40">
        <v>1002</v>
      </c>
      <c r="D16" s="40" t="str">
        <f t="shared" si="1"/>
        <v>商品K</v>
      </c>
      <c r="E16" s="74">
        <f t="shared" si="2"/>
        <v>2059</v>
      </c>
      <c r="F16" s="40">
        <v>217</v>
      </c>
      <c r="G16" s="74">
        <v>537000</v>
      </c>
      <c r="H16" s="74">
        <f t="shared" si="3"/>
        <v>2475</v>
      </c>
      <c r="I16" s="74">
        <f t="shared" si="4"/>
        <v>90197</v>
      </c>
      <c r="J16" s="86">
        <f t="shared" si="5"/>
        <v>0.965</v>
      </c>
      <c r="K16" s="86">
        <f t="shared" si="6"/>
        <v>0.201</v>
      </c>
      <c r="L16" s="74">
        <f t="shared" si="7"/>
        <v>44750</v>
      </c>
      <c r="M16" s="62" t="str">
        <f t="shared" si="8"/>
        <v>順調</v>
      </c>
    </row>
    <row r="17" spans="1:13">
      <c r="A17" s="41">
        <v>104</v>
      </c>
      <c r="B17" s="40" t="str">
        <f t="shared" si="0"/>
        <v>渋谷支店</v>
      </c>
      <c r="C17" s="40">
        <v>1003</v>
      </c>
      <c r="D17" s="40" t="str">
        <f t="shared" si="1"/>
        <v>商品L</v>
      </c>
      <c r="E17" s="74">
        <f t="shared" si="2"/>
        <v>1954</v>
      </c>
      <c r="F17" s="40">
        <v>238</v>
      </c>
      <c r="G17" s="74">
        <v>539000</v>
      </c>
      <c r="H17" s="74">
        <f t="shared" si="3"/>
        <v>2265</v>
      </c>
      <c r="I17" s="74">
        <f t="shared" si="4"/>
        <v>73948</v>
      </c>
      <c r="J17" s="86">
        <f t="shared" si="5"/>
        <v>1.082</v>
      </c>
      <c r="K17" s="86">
        <f t="shared" si="6"/>
        <v>0.159</v>
      </c>
      <c r="L17" s="74">
        <f t="shared" si="7"/>
        <v>44920</v>
      </c>
      <c r="M17" s="62" t="str">
        <f t="shared" si="8"/>
        <v/>
      </c>
    </row>
    <row r="18" spans="1:13">
      <c r="A18" s="41">
        <v>104</v>
      </c>
      <c r="B18" s="40" t="str">
        <f t="shared" si="0"/>
        <v>渋谷支店</v>
      </c>
      <c r="C18" s="40">
        <v>1004</v>
      </c>
      <c r="D18" s="40" t="str">
        <f t="shared" si="1"/>
        <v>商品M</v>
      </c>
      <c r="E18" s="74">
        <f t="shared" si="2"/>
        <v>2173</v>
      </c>
      <c r="F18" s="40">
        <v>252</v>
      </c>
      <c r="G18" s="74">
        <v>647000</v>
      </c>
      <c r="H18" s="74">
        <f t="shared" si="3"/>
        <v>2568</v>
      </c>
      <c r="I18" s="74">
        <f t="shared" si="4"/>
        <v>99404</v>
      </c>
      <c r="J18" s="86">
        <f t="shared" si="5"/>
        <v>1.096</v>
      </c>
      <c r="K18" s="86">
        <f t="shared" si="6"/>
        <v>0.181</v>
      </c>
      <c r="L18" s="74">
        <f t="shared" si="7"/>
        <v>53920</v>
      </c>
      <c r="M18" s="62" t="str">
        <f t="shared" si="8"/>
        <v>順調</v>
      </c>
    </row>
    <row r="19" spans="1:13">
      <c r="A19" s="41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62"/>
    </row>
    <row r="20" ht="14.75" spans="1:13">
      <c r="A20" s="42"/>
      <c r="B20" s="44" t="s">
        <v>31</v>
      </c>
      <c r="C20" s="43"/>
      <c r="D20" s="43"/>
      <c r="E20" s="43"/>
      <c r="F20" s="76">
        <f>SUM(F3:F18)</f>
        <v>3680</v>
      </c>
      <c r="G20" s="76">
        <f t="shared" ref="G20:I20" si="9">SUM(G3:G18)</f>
        <v>8766000</v>
      </c>
      <c r="H20" s="76"/>
      <c r="I20" s="76">
        <f t="shared" si="9"/>
        <v>1348711</v>
      </c>
      <c r="J20" s="43"/>
      <c r="K20" s="43"/>
      <c r="L20" s="43"/>
      <c r="M20" s="63"/>
    </row>
    <row r="22" ht="14.75" spans="1:13">
      <c r="A22" s="36" t="s">
        <v>144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</row>
    <row r="23" spans="1:13">
      <c r="A23" s="37" t="s">
        <v>127</v>
      </c>
      <c r="B23" s="38" t="s">
        <v>128</v>
      </c>
      <c r="C23" s="38" t="s">
        <v>54</v>
      </c>
      <c r="D23" s="38" t="s">
        <v>55</v>
      </c>
      <c r="E23" s="38" t="s">
        <v>109</v>
      </c>
      <c r="F23" s="38" t="s">
        <v>58</v>
      </c>
      <c r="G23" s="38" t="s">
        <v>59</v>
      </c>
      <c r="H23" s="38" t="s">
        <v>129</v>
      </c>
      <c r="I23" s="38" t="s">
        <v>130</v>
      </c>
      <c r="J23" s="38" t="s">
        <v>131</v>
      </c>
      <c r="K23" s="38" t="s">
        <v>132</v>
      </c>
      <c r="L23" s="38" t="s">
        <v>133</v>
      </c>
      <c r="M23" s="46" t="s">
        <v>12</v>
      </c>
    </row>
    <row r="24" spans="1:13">
      <c r="A24" s="41">
        <v>103</v>
      </c>
      <c r="B24" s="40" t="s">
        <v>145</v>
      </c>
      <c r="C24" s="40">
        <v>1002</v>
      </c>
      <c r="D24" s="40" t="s">
        <v>141</v>
      </c>
      <c r="E24" s="74">
        <v>2059</v>
      </c>
      <c r="F24" s="40">
        <v>259</v>
      </c>
      <c r="G24" s="74">
        <v>629000</v>
      </c>
      <c r="H24" s="74">
        <v>2429</v>
      </c>
      <c r="I24" s="74">
        <v>95719</v>
      </c>
      <c r="J24" s="86">
        <v>1.152</v>
      </c>
      <c r="K24" s="86">
        <v>0.179</v>
      </c>
      <c r="L24" s="74">
        <v>62900</v>
      </c>
      <c r="M24" s="62" t="s">
        <v>146</v>
      </c>
    </row>
    <row r="25" spans="1:13">
      <c r="A25" s="41">
        <v>101</v>
      </c>
      <c r="B25" s="40" t="s">
        <v>147</v>
      </c>
      <c r="C25" s="40">
        <v>1002</v>
      </c>
      <c r="D25" s="40" t="s">
        <v>141</v>
      </c>
      <c r="E25" s="74">
        <v>2059</v>
      </c>
      <c r="F25" s="40">
        <v>235</v>
      </c>
      <c r="G25" s="74">
        <v>569000</v>
      </c>
      <c r="H25" s="74">
        <v>2422</v>
      </c>
      <c r="I25" s="74">
        <v>85135</v>
      </c>
      <c r="J25" s="86">
        <v>1.045</v>
      </c>
      <c r="K25" s="86">
        <v>0.175</v>
      </c>
      <c r="L25" s="74">
        <v>51730</v>
      </c>
      <c r="M25" s="62" t="s">
        <v>35</v>
      </c>
    </row>
    <row r="26" spans="1:13">
      <c r="A26" s="41">
        <v>102</v>
      </c>
      <c r="B26" s="40" t="s">
        <v>148</v>
      </c>
      <c r="C26" s="40">
        <v>1002</v>
      </c>
      <c r="D26" s="40" t="s">
        <v>141</v>
      </c>
      <c r="E26" s="74">
        <v>2059</v>
      </c>
      <c r="F26" s="40">
        <v>220</v>
      </c>
      <c r="G26" s="74">
        <v>528000</v>
      </c>
      <c r="H26" s="74">
        <v>2400</v>
      </c>
      <c r="I26" s="74">
        <v>75020</v>
      </c>
      <c r="J26" s="86">
        <v>0.978</v>
      </c>
      <c r="K26" s="86">
        <v>0.165</v>
      </c>
      <c r="L26" s="74">
        <v>58670</v>
      </c>
      <c r="M26" s="62" t="s">
        <v>35</v>
      </c>
    </row>
    <row r="27" spans="1:13">
      <c r="A27" s="41">
        <v>102</v>
      </c>
      <c r="B27" s="40" t="s">
        <v>148</v>
      </c>
      <c r="C27" s="40">
        <v>1004</v>
      </c>
      <c r="D27" s="40" t="s">
        <v>143</v>
      </c>
      <c r="E27" s="74">
        <v>2173</v>
      </c>
      <c r="F27" s="40">
        <v>241</v>
      </c>
      <c r="G27" s="74">
        <v>618000</v>
      </c>
      <c r="H27" s="74">
        <v>2565</v>
      </c>
      <c r="I27" s="74">
        <v>94307</v>
      </c>
      <c r="J27" s="86">
        <v>1.048</v>
      </c>
      <c r="K27" s="86">
        <v>0.18</v>
      </c>
      <c r="L27" s="74">
        <v>68670</v>
      </c>
      <c r="M27" s="62" t="s">
        <v>35</v>
      </c>
    </row>
    <row r="28" spans="1:13">
      <c r="A28" s="41">
        <v>101</v>
      </c>
      <c r="B28" s="40" t="s">
        <v>147</v>
      </c>
      <c r="C28" s="40">
        <v>1004</v>
      </c>
      <c r="D28" s="40" t="s">
        <v>143</v>
      </c>
      <c r="E28" s="74">
        <v>2173</v>
      </c>
      <c r="F28" s="40">
        <v>205</v>
      </c>
      <c r="G28" s="74">
        <v>523000</v>
      </c>
      <c r="H28" s="74">
        <v>2552</v>
      </c>
      <c r="I28" s="74">
        <v>77535</v>
      </c>
      <c r="J28" s="86">
        <v>0.892</v>
      </c>
      <c r="K28" s="86">
        <v>0.174</v>
      </c>
      <c r="L28" s="74">
        <v>47550</v>
      </c>
      <c r="M28" s="62" t="s">
        <v>35</v>
      </c>
    </row>
    <row r="29" spans="1:13">
      <c r="A29" s="41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62"/>
    </row>
    <row r="30" ht="14.75" spans="1:13">
      <c r="A30" s="42"/>
      <c r="B30" s="44" t="s">
        <v>31</v>
      </c>
      <c r="C30" s="43"/>
      <c r="D30" s="43"/>
      <c r="E30" s="43"/>
      <c r="F30" s="76">
        <f>SUM(F24:F28)</f>
        <v>1160</v>
      </c>
      <c r="G30" s="76">
        <f t="shared" ref="G30:I30" si="10">SUM(G24:G28)</f>
        <v>2867000</v>
      </c>
      <c r="H30" s="76"/>
      <c r="I30" s="76">
        <f t="shared" si="10"/>
        <v>427716</v>
      </c>
      <c r="J30" s="43"/>
      <c r="K30" s="43"/>
      <c r="L30" s="43"/>
      <c r="M30" s="63"/>
    </row>
    <row r="32" ht="14.75" spans="1:4">
      <c r="A32" s="36" t="s">
        <v>149</v>
      </c>
      <c r="B32" s="36"/>
      <c r="C32" s="36"/>
      <c r="D32" s="36"/>
    </row>
    <row r="33" spans="1:9">
      <c r="A33" s="37" t="s">
        <v>128</v>
      </c>
      <c r="B33" s="38" t="s">
        <v>58</v>
      </c>
      <c r="C33" s="38" t="s">
        <v>59</v>
      </c>
      <c r="D33" s="46" t="s">
        <v>130</v>
      </c>
      <c r="F33" s="59" t="s">
        <v>128</v>
      </c>
      <c r="G33" s="59" t="s">
        <v>128</v>
      </c>
      <c r="H33" s="59" t="s">
        <v>128</v>
      </c>
      <c r="I33" s="59" t="s">
        <v>128</v>
      </c>
    </row>
    <row r="34" spans="1:9">
      <c r="A34" s="41" t="s">
        <v>147</v>
      </c>
      <c r="B34" s="74">
        <f>DSUM(支店別販売一覧表4,B$33,$F$33:$F$34)</f>
        <v>891</v>
      </c>
      <c r="C34" s="74">
        <f>DSUM(支店別販売一覧表4,C$33,$F$33:$F$34)</f>
        <v>2104000</v>
      </c>
      <c r="D34" s="75">
        <f>DSUM(支店別販売一覧表4,D$33,$F$33:$F$34)</f>
        <v>311599</v>
      </c>
      <c r="F34" s="40" t="s">
        <v>147</v>
      </c>
      <c r="G34" s="40" t="s">
        <v>148</v>
      </c>
      <c r="H34" s="40" t="s">
        <v>145</v>
      </c>
      <c r="I34" s="40" t="s">
        <v>150</v>
      </c>
    </row>
    <row r="35" spans="1:6">
      <c r="A35" s="41" t="s">
        <v>148</v>
      </c>
      <c r="B35" s="74">
        <f>DSUM(支店別販売一覧表4,B$33,$G$33:$G$34)</f>
        <v>937</v>
      </c>
      <c r="C35" s="74">
        <f>DSUM(支店別販売一覧表4,C$33,$G$33:$G$34)</f>
        <v>2243000</v>
      </c>
      <c r="D35" s="75">
        <f>DSUM(支店別販売一覧表4,D$33,$G$33:$G$34)</f>
        <v>357103</v>
      </c>
      <c r="F35" s="73"/>
    </row>
    <row r="36" spans="1:13">
      <c r="A36" s="41" t="s">
        <v>145</v>
      </c>
      <c r="B36" s="74">
        <f>DSUM(支店別販売一覧表4,B$33,$H$33:$H$34)</f>
        <v>947</v>
      </c>
      <c r="C36" s="74">
        <f>DSUM(支店別販売一覧表4,C$33,$H$33:$H$34)</f>
        <v>2259000</v>
      </c>
      <c r="D36" s="75">
        <f>DSUM(支店別販売一覧表4,D$33,$H$33:$H$34)</f>
        <v>349126</v>
      </c>
      <c r="F36" s="73"/>
      <c r="L36" s="59" t="s">
        <v>58</v>
      </c>
      <c r="M36" s="59" t="s">
        <v>59</v>
      </c>
    </row>
    <row r="37" ht="14.75" spans="1:13">
      <c r="A37" s="42" t="s">
        <v>150</v>
      </c>
      <c r="B37" s="76">
        <f>DSUM(支店別販売一覧表4,B$33,$I$33:$I$34)</f>
        <v>905</v>
      </c>
      <c r="C37" s="76">
        <f>DSUM(支店別販売一覧表4,C$33,$I$33:$I$34)</f>
        <v>2160000</v>
      </c>
      <c r="D37" s="77">
        <f>DSUM(支店別販売一覧表4,D$33,$I$33:$I$34)</f>
        <v>330883</v>
      </c>
      <c r="L37" s="40" t="s">
        <v>151</v>
      </c>
      <c r="M37" s="103" t="s">
        <v>152</v>
      </c>
    </row>
    <row r="38" ht="14.75" spans="12:13">
      <c r="L38" s="59" t="s">
        <v>59</v>
      </c>
      <c r="M38" s="59" t="s">
        <v>132</v>
      </c>
    </row>
    <row r="39" spans="1:13">
      <c r="A39" s="51" t="s">
        <v>153</v>
      </c>
      <c r="B39" s="52"/>
      <c r="C39" s="52"/>
      <c r="D39" s="52"/>
      <c r="E39" s="52"/>
      <c r="F39" s="52"/>
      <c r="G39" s="84">
        <f>DSUM(支店別販売一覧表4,I2,L36:M37)</f>
        <v>814420</v>
      </c>
      <c r="L39" s="40" t="s">
        <v>154</v>
      </c>
      <c r="M39" s="103" t="s">
        <v>155</v>
      </c>
    </row>
    <row r="40" spans="1:13">
      <c r="A40" s="53" t="s">
        <v>156</v>
      </c>
      <c r="B40" s="54"/>
      <c r="C40" s="54"/>
      <c r="D40" s="54"/>
      <c r="E40" s="54"/>
      <c r="F40" s="54"/>
      <c r="G40" s="75">
        <f>DCOUNTA(支店別販売一覧表4,G2,L38:M39)</f>
        <v>6</v>
      </c>
      <c r="L40" s="59" t="s">
        <v>128</v>
      </c>
      <c r="M40" s="59" t="s">
        <v>131</v>
      </c>
    </row>
    <row r="41" ht="14.75" spans="1:13">
      <c r="A41" s="55" t="s">
        <v>157</v>
      </c>
      <c r="B41" s="56"/>
      <c r="C41" s="56"/>
      <c r="D41" s="56"/>
      <c r="E41" s="56"/>
      <c r="F41" s="56"/>
      <c r="G41" s="77">
        <f>DMIN(支店別販売一覧表4,H2,L40:M41)</f>
        <v>2266</v>
      </c>
      <c r="L41" s="40" t="str">
        <f>"&lt;&gt;渋谷支店"</f>
        <v>&lt;&gt;渋谷支店</v>
      </c>
      <c r="M41" s="85" t="s">
        <v>158</v>
      </c>
    </row>
  </sheetData>
  <sortState ref="A24:M28">
    <sortCondition ref="C24:C28"/>
    <sortCondition ref="K24:K28" descending="1"/>
  </sortState>
  <mergeCells count="6">
    <mergeCell ref="A1:M1"/>
    <mergeCell ref="A22:M22"/>
    <mergeCell ref="A32:D32"/>
    <mergeCell ref="A39:F39"/>
    <mergeCell ref="A40:F40"/>
    <mergeCell ref="A41:F41"/>
  </mergeCells>
  <pageMargins left="0.25" right="0.25" top="0.75" bottom="0.75" header="0.3" footer="0.3"/>
  <pageSetup paperSize="9" scale="58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41"/>
  <sheetViews>
    <sheetView showFormulas="1" topLeftCell="F1" workbookViewId="0">
      <selection activeCell="A29" sqref="A$1:R$1048576"/>
    </sheetView>
  </sheetViews>
  <sheetFormatPr defaultColWidth="9" defaultRowHeight="14"/>
  <cols>
    <col min="1" max="1" width="4.625" customWidth="1"/>
    <col min="2" max="2" width="29" customWidth="1"/>
    <col min="3" max="4" width="23.5" customWidth="1"/>
    <col min="5" max="5" width="16.625" customWidth="1"/>
    <col min="6" max="6" width="8.125" customWidth="1"/>
    <col min="7" max="7" width="21.75" customWidth="1"/>
    <col min="8" max="8" width="12.125" customWidth="1"/>
    <col min="9" max="9" width="7.5" customWidth="1"/>
    <col min="10" max="10" width="25.625" customWidth="1"/>
    <col min="11" max="11" width="16.5" customWidth="1"/>
    <col min="12" max="12" width="24.375" customWidth="1"/>
    <col min="13" max="13" width="20.75" customWidth="1"/>
    <col min="14" max="14" width="5.5" customWidth="1"/>
    <col min="15" max="18" width="3.625" customWidth="1"/>
  </cols>
  <sheetData>
    <row r="1" ht="14.75" spans="1:13">
      <c r="A1" s="36" t="s">
        <v>126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7">
      <c r="A2" s="37" t="s">
        <v>127</v>
      </c>
      <c r="B2" s="38" t="s">
        <v>128</v>
      </c>
      <c r="C2" s="38" t="s">
        <v>54</v>
      </c>
      <c r="D2" s="38" t="s">
        <v>55</v>
      </c>
      <c r="E2" s="38" t="s">
        <v>109</v>
      </c>
      <c r="F2" s="38" t="s">
        <v>58</v>
      </c>
      <c r="G2" s="38" t="s">
        <v>59</v>
      </c>
      <c r="H2" s="38" t="s">
        <v>129</v>
      </c>
      <c r="I2" s="38" t="s">
        <v>130</v>
      </c>
      <c r="J2" s="38" t="s">
        <v>131</v>
      </c>
      <c r="K2" s="38" t="s">
        <v>132</v>
      </c>
      <c r="L2" s="38" t="s">
        <v>133</v>
      </c>
      <c r="M2" s="46" t="s">
        <v>12</v>
      </c>
      <c r="O2" s="59" t="s">
        <v>127</v>
      </c>
      <c r="P2" s="59" t="s">
        <v>134</v>
      </c>
      <c r="Q2" s="59" t="s">
        <v>135</v>
      </c>
    </row>
    <row r="3" spans="1:17">
      <c r="A3" s="41">
        <v>101</v>
      </c>
      <c r="B3" s="40" t="str">
        <f>_xlfn.TEXTJOIN("",TRUE,VLOOKUP(A3,$O$3:$Q$6,2,0),"支店")</f>
        <v>新宿支店</v>
      </c>
      <c r="C3" s="40">
        <v>1001</v>
      </c>
      <c r="D3" s="40" t="str">
        <f>VLOOKUP(C3,$O$9:$R$12,2,0)</f>
        <v>商品J</v>
      </c>
      <c r="E3" s="74">
        <f>VLOOKUP(C3,$O$9:$R$12,3,0)</f>
        <v>1867</v>
      </c>
      <c r="F3" s="40">
        <v>209</v>
      </c>
      <c r="G3" s="74">
        <v>459000</v>
      </c>
      <c r="H3" s="74">
        <f>ROUNDUP(G3/F3,0)</f>
        <v>2197</v>
      </c>
      <c r="I3" s="74">
        <f>G3-E3*F3</f>
        <v>68797</v>
      </c>
      <c r="J3" s="86">
        <f>ROUNDUP(F3/VLOOKUP(C3,$O$9:$R$12,4,0),3)</f>
        <v>0.964</v>
      </c>
      <c r="K3" s="86">
        <f>ROUNDDOWN(I3/(E3*F3),3)</f>
        <v>0.176</v>
      </c>
      <c r="L3" s="74">
        <f>ROUND(G3/VLOOKUP(A3,$O$3:$Q$6,3,0),-1)</f>
        <v>41730</v>
      </c>
      <c r="M3" s="62" t="str">
        <f>IF(OR(I3&gt;=95000,K3&gt;=19%),"順調","")</f>
        <v/>
      </c>
      <c r="O3" s="40">
        <v>101</v>
      </c>
      <c r="P3" s="40" t="s">
        <v>136</v>
      </c>
      <c r="Q3" s="40">
        <v>11</v>
      </c>
    </row>
    <row r="4" spans="1:17">
      <c r="A4" s="41">
        <v>101</v>
      </c>
      <c r="B4" s="40" t="str">
        <f t="shared" ref="B4:B18" si="0">_xlfn.TEXTJOIN("",TRUE,VLOOKUP(A4,$O$3:$Q$6,2,0),"支店")</f>
        <v>新宿支店</v>
      </c>
      <c r="C4" s="40">
        <v>1002</v>
      </c>
      <c r="D4" s="40" t="str">
        <f t="shared" ref="D4:D18" si="1">VLOOKUP(C4,$O$9:$R$12,2,0)</f>
        <v>商品K</v>
      </c>
      <c r="E4" s="74">
        <f t="shared" ref="E4:E18" si="2">VLOOKUP(C4,$O$9:$R$12,3,0)</f>
        <v>2059</v>
      </c>
      <c r="F4" s="40">
        <v>235</v>
      </c>
      <c r="G4" s="74">
        <v>569000</v>
      </c>
      <c r="H4" s="74">
        <f t="shared" ref="H4:H18" si="3">ROUNDUP(G4/F4,0)</f>
        <v>2422</v>
      </c>
      <c r="I4" s="74">
        <f t="shared" ref="I4:I18" si="4">G4-E4*F4</f>
        <v>85135</v>
      </c>
      <c r="J4" s="86">
        <f t="shared" ref="J4:J18" si="5">ROUNDUP(F4/VLOOKUP(C4,$O$9:$R$12,4,0),3)</f>
        <v>1.045</v>
      </c>
      <c r="K4" s="86">
        <f t="shared" ref="K4:K18" si="6">ROUNDDOWN(I4/(E4*F4),3)</f>
        <v>0.175</v>
      </c>
      <c r="L4" s="74">
        <f t="shared" ref="L4:L18" si="7">ROUND(G4/VLOOKUP(A4,$O$3:$Q$6,3,0),-1)</f>
        <v>51730</v>
      </c>
      <c r="M4" s="62" t="str">
        <f t="shared" ref="M4:M18" si="8">IF(OR(I4&gt;=95000,K4&gt;=19%),"順調","")</f>
        <v/>
      </c>
      <c r="O4" s="40">
        <v>102</v>
      </c>
      <c r="P4" s="40" t="s">
        <v>137</v>
      </c>
      <c r="Q4" s="40">
        <v>9</v>
      </c>
    </row>
    <row r="5" spans="1:17">
      <c r="A5" s="41">
        <v>101</v>
      </c>
      <c r="B5" s="40" t="str">
        <f t="shared" si="0"/>
        <v>新宿支店</v>
      </c>
      <c r="C5" s="40">
        <v>1003</v>
      </c>
      <c r="D5" s="40" t="str">
        <f t="shared" si="1"/>
        <v>商品L</v>
      </c>
      <c r="E5" s="74">
        <f t="shared" si="2"/>
        <v>1954</v>
      </c>
      <c r="F5" s="40">
        <v>242</v>
      </c>
      <c r="G5" s="74">
        <v>553000</v>
      </c>
      <c r="H5" s="74">
        <f t="shared" si="3"/>
        <v>2286</v>
      </c>
      <c r="I5" s="74">
        <f t="shared" si="4"/>
        <v>80132</v>
      </c>
      <c r="J5" s="86">
        <f t="shared" si="5"/>
        <v>1.1</v>
      </c>
      <c r="K5" s="86">
        <f t="shared" si="6"/>
        <v>0.169</v>
      </c>
      <c r="L5" s="74">
        <f t="shared" si="7"/>
        <v>50270</v>
      </c>
      <c r="M5" s="62" t="str">
        <f t="shared" si="8"/>
        <v/>
      </c>
      <c r="O5" s="40">
        <v>103</v>
      </c>
      <c r="P5" s="40" t="s">
        <v>138</v>
      </c>
      <c r="Q5" s="40">
        <v>10</v>
      </c>
    </row>
    <row r="6" spans="1:17">
      <c r="A6" s="41">
        <v>101</v>
      </c>
      <c r="B6" s="40" t="str">
        <f t="shared" si="0"/>
        <v>新宿支店</v>
      </c>
      <c r="C6" s="40">
        <v>1004</v>
      </c>
      <c r="D6" s="40" t="str">
        <f t="shared" si="1"/>
        <v>商品M</v>
      </c>
      <c r="E6" s="74">
        <f t="shared" si="2"/>
        <v>2173</v>
      </c>
      <c r="F6" s="40">
        <v>205</v>
      </c>
      <c r="G6" s="74">
        <v>523000</v>
      </c>
      <c r="H6" s="74">
        <f t="shared" si="3"/>
        <v>2552</v>
      </c>
      <c r="I6" s="74">
        <f t="shared" si="4"/>
        <v>77535</v>
      </c>
      <c r="J6" s="86">
        <f t="shared" si="5"/>
        <v>0.892</v>
      </c>
      <c r="K6" s="86">
        <f t="shared" si="6"/>
        <v>0.174</v>
      </c>
      <c r="L6" s="74">
        <f t="shared" si="7"/>
        <v>47550</v>
      </c>
      <c r="M6" s="62" t="str">
        <f t="shared" si="8"/>
        <v/>
      </c>
      <c r="O6" s="40">
        <v>104</v>
      </c>
      <c r="P6" s="40" t="s">
        <v>139</v>
      </c>
      <c r="Q6" s="40">
        <v>12</v>
      </c>
    </row>
    <row r="7" spans="1:13">
      <c r="A7" s="41">
        <v>102</v>
      </c>
      <c r="B7" s="40" t="str">
        <f t="shared" si="0"/>
        <v>池袋支店</v>
      </c>
      <c r="C7" s="40">
        <v>1001</v>
      </c>
      <c r="D7" s="40" t="str">
        <f t="shared" si="1"/>
        <v>商品J</v>
      </c>
      <c r="E7" s="74">
        <f t="shared" si="2"/>
        <v>1867</v>
      </c>
      <c r="F7" s="40">
        <v>240</v>
      </c>
      <c r="G7" s="74">
        <v>547000</v>
      </c>
      <c r="H7" s="74">
        <f t="shared" si="3"/>
        <v>2280</v>
      </c>
      <c r="I7" s="74">
        <f t="shared" si="4"/>
        <v>98920</v>
      </c>
      <c r="J7" s="86">
        <f t="shared" si="5"/>
        <v>1.106</v>
      </c>
      <c r="K7" s="86">
        <f t="shared" si="6"/>
        <v>0.22</v>
      </c>
      <c r="L7" s="74">
        <f t="shared" si="7"/>
        <v>60780</v>
      </c>
      <c r="M7" s="62" t="str">
        <f t="shared" si="8"/>
        <v>順調</v>
      </c>
    </row>
    <row r="8" spans="1:18">
      <c r="A8" s="41">
        <v>102</v>
      </c>
      <c r="B8" s="40" t="str">
        <f t="shared" si="0"/>
        <v>池袋支店</v>
      </c>
      <c r="C8" s="40">
        <v>1002</v>
      </c>
      <c r="D8" s="40" t="str">
        <f t="shared" si="1"/>
        <v>商品K</v>
      </c>
      <c r="E8" s="74">
        <f t="shared" si="2"/>
        <v>2059</v>
      </c>
      <c r="F8" s="40">
        <v>220</v>
      </c>
      <c r="G8" s="74">
        <v>528000</v>
      </c>
      <c r="H8" s="74">
        <f t="shared" si="3"/>
        <v>2400</v>
      </c>
      <c r="I8" s="74">
        <f t="shared" si="4"/>
        <v>75020</v>
      </c>
      <c r="J8" s="86">
        <f t="shared" si="5"/>
        <v>0.978</v>
      </c>
      <c r="K8" s="86">
        <f t="shared" si="6"/>
        <v>0.165</v>
      </c>
      <c r="L8" s="74">
        <f t="shared" si="7"/>
        <v>58670</v>
      </c>
      <c r="M8" s="62" t="str">
        <f t="shared" si="8"/>
        <v/>
      </c>
      <c r="O8" s="59" t="s">
        <v>54</v>
      </c>
      <c r="P8" s="59" t="s">
        <v>55</v>
      </c>
      <c r="Q8" s="59" t="s">
        <v>109</v>
      </c>
      <c r="R8" s="59" t="s">
        <v>26</v>
      </c>
    </row>
    <row r="9" spans="1:18">
      <c r="A9" s="41">
        <v>102</v>
      </c>
      <c r="B9" s="40" t="str">
        <f t="shared" si="0"/>
        <v>池袋支店</v>
      </c>
      <c r="C9" s="40">
        <v>1003</v>
      </c>
      <c r="D9" s="40" t="str">
        <f t="shared" si="1"/>
        <v>商品L</v>
      </c>
      <c r="E9" s="74">
        <f t="shared" si="2"/>
        <v>1954</v>
      </c>
      <c r="F9" s="40">
        <v>236</v>
      </c>
      <c r="G9" s="74">
        <v>550000</v>
      </c>
      <c r="H9" s="74">
        <f t="shared" si="3"/>
        <v>2331</v>
      </c>
      <c r="I9" s="74">
        <f t="shared" si="4"/>
        <v>88856</v>
      </c>
      <c r="J9" s="86">
        <f t="shared" si="5"/>
        <v>1.073</v>
      </c>
      <c r="K9" s="86">
        <f t="shared" si="6"/>
        <v>0.192</v>
      </c>
      <c r="L9" s="74">
        <f t="shared" si="7"/>
        <v>61110</v>
      </c>
      <c r="M9" s="62" t="str">
        <f t="shared" si="8"/>
        <v>順調</v>
      </c>
      <c r="O9" s="40">
        <v>1001</v>
      </c>
      <c r="P9" s="40" t="s">
        <v>140</v>
      </c>
      <c r="Q9" s="74">
        <v>1867</v>
      </c>
      <c r="R9" s="40">
        <v>217</v>
      </c>
    </row>
    <row r="10" spans="1:18">
      <c r="A10" s="41">
        <v>102</v>
      </c>
      <c r="B10" s="40" t="str">
        <f t="shared" si="0"/>
        <v>池袋支店</v>
      </c>
      <c r="C10" s="40">
        <v>1004</v>
      </c>
      <c r="D10" s="40" t="str">
        <f t="shared" si="1"/>
        <v>商品M</v>
      </c>
      <c r="E10" s="74">
        <f t="shared" si="2"/>
        <v>2173</v>
      </c>
      <c r="F10" s="40">
        <v>241</v>
      </c>
      <c r="G10" s="74">
        <v>618000</v>
      </c>
      <c r="H10" s="74">
        <f t="shared" si="3"/>
        <v>2565</v>
      </c>
      <c r="I10" s="74">
        <f t="shared" si="4"/>
        <v>94307</v>
      </c>
      <c r="J10" s="86">
        <f t="shared" si="5"/>
        <v>1.048</v>
      </c>
      <c r="K10" s="86">
        <f t="shared" si="6"/>
        <v>0.18</v>
      </c>
      <c r="L10" s="74">
        <f t="shared" si="7"/>
        <v>68670</v>
      </c>
      <c r="M10" s="62" t="str">
        <f t="shared" si="8"/>
        <v/>
      </c>
      <c r="O10" s="40">
        <v>1002</v>
      </c>
      <c r="P10" s="40" t="s">
        <v>141</v>
      </c>
      <c r="Q10" s="74">
        <v>2059</v>
      </c>
      <c r="R10" s="40">
        <v>225</v>
      </c>
    </row>
    <row r="11" spans="1:18">
      <c r="A11" s="41">
        <v>103</v>
      </c>
      <c r="B11" s="40" t="str">
        <f t="shared" si="0"/>
        <v>銀座支店</v>
      </c>
      <c r="C11" s="40">
        <v>1001</v>
      </c>
      <c r="D11" s="40" t="str">
        <f t="shared" si="1"/>
        <v>商品J</v>
      </c>
      <c r="E11" s="74">
        <f t="shared" si="2"/>
        <v>1867</v>
      </c>
      <c r="F11" s="40">
        <v>226</v>
      </c>
      <c r="G11" s="74">
        <v>512000</v>
      </c>
      <c r="H11" s="74">
        <f t="shared" si="3"/>
        <v>2266</v>
      </c>
      <c r="I11" s="74">
        <f t="shared" si="4"/>
        <v>90058</v>
      </c>
      <c r="J11" s="86">
        <f t="shared" si="5"/>
        <v>1.042</v>
      </c>
      <c r="K11" s="86">
        <f t="shared" si="6"/>
        <v>0.213</v>
      </c>
      <c r="L11" s="74">
        <f t="shared" si="7"/>
        <v>51200</v>
      </c>
      <c r="M11" s="62" t="str">
        <f t="shared" si="8"/>
        <v>順調</v>
      </c>
      <c r="O11" s="40">
        <v>1003</v>
      </c>
      <c r="P11" s="40" t="s">
        <v>142</v>
      </c>
      <c r="Q11" s="74">
        <v>1954</v>
      </c>
      <c r="R11" s="40">
        <v>220</v>
      </c>
    </row>
    <row r="12" spans="1:18">
      <c r="A12" s="41">
        <v>103</v>
      </c>
      <c r="B12" s="40" t="str">
        <f t="shared" si="0"/>
        <v>銀座支店</v>
      </c>
      <c r="C12" s="40">
        <v>1002</v>
      </c>
      <c r="D12" s="40" t="str">
        <f t="shared" si="1"/>
        <v>商品K</v>
      </c>
      <c r="E12" s="74">
        <f t="shared" si="2"/>
        <v>2059</v>
      </c>
      <c r="F12" s="40">
        <v>259</v>
      </c>
      <c r="G12" s="74">
        <v>629000</v>
      </c>
      <c r="H12" s="74">
        <f t="shared" si="3"/>
        <v>2429</v>
      </c>
      <c r="I12" s="74">
        <f t="shared" si="4"/>
        <v>95719</v>
      </c>
      <c r="J12" s="86">
        <f t="shared" si="5"/>
        <v>1.152</v>
      </c>
      <c r="K12" s="86">
        <f t="shared" si="6"/>
        <v>0.179</v>
      </c>
      <c r="L12" s="74">
        <f t="shared" si="7"/>
        <v>62900</v>
      </c>
      <c r="M12" s="62" t="str">
        <f t="shared" si="8"/>
        <v>順調</v>
      </c>
      <c r="O12" s="40">
        <v>1004</v>
      </c>
      <c r="P12" s="40" t="s">
        <v>143</v>
      </c>
      <c r="Q12" s="74">
        <v>2173</v>
      </c>
      <c r="R12" s="40">
        <v>230</v>
      </c>
    </row>
    <row r="13" spans="1:13">
      <c r="A13" s="41">
        <v>103</v>
      </c>
      <c r="B13" s="40" t="str">
        <f t="shared" si="0"/>
        <v>銀座支店</v>
      </c>
      <c r="C13" s="40">
        <v>1003</v>
      </c>
      <c r="D13" s="40" t="str">
        <f t="shared" si="1"/>
        <v>商品L</v>
      </c>
      <c r="E13" s="74">
        <f t="shared" si="2"/>
        <v>1954</v>
      </c>
      <c r="F13" s="40">
        <v>225</v>
      </c>
      <c r="G13" s="74">
        <v>505000</v>
      </c>
      <c r="H13" s="74">
        <f t="shared" si="3"/>
        <v>2245</v>
      </c>
      <c r="I13" s="74">
        <f t="shared" si="4"/>
        <v>65350</v>
      </c>
      <c r="J13" s="86">
        <f t="shared" si="5"/>
        <v>1.023</v>
      </c>
      <c r="K13" s="86">
        <f t="shared" si="6"/>
        <v>0.148</v>
      </c>
      <c r="L13" s="74">
        <f t="shared" si="7"/>
        <v>50500</v>
      </c>
      <c r="M13" s="62" t="str">
        <f t="shared" si="8"/>
        <v/>
      </c>
    </row>
    <row r="14" spans="1:13">
      <c r="A14" s="41">
        <v>103</v>
      </c>
      <c r="B14" s="40" t="str">
        <f t="shared" si="0"/>
        <v>銀座支店</v>
      </c>
      <c r="C14" s="40">
        <v>1004</v>
      </c>
      <c r="D14" s="40" t="str">
        <f t="shared" si="1"/>
        <v>商品M</v>
      </c>
      <c r="E14" s="74">
        <f t="shared" si="2"/>
        <v>2173</v>
      </c>
      <c r="F14" s="40">
        <v>237</v>
      </c>
      <c r="G14" s="74">
        <v>613000</v>
      </c>
      <c r="H14" s="74">
        <f t="shared" si="3"/>
        <v>2587</v>
      </c>
      <c r="I14" s="74">
        <f t="shared" si="4"/>
        <v>97999</v>
      </c>
      <c r="J14" s="86">
        <f t="shared" si="5"/>
        <v>1.031</v>
      </c>
      <c r="K14" s="86">
        <f t="shared" si="6"/>
        <v>0.19</v>
      </c>
      <c r="L14" s="74">
        <f t="shared" si="7"/>
        <v>61300</v>
      </c>
      <c r="M14" s="62" t="str">
        <f t="shared" si="8"/>
        <v>順調</v>
      </c>
    </row>
    <row r="15" spans="1:13">
      <c r="A15" s="41">
        <v>104</v>
      </c>
      <c r="B15" s="40" t="str">
        <f t="shared" si="0"/>
        <v>渋谷支店</v>
      </c>
      <c r="C15" s="40">
        <v>1001</v>
      </c>
      <c r="D15" s="40" t="str">
        <f t="shared" si="1"/>
        <v>商品J</v>
      </c>
      <c r="E15" s="74">
        <f t="shared" si="2"/>
        <v>1867</v>
      </c>
      <c r="F15" s="40">
        <v>198</v>
      </c>
      <c r="G15" s="74">
        <v>437000</v>
      </c>
      <c r="H15" s="74">
        <f t="shared" si="3"/>
        <v>2208</v>
      </c>
      <c r="I15" s="74">
        <f t="shared" si="4"/>
        <v>67334</v>
      </c>
      <c r="J15" s="86">
        <f t="shared" si="5"/>
        <v>0.913</v>
      </c>
      <c r="K15" s="86">
        <f t="shared" si="6"/>
        <v>0.182</v>
      </c>
      <c r="L15" s="74">
        <f t="shared" si="7"/>
        <v>36420</v>
      </c>
      <c r="M15" s="62" t="str">
        <f t="shared" si="8"/>
        <v/>
      </c>
    </row>
    <row r="16" spans="1:13">
      <c r="A16" s="41">
        <v>104</v>
      </c>
      <c r="B16" s="40" t="str">
        <f t="shared" si="0"/>
        <v>渋谷支店</v>
      </c>
      <c r="C16" s="40">
        <v>1002</v>
      </c>
      <c r="D16" s="40" t="str">
        <f t="shared" si="1"/>
        <v>商品K</v>
      </c>
      <c r="E16" s="74">
        <f t="shared" si="2"/>
        <v>2059</v>
      </c>
      <c r="F16" s="40">
        <v>217</v>
      </c>
      <c r="G16" s="74">
        <v>537000</v>
      </c>
      <c r="H16" s="74">
        <f t="shared" si="3"/>
        <v>2475</v>
      </c>
      <c r="I16" s="74">
        <f t="shared" si="4"/>
        <v>90197</v>
      </c>
      <c r="J16" s="86">
        <f t="shared" si="5"/>
        <v>0.965</v>
      </c>
      <c r="K16" s="86">
        <f t="shared" si="6"/>
        <v>0.201</v>
      </c>
      <c r="L16" s="74">
        <f t="shared" si="7"/>
        <v>44750</v>
      </c>
      <c r="M16" s="62" t="str">
        <f t="shared" si="8"/>
        <v>順調</v>
      </c>
    </row>
    <row r="17" spans="1:13">
      <c r="A17" s="41">
        <v>104</v>
      </c>
      <c r="B17" s="40" t="str">
        <f t="shared" si="0"/>
        <v>渋谷支店</v>
      </c>
      <c r="C17" s="40">
        <v>1003</v>
      </c>
      <c r="D17" s="40" t="str">
        <f t="shared" si="1"/>
        <v>商品L</v>
      </c>
      <c r="E17" s="74">
        <f t="shared" si="2"/>
        <v>1954</v>
      </c>
      <c r="F17" s="40">
        <v>238</v>
      </c>
      <c r="G17" s="74">
        <v>539000</v>
      </c>
      <c r="H17" s="74">
        <f t="shared" si="3"/>
        <v>2265</v>
      </c>
      <c r="I17" s="74">
        <f t="shared" si="4"/>
        <v>73948</v>
      </c>
      <c r="J17" s="86">
        <f t="shared" si="5"/>
        <v>1.082</v>
      </c>
      <c r="K17" s="86">
        <f t="shared" si="6"/>
        <v>0.159</v>
      </c>
      <c r="L17" s="74">
        <f t="shared" si="7"/>
        <v>44920</v>
      </c>
      <c r="M17" s="62" t="str">
        <f t="shared" si="8"/>
        <v/>
      </c>
    </row>
    <row r="18" spans="1:13">
      <c r="A18" s="41">
        <v>104</v>
      </c>
      <c r="B18" s="40" t="str">
        <f t="shared" si="0"/>
        <v>渋谷支店</v>
      </c>
      <c r="C18" s="40">
        <v>1004</v>
      </c>
      <c r="D18" s="40" t="str">
        <f t="shared" si="1"/>
        <v>商品M</v>
      </c>
      <c r="E18" s="74">
        <f t="shared" si="2"/>
        <v>2173</v>
      </c>
      <c r="F18" s="40">
        <v>252</v>
      </c>
      <c r="G18" s="74">
        <v>647000</v>
      </c>
      <c r="H18" s="74">
        <f t="shared" si="3"/>
        <v>2568</v>
      </c>
      <c r="I18" s="74">
        <f t="shared" si="4"/>
        <v>99404</v>
      </c>
      <c r="J18" s="86">
        <f t="shared" si="5"/>
        <v>1.096</v>
      </c>
      <c r="K18" s="86">
        <f t="shared" si="6"/>
        <v>0.181</v>
      </c>
      <c r="L18" s="74">
        <f t="shared" si="7"/>
        <v>53920</v>
      </c>
      <c r="M18" s="62" t="str">
        <f t="shared" si="8"/>
        <v>順調</v>
      </c>
    </row>
    <row r="19" spans="1:13">
      <c r="A19" s="41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62"/>
    </row>
    <row r="20" ht="14.75" spans="1:13">
      <c r="A20" s="42"/>
      <c r="B20" s="44" t="s">
        <v>31</v>
      </c>
      <c r="C20" s="43"/>
      <c r="D20" s="43"/>
      <c r="E20" s="43"/>
      <c r="F20" s="76">
        <f>SUM(F3:F18)</f>
        <v>3680</v>
      </c>
      <c r="G20" s="76">
        <f t="shared" ref="G20:I20" si="9">SUM(G3:G18)</f>
        <v>8766000</v>
      </c>
      <c r="H20" s="76"/>
      <c r="I20" s="76">
        <f t="shared" si="9"/>
        <v>1348711</v>
      </c>
      <c r="J20" s="43"/>
      <c r="K20" s="43"/>
      <c r="L20" s="43"/>
      <c r="M20" s="63"/>
    </row>
    <row r="22" ht="14.75" spans="1:13">
      <c r="A22" s="36" t="s">
        <v>144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</row>
    <row r="23" spans="1:13">
      <c r="A23" s="37" t="s">
        <v>127</v>
      </c>
      <c r="B23" s="38" t="s">
        <v>128</v>
      </c>
      <c r="C23" s="38" t="s">
        <v>54</v>
      </c>
      <c r="D23" s="38" t="s">
        <v>55</v>
      </c>
      <c r="E23" s="38" t="s">
        <v>109</v>
      </c>
      <c r="F23" s="38" t="s">
        <v>58</v>
      </c>
      <c r="G23" s="38" t="s">
        <v>59</v>
      </c>
      <c r="H23" s="38" t="s">
        <v>129</v>
      </c>
      <c r="I23" s="38" t="s">
        <v>130</v>
      </c>
      <c r="J23" s="38" t="s">
        <v>131</v>
      </c>
      <c r="K23" s="38" t="s">
        <v>132</v>
      </c>
      <c r="L23" s="38" t="s">
        <v>133</v>
      </c>
      <c r="M23" s="46" t="s">
        <v>12</v>
      </c>
    </row>
    <row r="24" spans="1:13">
      <c r="A24" s="41">
        <v>103</v>
      </c>
      <c r="B24" s="40" t="s">
        <v>145</v>
      </c>
      <c r="C24" s="40">
        <v>1002</v>
      </c>
      <c r="D24" s="40" t="s">
        <v>141</v>
      </c>
      <c r="E24" s="74">
        <v>2059</v>
      </c>
      <c r="F24" s="40">
        <v>259</v>
      </c>
      <c r="G24" s="74">
        <v>629000</v>
      </c>
      <c r="H24" s="74">
        <v>2429</v>
      </c>
      <c r="I24" s="74">
        <v>95719</v>
      </c>
      <c r="J24" s="86">
        <v>1.152</v>
      </c>
      <c r="K24" s="86">
        <v>0.179</v>
      </c>
      <c r="L24" s="74">
        <v>62900</v>
      </c>
      <c r="M24" s="62" t="s">
        <v>146</v>
      </c>
    </row>
    <row r="25" spans="1:13">
      <c r="A25" s="41">
        <v>101</v>
      </c>
      <c r="B25" s="40" t="s">
        <v>147</v>
      </c>
      <c r="C25" s="40">
        <v>1002</v>
      </c>
      <c r="D25" s="40" t="s">
        <v>141</v>
      </c>
      <c r="E25" s="74">
        <v>2059</v>
      </c>
      <c r="F25" s="40">
        <v>235</v>
      </c>
      <c r="G25" s="74">
        <v>569000</v>
      </c>
      <c r="H25" s="74">
        <v>2422</v>
      </c>
      <c r="I25" s="74">
        <v>85135</v>
      </c>
      <c r="J25" s="86">
        <v>1.045</v>
      </c>
      <c r="K25" s="86">
        <v>0.175</v>
      </c>
      <c r="L25" s="74">
        <v>51730</v>
      </c>
      <c r="M25" s="62" t="s">
        <v>35</v>
      </c>
    </row>
    <row r="26" spans="1:13">
      <c r="A26" s="41">
        <v>102</v>
      </c>
      <c r="B26" s="40" t="s">
        <v>148</v>
      </c>
      <c r="C26" s="40">
        <v>1002</v>
      </c>
      <c r="D26" s="40" t="s">
        <v>141</v>
      </c>
      <c r="E26" s="74">
        <v>2059</v>
      </c>
      <c r="F26" s="40">
        <v>220</v>
      </c>
      <c r="G26" s="74">
        <v>528000</v>
      </c>
      <c r="H26" s="74">
        <v>2400</v>
      </c>
      <c r="I26" s="74">
        <v>75020</v>
      </c>
      <c r="J26" s="86">
        <v>0.978</v>
      </c>
      <c r="K26" s="86">
        <v>0.165</v>
      </c>
      <c r="L26" s="74">
        <v>58670</v>
      </c>
      <c r="M26" s="62" t="s">
        <v>35</v>
      </c>
    </row>
    <row r="27" spans="1:13">
      <c r="A27" s="41">
        <v>102</v>
      </c>
      <c r="B27" s="40" t="s">
        <v>148</v>
      </c>
      <c r="C27" s="40">
        <v>1004</v>
      </c>
      <c r="D27" s="40" t="s">
        <v>143</v>
      </c>
      <c r="E27" s="74">
        <v>2173</v>
      </c>
      <c r="F27" s="40">
        <v>241</v>
      </c>
      <c r="G27" s="74">
        <v>618000</v>
      </c>
      <c r="H27" s="74">
        <v>2565</v>
      </c>
      <c r="I27" s="74">
        <v>94307</v>
      </c>
      <c r="J27" s="86">
        <v>1.048</v>
      </c>
      <c r="K27" s="86">
        <v>0.18</v>
      </c>
      <c r="L27" s="74">
        <v>68670</v>
      </c>
      <c r="M27" s="62" t="s">
        <v>35</v>
      </c>
    </row>
    <row r="28" spans="1:13">
      <c r="A28" s="41">
        <v>101</v>
      </c>
      <c r="B28" s="40" t="s">
        <v>147</v>
      </c>
      <c r="C28" s="40">
        <v>1004</v>
      </c>
      <c r="D28" s="40" t="s">
        <v>143</v>
      </c>
      <c r="E28" s="74">
        <v>2173</v>
      </c>
      <c r="F28" s="40">
        <v>205</v>
      </c>
      <c r="G28" s="74">
        <v>523000</v>
      </c>
      <c r="H28" s="74">
        <v>2552</v>
      </c>
      <c r="I28" s="74">
        <v>77535</v>
      </c>
      <c r="J28" s="86">
        <v>0.892</v>
      </c>
      <c r="K28" s="86">
        <v>0.174</v>
      </c>
      <c r="L28" s="74">
        <v>47550</v>
      </c>
      <c r="M28" s="62" t="s">
        <v>35</v>
      </c>
    </row>
    <row r="29" spans="1:13">
      <c r="A29" s="41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62"/>
    </row>
    <row r="30" ht="14.75" spans="1:13">
      <c r="A30" s="42"/>
      <c r="B30" s="44" t="s">
        <v>31</v>
      </c>
      <c r="C30" s="43"/>
      <c r="D30" s="43"/>
      <c r="E30" s="43"/>
      <c r="F30" s="76">
        <f>SUM(F24:F28)</f>
        <v>1160</v>
      </c>
      <c r="G30" s="76">
        <f t="shared" ref="G30:I30" si="10">SUM(G24:G28)</f>
        <v>2867000</v>
      </c>
      <c r="H30" s="76"/>
      <c r="I30" s="76">
        <f t="shared" si="10"/>
        <v>427716</v>
      </c>
      <c r="J30" s="43"/>
      <c r="K30" s="43"/>
      <c r="L30" s="43"/>
      <c r="M30" s="63"/>
    </row>
    <row r="32" ht="14.75" spans="1:4">
      <c r="A32" s="36" t="s">
        <v>149</v>
      </c>
      <c r="B32" s="36"/>
      <c r="C32" s="36"/>
      <c r="D32" s="36"/>
    </row>
    <row r="33" spans="1:9">
      <c r="A33" s="37" t="s">
        <v>128</v>
      </c>
      <c r="B33" s="38" t="s">
        <v>58</v>
      </c>
      <c r="C33" s="38" t="s">
        <v>59</v>
      </c>
      <c r="D33" s="46" t="s">
        <v>130</v>
      </c>
      <c r="F33" s="59" t="s">
        <v>128</v>
      </c>
      <c r="G33" s="59" t="s">
        <v>128</v>
      </c>
      <c r="H33" s="59" t="s">
        <v>128</v>
      </c>
      <c r="I33" s="59" t="s">
        <v>128</v>
      </c>
    </row>
    <row r="34" spans="1:9">
      <c r="A34" s="41" t="s">
        <v>147</v>
      </c>
      <c r="B34" s="74">
        <f>DSUM(支店別販売一覧表4,B$33,$F$33:$F$34)</f>
        <v>891</v>
      </c>
      <c r="C34" s="74">
        <f>DSUM(支店別販売一覧表4,C$33,$F$33:$F$34)</f>
        <v>2104000</v>
      </c>
      <c r="D34" s="75">
        <f>DSUM(支店別販売一覧表4,D$33,$F$33:$F$34)</f>
        <v>311599</v>
      </c>
      <c r="F34" s="40" t="s">
        <v>147</v>
      </c>
      <c r="G34" s="40" t="s">
        <v>148</v>
      </c>
      <c r="H34" s="40" t="s">
        <v>145</v>
      </c>
      <c r="I34" s="40" t="s">
        <v>150</v>
      </c>
    </row>
    <row r="35" spans="1:6">
      <c r="A35" s="41" t="s">
        <v>148</v>
      </c>
      <c r="B35" s="74">
        <f>DSUM(支店別販売一覧表4,B$33,$G$33:$G$34)</f>
        <v>937</v>
      </c>
      <c r="C35" s="74">
        <f>DSUM(支店別販売一覧表4,C$33,$G$33:$G$34)</f>
        <v>2243000</v>
      </c>
      <c r="D35" s="75">
        <f>DSUM(支店別販売一覧表4,D$33,$G$33:$G$34)</f>
        <v>357103</v>
      </c>
      <c r="F35" s="73"/>
    </row>
    <row r="36" spans="1:13">
      <c r="A36" s="41" t="s">
        <v>145</v>
      </c>
      <c r="B36" s="74">
        <f>DSUM(支店別販売一覧表4,B$33,$H$33:$H$34)</f>
        <v>947</v>
      </c>
      <c r="C36" s="74">
        <f>DSUM(支店別販売一覧表4,C$33,$H$33:$H$34)</f>
        <v>2259000</v>
      </c>
      <c r="D36" s="75">
        <f>DSUM(支店別販売一覧表4,D$33,$H$33:$H$34)</f>
        <v>349126</v>
      </c>
      <c r="F36" s="73"/>
      <c r="L36" s="59" t="s">
        <v>58</v>
      </c>
      <c r="M36" s="59" t="s">
        <v>59</v>
      </c>
    </row>
    <row r="37" ht="14.75" spans="1:13">
      <c r="A37" s="42" t="s">
        <v>150</v>
      </c>
      <c r="B37" s="76">
        <f>DSUM(支店別販売一覧表4,B$33,$I$33:$I$34)</f>
        <v>905</v>
      </c>
      <c r="C37" s="76">
        <f>DSUM(支店別販売一覧表4,C$33,$I$33:$I$34)</f>
        <v>2160000</v>
      </c>
      <c r="D37" s="77">
        <f>DSUM(支店別販売一覧表4,D$33,$I$33:$I$34)</f>
        <v>330883</v>
      </c>
      <c r="L37" s="40" t="s">
        <v>151</v>
      </c>
      <c r="M37" s="103" t="s">
        <v>152</v>
      </c>
    </row>
    <row r="38" ht="14.75" spans="12:13">
      <c r="L38" s="59" t="s">
        <v>59</v>
      </c>
      <c r="M38" s="59" t="s">
        <v>132</v>
      </c>
    </row>
    <row r="39" spans="1:13">
      <c r="A39" s="51" t="s">
        <v>153</v>
      </c>
      <c r="B39" s="52"/>
      <c r="C39" s="52"/>
      <c r="D39" s="52"/>
      <c r="E39" s="52"/>
      <c r="F39" s="52"/>
      <c r="G39" s="84">
        <f>DSUM(支店別販売一覧表4,I2,L36:M37)</f>
        <v>814420</v>
      </c>
      <c r="L39" s="40" t="s">
        <v>154</v>
      </c>
      <c r="M39" s="103" t="s">
        <v>155</v>
      </c>
    </row>
    <row r="40" spans="1:13">
      <c r="A40" s="53" t="s">
        <v>156</v>
      </c>
      <c r="B40" s="54"/>
      <c r="C40" s="54"/>
      <c r="D40" s="54"/>
      <c r="E40" s="54"/>
      <c r="F40" s="54"/>
      <c r="G40" s="75">
        <f>DCOUNTA(支店別販売一覧表4,G2,L38:M39)</f>
        <v>6</v>
      </c>
      <c r="L40" s="59" t="s">
        <v>128</v>
      </c>
      <c r="M40" s="59" t="s">
        <v>131</v>
      </c>
    </row>
    <row r="41" ht="14.75" spans="1:13">
      <c r="A41" s="55" t="s">
        <v>157</v>
      </c>
      <c r="B41" s="56"/>
      <c r="C41" s="56"/>
      <c r="D41" s="56"/>
      <c r="E41" s="56"/>
      <c r="F41" s="56"/>
      <c r="G41" s="77">
        <f>DMIN(支店別販売一覧表4,H2,L40:M41)</f>
        <v>2266</v>
      </c>
      <c r="L41" s="40" t="s">
        <v>159</v>
      </c>
      <c r="M41" s="85" t="s">
        <v>158</v>
      </c>
    </row>
  </sheetData>
  <mergeCells count="6">
    <mergeCell ref="A1:M1"/>
    <mergeCell ref="A22:M22"/>
    <mergeCell ref="A32:D32"/>
    <mergeCell ref="A39:F39"/>
    <mergeCell ref="A40:F40"/>
    <mergeCell ref="A41:F41"/>
  </mergeCells>
  <pageMargins left="0.25" right="0.25" top="0.75" bottom="0.75" header="0.3" footer="0.3"/>
  <pageSetup paperSize="9" scale="25" orientation="landscape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  <pageSetUpPr fitToPage="1"/>
  </sheetPr>
  <dimension ref="A1:Q39"/>
  <sheetViews>
    <sheetView workbookViewId="0">
      <selection activeCell="E3" sqref="E3"/>
    </sheetView>
  </sheetViews>
  <sheetFormatPr defaultColWidth="9" defaultRowHeight="14"/>
  <cols>
    <col min="1" max="1" width="13" customWidth="1"/>
    <col min="2" max="2" width="11" customWidth="1"/>
    <col min="3" max="3" width="13" customWidth="1"/>
    <col min="4" max="4" width="9" customWidth="1"/>
    <col min="5" max="5" width="9.5" customWidth="1"/>
    <col min="6" max="9" width="13" customWidth="1"/>
    <col min="11" max="11" width="8" customWidth="1"/>
    <col min="12" max="12" width="9.5" customWidth="1"/>
    <col min="13" max="13" width="5.25" customWidth="1"/>
    <col min="14" max="14" width="5" customWidth="1"/>
    <col min="15" max="15" width="13" customWidth="1"/>
    <col min="16" max="17" width="11.375" customWidth="1"/>
  </cols>
  <sheetData>
    <row r="1" ht="14.75" spans="1:13">
      <c r="A1" s="36" t="s">
        <v>160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>
      <c r="A2" s="37" t="s">
        <v>1</v>
      </c>
      <c r="B2" s="38" t="s">
        <v>2</v>
      </c>
      <c r="C2" s="38" t="s">
        <v>161</v>
      </c>
      <c r="D2" s="38" t="s">
        <v>162</v>
      </c>
      <c r="E2" s="38" t="s">
        <v>163</v>
      </c>
      <c r="F2" s="38" t="s">
        <v>58</v>
      </c>
      <c r="G2" s="38" t="s">
        <v>26</v>
      </c>
      <c r="H2" s="38" t="s">
        <v>131</v>
      </c>
      <c r="I2" s="38" t="s">
        <v>164</v>
      </c>
      <c r="J2" s="38" t="s">
        <v>9</v>
      </c>
      <c r="K2" s="38" t="s">
        <v>62</v>
      </c>
      <c r="L2" s="38" t="s">
        <v>165</v>
      </c>
      <c r="M2" s="46" t="s">
        <v>12</v>
      </c>
    </row>
    <row r="3" spans="1:16">
      <c r="A3" s="41">
        <v>101</v>
      </c>
      <c r="B3" s="40" t="s">
        <v>166</v>
      </c>
      <c r="C3" s="40" t="str">
        <f>VLOOKUP(A3,$O$4:$P$7,2,1)&amp;"エリア"</f>
        <v>東北エリア</v>
      </c>
      <c r="D3" s="40" t="s">
        <v>167</v>
      </c>
      <c r="E3" s="74">
        <f>VLOOKUP(D3,$O$10:$P$13,2,0)</f>
        <v>198400</v>
      </c>
      <c r="F3" s="40">
        <v>841</v>
      </c>
      <c r="G3" s="40">
        <v>825</v>
      </c>
      <c r="H3" s="86">
        <f>ROUNDDOWN(F3/G3,3)</f>
        <v>1.019</v>
      </c>
      <c r="I3" s="74">
        <f>ROUNDUP($P$15*F3,-2)</f>
        <v>50200</v>
      </c>
      <c r="J3" s="74">
        <f>ROUNDDOWN($P$16*F3,-1)</f>
        <v>38010</v>
      </c>
      <c r="K3" s="74">
        <f>INT(IF(H3&gt;=100%,E3*6.8%,E3*5.7%))</f>
        <v>13491</v>
      </c>
      <c r="L3" s="80">
        <f>E3+I3+J3+K3</f>
        <v>300101</v>
      </c>
      <c r="M3" s="96" t="str">
        <f>VLOOKUP(L3,$O$20:$Q$21,IF(H3&lt;100%,2,3),1)</f>
        <v>****</v>
      </c>
      <c r="O3" s="59" t="s">
        <v>1</v>
      </c>
      <c r="P3" s="59" t="s">
        <v>168</v>
      </c>
    </row>
    <row r="4" spans="1:16">
      <c r="A4" s="41">
        <v>102</v>
      </c>
      <c r="B4" s="40" t="s">
        <v>169</v>
      </c>
      <c r="C4" s="40" t="str">
        <f t="shared" ref="C4:C14" si="0">VLOOKUP(A4,$O$4:$P$7,2,1)&amp;"エリア"</f>
        <v>東北エリア</v>
      </c>
      <c r="D4" s="40" t="s">
        <v>115</v>
      </c>
      <c r="E4" s="74">
        <f t="shared" ref="E4:E14" si="1">VLOOKUP(D4,$O$10:$P$13,2,0)</f>
        <v>209600</v>
      </c>
      <c r="F4" s="40">
        <v>845</v>
      </c>
      <c r="G4" s="40">
        <v>820</v>
      </c>
      <c r="H4" s="86">
        <f t="shared" ref="H4:H14" si="2">ROUNDDOWN(F4/G4,3)</f>
        <v>1.03</v>
      </c>
      <c r="I4" s="74">
        <f t="shared" ref="I4:I14" si="3">ROUNDUP($P$15*F4,-2)</f>
        <v>50400</v>
      </c>
      <c r="J4" s="74">
        <f t="shared" ref="J4:J14" si="4">ROUNDDOWN($P$16*F4,-1)</f>
        <v>38190</v>
      </c>
      <c r="K4" s="74">
        <f t="shared" ref="K4:K14" si="5">INT(IF(H4&gt;=100%,E4*6.8%,E4*5.7%))</f>
        <v>14252</v>
      </c>
      <c r="L4" s="80">
        <f t="shared" ref="L4:L14" si="6">E4+I4+J4+K4</f>
        <v>312442</v>
      </c>
      <c r="M4" s="62" t="str">
        <f t="shared" ref="M4:M14" si="7">VLOOKUP(L4,$O$20:$Q$21,IF(H4&lt;100%,2,3),1)</f>
        <v>****</v>
      </c>
      <c r="O4" s="40">
        <v>100</v>
      </c>
      <c r="P4" s="40" t="s">
        <v>170</v>
      </c>
    </row>
    <row r="5" spans="1:16">
      <c r="A5" s="41">
        <v>103</v>
      </c>
      <c r="B5" s="40" t="s">
        <v>171</v>
      </c>
      <c r="C5" s="40" t="str">
        <f t="shared" si="0"/>
        <v>東北エリア</v>
      </c>
      <c r="D5" s="40" t="s">
        <v>172</v>
      </c>
      <c r="E5" s="74">
        <f t="shared" si="1"/>
        <v>187300</v>
      </c>
      <c r="F5" s="40">
        <v>790</v>
      </c>
      <c r="G5" s="40">
        <v>741</v>
      </c>
      <c r="H5" s="86">
        <f t="shared" si="2"/>
        <v>1.066</v>
      </c>
      <c r="I5" s="74">
        <f t="shared" si="3"/>
        <v>47100</v>
      </c>
      <c r="J5" s="74">
        <f t="shared" si="4"/>
        <v>35700</v>
      </c>
      <c r="K5" s="74">
        <f t="shared" si="5"/>
        <v>12736</v>
      </c>
      <c r="L5" s="80">
        <f t="shared" si="6"/>
        <v>282836</v>
      </c>
      <c r="M5" s="62" t="str">
        <f t="shared" si="7"/>
        <v>**</v>
      </c>
      <c r="O5" s="40">
        <v>200</v>
      </c>
      <c r="P5" s="40" t="s">
        <v>173</v>
      </c>
    </row>
    <row r="6" spans="1:16">
      <c r="A6" s="41">
        <v>201</v>
      </c>
      <c r="B6" s="40" t="s">
        <v>174</v>
      </c>
      <c r="C6" s="40" t="str">
        <f t="shared" si="0"/>
        <v>関東エリア</v>
      </c>
      <c r="D6" s="40" t="s">
        <v>114</v>
      </c>
      <c r="E6" s="74">
        <f t="shared" si="1"/>
        <v>220800</v>
      </c>
      <c r="F6" s="40">
        <v>820</v>
      </c>
      <c r="G6" s="40">
        <v>849</v>
      </c>
      <c r="H6" s="86">
        <f t="shared" si="2"/>
        <v>0.965</v>
      </c>
      <c r="I6" s="74">
        <f t="shared" si="3"/>
        <v>48900</v>
      </c>
      <c r="J6" s="74">
        <f t="shared" si="4"/>
        <v>37060</v>
      </c>
      <c r="K6" s="74">
        <f t="shared" si="5"/>
        <v>12585</v>
      </c>
      <c r="L6" s="80">
        <f t="shared" si="6"/>
        <v>319345</v>
      </c>
      <c r="M6" s="62" t="str">
        <f t="shared" si="7"/>
        <v>***</v>
      </c>
      <c r="O6" s="40">
        <v>300</v>
      </c>
      <c r="P6" s="40" t="s">
        <v>175</v>
      </c>
    </row>
    <row r="7" spans="1:16">
      <c r="A7" s="41">
        <v>202</v>
      </c>
      <c r="B7" s="40" t="s">
        <v>176</v>
      </c>
      <c r="C7" s="40" t="str">
        <f t="shared" si="0"/>
        <v>関東エリア</v>
      </c>
      <c r="D7" s="40" t="s">
        <v>172</v>
      </c>
      <c r="E7" s="74">
        <f t="shared" si="1"/>
        <v>187300</v>
      </c>
      <c r="F7" s="40">
        <v>774</v>
      </c>
      <c r="G7" s="40">
        <v>748</v>
      </c>
      <c r="H7" s="86">
        <f t="shared" si="2"/>
        <v>1.034</v>
      </c>
      <c r="I7" s="74">
        <f t="shared" si="3"/>
        <v>46200</v>
      </c>
      <c r="J7" s="74">
        <f t="shared" si="4"/>
        <v>34980</v>
      </c>
      <c r="K7" s="74">
        <f t="shared" si="5"/>
        <v>12736</v>
      </c>
      <c r="L7" s="80">
        <f t="shared" si="6"/>
        <v>281216</v>
      </c>
      <c r="M7" s="62" t="str">
        <f t="shared" si="7"/>
        <v>**</v>
      </c>
      <c r="O7" s="40">
        <v>400</v>
      </c>
      <c r="P7" s="40" t="s">
        <v>177</v>
      </c>
    </row>
    <row r="8" spans="1:13">
      <c r="A8" s="41">
        <v>203</v>
      </c>
      <c r="B8" s="40" t="s">
        <v>178</v>
      </c>
      <c r="C8" s="40" t="str">
        <f t="shared" si="0"/>
        <v>関東エリア</v>
      </c>
      <c r="D8" s="40" t="s">
        <v>115</v>
      </c>
      <c r="E8" s="74">
        <f t="shared" si="1"/>
        <v>209600</v>
      </c>
      <c r="F8" s="40">
        <v>801</v>
      </c>
      <c r="G8" s="40">
        <v>760</v>
      </c>
      <c r="H8" s="86">
        <f t="shared" si="2"/>
        <v>1.053</v>
      </c>
      <c r="I8" s="74">
        <f t="shared" si="3"/>
        <v>47800</v>
      </c>
      <c r="J8" s="74">
        <f t="shared" si="4"/>
        <v>36200</v>
      </c>
      <c r="K8" s="74">
        <f t="shared" si="5"/>
        <v>14252</v>
      </c>
      <c r="L8" s="80">
        <f t="shared" si="6"/>
        <v>307852</v>
      </c>
      <c r="M8" s="62" t="str">
        <f t="shared" si="7"/>
        <v>****</v>
      </c>
    </row>
    <row r="9" spans="1:16">
      <c r="A9" s="41">
        <v>301</v>
      </c>
      <c r="B9" s="40" t="s">
        <v>179</v>
      </c>
      <c r="C9" s="40" t="str">
        <f t="shared" si="0"/>
        <v>中部エリア</v>
      </c>
      <c r="D9" s="40" t="s">
        <v>114</v>
      </c>
      <c r="E9" s="74">
        <f t="shared" si="1"/>
        <v>220800</v>
      </c>
      <c r="F9" s="40">
        <v>815</v>
      </c>
      <c r="G9" s="40">
        <v>843</v>
      </c>
      <c r="H9" s="86">
        <f t="shared" si="2"/>
        <v>0.966</v>
      </c>
      <c r="I9" s="74">
        <f t="shared" si="3"/>
        <v>48600</v>
      </c>
      <c r="J9" s="74">
        <f t="shared" si="4"/>
        <v>36830</v>
      </c>
      <c r="K9" s="74">
        <f t="shared" si="5"/>
        <v>12585</v>
      </c>
      <c r="L9" s="80">
        <f t="shared" si="6"/>
        <v>318815</v>
      </c>
      <c r="M9" s="62" t="str">
        <f t="shared" si="7"/>
        <v>***</v>
      </c>
      <c r="O9" s="59" t="s">
        <v>162</v>
      </c>
      <c r="P9" s="59" t="s">
        <v>163</v>
      </c>
    </row>
    <row r="10" spans="1:16">
      <c r="A10" s="41">
        <v>302</v>
      </c>
      <c r="B10" s="40" t="s">
        <v>180</v>
      </c>
      <c r="C10" s="40" t="str">
        <f t="shared" si="0"/>
        <v>中部エリア</v>
      </c>
      <c r="D10" s="40" t="s">
        <v>167</v>
      </c>
      <c r="E10" s="74">
        <f t="shared" si="1"/>
        <v>198400</v>
      </c>
      <c r="F10" s="40">
        <v>770</v>
      </c>
      <c r="G10" s="40">
        <v>746</v>
      </c>
      <c r="H10" s="86">
        <f t="shared" si="2"/>
        <v>1.032</v>
      </c>
      <c r="I10" s="74">
        <f t="shared" si="3"/>
        <v>45900</v>
      </c>
      <c r="J10" s="74">
        <f t="shared" si="4"/>
        <v>34800</v>
      </c>
      <c r="K10" s="74">
        <f t="shared" si="5"/>
        <v>13491</v>
      </c>
      <c r="L10" s="80">
        <f t="shared" si="6"/>
        <v>292591</v>
      </c>
      <c r="M10" s="62" t="str">
        <f t="shared" si="7"/>
        <v>**</v>
      </c>
      <c r="O10" s="40" t="s">
        <v>114</v>
      </c>
      <c r="P10" s="74">
        <v>220800</v>
      </c>
    </row>
    <row r="11" spans="1:16">
      <c r="A11" s="41">
        <v>303</v>
      </c>
      <c r="B11" s="40" t="s">
        <v>181</v>
      </c>
      <c r="C11" s="40" t="str">
        <f t="shared" si="0"/>
        <v>中部エリア</v>
      </c>
      <c r="D11" s="40" t="s">
        <v>115</v>
      </c>
      <c r="E11" s="74">
        <f t="shared" si="1"/>
        <v>209600</v>
      </c>
      <c r="F11" s="40">
        <v>749</v>
      </c>
      <c r="G11" s="40">
        <v>762</v>
      </c>
      <c r="H11" s="86">
        <f t="shared" si="2"/>
        <v>0.982</v>
      </c>
      <c r="I11" s="74">
        <f t="shared" si="3"/>
        <v>44700</v>
      </c>
      <c r="J11" s="74">
        <f t="shared" si="4"/>
        <v>33850</v>
      </c>
      <c r="K11" s="74">
        <f t="shared" si="5"/>
        <v>11947</v>
      </c>
      <c r="L11" s="80">
        <f t="shared" si="6"/>
        <v>300097</v>
      </c>
      <c r="M11" s="62" t="str">
        <f t="shared" si="7"/>
        <v>***</v>
      </c>
      <c r="O11" s="40" t="s">
        <v>115</v>
      </c>
      <c r="P11" s="74">
        <v>209600</v>
      </c>
    </row>
    <row r="12" spans="1:16">
      <c r="A12" s="41">
        <v>401</v>
      </c>
      <c r="B12" s="40" t="s">
        <v>182</v>
      </c>
      <c r="C12" s="40" t="str">
        <f t="shared" si="0"/>
        <v>関西エリア</v>
      </c>
      <c r="D12" s="40" t="s">
        <v>167</v>
      </c>
      <c r="E12" s="74">
        <f t="shared" si="1"/>
        <v>198400</v>
      </c>
      <c r="F12" s="40">
        <v>772</v>
      </c>
      <c r="G12" s="40">
        <v>790</v>
      </c>
      <c r="H12" s="86">
        <f t="shared" si="2"/>
        <v>0.977</v>
      </c>
      <c r="I12" s="74">
        <f t="shared" si="3"/>
        <v>46100</v>
      </c>
      <c r="J12" s="74">
        <f t="shared" si="4"/>
        <v>34890</v>
      </c>
      <c r="K12" s="74">
        <f t="shared" si="5"/>
        <v>11308</v>
      </c>
      <c r="L12" s="80">
        <f t="shared" si="6"/>
        <v>290698</v>
      </c>
      <c r="M12" s="62" t="str">
        <f t="shared" si="7"/>
        <v>*</v>
      </c>
      <c r="O12" s="40" t="s">
        <v>167</v>
      </c>
      <c r="P12" s="74">
        <v>198400</v>
      </c>
    </row>
    <row r="13" spans="1:16">
      <c r="A13" s="41">
        <v>402</v>
      </c>
      <c r="B13" s="40" t="s">
        <v>183</v>
      </c>
      <c r="C13" s="40" t="str">
        <f t="shared" si="0"/>
        <v>関西エリア</v>
      </c>
      <c r="D13" s="40" t="s">
        <v>114</v>
      </c>
      <c r="E13" s="74">
        <f t="shared" si="1"/>
        <v>220800</v>
      </c>
      <c r="F13" s="40">
        <v>839</v>
      </c>
      <c r="G13" s="40">
        <v>839</v>
      </c>
      <c r="H13" s="86">
        <f t="shared" si="2"/>
        <v>1</v>
      </c>
      <c r="I13" s="74">
        <f t="shared" si="3"/>
        <v>50100</v>
      </c>
      <c r="J13" s="74">
        <f t="shared" si="4"/>
        <v>37920</v>
      </c>
      <c r="K13" s="74">
        <f t="shared" si="5"/>
        <v>15014</v>
      </c>
      <c r="L13" s="80">
        <f t="shared" si="6"/>
        <v>323834</v>
      </c>
      <c r="M13" s="62" t="str">
        <f t="shared" si="7"/>
        <v>****</v>
      </c>
      <c r="O13" s="40" t="s">
        <v>172</v>
      </c>
      <c r="P13" s="74">
        <v>187300</v>
      </c>
    </row>
    <row r="14" spans="1:13">
      <c r="A14" s="41">
        <v>403</v>
      </c>
      <c r="B14" s="40" t="s">
        <v>184</v>
      </c>
      <c r="C14" s="40" t="str">
        <f t="shared" si="0"/>
        <v>関西エリア</v>
      </c>
      <c r="D14" s="40" t="s">
        <v>172</v>
      </c>
      <c r="E14" s="74">
        <f t="shared" si="1"/>
        <v>187300</v>
      </c>
      <c r="F14" s="40">
        <v>690</v>
      </c>
      <c r="G14" s="40">
        <v>735</v>
      </c>
      <c r="H14" s="86">
        <f t="shared" si="2"/>
        <v>0.938</v>
      </c>
      <c r="I14" s="74">
        <f t="shared" si="3"/>
        <v>41200</v>
      </c>
      <c r="J14" s="74">
        <f t="shared" si="4"/>
        <v>31180</v>
      </c>
      <c r="K14" s="74">
        <f t="shared" si="5"/>
        <v>10676</v>
      </c>
      <c r="L14" s="80">
        <f t="shared" si="6"/>
        <v>270356</v>
      </c>
      <c r="M14" s="62" t="str">
        <f t="shared" si="7"/>
        <v>*</v>
      </c>
    </row>
    <row r="15" spans="1:16">
      <c r="A15" s="41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62"/>
      <c r="O15" s="59" t="s">
        <v>185</v>
      </c>
      <c r="P15" s="90">
        <v>59.6</v>
      </c>
    </row>
    <row r="16" ht="14.75" spans="1:16">
      <c r="A16" s="42"/>
      <c r="B16" s="44" t="s">
        <v>31</v>
      </c>
      <c r="C16" s="43"/>
      <c r="D16" s="43"/>
      <c r="E16" s="83">
        <f>SUM(E3:E14)</f>
        <v>2448300</v>
      </c>
      <c r="F16" s="83">
        <f t="shared" ref="F16:L16" si="8">SUM(F3:F14)</f>
        <v>9506</v>
      </c>
      <c r="G16" s="83">
        <f t="shared" si="8"/>
        <v>9458</v>
      </c>
      <c r="H16" s="83"/>
      <c r="I16" s="83">
        <f t="shared" si="8"/>
        <v>567200</v>
      </c>
      <c r="J16" s="83">
        <f t="shared" si="8"/>
        <v>429610</v>
      </c>
      <c r="K16" s="83">
        <f t="shared" si="8"/>
        <v>155073</v>
      </c>
      <c r="L16" s="83">
        <f t="shared" si="8"/>
        <v>3600183</v>
      </c>
      <c r="M16" s="63"/>
      <c r="O16" s="59" t="s">
        <v>186</v>
      </c>
      <c r="P16" s="90">
        <v>45.2</v>
      </c>
    </row>
    <row r="18" ht="14.75" spans="1:17">
      <c r="A18" s="36" t="s">
        <v>187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O18" s="97" t="s">
        <v>165</v>
      </c>
      <c r="P18" s="98" t="s">
        <v>131</v>
      </c>
      <c r="Q18" s="98"/>
    </row>
    <row r="19" spans="1:17">
      <c r="A19" s="37" t="s">
        <v>1</v>
      </c>
      <c r="B19" s="38" t="s">
        <v>2</v>
      </c>
      <c r="C19" s="38" t="s">
        <v>161</v>
      </c>
      <c r="D19" s="38" t="s">
        <v>162</v>
      </c>
      <c r="E19" s="38" t="s">
        <v>163</v>
      </c>
      <c r="F19" s="38" t="s">
        <v>58</v>
      </c>
      <c r="G19" s="38" t="s">
        <v>26</v>
      </c>
      <c r="H19" s="38" t="s">
        <v>131</v>
      </c>
      <c r="I19" s="38" t="s">
        <v>164</v>
      </c>
      <c r="J19" s="38" t="s">
        <v>9</v>
      </c>
      <c r="K19" s="38" t="s">
        <v>62</v>
      </c>
      <c r="L19" s="38" t="s">
        <v>165</v>
      </c>
      <c r="M19" s="46" t="s">
        <v>12</v>
      </c>
      <c r="O19" s="99"/>
      <c r="P19" s="100" t="s">
        <v>188</v>
      </c>
      <c r="Q19" s="102" t="s">
        <v>189</v>
      </c>
    </row>
    <row r="20" spans="1:17">
      <c r="A20" s="41">
        <v>402</v>
      </c>
      <c r="B20" s="40" t="s">
        <v>183</v>
      </c>
      <c r="C20" s="40" t="s">
        <v>190</v>
      </c>
      <c r="D20" s="40" t="s">
        <v>114</v>
      </c>
      <c r="E20" s="74">
        <v>220800</v>
      </c>
      <c r="F20" s="40">
        <v>839</v>
      </c>
      <c r="G20" s="40">
        <v>839</v>
      </c>
      <c r="H20" s="86">
        <v>1</v>
      </c>
      <c r="I20" s="74">
        <v>50100</v>
      </c>
      <c r="J20" s="74">
        <v>37920</v>
      </c>
      <c r="K20" s="74">
        <v>15014</v>
      </c>
      <c r="L20" s="80">
        <v>323834</v>
      </c>
      <c r="M20" s="62" t="s">
        <v>191</v>
      </c>
      <c r="O20" s="100">
        <v>1</v>
      </c>
      <c r="P20" s="100" t="s">
        <v>39</v>
      </c>
      <c r="Q20" s="100" t="s">
        <v>82</v>
      </c>
    </row>
    <row r="21" spans="1:17">
      <c r="A21" s="41">
        <v>201</v>
      </c>
      <c r="B21" s="40" t="s">
        <v>174</v>
      </c>
      <c r="C21" s="40" t="s">
        <v>192</v>
      </c>
      <c r="D21" s="40" t="s">
        <v>114</v>
      </c>
      <c r="E21" s="74">
        <v>220800</v>
      </c>
      <c r="F21" s="40">
        <v>820</v>
      </c>
      <c r="G21" s="40">
        <v>849</v>
      </c>
      <c r="H21" s="86">
        <v>0.965</v>
      </c>
      <c r="I21" s="74">
        <v>48900</v>
      </c>
      <c r="J21" s="74">
        <v>37060</v>
      </c>
      <c r="K21" s="74">
        <v>12585</v>
      </c>
      <c r="L21" s="80">
        <v>319345</v>
      </c>
      <c r="M21" s="62" t="s">
        <v>117</v>
      </c>
      <c r="O21" s="101">
        <v>300000</v>
      </c>
      <c r="P21" s="100" t="s">
        <v>117</v>
      </c>
      <c r="Q21" s="100" t="s">
        <v>191</v>
      </c>
    </row>
    <row r="22" spans="1:13">
      <c r="A22" s="41">
        <v>301</v>
      </c>
      <c r="B22" s="40" t="s">
        <v>179</v>
      </c>
      <c r="C22" s="40" t="s">
        <v>193</v>
      </c>
      <c r="D22" s="40" t="s">
        <v>114</v>
      </c>
      <c r="E22" s="74">
        <v>220800</v>
      </c>
      <c r="F22" s="40">
        <v>815</v>
      </c>
      <c r="G22" s="40">
        <v>843</v>
      </c>
      <c r="H22" s="86">
        <v>0.966</v>
      </c>
      <c r="I22" s="74">
        <v>48600</v>
      </c>
      <c r="J22" s="74">
        <v>36830</v>
      </c>
      <c r="K22" s="74">
        <v>12585</v>
      </c>
      <c r="L22" s="80">
        <v>318815</v>
      </c>
      <c r="M22" s="62" t="s">
        <v>117</v>
      </c>
    </row>
    <row r="23" spans="1:13">
      <c r="A23" s="41">
        <v>102</v>
      </c>
      <c r="B23" s="40" t="s">
        <v>169</v>
      </c>
      <c r="C23" s="40" t="s">
        <v>194</v>
      </c>
      <c r="D23" s="40" t="s">
        <v>115</v>
      </c>
      <c r="E23" s="74">
        <v>209600</v>
      </c>
      <c r="F23" s="40">
        <v>845</v>
      </c>
      <c r="G23" s="40">
        <v>820</v>
      </c>
      <c r="H23" s="86">
        <v>1.03</v>
      </c>
      <c r="I23" s="74">
        <v>50400</v>
      </c>
      <c r="J23" s="74">
        <v>38190</v>
      </c>
      <c r="K23" s="74">
        <v>14252</v>
      </c>
      <c r="L23" s="80">
        <v>312442</v>
      </c>
      <c r="M23" s="62" t="s">
        <v>191</v>
      </c>
    </row>
    <row r="24" spans="1:13">
      <c r="A24" s="41">
        <v>203</v>
      </c>
      <c r="B24" s="40" t="s">
        <v>178</v>
      </c>
      <c r="C24" s="40" t="s">
        <v>192</v>
      </c>
      <c r="D24" s="40" t="s">
        <v>115</v>
      </c>
      <c r="E24" s="74">
        <v>209600</v>
      </c>
      <c r="F24" s="40">
        <v>801</v>
      </c>
      <c r="G24" s="40">
        <v>760</v>
      </c>
      <c r="H24" s="86">
        <v>1.053</v>
      </c>
      <c r="I24" s="74">
        <v>47800</v>
      </c>
      <c r="J24" s="74">
        <v>36200</v>
      </c>
      <c r="K24" s="74">
        <v>14252</v>
      </c>
      <c r="L24" s="80">
        <v>307852</v>
      </c>
      <c r="M24" s="62" t="s">
        <v>191</v>
      </c>
    </row>
    <row r="25" spans="1:13">
      <c r="A25" s="41">
        <v>303</v>
      </c>
      <c r="B25" s="40" t="s">
        <v>181</v>
      </c>
      <c r="C25" s="40" t="s">
        <v>193</v>
      </c>
      <c r="D25" s="40" t="s">
        <v>115</v>
      </c>
      <c r="E25" s="74">
        <v>209600</v>
      </c>
      <c r="F25" s="40">
        <v>749</v>
      </c>
      <c r="G25" s="40">
        <v>762</v>
      </c>
      <c r="H25" s="86">
        <v>0.982</v>
      </c>
      <c r="I25" s="74">
        <v>44700</v>
      </c>
      <c r="J25" s="74">
        <v>33850</v>
      </c>
      <c r="K25" s="74">
        <v>11947</v>
      </c>
      <c r="L25" s="80">
        <v>300097</v>
      </c>
      <c r="M25" s="62" t="s">
        <v>117</v>
      </c>
    </row>
    <row r="26" spans="1:13">
      <c r="A26" s="41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62"/>
    </row>
    <row r="27" ht="14.75" spans="1:13">
      <c r="A27" s="42"/>
      <c r="B27" s="44" t="s">
        <v>31</v>
      </c>
      <c r="C27" s="43"/>
      <c r="D27" s="43"/>
      <c r="E27" s="83">
        <f>SUM(E20:E25)</f>
        <v>1291200</v>
      </c>
      <c r="F27" s="83">
        <f t="shared" ref="F27:L27" si="9">SUM(F20:F25)</f>
        <v>4869</v>
      </c>
      <c r="G27" s="83">
        <f t="shared" si="9"/>
        <v>4873</v>
      </c>
      <c r="H27" s="83"/>
      <c r="I27" s="83">
        <f t="shared" si="9"/>
        <v>290500</v>
      </c>
      <c r="J27" s="83">
        <f t="shared" si="9"/>
        <v>220050</v>
      </c>
      <c r="K27" s="83">
        <f t="shared" si="9"/>
        <v>80635</v>
      </c>
      <c r="L27" s="83">
        <f t="shared" si="9"/>
        <v>1882385</v>
      </c>
      <c r="M27" s="63"/>
    </row>
    <row r="29" ht="14.75" spans="1:4">
      <c r="A29" s="36" t="s">
        <v>195</v>
      </c>
      <c r="B29" s="36"/>
      <c r="C29" s="36"/>
      <c r="D29" s="36"/>
    </row>
    <row r="30" spans="1:9">
      <c r="A30" s="37" t="s">
        <v>161</v>
      </c>
      <c r="B30" s="38" t="s">
        <v>58</v>
      </c>
      <c r="C30" s="38" t="s">
        <v>164</v>
      </c>
      <c r="D30" s="46" t="s">
        <v>9</v>
      </c>
      <c r="F30" s="40" t="s">
        <v>161</v>
      </c>
      <c r="G30" s="40" t="s">
        <v>161</v>
      </c>
      <c r="H30" s="40" t="s">
        <v>161</v>
      </c>
      <c r="I30" s="40" t="s">
        <v>161</v>
      </c>
    </row>
    <row r="31" spans="1:9">
      <c r="A31" s="41" t="s">
        <v>194</v>
      </c>
      <c r="B31" s="74">
        <f>DSUM(社員別給料計算表5,B$30,$F$30:$F$31)</f>
        <v>2476</v>
      </c>
      <c r="C31" s="74">
        <f>DSUM(社員別給料計算表5,C$30,$F$30:$F$31)</f>
        <v>147700</v>
      </c>
      <c r="D31" s="75">
        <f>DSUM(社員別給料計算表5,D$30,$F$30:$F$31)</f>
        <v>111900</v>
      </c>
      <c r="F31" s="40" t="s">
        <v>194</v>
      </c>
      <c r="G31" s="40" t="s">
        <v>192</v>
      </c>
      <c r="H31" s="40" t="s">
        <v>193</v>
      </c>
      <c r="I31" s="40" t="s">
        <v>190</v>
      </c>
    </row>
    <row r="32" spans="1:4">
      <c r="A32" s="41" t="s">
        <v>192</v>
      </c>
      <c r="B32" s="74">
        <f>DSUM(社員別給料計算表5,B$30,$G$30:$G$31)</f>
        <v>2395</v>
      </c>
      <c r="C32" s="74">
        <f>DSUM(社員別給料計算表5,C$30,$G$30:$G$31)</f>
        <v>142900</v>
      </c>
      <c r="D32" s="75">
        <f>DSUM(社員別給料計算表5,D$30,$G$30:$G$31)</f>
        <v>108240</v>
      </c>
    </row>
    <row r="33" spans="1:4">
      <c r="A33" s="41" t="s">
        <v>193</v>
      </c>
      <c r="B33" s="74">
        <f>DSUM(社員別給料計算表5,B$30,$H$30:$H$31)</f>
        <v>2334</v>
      </c>
      <c r="C33" s="74">
        <f>DSUM(社員別給料計算表5,C$30,$H$30:$H$31)</f>
        <v>139200</v>
      </c>
      <c r="D33" s="75">
        <f>DSUM(社員別給料計算表5,D$30,$H$30:$H$31)</f>
        <v>105480</v>
      </c>
    </row>
    <row r="34" ht="14.75" spans="1:4">
      <c r="A34" s="42" t="s">
        <v>190</v>
      </c>
      <c r="B34" s="76">
        <f>DSUM(社員別給料計算表5,B$30,$I$30:$I$31)</f>
        <v>2301</v>
      </c>
      <c r="C34" s="76">
        <f>DSUM(社員別給料計算表5,C$30,$I$30:$I$31)</f>
        <v>137400</v>
      </c>
      <c r="D34" s="77">
        <f>DSUM(社員別給料計算表5,D$30,$I$30:$I$31)</f>
        <v>103990</v>
      </c>
    </row>
    <row r="35" spans="7:11">
      <c r="G35" s="59" t="s">
        <v>26</v>
      </c>
      <c r="H35" s="59" t="s">
        <v>131</v>
      </c>
      <c r="J35" s="87" t="s">
        <v>162</v>
      </c>
      <c r="K35" s="88" t="s">
        <v>26</v>
      </c>
    </row>
    <row r="36" ht="14.75" spans="7:11">
      <c r="G36" s="40" t="s">
        <v>196</v>
      </c>
      <c r="H36" s="40" t="s">
        <v>197</v>
      </c>
      <c r="J36" s="89" t="s">
        <v>115</v>
      </c>
      <c r="K36" s="89"/>
    </row>
    <row r="37" spans="1:11">
      <c r="A37" s="71" t="s">
        <v>198</v>
      </c>
      <c r="B37" s="72"/>
      <c r="C37" s="72"/>
      <c r="D37" s="72"/>
      <c r="E37" s="78">
        <f>DCOUNT(社員別給料計算表5,"目標数",G35:H36)</f>
        <v>5</v>
      </c>
      <c r="J37" s="89"/>
      <c r="K37" s="89" t="s">
        <v>199</v>
      </c>
    </row>
    <row r="38" spans="1:8">
      <c r="A38" s="41" t="s">
        <v>200</v>
      </c>
      <c r="B38" s="40"/>
      <c r="C38" s="40"/>
      <c r="D38" s="40"/>
      <c r="E38" s="75">
        <f>DAVERAGE(社員別給料計算表5,"奨励金",J35:K37)</f>
        <v>13446.5714285714</v>
      </c>
      <c r="G38" s="59" t="s">
        <v>58</v>
      </c>
      <c r="H38" s="95"/>
    </row>
    <row r="39" ht="14.75" spans="1:7">
      <c r="A39" s="42" t="s">
        <v>201</v>
      </c>
      <c r="B39" s="43"/>
      <c r="C39" s="43"/>
      <c r="D39" s="43"/>
      <c r="E39" s="77">
        <f>DMIN(社員別給料計算表5,"販売手当",G38:G39)</f>
        <v>47800</v>
      </c>
      <c r="G39" s="40" t="s">
        <v>202</v>
      </c>
    </row>
  </sheetData>
  <sortState ref="A20:M25">
    <sortCondition ref="L19" descending="1"/>
  </sortState>
  <mergeCells count="8">
    <mergeCell ref="A1:M1"/>
    <mergeCell ref="A18:M18"/>
    <mergeCell ref="P18:Q18"/>
    <mergeCell ref="A29:D29"/>
    <mergeCell ref="A37:D37"/>
    <mergeCell ref="A38:D38"/>
    <mergeCell ref="A39:D39"/>
    <mergeCell ref="O18:O19"/>
  </mergeCells>
  <pageMargins left="0.25" right="0.25" top="0.75" bottom="0.75" header="0.3" footer="0.3"/>
  <pageSetup paperSize="9" scale="5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1-1</vt:lpstr>
      <vt:lpstr>1-1 (数式)</vt:lpstr>
      <vt:lpstr>1-2</vt:lpstr>
      <vt:lpstr>1-2 (数式)</vt:lpstr>
      <vt:lpstr>1-3</vt:lpstr>
      <vt:lpstr>1-3 (数式)</vt:lpstr>
      <vt:lpstr>1-4</vt:lpstr>
      <vt:lpstr>1-4 (数式)</vt:lpstr>
      <vt:lpstr>1-5</vt:lpstr>
      <vt:lpstr>1-5 (数式)</vt:lpstr>
      <vt:lpstr>1-6</vt:lpstr>
      <vt:lpstr>1-6 (数式)</vt:lpstr>
      <vt:lpstr>1-7</vt:lpstr>
      <vt:lpstr>1-7 (数式)</vt:lpstr>
      <vt:lpstr>1-8</vt:lpstr>
      <vt:lpstr>1-9</vt:lpstr>
      <vt:lpstr>1-10</vt:lpstr>
      <vt:lpstr>1-11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seito</dc:creator>
  <cp:lastModifiedBy>yeung</cp:lastModifiedBy>
  <dcterms:created xsi:type="dcterms:W3CDTF">2015-06-06T12:19:00Z</dcterms:created>
  <cp:lastPrinted>2024-02-01T20:34:00Z</cp:lastPrinted>
  <dcterms:modified xsi:type="dcterms:W3CDTF">2024-02-01T21:43:50Z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1033-5.4.4.8063</vt:lpwstr>
  </property>
</Properties>
</file>