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27C11365-4112-490A-8309-B7D5F7EA97BF}" xr6:coauthVersionLast="36" xr6:coauthVersionMax="36" xr10:uidLastSave="{00000000-0000-0000-0000-000000000000}"/>
  <bookViews>
    <workbookView xWindow="0" yWindow="0" windowWidth="28800" windowHeight="12285" tabRatio="976" firstSheet="4" activeTab="2" xr2:uid="{00000000-000D-0000-FFFF-FFFF00000000}"/>
  </bookViews>
  <sheets>
    <sheet name="準1-1" sheetId="1" r:id="rId1"/>
    <sheet name="準1-1 (数式)" sheetId="3" r:id="rId2"/>
    <sheet name="準1-2" sheetId="2" r:id="rId3"/>
    <sheet name="準1-2 (数式)" sheetId="5" r:id="rId4"/>
    <sheet name="準1-3" sheetId="6" r:id="rId5"/>
    <sheet name="準1-3 (数式)" sheetId="8" r:id="rId6"/>
    <sheet name="準1-4" sheetId="7" r:id="rId7"/>
    <sheet name="準1-4 (数式)" sheetId="9" r:id="rId8"/>
    <sheet name="準1-5" sheetId="10" r:id="rId9"/>
    <sheet name="準1-5 (数式)" sheetId="11" r:id="rId10"/>
    <sheet name="準1-6" sheetId="12" r:id="rId11"/>
    <sheet name="準1-6 (数式)" sheetId="15" r:id="rId12"/>
    <sheet name="準1-7" sheetId="16" r:id="rId13"/>
    <sheet name="準1-7 (数式)" sheetId="17" r:id="rId14"/>
    <sheet name="準1-8" sheetId="18" r:id="rId15"/>
    <sheet name="準1-8 (数式)" sheetId="24" r:id="rId16"/>
    <sheet name="準1-9" sheetId="19" r:id="rId17"/>
    <sheet name="準1-9 (数式)" sheetId="25" r:id="rId18"/>
    <sheet name="準1-10" sheetId="20" r:id="rId19"/>
    <sheet name="準1-10 (数式)" sheetId="26" r:id="rId20"/>
    <sheet name="準1-11" sheetId="21" r:id="rId21"/>
    <sheet name="準1-11 (数式)" sheetId="27" r:id="rId22"/>
    <sheet name="準1-12" sheetId="22" r:id="rId23"/>
    <sheet name="準1-12 (数式)" sheetId="28" r:id="rId24"/>
  </sheets>
  <definedNames>
    <definedName name="リース先別料金合計一覧表5" localSheetId="9">'準1-5 (数式)'!$A$9:$L$21</definedName>
    <definedName name="リース先別料金合計一覧表5">'準1-5'!$A$9:$L$21</definedName>
    <definedName name="依頼先別加工賃一覧表4" localSheetId="7">'準1-4 (数式)'!$A$9:$L$17</definedName>
    <definedName name="依頼先別加工賃一覧表4">'準1-4'!$A$9:$L$17</definedName>
    <definedName name="委託販売手数料一覧表1" localSheetId="1">'準1-1 (数式)'!$A$11:$K$23</definedName>
    <definedName name="委託販売手数料一覧表1">'準1-1'!$A$11:$K$23</definedName>
    <definedName name="株式売却一覧表7" localSheetId="13">'準1-7 (数式)'!$A$11:$I$19</definedName>
    <definedName name="株式売却一覧表7">'準1-7'!$A$11:$I$19</definedName>
    <definedName name="請求額一覧表10" localSheetId="19">'準1-10 (数式)'!$A$15:$I$23</definedName>
    <definedName name="請求額一覧表10">'準1-10'!$A$15:$I$23</definedName>
    <definedName name="請求額一覧表8" localSheetId="15">'準1-8 (数式)'!$A$15:$J$23</definedName>
    <definedName name="請求額一覧表8">'準1-8'!$A$15:$J$23</definedName>
    <definedName name="請求金額一覧表3" localSheetId="5">'準1-3 (数式)'!$A$9:$L$17</definedName>
    <definedName name="請求金額一覧表3">'準1-3'!$A$9:$L$17</definedName>
    <definedName name="請求金額一覧表9" localSheetId="17">'準1-9 (数式)'!$A$15:$I$23</definedName>
    <definedName name="請求金額一覧表9">'準1-9'!$A$15:$I$23</definedName>
    <definedName name="総支給額一覧表6" localSheetId="11">'準1-6 (数式)'!$A$16:$L$25</definedName>
    <definedName name="総支給額一覧表6">'準1-6'!$A$16:$L$25</definedName>
    <definedName name="得意先別利益額一覧表2" localSheetId="3">'準1-2 (数式)'!$A$12:$K$24</definedName>
    <definedName name="得意先別利益額一覧表2">'準1-2'!$A$12:$K$24</definedName>
    <definedName name="発注先別支払額一覧表12" localSheetId="23">'準1-12 (数式)'!$A$15:$J$23</definedName>
    <definedName name="発注先別支払額一覧表12">'準1-12'!$A$15:$J$23</definedName>
    <definedName name="販売先別請求額一覧表11" localSheetId="21">'準1-11 (数式)'!$A$10:$K$19</definedName>
    <definedName name="販売先別請求額一覧表11">'準1-11'!$A$10:$K$19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8" l="1"/>
  <c r="D23" i="28"/>
  <c r="C23" i="28"/>
  <c r="E23" i="28" s="1"/>
  <c r="B23" i="28"/>
  <c r="D22" i="28"/>
  <c r="C22" i="28"/>
  <c r="F22" i="28" s="1"/>
  <c r="B22" i="28"/>
  <c r="E21" i="28"/>
  <c r="D21" i="28"/>
  <c r="C21" i="28"/>
  <c r="B21" i="28"/>
  <c r="I20" i="28"/>
  <c r="E20" i="28"/>
  <c r="D20" i="28"/>
  <c r="C20" i="28"/>
  <c r="F20" i="28" s="1"/>
  <c r="B20" i="28"/>
  <c r="F19" i="28"/>
  <c r="D19" i="28"/>
  <c r="C19" i="28"/>
  <c r="E19" i="28" s="1"/>
  <c r="B19" i="28"/>
  <c r="D18" i="28"/>
  <c r="C18" i="28"/>
  <c r="F18" i="28" s="1"/>
  <c r="B18" i="28"/>
  <c r="E17" i="28"/>
  <c r="D17" i="28"/>
  <c r="C17" i="28"/>
  <c r="B17" i="28"/>
  <c r="F16" i="28"/>
  <c r="E16" i="28"/>
  <c r="D16" i="28"/>
  <c r="C16" i="28"/>
  <c r="B16" i="28"/>
  <c r="F12" i="28"/>
  <c r="E12" i="28"/>
  <c r="G10" i="28"/>
  <c r="D10" i="28"/>
  <c r="G9" i="28"/>
  <c r="I19" i="28" s="1"/>
  <c r="D9" i="28"/>
  <c r="G8" i="28"/>
  <c r="I18" i="28" s="1"/>
  <c r="D8" i="28"/>
  <c r="G7" i="28"/>
  <c r="I17" i="28" s="1"/>
  <c r="D7" i="28"/>
  <c r="G6" i="28"/>
  <c r="I21" i="28" s="1"/>
  <c r="D6" i="28"/>
  <c r="G5" i="28"/>
  <c r="I23" i="28" s="1"/>
  <c r="D5" i="28"/>
  <c r="G4" i="28"/>
  <c r="I22" i="28" s="1"/>
  <c r="D4" i="28"/>
  <c r="G3" i="28"/>
  <c r="I16" i="28" s="1"/>
  <c r="D3" i="28"/>
  <c r="I22" i="22"/>
  <c r="I23" i="22"/>
  <c r="I21" i="22"/>
  <c r="I17" i="22"/>
  <c r="I18" i="22"/>
  <c r="I19" i="22"/>
  <c r="I20" i="22"/>
  <c r="E22" i="22"/>
  <c r="D22" i="22"/>
  <c r="D23" i="22"/>
  <c r="D21" i="22"/>
  <c r="D17" i="22"/>
  <c r="D18" i="22"/>
  <c r="D19" i="22"/>
  <c r="D20" i="22"/>
  <c r="C22" i="22"/>
  <c r="F22" i="22" s="1"/>
  <c r="C23" i="22"/>
  <c r="E23" i="22" s="1"/>
  <c r="C21" i="22"/>
  <c r="E21" i="22" s="1"/>
  <c r="C17" i="22"/>
  <c r="F17" i="22" s="1"/>
  <c r="C18" i="22"/>
  <c r="F18" i="22" s="1"/>
  <c r="C19" i="22"/>
  <c r="E19" i="22" s="1"/>
  <c r="C20" i="22"/>
  <c r="B22" i="22"/>
  <c r="B23" i="22"/>
  <c r="B21" i="22"/>
  <c r="B17" i="22"/>
  <c r="B18" i="22"/>
  <c r="B19" i="22"/>
  <c r="B20" i="22"/>
  <c r="C16" i="22"/>
  <c r="I16" i="22"/>
  <c r="D16" i="22"/>
  <c r="B16" i="22"/>
  <c r="F12" i="22"/>
  <c r="E12" i="22"/>
  <c r="G4" i="22"/>
  <c r="G5" i="22"/>
  <c r="G6" i="22"/>
  <c r="G7" i="22"/>
  <c r="G8" i="22"/>
  <c r="G9" i="22"/>
  <c r="G10" i="22"/>
  <c r="D4" i="22"/>
  <c r="D5" i="22"/>
  <c r="D6" i="22"/>
  <c r="D7" i="22"/>
  <c r="D8" i="22"/>
  <c r="D9" i="22"/>
  <c r="D10" i="22"/>
  <c r="G3" i="22"/>
  <c r="D3" i="22"/>
  <c r="B26" i="27"/>
  <c r="F21" i="27"/>
  <c r="D19" i="27"/>
  <c r="E18" i="27"/>
  <c r="G18" i="27" s="1"/>
  <c r="H18" i="27" s="1"/>
  <c r="D18" i="27"/>
  <c r="D17" i="27"/>
  <c r="D16" i="27"/>
  <c r="E15" i="27"/>
  <c r="G15" i="27" s="1"/>
  <c r="H15" i="27" s="1"/>
  <c r="D15" i="27"/>
  <c r="E14" i="27"/>
  <c r="G14" i="27" s="1"/>
  <c r="H14" i="27" s="1"/>
  <c r="D14" i="27"/>
  <c r="D13" i="27"/>
  <c r="D12" i="27"/>
  <c r="E11" i="27"/>
  <c r="G11" i="27" s="1"/>
  <c r="H11" i="27" s="1"/>
  <c r="D11" i="27"/>
  <c r="D7" i="27"/>
  <c r="C7" i="27"/>
  <c r="G5" i="27"/>
  <c r="E16" i="27" s="1"/>
  <c r="G16" i="27" s="1"/>
  <c r="H16" i="27" s="1"/>
  <c r="E5" i="27"/>
  <c r="E4" i="27"/>
  <c r="G4" i="27" s="1"/>
  <c r="G3" i="27"/>
  <c r="E3" i="27"/>
  <c r="E7" i="27" s="1"/>
  <c r="C27" i="21"/>
  <c r="C26" i="21"/>
  <c r="C25" i="21"/>
  <c r="B27" i="21"/>
  <c r="B26" i="21"/>
  <c r="B25" i="21"/>
  <c r="F21" i="21"/>
  <c r="D15" i="21"/>
  <c r="D12" i="21"/>
  <c r="D17" i="21"/>
  <c r="D16" i="21"/>
  <c r="D18" i="21"/>
  <c r="D11" i="21"/>
  <c r="D14" i="21"/>
  <c r="D13" i="21"/>
  <c r="D19" i="21"/>
  <c r="D7" i="21"/>
  <c r="C7" i="21"/>
  <c r="G4" i="21"/>
  <c r="E17" i="21" s="1"/>
  <c r="G17" i="21" s="1"/>
  <c r="H17" i="21" s="1"/>
  <c r="G5" i="21"/>
  <c r="E16" i="21" s="1"/>
  <c r="G16" i="21" s="1"/>
  <c r="H16" i="21" s="1"/>
  <c r="E4" i="21"/>
  <c r="E5" i="21"/>
  <c r="E3" i="21"/>
  <c r="E7" i="21" s="1"/>
  <c r="E28" i="20"/>
  <c r="E29" i="20"/>
  <c r="B23" i="26"/>
  <c r="B22" i="26"/>
  <c r="B21" i="26"/>
  <c r="B20" i="26"/>
  <c r="B19" i="26"/>
  <c r="B18" i="26"/>
  <c r="B17" i="26"/>
  <c r="B16" i="26"/>
  <c r="H12" i="26"/>
  <c r="G10" i="26"/>
  <c r="I10" i="26" s="1"/>
  <c r="C22" i="26" s="1"/>
  <c r="D10" i="26"/>
  <c r="G9" i="26"/>
  <c r="I9" i="26" s="1"/>
  <c r="C16" i="26" s="1"/>
  <c r="D9" i="26"/>
  <c r="G8" i="26"/>
  <c r="I8" i="26" s="1"/>
  <c r="C19" i="26" s="1"/>
  <c r="D8" i="26"/>
  <c r="I7" i="26"/>
  <c r="C17" i="26" s="1"/>
  <c r="G7" i="26"/>
  <c r="D7" i="26"/>
  <c r="G6" i="26"/>
  <c r="I6" i="26" s="1"/>
  <c r="C20" i="26" s="1"/>
  <c r="D6" i="26"/>
  <c r="G5" i="26"/>
  <c r="I5" i="26" s="1"/>
  <c r="C18" i="26" s="1"/>
  <c r="D5" i="26"/>
  <c r="G4" i="26"/>
  <c r="I4" i="26" s="1"/>
  <c r="C23" i="26" s="1"/>
  <c r="D4" i="26"/>
  <c r="I3" i="26"/>
  <c r="C21" i="26" s="1"/>
  <c r="G3" i="26"/>
  <c r="G12" i="26" s="1"/>
  <c r="D3" i="26"/>
  <c r="F20" i="20"/>
  <c r="F22" i="20"/>
  <c r="E20" i="20"/>
  <c r="E17" i="20"/>
  <c r="E22" i="20"/>
  <c r="C23" i="20"/>
  <c r="C18" i="20"/>
  <c r="C20" i="20"/>
  <c r="G20" i="20" s="1"/>
  <c r="C17" i="20"/>
  <c r="F17" i="20" s="1"/>
  <c r="C19" i="20"/>
  <c r="E19" i="20" s="1"/>
  <c r="C16" i="20"/>
  <c r="C22" i="20"/>
  <c r="G22" i="20" s="1"/>
  <c r="B23" i="20"/>
  <c r="B18" i="20"/>
  <c r="B20" i="20"/>
  <c r="B17" i="20"/>
  <c r="B19" i="20"/>
  <c r="B16" i="20"/>
  <c r="B22" i="20"/>
  <c r="B21" i="20"/>
  <c r="H12" i="20"/>
  <c r="G12" i="20"/>
  <c r="I4" i="20"/>
  <c r="I5" i="20"/>
  <c r="I6" i="20"/>
  <c r="I7" i="20"/>
  <c r="I8" i="20"/>
  <c r="I9" i="20"/>
  <c r="I10" i="20"/>
  <c r="I3" i="20"/>
  <c r="I12" i="20" s="1"/>
  <c r="G4" i="20"/>
  <c r="G5" i="20"/>
  <c r="G6" i="20"/>
  <c r="G7" i="20"/>
  <c r="G8" i="20"/>
  <c r="G9" i="20"/>
  <c r="G10" i="20"/>
  <c r="G3" i="20"/>
  <c r="D4" i="20"/>
  <c r="D5" i="20"/>
  <c r="D6" i="20"/>
  <c r="D7" i="20"/>
  <c r="D8" i="20"/>
  <c r="D9" i="20"/>
  <c r="D10" i="20"/>
  <c r="D3" i="20"/>
  <c r="G19" i="28" l="1"/>
  <c r="H19" i="28" s="1"/>
  <c r="J19" i="28" s="1"/>
  <c r="H23" i="28"/>
  <c r="J23" i="28" s="1"/>
  <c r="G23" i="28"/>
  <c r="G17" i="28"/>
  <c r="D25" i="28"/>
  <c r="G16" i="28"/>
  <c r="F17" i="28"/>
  <c r="F25" i="28" s="1"/>
  <c r="E18" i="28"/>
  <c r="G20" i="28"/>
  <c r="H20" i="28" s="1"/>
  <c r="F21" i="28"/>
  <c r="E22" i="28"/>
  <c r="E25" i="28" s="1"/>
  <c r="E17" i="22"/>
  <c r="E16" i="22"/>
  <c r="G16" i="22" s="1"/>
  <c r="F20" i="22"/>
  <c r="F16" i="22"/>
  <c r="E18" i="22"/>
  <c r="G22" i="22"/>
  <c r="H22" i="22" s="1"/>
  <c r="J22" i="22" s="1"/>
  <c r="G17" i="22"/>
  <c r="H17" i="22" s="1"/>
  <c r="J17" i="22" s="1"/>
  <c r="F21" i="22"/>
  <c r="E20" i="22"/>
  <c r="F19" i="22"/>
  <c r="G19" i="22" s="1"/>
  <c r="F23" i="22"/>
  <c r="F25" i="22" s="1"/>
  <c r="D25" i="22"/>
  <c r="E19" i="27"/>
  <c r="G19" i="27" s="1"/>
  <c r="H19" i="27" s="1"/>
  <c r="E17" i="27"/>
  <c r="G17" i="27" s="1"/>
  <c r="H17" i="27" s="1"/>
  <c r="E13" i="27"/>
  <c r="G13" i="27" s="1"/>
  <c r="H13" i="27" s="1"/>
  <c r="I15" i="27"/>
  <c r="J15" i="27" s="1"/>
  <c r="K15" i="27" s="1"/>
  <c r="J18" i="27"/>
  <c r="K18" i="27" s="1"/>
  <c r="I18" i="27"/>
  <c r="I16" i="27"/>
  <c r="J16" i="27" s="1"/>
  <c r="K16" i="27" s="1"/>
  <c r="I11" i="27"/>
  <c r="J11" i="27"/>
  <c r="K11" i="27"/>
  <c r="I14" i="27"/>
  <c r="J14" i="27" s="1"/>
  <c r="K14" i="27" s="1"/>
  <c r="B25" i="27"/>
  <c r="B27" i="27"/>
  <c r="E12" i="27"/>
  <c r="G12" i="27" s="1"/>
  <c r="H12" i="27" s="1"/>
  <c r="G3" i="21"/>
  <c r="E11" i="21"/>
  <c r="G11" i="21" s="1"/>
  <c r="H11" i="21" s="1"/>
  <c r="I11" i="21" s="1"/>
  <c r="J11" i="21" s="1"/>
  <c r="E12" i="21"/>
  <c r="G12" i="21" s="1"/>
  <c r="H12" i="21" s="1"/>
  <c r="E19" i="21"/>
  <c r="G19" i="21" s="1"/>
  <c r="H19" i="21" s="1"/>
  <c r="I19" i="21" s="1"/>
  <c r="J19" i="21" s="1"/>
  <c r="K19" i="21" s="1"/>
  <c r="E13" i="21"/>
  <c r="G13" i="21" s="1"/>
  <c r="H13" i="21" s="1"/>
  <c r="I13" i="21" s="1"/>
  <c r="J13" i="21" s="1"/>
  <c r="K13" i="21" s="1"/>
  <c r="I12" i="21"/>
  <c r="J12" i="21" s="1"/>
  <c r="K12" i="21" s="1"/>
  <c r="I17" i="21"/>
  <c r="J17" i="21" s="1"/>
  <c r="K17" i="21" s="1"/>
  <c r="I16" i="21"/>
  <c r="J16" i="21" s="1"/>
  <c r="K16" i="21" s="1"/>
  <c r="E19" i="26"/>
  <c r="F22" i="26"/>
  <c r="E22" i="26"/>
  <c r="E21" i="26"/>
  <c r="G21" i="26"/>
  <c r="E18" i="26"/>
  <c r="F18" i="26" s="1"/>
  <c r="E17" i="26"/>
  <c r="G17" i="26"/>
  <c r="E16" i="26"/>
  <c r="H16" i="26"/>
  <c r="G16" i="26"/>
  <c r="C25" i="26"/>
  <c r="F16" i="26"/>
  <c r="F23" i="26"/>
  <c r="H23" i="26" s="1"/>
  <c r="E23" i="26"/>
  <c r="G23" i="26" s="1"/>
  <c r="E20" i="26"/>
  <c r="G20" i="26"/>
  <c r="I12" i="26"/>
  <c r="C25" i="20"/>
  <c r="H19" i="20"/>
  <c r="I19" i="20" s="1"/>
  <c r="G19" i="20"/>
  <c r="G23" i="20"/>
  <c r="E16" i="20"/>
  <c r="E18" i="20"/>
  <c r="F19" i="20"/>
  <c r="F23" i="20"/>
  <c r="G17" i="20"/>
  <c r="H22" i="20"/>
  <c r="I22" i="20" s="1"/>
  <c r="H20" i="20"/>
  <c r="I20" i="20" s="1"/>
  <c r="H17" i="20"/>
  <c r="I17" i="20" s="1"/>
  <c r="E23" i="20"/>
  <c r="C21" i="20"/>
  <c r="F25" i="25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G10" i="25"/>
  <c r="H10" i="25" s="1"/>
  <c r="C20" i="25" s="1"/>
  <c r="F10" i="25"/>
  <c r="D10" i="25"/>
  <c r="G9" i="25"/>
  <c r="H9" i="25" s="1"/>
  <c r="C19" i="25" s="1"/>
  <c r="F9" i="25"/>
  <c r="D9" i="25"/>
  <c r="G8" i="25"/>
  <c r="H8" i="25" s="1"/>
  <c r="C23" i="25" s="1"/>
  <c r="F8" i="25"/>
  <c r="D8" i="25"/>
  <c r="G7" i="25"/>
  <c r="H7" i="25" s="1"/>
  <c r="C18" i="25" s="1"/>
  <c r="F7" i="25"/>
  <c r="D7" i="25"/>
  <c r="G6" i="25"/>
  <c r="H6" i="25" s="1"/>
  <c r="C22" i="25" s="1"/>
  <c r="F6" i="25"/>
  <c r="D6" i="25"/>
  <c r="G5" i="25"/>
  <c r="H5" i="25" s="1"/>
  <c r="C16" i="25" s="1"/>
  <c r="F5" i="25"/>
  <c r="D5" i="25"/>
  <c r="G4" i="25"/>
  <c r="F4" i="25"/>
  <c r="H4" i="25" s="1"/>
  <c r="C17" i="25" s="1"/>
  <c r="D4" i="25"/>
  <c r="G3" i="25"/>
  <c r="G12" i="25" s="1"/>
  <c r="F3" i="25"/>
  <c r="F12" i="25" s="1"/>
  <c r="D3" i="25"/>
  <c r="E29" i="19"/>
  <c r="E28" i="19"/>
  <c r="F25" i="19"/>
  <c r="G16" i="19"/>
  <c r="G19" i="19"/>
  <c r="E16" i="19"/>
  <c r="E22" i="19"/>
  <c r="E19" i="19"/>
  <c r="E20" i="19"/>
  <c r="D17" i="19"/>
  <c r="D16" i="19"/>
  <c r="D22" i="19"/>
  <c r="D18" i="19"/>
  <c r="D23" i="19"/>
  <c r="D19" i="19"/>
  <c r="D20" i="19"/>
  <c r="C17" i="19"/>
  <c r="C16" i="19"/>
  <c r="H16" i="19" s="1"/>
  <c r="C22" i="19"/>
  <c r="G22" i="19" s="1"/>
  <c r="C18" i="19"/>
  <c r="E18" i="19" s="1"/>
  <c r="C23" i="19"/>
  <c r="E23" i="19" s="1"/>
  <c r="C19" i="19"/>
  <c r="H19" i="19" s="1"/>
  <c r="I19" i="19" s="1"/>
  <c r="C20" i="19"/>
  <c r="G20" i="19" s="1"/>
  <c r="B17" i="19"/>
  <c r="B16" i="19"/>
  <c r="B22" i="19"/>
  <c r="B18" i="19"/>
  <c r="B23" i="19"/>
  <c r="B19" i="19"/>
  <c r="B20" i="19"/>
  <c r="G21" i="19"/>
  <c r="D21" i="19"/>
  <c r="C21" i="19"/>
  <c r="E21" i="19" s="1"/>
  <c r="B21" i="19"/>
  <c r="G12" i="19"/>
  <c r="H12" i="19"/>
  <c r="F12" i="19"/>
  <c r="H4" i="19"/>
  <c r="H5" i="19"/>
  <c r="H6" i="19"/>
  <c r="H7" i="19"/>
  <c r="H8" i="19"/>
  <c r="H9" i="19"/>
  <c r="H10" i="19"/>
  <c r="G4" i="19"/>
  <c r="G5" i="19"/>
  <c r="G6" i="19"/>
  <c r="G7" i="19"/>
  <c r="G8" i="19"/>
  <c r="G9" i="19"/>
  <c r="G10" i="19"/>
  <c r="F4" i="19"/>
  <c r="F5" i="19"/>
  <c r="F6" i="19"/>
  <c r="F7" i="19"/>
  <c r="F8" i="19"/>
  <c r="F9" i="19"/>
  <c r="F10" i="19"/>
  <c r="D4" i="19"/>
  <c r="D5" i="19"/>
  <c r="D6" i="19"/>
  <c r="D7" i="19"/>
  <c r="D8" i="19"/>
  <c r="D9" i="19"/>
  <c r="D10" i="19"/>
  <c r="H3" i="19"/>
  <c r="G3" i="19"/>
  <c r="F3" i="19"/>
  <c r="D3" i="19"/>
  <c r="C23" i="24"/>
  <c r="D23" i="24" s="1"/>
  <c r="B23" i="24"/>
  <c r="C22" i="24"/>
  <c r="D22" i="24" s="1"/>
  <c r="B22" i="24"/>
  <c r="C21" i="24"/>
  <c r="B21" i="24"/>
  <c r="D20" i="24"/>
  <c r="C20" i="24"/>
  <c r="B20" i="24"/>
  <c r="D19" i="24"/>
  <c r="C19" i="24"/>
  <c r="B19" i="24"/>
  <c r="C18" i="24"/>
  <c r="D18" i="24" s="1"/>
  <c r="B18" i="24"/>
  <c r="C17" i="24"/>
  <c r="B17" i="24"/>
  <c r="D16" i="24"/>
  <c r="C16" i="24"/>
  <c r="C25" i="24" s="1"/>
  <c r="B16" i="24"/>
  <c r="E12" i="24"/>
  <c r="F10" i="24"/>
  <c r="D10" i="24"/>
  <c r="G9" i="24"/>
  <c r="H9" i="24" s="1"/>
  <c r="I9" i="24" s="1"/>
  <c r="E17" i="24" s="1"/>
  <c r="F9" i="24"/>
  <c r="D9" i="24"/>
  <c r="H8" i="24"/>
  <c r="I8" i="24" s="1"/>
  <c r="E22" i="24" s="1"/>
  <c r="G8" i="24"/>
  <c r="F8" i="24"/>
  <c r="D8" i="24"/>
  <c r="F7" i="24"/>
  <c r="D7" i="24"/>
  <c r="F6" i="24"/>
  <c r="D6" i="24"/>
  <c r="G5" i="24"/>
  <c r="H5" i="24" s="1"/>
  <c r="I5" i="24" s="1"/>
  <c r="E19" i="24" s="1"/>
  <c r="F5" i="24"/>
  <c r="D5" i="24"/>
  <c r="H4" i="24"/>
  <c r="I4" i="24" s="1"/>
  <c r="E20" i="24" s="1"/>
  <c r="G4" i="24"/>
  <c r="F4" i="24"/>
  <c r="D4" i="24"/>
  <c r="F3" i="24"/>
  <c r="D3" i="24"/>
  <c r="E30" i="18"/>
  <c r="E29" i="18"/>
  <c r="H20" i="18"/>
  <c r="I20" i="18" s="1"/>
  <c r="H22" i="18"/>
  <c r="I22" i="18" s="1"/>
  <c r="G20" i="18"/>
  <c r="G19" i="18"/>
  <c r="G22" i="18"/>
  <c r="G17" i="18"/>
  <c r="F20" i="18"/>
  <c r="F19" i="18"/>
  <c r="F16" i="18"/>
  <c r="F22" i="18"/>
  <c r="F17" i="18"/>
  <c r="F23" i="18"/>
  <c r="E20" i="18"/>
  <c r="E19" i="18"/>
  <c r="H19" i="18" s="1"/>
  <c r="I19" i="18" s="1"/>
  <c r="E16" i="18"/>
  <c r="G16" i="18" s="1"/>
  <c r="E18" i="18"/>
  <c r="F18" i="18" s="1"/>
  <c r="E22" i="18"/>
  <c r="E17" i="18"/>
  <c r="H17" i="18" s="1"/>
  <c r="I17" i="18" s="1"/>
  <c r="E23" i="18"/>
  <c r="G23" i="18" s="1"/>
  <c r="D20" i="18"/>
  <c r="D16" i="18"/>
  <c r="D18" i="18"/>
  <c r="D22" i="18"/>
  <c r="D23" i="18"/>
  <c r="C20" i="18"/>
  <c r="C19" i="18"/>
  <c r="D19" i="18" s="1"/>
  <c r="C16" i="18"/>
  <c r="C18" i="18"/>
  <c r="C22" i="18"/>
  <c r="C17" i="18"/>
  <c r="D17" i="18" s="1"/>
  <c r="C23" i="18"/>
  <c r="B20" i="18"/>
  <c r="B19" i="18"/>
  <c r="B16" i="18"/>
  <c r="B18" i="18"/>
  <c r="B22" i="18"/>
  <c r="B17" i="18"/>
  <c r="B23" i="18"/>
  <c r="F21" i="18"/>
  <c r="G21" i="18" s="1"/>
  <c r="E21" i="18"/>
  <c r="H21" i="18" s="1"/>
  <c r="I21" i="18" s="1"/>
  <c r="C21" i="18"/>
  <c r="D21" i="18" s="1"/>
  <c r="B21" i="18"/>
  <c r="I12" i="18"/>
  <c r="E12" i="18"/>
  <c r="I4" i="18"/>
  <c r="I5" i="18"/>
  <c r="I6" i="18"/>
  <c r="I7" i="18"/>
  <c r="I8" i="18"/>
  <c r="I9" i="18"/>
  <c r="I10" i="18"/>
  <c r="H4" i="18"/>
  <c r="H5" i="18"/>
  <c r="H6" i="18"/>
  <c r="H7" i="18"/>
  <c r="H8" i="18"/>
  <c r="H9" i="18"/>
  <c r="H10" i="18"/>
  <c r="G4" i="18"/>
  <c r="G5" i="18"/>
  <c r="G6" i="18"/>
  <c r="G7" i="18"/>
  <c r="G8" i="18"/>
  <c r="G9" i="18"/>
  <c r="G10" i="18"/>
  <c r="F4" i="18"/>
  <c r="F5" i="18"/>
  <c r="F6" i="18"/>
  <c r="F7" i="18"/>
  <c r="F8" i="18"/>
  <c r="F9" i="18"/>
  <c r="F10" i="18"/>
  <c r="D4" i="18"/>
  <c r="D5" i="18"/>
  <c r="D6" i="18"/>
  <c r="D7" i="18"/>
  <c r="D8" i="18"/>
  <c r="D9" i="18"/>
  <c r="D10" i="18"/>
  <c r="I3" i="18"/>
  <c r="H3" i="18"/>
  <c r="G3" i="18"/>
  <c r="F3" i="18"/>
  <c r="D3" i="18"/>
  <c r="C25" i="17"/>
  <c r="D21" i="17"/>
  <c r="G19" i="17"/>
  <c r="H19" i="17" s="1"/>
  <c r="I19" i="17" s="1"/>
  <c r="F19" i="17"/>
  <c r="E19" i="17"/>
  <c r="B19" i="17"/>
  <c r="E18" i="17"/>
  <c r="B18" i="17"/>
  <c r="G17" i="17"/>
  <c r="F17" i="17"/>
  <c r="H17" i="17" s="1"/>
  <c r="I17" i="17" s="1"/>
  <c r="E17" i="17"/>
  <c r="B17" i="17"/>
  <c r="E16" i="17"/>
  <c r="B16" i="17"/>
  <c r="G15" i="17"/>
  <c r="F15" i="17"/>
  <c r="H15" i="17" s="1"/>
  <c r="I15" i="17" s="1"/>
  <c r="E15" i="17"/>
  <c r="B15" i="17"/>
  <c r="E14" i="17"/>
  <c r="B14" i="17"/>
  <c r="G13" i="17"/>
  <c r="F13" i="17"/>
  <c r="H13" i="17" s="1"/>
  <c r="I13" i="17" s="1"/>
  <c r="E13" i="17"/>
  <c r="B13" i="17"/>
  <c r="E12" i="17"/>
  <c r="B12" i="17"/>
  <c r="D28" i="17" s="1"/>
  <c r="F8" i="17"/>
  <c r="E8" i="17"/>
  <c r="D8" i="17"/>
  <c r="G6" i="17"/>
  <c r="F6" i="17"/>
  <c r="H6" i="17" s="1"/>
  <c r="E6" i="17"/>
  <c r="G5" i="17"/>
  <c r="F5" i="17"/>
  <c r="H5" i="17" s="1"/>
  <c r="E5" i="17"/>
  <c r="G4" i="17"/>
  <c r="F4" i="17"/>
  <c r="H4" i="17" s="1"/>
  <c r="E4" i="17"/>
  <c r="G3" i="17"/>
  <c r="G8" i="17" s="1"/>
  <c r="F3" i="17"/>
  <c r="H3" i="17" s="1"/>
  <c r="H8" i="17" s="1"/>
  <c r="E3" i="17"/>
  <c r="E21" i="16"/>
  <c r="F21" i="16"/>
  <c r="G21" i="16"/>
  <c r="H21" i="16"/>
  <c r="D25" i="16"/>
  <c r="D26" i="16"/>
  <c r="D27" i="16"/>
  <c r="D28" i="16"/>
  <c r="C28" i="16"/>
  <c r="C27" i="16"/>
  <c r="C26" i="16"/>
  <c r="C25" i="16"/>
  <c r="H19" i="16"/>
  <c r="I19" i="16" s="1"/>
  <c r="H14" i="16"/>
  <c r="I14" i="16" s="1"/>
  <c r="G19" i="16"/>
  <c r="G12" i="16"/>
  <c r="G14" i="16"/>
  <c r="G13" i="16"/>
  <c r="F19" i="16"/>
  <c r="F12" i="16"/>
  <c r="F18" i="16"/>
  <c r="G18" i="16" s="1"/>
  <c r="F14" i="16"/>
  <c r="F13" i="16"/>
  <c r="F17" i="16"/>
  <c r="G17" i="16" s="1"/>
  <c r="E19" i="16"/>
  <c r="E12" i="16"/>
  <c r="H12" i="16" s="1"/>
  <c r="I12" i="16" s="1"/>
  <c r="E18" i="16"/>
  <c r="E16" i="16"/>
  <c r="F16" i="16" s="1"/>
  <c r="G16" i="16" s="1"/>
  <c r="E14" i="16"/>
  <c r="E13" i="16"/>
  <c r="H13" i="16" s="1"/>
  <c r="I13" i="16" s="1"/>
  <c r="E17" i="16"/>
  <c r="B19" i="16"/>
  <c r="B12" i="16"/>
  <c r="B18" i="16"/>
  <c r="B16" i="16"/>
  <c r="B14" i="16"/>
  <c r="B13" i="16"/>
  <c r="B17" i="16"/>
  <c r="D21" i="16"/>
  <c r="E15" i="16"/>
  <c r="B15" i="16"/>
  <c r="E8" i="16"/>
  <c r="F8" i="16"/>
  <c r="G8" i="16"/>
  <c r="H8" i="16"/>
  <c r="D8" i="16"/>
  <c r="H4" i="16"/>
  <c r="H5" i="16"/>
  <c r="H6" i="16"/>
  <c r="G4" i="16"/>
  <c r="G5" i="16"/>
  <c r="G6" i="16"/>
  <c r="F4" i="16"/>
  <c r="F5" i="16"/>
  <c r="F6" i="16"/>
  <c r="E4" i="16"/>
  <c r="E5" i="16"/>
  <c r="E6" i="16"/>
  <c r="H3" i="16"/>
  <c r="G3" i="16"/>
  <c r="F3" i="16"/>
  <c r="E3" i="16"/>
  <c r="J25" i="15"/>
  <c r="D25" i="15"/>
  <c r="B25" i="15"/>
  <c r="D24" i="15"/>
  <c r="J24" i="15" s="1"/>
  <c r="B24" i="15"/>
  <c r="D23" i="15"/>
  <c r="B23" i="15"/>
  <c r="J22" i="15"/>
  <c r="F22" i="15"/>
  <c r="D22" i="15"/>
  <c r="B22" i="15"/>
  <c r="J21" i="15"/>
  <c r="H21" i="15"/>
  <c r="I21" i="15" s="1"/>
  <c r="D21" i="15"/>
  <c r="B21" i="15"/>
  <c r="H20" i="15"/>
  <c r="I20" i="15" s="1"/>
  <c r="D20" i="15"/>
  <c r="J20" i="15" s="1"/>
  <c r="B20" i="15"/>
  <c r="D19" i="15"/>
  <c r="B19" i="15"/>
  <c r="J18" i="15"/>
  <c r="F18" i="15"/>
  <c r="D18" i="15"/>
  <c r="B18" i="15"/>
  <c r="J17" i="15"/>
  <c r="D17" i="15"/>
  <c r="D27" i="15" s="1"/>
  <c r="B17" i="15"/>
  <c r="G13" i="15"/>
  <c r="F13" i="15"/>
  <c r="D13" i="15"/>
  <c r="C13" i="15"/>
  <c r="H11" i="15"/>
  <c r="H22" i="15" s="1"/>
  <c r="I22" i="15" s="1"/>
  <c r="E11" i="15"/>
  <c r="H10" i="15"/>
  <c r="H18" i="15" s="1"/>
  <c r="I18" i="15" s="1"/>
  <c r="E10" i="15"/>
  <c r="H9" i="15"/>
  <c r="H17" i="15" s="1"/>
  <c r="I17" i="15" s="1"/>
  <c r="E9" i="15"/>
  <c r="F17" i="15" s="1"/>
  <c r="H8" i="15"/>
  <c r="H25" i="15" s="1"/>
  <c r="I25" i="15" s="1"/>
  <c r="E8" i="15"/>
  <c r="F25" i="15" s="1"/>
  <c r="H7" i="15"/>
  <c r="H23" i="15" s="1"/>
  <c r="I23" i="15" s="1"/>
  <c r="E7" i="15"/>
  <c r="F23" i="15" s="1"/>
  <c r="H6" i="15"/>
  <c r="E6" i="15"/>
  <c r="F20" i="15" s="1"/>
  <c r="H5" i="15"/>
  <c r="H19" i="15" s="1"/>
  <c r="I19" i="15" s="1"/>
  <c r="E5" i="15"/>
  <c r="F19" i="15" s="1"/>
  <c r="H4" i="15"/>
  <c r="E4" i="15"/>
  <c r="F21" i="15" s="1"/>
  <c r="H3" i="15"/>
  <c r="H24" i="15" s="1"/>
  <c r="I24" i="15" s="1"/>
  <c r="E3" i="15"/>
  <c r="F24" i="15" s="1"/>
  <c r="J20" i="28" l="1"/>
  <c r="H21" i="28"/>
  <c r="J21" i="28" s="1"/>
  <c r="H16" i="28"/>
  <c r="G18" i="28"/>
  <c r="E29" i="28" s="1"/>
  <c r="G21" i="28"/>
  <c r="G22" i="28"/>
  <c r="H22" i="28" s="1"/>
  <c r="J22" i="28" s="1"/>
  <c r="H17" i="28"/>
  <c r="J17" i="28" s="1"/>
  <c r="G18" i="22"/>
  <c r="H18" i="22" s="1"/>
  <c r="J18" i="22" s="1"/>
  <c r="H16" i="22"/>
  <c r="J16" i="22" s="1"/>
  <c r="E29" i="22"/>
  <c r="G21" i="22"/>
  <c r="H21" i="22" s="1"/>
  <c r="J21" i="22" s="1"/>
  <c r="G20" i="22"/>
  <c r="G23" i="22"/>
  <c r="H23" i="22" s="1"/>
  <c r="J23" i="22" s="1"/>
  <c r="E25" i="22"/>
  <c r="H19" i="22"/>
  <c r="J19" i="22" s="1"/>
  <c r="C25" i="27"/>
  <c r="I12" i="27"/>
  <c r="J12" i="27" s="1"/>
  <c r="I13" i="27"/>
  <c r="J13" i="27" s="1"/>
  <c r="K13" i="27" s="1"/>
  <c r="C26" i="27" s="1"/>
  <c r="I17" i="27"/>
  <c r="J17" i="27" s="1"/>
  <c r="K17" i="27" s="1"/>
  <c r="H21" i="27"/>
  <c r="I19" i="27"/>
  <c r="J19" i="27"/>
  <c r="K19" i="27" s="1"/>
  <c r="E14" i="21"/>
  <c r="G14" i="21" s="1"/>
  <c r="H14" i="21" s="1"/>
  <c r="E15" i="21"/>
  <c r="G15" i="21" s="1"/>
  <c r="H15" i="21" s="1"/>
  <c r="I15" i="21" s="1"/>
  <c r="J15" i="21" s="1"/>
  <c r="K15" i="21" s="1"/>
  <c r="E18" i="21"/>
  <c r="G18" i="21" s="1"/>
  <c r="H18" i="21" s="1"/>
  <c r="I18" i="21" s="1"/>
  <c r="J18" i="21" s="1"/>
  <c r="K18" i="21" s="1"/>
  <c r="K11" i="21"/>
  <c r="H18" i="26"/>
  <c r="I18" i="26" s="1"/>
  <c r="I22" i="26"/>
  <c r="F19" i="26"/>
  <c r="G19" i="26"/>
  <c r="F20" i="26"/>
  <c r="H20" i="26" s="1"/>
  <c r="I20" i="26" s="1"/>
  <c r="I23" i="26"/>
  <c r="I16" i="26"/>
  <c r="E28" i="26"/>
  <c r="E25" i="26"/>
  <c r="F17" i="26"/>
  <c r="F25" i="26" s="1"/>
  <c r="G18" i="26"/>
  <c r="G25" i="26" s="1"/>
  <c r="F21" i="26"/>
  <c r="H21" i="26" s="1"/>
  <c r="I21" i="26" s="1"/>
  <c r="G22" i="26"/>
  <c r="H22" i="26" s="1"/>
  <c r="H19" i="26"/>
  <c r="I19" i="26" s="1"/>
  <c r="E21" i="20"/>
  <c r="G21" i="20"/>
  <c r="G18" i="20"/>
  <c r="F18" i="20"/>
  <c r="H18" i="20" s="1"/>
  <c r="I18" i="20" s="1"/>
  <c r="H23" i="20"/>
  <c r="I23" i="20" s="1"/>
  <c r="F16" i="20"/>
  <c r="G16" i="20"/>
  <c r="G25" i="20" s="1"/>
  <c r="G22" i="25"/>
  <c r="E22" i="25"/>
  <c r="H22" i="25"/>
  <c r="I22" i="25" s="1"/>
  <c r="H20" i="25"/>
  <c r="I20" i="25" s="1"/>
  <c r="G20" i="25"/>
  <c r="E20" i="25"/>
  <c r="G23" i="25"/>
  <c r="H23" i="25" s="1"/>
  <c r="I23" i="25" s="1"/>
  <c r="E23" i="25"/>
  <c r="G18" i="25"/>
  <c r="E18" i="25"/>
  <c r="H18" i="25"/>
  <c r="I18" i="25" s="1"/>
  <c r="E17" i="25"/>
  <c r="G17" i="25"/>
  <c r="H17" i="25"/>
  <c r="I17" i="25" s="1"/>
  <c r="G16" i="25"/>
  <c r="E16" i="25"/>
  <c r="G19" i="25"/>
  <c r="E19" i="25"/>
  <c r="H19" i="25" s="1"/>
  <c r="I19" i="25" s="1"/>
  <c r="H3" i="25"/>
  <c r="I16" i="19"/>
  <c r="G25" i="19"/>
  <c r="C25" i="19"/>
  <c r="H21" i="19"/>
  <c r="I21" i="19" s="1"/>
  <c r="G23" i="19"/>
  <c r="H23" i="19" s="1"/>
  <c r="I23" i="19" s="1"/>
  <c r="G17" i="19"/>
  <c r="E17" i="19"/>
  <c r="E25" i="19" s="1"/>
  <c r="G18" i="19"/>
  <c r="H18" i="19" s="1"/>
  <c r="I18" i="19" s="1"/>
  <c r="H20" i="19"/>
  <c r="I20" i="19" s="1"/>
  <c r="H22" i="19"/>
  <c r="I22" i="19" s="1"/>
  <c r="F17" i="24"/>
  <c r="G17" i="24" s="1"/>
  <c r="H17" i="24" s="1"/>
  <c r="I17" i="24" s="1"/>
  <c r="G19" i="24"/>
  <c r="H19" i="24" s="1"/>
  <c r="I19" i="24" s="1"/>
  <c r="F19" i="24"/>
  <c r="G22" i="24"/>
  <c r="H22" i="24" s="1"/>
  <c r="I22" i="24" s="1"/>
  <c r="F22" i="24"/>
  <c r="F20" i="24"/>
  <c r="G20" i="24" s="1"/>
  <c r="H20" i="24" s="1"/>
  <c r="I20" i="24" s="1"/>
  <c r="C26" i="24"/>
  <c r="G6" i="24"/>
  <c r="H6" i="24" s="1"/>
  <c r="I6" i="24" s="1"/>
  <c r="E16" i="24" s="1"/>
  <c r="G10" i="24"/>
  <c r="H10" i="24" s="1"/>
  <c r="I10" i="24" s="1"/>
  <c r="E23" i="24" s="1"/>
  <c r="D17" i="24"/>
  <c r="D26" i="24" s="1"/>
  <c r="D21" i="24"/>
  <c r="G3" i="24"/>
  <c r="H3" i="24" s="1"/>
  <c r="I3" i="24" s="1"/>
  <c r="G7" i="24"/>
  <c r="H7" i="24" s="1"/>
  <c r="I7" i="24" s="1"/>
  <c r="E18" i="24" s="1"/>
  <c r="D26" i="18"/>
  <c r="G25" i="18"/>
  <c r="H16" i="18"/>
  <c r="E26" i="18"/>
  <c r="C25" i="18"/>
  <c r="H18" i="18"/>
  <c r="I18" i="18" s="1"/>
  <c r="C26" i="18"/>
  <c r="E25" i="18"/>
  <c r="G18" i="18"/>
  <c r="G26" i="18" s="1"/>
  <c r="H23" i="18"/>
  <c r="I23" i="18" s="1"/>
  <c r="D25" i="18"/>
  <c r="H16" i="17"/>
  <c r="I16" i="17" s="1"/>
  <c r="F12" i="17"/>
  <c r="F14" i="17"/>
  <c r="F16" i="17"/>
  <c r="G16" i="17" s="1"/>
  <c r="F18" i="17"/>
  <c r="G18" i="17" s="1"/>
  <c r="D25" i="17"/>
  <c r="C28" i="17"/>
  <c r="E21" i="17"/>
  <c r="H15" i="16"/>
  <c r="I15" i="16" s="1"/>
  <c r="H17" i="16"/>
  <c r="I17" i="16" s="1"/>
  <c r="H18" i="16"/>
  <c r="I18" i="16" s="1"/>
  <c r="F15" i="16"/>
  <c r="G15" i="16" s="1"/>
  <c r="H16" i="16"/>
  <c r="I16" i="16" s="1"/>
  <c r="G24" i="15"/>
  <c r="K24" i="15" s="1"/>
  <c r="L24" i="15" s="1"/>
  <c r="G17" i="15"/>
  <c r="G19" i="15"/>
  <c r="I27" i="15"/>
  <c r="G21" i="15"/>
  <c r="K21" i="15" s="1"/>
  <c r="L21" i="15" s="1"/>
  <c r="G20" i="15"/>
  <c r="K20" i="15" s="1"/>
  <c r="L20" i="15"/>
  <c r="G25" i="15"/>
  <c r="K25" i="15" s="1"/>
  <c r="L25" i="15"/>
  <c r="K19" i="15"/>
  <c r="L19" i="15" s="1"/>
  <c r="G23" i="15"/>
  <c r="K23" i="15"/>
  <c r="L23" i="15" s="1"/>
  <c r="G18" i="15"/>
  <c r="K18" i="15" s="1"/>
  <c r="L18" i="15" s="1"/>
  <c r="J19" i="15"/>
  <c r="J27" i="15" s="1"/>
  <c r="G22" i="15"/>
  <c r="K22" i="15" s="1"/>
  <c r="L22" i="15" s="1"/>
  <c r="J23" i="15"/>
  <c r="H21" i="12"/>
  <c r="I21" i="12" s="1"/>
  <c r="H19" i="12"/>
  <c r="I19" i="12" s="1"/>
  <c r="H20" i="12"/>
  <c r="I20" i="12" s="1"/>
  <c r="H23" i="12"/>
  <c r="I23" i="12" s="1"/>
  <c r="H25" i="12"/>
  <c r="I25" i="12" s="1"/>
  <c r="H17" i="12"/>
  <c r="I17" i="12" s="1"/>
  <c r="H18" i="12"/>
  <c r="I18" i="12" s="1"/>
  <c r="H22" i="12"/>
  <c r="I22" i="12" s="1"/>
  <c r="F21" i="12"/>
  <c r="F19" i="12"/>
  <c r="F20" i="12"/>
  <c r="F23" i="12"/>
  <c r="F25" i="12"/>
  <c r="G25" i="12" s="1"/>
  <c r="F17" i="12"/>
  <c r="F18" i="12"/>
  <c r="G18" i="12" s="1"/>
  <c r="F22" i="12"/>
  <c r="D21" i="12"/>
  <c r="D19" i="12"/>
  <c r="D20" i="12"/>
  <c r="D23" i="12"/>
  <c r="D25" i="12"/>
  <c r="J25" i="12" s="1"/>
  <c r="D17" i="12"/>
  <c r="D18" i="12"/>
  <c r="D22" i="12"/>
  <c r="H24" i="12"/>
  <c r="I24" i="12" s="1"/>
  <c r="F24" i="12"/>
  <c r="B21" i="12"/>
  <c r="B19" i="12"/>
  <c r="B20" i="12"/>
  <c r="B23" i="12"/>
  <c r="B25" i="12"/>
  <c r="B17" i="12"/>
  <c r="B18" i="12"/>
  <c r="B22" i="12"/>
  <c r="B24" i="12"/>
  <c r="D24" i="12"/>
  <c r="J24" i="12" s="1"/>
  <c r="H4" i="12"/>
  <c r="H5" i="12"/>
  <c r="H6" i="12"/>
  <c r="H7" i="12"/>
  <c r="H8" i="12"/>
  <c r="H9" i="12"/>
  <c r="H10" i="12"/>
  <c r="H11" i="12"/>
  <c r="E4" i="12"/>
  <c r="E5" i="12"/>
  <c r="E6" i="12"/>
  <c r="E7" i="12"/>
  <c r="E8" i="12"/>
  <c r="E9" i="12"/>
  <c r="E10" i="12"/>
  <c r="E11" i="12"/>
  <c r="H3" i="12"/>
  <c r="E3" i="12"/>
  <c r="D13" i="12"/>
  <c r="F13" i="12"/>
  <c r="G13" i="12"/>
  <c r="C13" i="12"/>
  <c r="E24" i="11"/>
  <c r="E23" i="11"/>
  <c r="G21" i="11"/>
  <c r="D21" i="11"/>
  <c r="B21" i="11"/>
  <c r="D20" i="11"/>
  <c r="B20" i="11"/>
  <c r="D19" i="11"/>
  <c r="B19" i="11"/>
  <c r="D18" i="11"/>
  <c r="B18" i="11"/>
  <c r="G17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E6" i="11"/>
  <c r="F6" i="11" s="1"/>
  <c r="E5" i="11"/>
  <c r="F5" i="11" s="1"/>
  <c r="E4" i="11"/>
  <c r="F4" i="11" s="1"/>
  <c r="E3" i="11"/>
  <c r="F3" i="11" s="1"/>
  <c r="C28" i="10"/>
  <c r="C29" i="10"/>
  <c r="C30" i="10"/>
  <c r="C31" i="10"/>
  <c r="B31" i="10"/>
  <c r="B30" i="10"/>
  <c r="B29" i="10"/>
  <c r="B28" i="10"/>
  <c r="I19" i="10"/>
  <c r="I18" i="10"/>
  <c r="I15" i="10"/>
  <c r="I11" i="10"/>
  <c r="I16" i="10"/>
  <c r="G19" i="10"/>
  <c r="G13" i="10"/>
  <c r="G15" i="10"/>
  <c r="G21" i="10"/>
  <c r="G16" i="10"/>
  <c r="G20" i="10"/>
  <c r="F19" i="10"/>
  <c r="J19" i="10" s="1"/>
  <c r="F13" i="10"/>
  <c r="I13" i="10" s="1"/>
  <c r="F14" i="10"/>
  <c r="G14" i="10" s="1"/>
  <c r="F18" i="10"/>
  <c r="F15" i="10"/>
  <c r="J15" i="10" s="1"/>
  <c r="F21" i="10"/>
  <c r="I21" i="10" s="1"/>
  <c r="F12" i="10"/>
  <c r="G12" i="10" s="1"/>
  <c r="F11" i="10"/>
  <c r="F16" i="10"/>
  <c r="J16" i="10" s="1"/>
  <c r="F20" i="10"/>
  <c r="I20" i="10" s="1"/>
  <c r="F10" i="10"/>
  <c r="F23" i="10" s="1"/>
  <c r="D19" i="10"/>
  <c r="D13" i="10"/>
  <c r="D14" i="10"/>
  <c r="D18" i="10"/>
  <c r="D15" i="10"/>
  <c r="D21" i="10"/>
  <c r="D12" i="10"/>
  <c r="D11" i="10"/>
  <c r="D16" i="10"/>
  <c r="D20" i="10"/>
  <c r="D10" i="10"/>
  <c r="B19" i="10"/>
  <c r="B13" i="10"/>
  <c r="B14" i="10"/>
  <c r="B18" i="10"/>
  <c r="B15" i="10"/>
  <c r="B21" i="10"/>
  <c r="B12" i="10"/>
  <c r="B11" i="10"/>
  <c r="B16" i="10"/>
  <c r="B20" i="10"/>
  <c r="B10" i="10"/>
  <c r="E24" i="10"/>
  <c r="E23" i="10"/>
  <c r="J17" i="10"/>
  <c r="I17" i="10"/>
  <c r="G17" i="10"/>
  <c r="F17" i="10"/>
  <c r="K17" i="10" s="1"/>
  <c r="D17" i="10"/>
  <c r="B17" i="10"/>
  <c r="F4" i="10"/>
  <c r="F5" i="10"/>
  <c r="F6" i="10"/>
  <c r="E4" i="10"/>
  <c r="E5" i="10"/>
  <c r="E6" i="10"/>
  <c r="F3" i="10"/>
  <c r="E3" i="10"/>
  <c r="F19" i="9"/>
  <c r="E19" i="9"/>
  <c r="K17" i="9"/>
  <c r="H17" i="9"/>
  <c r="D17" i="9"/>
  <c r="K16" i="9"/>
  <c r="H16" i="9"/>
  <c r="D16" i="9"/>
  <c r="K15" i="9"/>
  <c r="H15" i="9"/>
  <c r="D15" i="9"/>
  <c r="K14" i="9"/>
  <c r="L14" i="9" s="1"/>
  <c r="H14" i="9"/>
  <c r="D14" i="9"/>
  <c r="K13" i="9"/>
  <c r="L13" i="9" s="1"/>
  <c r="H13" i="9"/>
  <c r="D13" i="9"/>
  <c r="K12" i="9"/>
  <c r="H12" i="9"/>
  <c r="D12" i="9"/>
  <c r="K11" i="9"/>
  <c r="L11" i="9" s="1"/>
  <c r="H11" i="9"/>
  <c r="D11" i="9"/>
  <c r="K10" i="9"/>
  <c r="H10" i="9"/>
  <c r="H19" i="9" s="1"/>
  <c r="D10" i="9"/>
  <c r="E6" i="9"/>
  <c r="F6" i="9" s="1"/>
  <c r="E5" i="9"/>
  <c r="F5" i="9" s="1"/>
  <c r="E4" i="9"/>
  <c r="F4" i="9" s="1"/>
  <c r="E3" i="9"/>
  <c r="F3" i="9" s="1"/>
  <c r="F23" i="7"/>
  <c r="F22" i="7"/>
  <c r="E4" i="7"/>
  <c r="E5" i="7"/>
  <c r="E6" i="7"/>
  <c r="E3" i="7"/>
  <c r="L11" i="7"/>
  <c r="L13" i="7"/>
  <c r="L14" i="7"/>
  <c r="F19" i="7"/>
  <c r="E19" i="7"/>
  <c r="H25" i="28" l="1"/>
  <c r="J16" i="28"/>
  <c r="H18" i="28"/>
  <c r="J18" i="28" s="1"/>
  <c r="E28" i="28"/>
  <c r="G25" i="28"/>
  <c r="G25" i="22"/>
  <c r="H20" i="22"/>
  <c r="H25" i="22"/>
  <c r="K12" i="27"/>
  <c r="J21" i="27"/>
  <c r="I14" i="21"/>
  <c r="J14" i="21"/>
  <c r="H21" i="21"/>
  <c r="H17" i="26"/>
  <c r="E29" i="26"/>
  <c r="H16" i="20"/>
  <c r="E25" i="20"/>
  <c r="F21" i="20"/>
  <c r="F25" i="20" s="1"/>
  <c r="C21" i="25"/>
  <c r="H12" i="25"/>
  <c r="H16" i="25"/>
  <c r="H17" i="19"/>
  <c r="E21" i="24"/>
  <c r="I12" i="24"/>
  <c r="E25" i="24"/>
  <c r="E29" i="24"/>
  <c r="E26" i="24"/>
  <c r="F16" i="24"/>
  <c r="G16" i="24" s="1"/>
  <c r="F18" i="24"/>
  <c r="G18" i="24"/>
  <c r="H18" i="24" s="1"/>
  <c r="F23" i="24"/>
  <c r="G23" i="24" s="1"/>
  <c r="H23" i="24" s="1"/>
  <c r="D25" i="24"/>
  <c r="J21" i="18"/>
  <c r="H25" i="18"/>
  <c r="H26" i="18"/>
  <c r="J16" i="18" s="1"/>
  <c r="I16" i="18"/>
  <c r="C26" i="17"/>
  <c r="G14" i="17"/>
  <c r="H14" i="17" s="1"/>
  <c r="C27" i="17"/>
  <c r="H18" i="17"/>
  <c r="I18" i="17" s="1"/>
  <c r="G12" i="17"/>
  <c r="F21" i="17"/>
  <c r="E31" i="15"/>
  <c r="G27" i="15"/>
  <c r="K17" i="15"/>
  <c r="L25" i="12"/>
  <c r="D27" i="12"/>
  <c r="I27" i="12"/>
  <c r="G20" i="12"/>
  <c r="J20" i="12"/>
  <c r="J19" i="12"/>
  <c r="K25" i="12"/>
  <c r="J18" i="12"/>
  <c r="K18" i="12" s="1"/>
  <c r="L18" i="12" s="1"/>
  <c r="G17" i="12"/>
  <c r="G19" i="12"/>
  <c r="K19" i="12" s="1"/>
  <c r="L19" i="12" s="1"/>
  <c r="J17" i="12"/>
  <c r="G21" i="12"/>
  <c r="K21" i="12" s="1"/>
  <c r="L21" i="12" s="1"/>
  <c r="J21" i="12"/>
  <c r="G24" i="12"/>
  <c r="K24" i="12" s="1"/>
  <c r="L24" i="12" s="1"/>
  <c r="G22" i="12"/>
  <c r="G23" i="12"/>
  <c r="J22" i="12"/>
  <c r="J23" i="12"/>
  <c r="F21" i="11"/>
  <c r="F20" i="11"/>
  <c r="F19" i="11"/>
  <c r="F15" i="11"/>
  <c r="F13" i="11"/>
  <c r="F11" i="11"/>
  <c r="F18" i="11"/>
  <c r="F17" i="11"/>
  <c r="F16" i="11"/>
  <c r="F14" i="11"/>
  <c r="F12" i="11"/>
  <c r="F10" i="11"/>
  <c r="B29" i="11"/>
  <c r="B31" i="11"/>
  <c r="F24" i="10"/>
  <c r="K20" i="10"/>
  <c r="G11" i="10"/>
  <c r="G18" i="10"/>
  <c r="I10" i="10"/>
  <c r="I12" i="10"/>
  <c r="K12" i="10" s="1"/>
  <c r="I14" i="10"/>
  <c r="K14" i="10" s="1"/>
  <c r="J20" i="10"/>
  <c r="J21" i="10"/>
  <c r="K21" i="10" s="1"/>
  <c r="J13" i="10"/>
  <c r="K13" i="10" s="1"/>
  <c r="K16" i="10"/>
  <c r="K15" i="10"/>
  <c r="K19" i="10"/>
  <c r="J12" i="10"/>
  <c r="J14" i="10"/>
  <c r="G10" i="10"/>
  <c r="G10" i="9"/>
  <c r="G15" i="9"/>
  <c r="G16" i="9"/>
  <c r="G12" i="9"/>
  <c r="G11" i="9"/>
  <c r="G13" i="9"/>
  <c r="G17" i="9"/>
  <c r="G14" i="9"/>
  <c r="K12" i="7"/>
  <c r="K13" i="7"/>
  <c r="K17" i="7"/>
  <c r="K15" i="7"/>
  <c r="K16" i="7"/>
  <c r="K14" i="7"/>
  <c r="K11" i="7"/>
  <c r="K10" i="7"/>
  <c r="H12" i="7"/>
  <c r="H13" i="7"/>
  <c r="H17" i="7"/>
  <c r="H15" i="7"/>
  <c r="H16" i="7"/>
  <c r="H14" i="7"/>
  <c r="H11" i="7"/>
  <c r="J20" i="22" l="1"/>
  <c r="E28" i="22"/>
  <c r="C27" i="27"/>
  <c r="K21" i="27"/>
  <c r="K14" i="21"/>
  <c r="K21" i="21" s="1"/>
  <c r="J21" i="21"/>
  <c r="H25" i="26"/>
  <c r="I17" i="26"/>
  <c r="H21" i="20"/>
  <c r="I21" i="20" s="1"/>
  <c r="I16" i="20"/>
  <c r="I16" i="25"/>
  <c r="E21" i="25"/>
  <c r="G21" i="25"/>
  <c r="G25" i="25" s="1"/>
  <c r="C25" i="25"/>
  <c r="E28" i="25"/>
  <c r="I17" i="19"/>
  <c r="H25" i="19"/>
  <c r="H16" i="24"/>
  <c r="I18" i="24"/>
  <c r="I23" i="24"/>
  <c r="F21" i="24"/>
  <c r="G21" i="24" s="1"/>
  <c r="J22" i="18"/>
  <c r="J23" i="18"/>
  <c r="J19" i="18"/>
  <c r="J18" i="18"/>
  <c r="I26" i="18"/>
  <c r="I25" i="18"/>
  <c r="J17" i="18"/>
  <c r="J20" i="18"/>
  <c r="I14" i="17"/>
  <c r="D27" i="17"/>
  <c r="G21" i="17"/>
  <c r="H12" i="17"/>
  <c r="K27" i="15"/>
  <c r="E30" i="15"/>
  <c r="L17" i="15"/>
  <c r="K22" i="12"/>
  <c r="L22" i="12" s="1"/>
  <c r="K20" i="12"/>
  <c r="L20" i="12" s="1"/>
  <c r="K23" i="12"/>
  <c r="L23" i="12" s="1"/>
  <c r="E31" i="12"/>
  <c r="G27" i="12"/>
  <c r="K17" i="12"/>
  <c r="L17" i="12" s="1"/>
  <c r="J27" i="12"/>
  <c r="G12" i="11"/>
  <c r="I12" i="11"/>
  <c r="K12" i="11" s="1"/>
  <c r="J12" i="11"/>
  <c r="G16" i="11"/>
  <c r="J16" i="11"/>
  <c r="B30" i="11"/>
  <c r="I16" i="11"/>
  <c r="K16" i="11" s="1"/>
  <c r="G13" i="11"/>
  <c r="I13" i="11"/>
  <c r="K13" i="11" s="1"/>
  <c r="J13" i="11"/>
  <c r="G20" i="11"/>
  <c r="I20" i="11"/>
  <c r="K20" i="11" s="1"/>
  <c r="J20" i="11"/>
  <c r="G18" i="11"/>
  <c r="I18" i="11"/>
  <c r="K18" i="11" s="1"/>
  <c r="J18" i="11"/>
  <c r="F24" i="11"/>
  <c r="G10" i="11"/>
  <c r="K10" i="11"/>
  <c r="I10" i="11"/>
  <c r="F23" i="11"/>
  <c r="J10" i="11"/>
  <c r="G11" i="11"/>
  <c r="I11" i="11"/>
  <c r="G19" i="11"/>
  <c r="K19" i="11" s="1"/>
  <c r="B28" i="11"/>
  <c r="I19" i="11"/>
  <c r="J19" i="11"/>
  <c r="G14" i="11"/>
  <c r="K14" i="11" s="1"/>
  <c r="I14" i="11"/>
  <c r="J14" i="11"/>
  <c r="K17" i="11"/>
  <c r="I17" i="11"/>
  <c r="J17" i="11"/>
  <c r="G15" i="11"/>
  <c r="J15" i="11" s="1"/>
  <c r="I15" i="11"/>
  <c r="K21" i="11"/>
  <c r="I21" i="11"/>
  <c r="J21" i="11"/>
  <c r="K10" i="10"/>
  <c r="I24" i="10"/>
  <c r="I23" i="10"/>
  <c r="J10" i="10"/>
  <c r="J18" i="10"/>
  <c r="G24" i="10"/>
  <c r="G23" i="10"/>
  <c r="J11" i="10"/>
  <c r="K11" i="10" s="1"/>
  <c r="K18" i="10"/>
  <c r="J11" i="9"/>
  <c r="I11" i="9"/>
  <c r="I13" i="9"/>
  <c r="J13" i="9" s="1"/>
  <c r="J16" i="9"/>
  <c r="L16" i="9" s="1"/>
  <c r="I16" i="9"/>
  <c r="I14" i="9"/>
  <c r="J14" i="9"/>
  <c r="I17" i="9"/>
  <c r="J17" i="9" s="1"/>
  <c r="L17" i="9" s="1"/>
  <c r="I15" i="9"/>
  <c r="J15" i="9" s="1"/>
  <c r="L15" i="9" s="1"/>
  <c r="J12" i="9"/>
  <c r="L12" i="9" s="1"/>
  <c r="I12" i="9"/>
  <c r="I10" i="9"/>
  <c r="F22" i="9"/>
  <c r="G19" i="9"/>
  <c r="J10" i="9"/>
  <c r="G13" i="7"/>
  <c r="G14" i="7"/>
  <c r="G11" i="7"/>
  <c r="D12" i="7"/>
  <c r="D13" i="7"/>
  <c r="D17" i="7"/>
  <c r="D15" i="7"/>
  <c r="D16" i="7"/>
  <c r="D14" i="7"/>
  <c r="D11" i="7"/>
  <c r="H10" i="7"/>
  <c r="H19" i="7" s="1"/>
  <c r="D10" i="7"/>
  <c r="F4" i="7"/>
  <c r="G15" i="7" s="1"/>
  <c r="F5" i="7"/>
  <c r="G16" i="7" s="1"/>
  <c r="F6" i="7"/>
  <c r="F3" i="7"/>
  <c r="G17" i="7" s="1"/>
  <c r="E19" i="8"/>
  <c r="F17" i="8"/>
  <c r="D17" i="8"/>
  <c r="F16" i="8"/>
  <c r="D16" i="8"/>
  <c r="G15" i="8"/>
  <c r="F15" i="8"/>
  <c r="D15" i="8"/>
  <c r="G14" i="8"/>
  <c r="F14" i="8"/>
  <c r="D14" i="8"/>
  <c r="G13" i="8"/>
  <c r="F13" i="8"/>
  <c r="D13" i="8"/>
  <c r="F12" i="8"/>
  <c r="D12" i="8"/>
  <c r="F11" i="8"/>
  <c r="D11" i="8"/>
  <c r="G10" i="8"/>
  <c r="F10" i="8"/>
  <c r="D10" i="8"/>
  <c r="E6" i="8"/>
  <c r="D6" i="8"/>
  <c r="E5" i="8"/>
  <c r="G16" i="8" s="1"/>
  <c r="D5" i="8"/>
  <c r="E4" i="8"/>
  <c r="D4" i="8"/>
  <c r="E3" i="8"/>
  <c r="G17" i="8" s="1"/>
  <c r="D3" i="8"/>
  <c r="E23" i="6"/>
  <c r="E22" i="6"/>
  <c r="E4" i="6"/>
  <c r="E5" i="6"/>
  <c r="E6" i="6"/>
  <c r="E3" i="6"/>
  <c r="G17" i="6" s="1"/>
  <c r="E19" i="6"/>
  <c r="G13" i="6"/>
  <c r="G16" i="6"/>
  <c r="G10" i="6"/>
  <c r="G11" i="6"/>
  <c r="G14" i="6"/>
  <c r="G15" i="6"/>
  <c r="F13" i="6"/>
  <c r="F16" i="6"/>
  <c r="F10" i="6"/>
  <c r="F17" i="6"/>
  <c r="F11" i="6"/>
  <c r="F14" i="6"/>
  <c r="F15" i="6"/>
  <c r="H15" i="6" s="1"/>
  <c r="D13" i="6"/>
  <c r="D16" i="6"/>
  <c r="D10" i="6"/>
  <c r="D17" i="6"/>
  <c r="D11" i="6"/>
  <c r="D14" i="6"/>
  <c r="D15" i="6"/>
  <c r="H25" i="20" l="1"/>
  <c r="E25" i="25"/>
  <c r="H21" i="25"/>
  <c r="G26" i="24"/>
  <c r="G25" i="24"/>
  <c r="H21" i="24"/>
  <c r="H26" i="24"/>
  <c r="H25" i="24"/>
  <c r="I16" i="24"/>
  <c r="E30" i="24"/>
  <c r="H21" i="17"/>
  <c r="I12" i="17"/>
  <c r="D26" i="17"/>
  <c r="K27" i="12"/>
  <c r="E30" i="12"/>
  <c r="C29" i="11"/>
  <c r="J24" i="11"/>
  <c r="J23" i="11"/>
  <c r="G23" i="11"/>
  <c r="G24" i="11"/>
  <c r="C31" i="11"/>
  <c r="J11" i="11"/>
  <c r="C28" i="11"/>
  <c r="K15" i="11"/>
  <c r="K11" i="11"/>
  <c r="K23" i="11" s="1"/>
  <c r="I23" i="11"/>
  <c r="I24" i="11"/>
  <c r="C30" i="11"/>
  <c r="L17" i="10"/>
  <c r="L12" i="10"/>
  <c r="L15" i="10"/>
  <c r="L16" i="10"/>
  <c r="L20" i="10"/>
  <c r="K23" i="10"/>
  <c r="K24" i="10"/>
  <c r="L18" i="10" s="1"/>
  <c r="L10" i="10"/>
  <c r="J24" i="10"/>
  <c r="J23" i="10"/>
  <c r="I19" i="9"/>
  <c r="J19" i="9"/>
  <c r="L10" i="9"/>
  <c r="F23" i="9"/>
  <c r="G12" i="7"/>
  <c r="G10" i="7"/>
  <c r="I10" i="7" s="1"/>
  <c r="I14" i="7"/>
  <c r="J14" i="7" s="1"/>
  <c r="I15" i="7"/>
  <c r="J15" i="7" s="1"/>
  <c r="L15" i="7" s="1"/>
  <c r="I11" i="7"/>
  <c r="J11" i="7" s="1"/>
  <c r="I17" i="7"/>
  <c r="J17" i="7" s="1"/>
  <c r="L17" i="7" s="1"/>
  <c r="I13" i="7"/>
  <c r="J13" i="7" s="1"/>
  <c r="G19" i="7"/>
  <c r="I16" i="7"/>
  <c r="J16" i="7"/>
  <c r="L16" i="7" s="1"/>
  <c r="I12" i="7"/>
  <c r="J12" i="7"/>
  <c r="L12" i="7" s="1"/>
  <c r="I10" i="8"/>
  <c r="I11" i="8"/>
  <c r="G11" i="8"/>
  <c r="G19" i="8" s="1"/>
  <c r="G12" i="8"/>
  <c r="F19" i="8"/>
  <c r="H10" i="8"/>
  <c r="H11" i="8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4" i="6"/>
  <c r="I14" i="6" s="1"/>
  <c r="H16" i="6"/>
  <c r="I16" i="6" s="1"/>
  <c r="J16" i="6" s="1"/>
  <c r="K16" i="6" s="1"/>
  <c r="L16" i="6" s="1"/>
  <c r="H10" i="6"/>
  <c r="H17" i="6"/>
  <c r="I17" i="6" s="1"/>
  <c r="I15" i="6"/>
  <c r="J15" i="6" s="1"/>
  <c r="K15" i="6" s="1"/>
  <c r="L15" i="6" s="1"/>
  <c r="J14" i="6"/>
  <c r="K14" i="6" s="1"/>
  <c r="L14" i="6" s="1"/>
  <c r="H11" i="6"/>
  <c r="I11" i="6" s="1"/>
  <c r="H13" i="6"/>
  <c r="I13" i="6" s="1"/>
  <c r="I10" i="6"/>
  <c r="G12" i="6"/>
  <c r="G19" i="6" s="1"/>
  <c r="F12" i="6"/>
  <c r="D12" i="6"/>
  <c r="D4" i="6"/>
  <c r="D5" i="6"/>
  <c r="D6" i="6"/>
  <c r="D3" i="6"/>
  <c r="B32" i="5"/>
  <c r="B30" i="5"/>
  <c r="E26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8" i="5"/>
  <c r="C8" i="5"/>
  <c r="E6" i="5"/>
  <c r="F6" i="5" s="1"/>
  <c r="E5" i="5"/>
  <c r="F5" i="5" s="1"/>
  <c r="E4" i="5"/>
  <c r="F4" i="5" s="1"/>
  <c r="E3" i="5"/>
  <c r="E8" i="5" s="1"/>
  <c r="B14" i="2"/>
  <c r="B15" i="2"/>
  <c r="B16" i="2"/>
  <c r="B17" i="2"/>
  <c r="B18" i="2"/>
  <c r="B19" i="2"/>
  <c r="B20" i="2"/>
  <c r="B21" i="2"/>
  <c r="B22" i="2"/>
  <c r="B23" i="2"/>
  <c r="B24" i="2"/>
  <c r="B13" i="2"/>
  <c r="B32" i="2" s="1"/>
  <c r="D13" i="2"/>
  <c r="D24" i="2"/>
  <c r="D23" i="2"/>
  <c r="D22" i="2"/>
  <c r="D21" i="2"/>
  <c r="D20" i="2"/>
  <c r="D19" i="2"/>
  <c r="D18" i="2"/>
  <c r="D17" i="2"/>
  <c r="D16" i="2"/>
  <c r="D15" i="2"/>
  <c r="D14" i="2"/>
  <c r="G25" i="3"/>
  <c r="F25" i="3"/>
  <c r="J23" i="3"/>
  <c r="D23" i="3"/>
  <c r="B23" i="3"/>
  <c r="J22" i="3"/>
  <c r="D22" i="3"/>
  <c r="B22" i="3"/>
  <c r="J21" i="3"/>
  <c r="D21" i="3"/>
  <c r="B21" i="3"/>
  <c r="J20" i="3"/>
  <c r="D20" i="3"/>
  <c r="B20" i="3"/>
  <c r="J19" i="3"/>
  <c r="D19" i="3"/>
  <c r="B19" i="3"/>
  <c r="J18" i="3"/>
  <c r="D18" i="3"/>
  <c r="B18" i="3"/>
  <c r="J17" i="3"/>
  <c r="D17" i="3"/>
  <c r="B17" i="3"/>
  <c r="J16" i="3"/>
  <c r="D16" i="3"/>
  <c r="B16" i="3"/>
  <c r="J15" i="3"/>
  <c r="D15" i="3"/>
  <c r="B15" i="3"/>
  <c r="J14" i="3"/>
  <c r="D14" i="3"/>
  <c r="B14" i="3"/>
  <c r="B30" i="3" s="1"/>
  <c r="J13" i="3"/>
  <c r="D13" i="3"/>
  <c r="B13" i="3"/>
  <c r="J12" i="3"/>
  <c r="D12" i="3"/>
  <c r="B12" i="3"/>
  <c r="F8" i="3"/>
  <c r="D8" i="3"/>
  <c r="C8" i="3"/>
  <c r="H6" i="3"/>
  <c r="E23" i="3" s="1"/>
  <c r="H23" i="3" s="1"/>
  <c r="I23" i="3" s="1"/>
  <c r="K23" i="3" s="1"/>
  <c r="G6" i="3"/>
  <c r="E6" i="3"/>
  <c r="H5" i="3"/>
  <c r="E22" i="3" s="1"/>
  <c r="H22" i="3" s="1"/>
  <c r="I22" i="3" s="1"/>
  <c r="K22" i="3" s="1"/>
  <c r="G5" i="3"/>
  <c r="E5" i="3"/>
  <c r="G4" i="3"/>
  <c r="G8" i="3" s="1"/>
  <c r="E4" i="3"/>
  <c r="H4" i="3" s="1"/>
  <c r="G3" i="3"/>
  <c r="E3" i="3"/>
  <c r="E8" i="3" s="1"/>
  <c r="C31" i="1"/>
  <c r="C30" i="1"/>
  <c r="C29" i="1"/>
  <c r="B31" i="1"/>
  <c r="B30" i="1"/>
  <c r="B29" i="1"/>
  <c r="E26" i="2"/>
  <c r="D8" i="2"/>
  <c r="C8" i="2"/>
  <c r="E6" i="2"/>
  <c r="F6" i="2" s="1"/>
  <c r="E5" i="2"/>
  <c r="F5" i="2" s="1"/>
  <c r="E4" i="2"/>
  <c r="F4" i="2" s="1"/>
  <c r="E3" i="2"/>
  <c r="F3" i="2" s="1"/>
  <c r="I21" i="25" l="1"/>
  <c r="H25" i="25"/>
  <c r="E29" i="25"/>
  <c r="J20" i="24"/>
  <c r="J17" i="24"/>
  <c r="J22" i="24"/>
  <c r="J19" i="24"/>
  <c r="J18" i="24"/>
  <c r="J23" i="24"/>
  <c r="J16" i="24"/>
  <c r="I21" i="24"/>
  <c r="J21" i="24"/>
  <c r="I25" i="24"/>
  <c r="I26" i="24"/>
  <c r="K24" i="11"/>
  <c r="L21" i="11" s="1"/>
  <c r="L12" i="11"/>
  <c r="L11" i="11"/>
  <c r="L14" i="10"/>
  <c r="L13" i="10"/>
  <c r="L11" i="10"/>
  <c r="L21" i="10"/>
  <c r="L19" i="10"/>
  <c r="I19" i="7"/>
  <c r="J10" i="7"/>
  <c r="L10" i="7" s="1"/>
  <c r="J16" i="8"/>
  <c r="K16" i="8" s="1"/>
  <c r="L16" i="8" s="1"/>
  <c r="J12" i="8"/>
  <c r="K12" i="8" s="1"/>
  <c r="L12" i="8" s="1"/>
  <c r="J15" i="8"/>
  <c r="K15" i="8" s="1"/>
  <c r="L15" i="8" s="1"/>
  <c r="J14" i="8"/>
  <c r="K14" i="8"/>
  <c r="L14" i="8" s="1"/>
  <c r="J17" i="8"/>
  <c r="K17" i="8"/>
  <c r="L17" i="8" s="1"/>
  <c r="J13" i="8"/>
  <c r="K13" i="8" s="1"/>
  <c r="L13" i="8" s="1"/>
  <c r="J11" i="8"/>
  <c r="K11" i="8" s="1"/>
  <c r="L11" i="8" s="1"/>
  <c r="E23" i="8"/>
  <c r="I19" i="8"/>
  <c r="K10" i="8"/>
  <c r="J10" i="8"/>
  <c r="H19" i="8"/>
  <c r="J11" i="6"/>
  <c r="K11" i="6" s="1"/>
  <c r="L11" i="6" s="1"/>
  <c r="J17" i="6"/>
  <c r="K17" i="6" s="1"/>
  <c r="L17" i="6" s="1"/>
  <c r="J13" i="6"/>
  <c r="K13" i="6" s="1"/>
  <c r="L13" i="6" s="1"/>
  <c r="F19" i="6"/>
  <c r="J10" i="6"/>
  <c r="K10" i="6" s="1"/>
  <c r="H12" i="6"/>
  <c r="H19" i="6" s="1"/>
  <c r="G4" i="5"/>
  <c r="H4" i="5" s="1"/>
  <c r="G5" i="5"/>
  <c r="H5" i="5" s="1"/>
  <c r="G6" i="5"/>
  <c r="H6" i="5" s="1"/>
  <c r="F3" i="5"/>
  <c r="B31" i="5"/>
  <c r="B30" i="2"/>
  <c r="B31" i="2"/>
  <c r="E21" i="3"/>
  <c r="H21" i="3" s="1"/>
  <c r="I21" i="3" s="1"/>
  <c r="K21" i="3" s="1"/>
  <c r="E17" i="3"/>
  <c r="H17" i="3" s="1"/>
  <c r="I17" i="3" s="1"/>
  <c r="K17" i="3" s="1"/>
  <c r="E13" i="3"/>
  <c r="H13" i="3" s="1"/>
  <c r="I13" i="3" s="1"/>
  <c r="K13" i="3" s="1"/>
  <c r="E15" i="3"/>
  <c r="H15" i="3" s="1"/>
  <c r="I15" i="3" s="1"/>
  <c r="K15" i="3" s="1"/>
  <c r="E19" i="3"/>
  <c r="H19" i="3" s="1"/>
  <c r="I19" i="3" s="1"/>
  <c r="K19" i="3" s="1"/>
  <c r="H3" i="3"/>
  <c r="E14" i="3"/>
  <c r="H14" i="3" s="1"/>
  <c r="I14" i="3" s="1"/>
  <c r="K14" i="3" s="1"/>
  <c r="E18" i="3"/>
  <c r="H18" i="3" s="1"/>
  <c r="I18" i="3" s="1"/>
  <c r="K18" i="3" s="1"/>
  <c r="B29" i="3"/>
  <c r="B31" i="3"/>
  <c r="G5" i="2"/>
  <c r="H5" i="2" s="1"/>
  <c r="G3" i="2"/>
  <c r="H3" i="2" s="1"/>
  <c r="G6" i="2"/>
  <c r="H6" i="2" s="1"/>
  <c r="G4" i="2"/>
  <c r="H4" i="2" s="1"/>
  <c r="E8" i="2"/>
  <c r="L10" i="11" l="1"/>
  <c r="L18" i="11"/>
  <c r="L15" i="11"/>
  <c r="L19" i="11"/>
  <c r="L14" i="11"/>
  <c r="L16" i="11"/>
  <c r="L13" i="11"/>
  <c r="L20" i="11"/>
  <c r="L17" i="11"/>
  <c r="J19" i="7"/>
  <c r="K19" i="8"/>
  <c r="E22" i="8"/>
  <c r="L10" i="8"/>
  <c r="L19" i="8" s="1"/>
  <c r="L10" i="6"/>
  <c r="I12" i="6"/>
  <c r="F24" i="5"/>
  <c r="F20" i="5"/>
  <c r="F16" i="5"/>
  <c r="F23" i="5"/>
  <c r="F19" i="5"/>
  <c r="F15" i="5"/>
  <c r="F22" i="5"/>
  <c r="F18" i="5"/>
  <c r="F14" i="5"/>
  <c r="G3" i="5"/>
  <c r="H3" i="5" s="1"/>
  <c r="F13" i="2"/>
  <c r="G13" i="2" s="1"/>
  <c r="F17" i="2"/>
  <c r="G17" i="2" s="1"/>
  <c r="F21" i="2"/>
  <c r="G21" i="2" s="1"/>
  <c r="F23" i="2"/>
  <c r="G23" i="2" s="1"/>
  <c r="F19" i="2"/>
  <c r="G19" i="2" s="1"/>
  <c r="F15" i="2"/>
  <c r="G15" i="2" s="1"/>
  <c r="F22" i="2"/>
  <c r="G22" i="2" s="1"/>
  <c r="F18" i="2"/>
  <c r="G18" i="2" s="1"/>
  <c r="F14" i="2"/>
  <c r="G14" i="2" s="1"/>
  <c r="F24" i="2"/>
  <c r="G24" i="2" s="1"/>
  <c r="F20" i="2"/>
  <c r="G20" i="2" s="1"/>
  <c r="F16" i="2"/>
  <c r="G16" i="2" s="1"/>
  <c r="E20" i="3"/>
  <c r="H20" i="3" s="1"/>
  <c r="I20" i="3" s="1"/>
  <c r="E16" i="3"/>
  <c r="H16" i="3" s="1"/>
  <c r="I16" i="3" s="1"/>
  <c r="E12" i="3"/>
  <c r="H12" i="3" s="1"/>
  <c r="H8" i="3"/>
  <c r="J12" i="6" l="1"/>
  <c r="K12" i="6" s="1"/>
  <c r="I19" i="6"/>
  <c r="F13" i="5"/>
  <c r="F21" i="5"/>
  <c r="F17" i="5"/>
  <c r="H16" i="5"/>
  <c r="I16" i="5" s="1"/>
  <c r="J16" i="5" s="1"/>
  <c r="K16" i="5" s="1"/>
  <c r="G16" i="5"/>
  <c r="G20" i="5"/>
  <c r="H20" i="5" s="1"/>
  <c r="I20" i="5" s="1"/>
  <c r="J20" i="5" s="1"/>
  <c r="K20" i="5" s="1"/>
  <c r="G18" i="5"/>
  <c r="H18" i="5" s="1"/>
  <c r="I18" i="5" s="1"/>
  <c r="J18" i="5" s="1"/>
  <c r="K18" i="5" s="1"/>
  <c r="G23" i="5"/>
  <c r="H23" i="5" s="1"/>
  <c r="I23" i="5" s="1"/>
  <c r="J23" i="5" s="1"/>
  <c r="K23" i="5" s="1"/>
  <c r="H22" i="5"/>
  <c r="I22" i="5" s="1"/>
  <c r="J22" i="5" s="1"/>
  <c r="K22" i="5" s="1"/>
  <c r="G22" i="5"/>
  <c r="H15" i="5"/>
  <c r="I15" i="5" s="1"/>
  <c r="J15" i="5" s="1"/>
  <c r="K15" i="5" s="1"/>
  <c r="G15" i="5"/>
  <c r="G14" i="5"/>
  <c r="H14" i="5" s="1"/>
  <c r="I14" i="5" s="1"/>
  <c r="J14" i="5" s="1"/>
  <c r="K14" i="5" s="1"/>
  <c r="G19" i="5"/>
  <c r="H19" i="5" s="1"/>
  <c r="I19" i="5" s="1"/>
  <c r="J19" i="5" s="1"/>
  <c r="K19" i="5" s="1"/>
  <c r="G24" i="5"/>
  <c r="H24" i="5" s="1"/>
  <c r="I24" i="5" s="1"/>
  <c r="J24" i="5" s="1"/>
  <c r="K24" i="5" s="1"/>
  <c r="I12" i="3"/>
  <c r="H25" i="3"/>
  <c r="K16" i="3"/>
  <c r="C30" i="3"/>
  <c r="K20" i="3"/>
  <c r="C31" i="3"/>
  <c r="H17" i="2"/>
  <c r="I17" i="2" s="1"/>
  <c r="J17" i="2" s="1"/>
  <c r="H21" i="2"/>
  <c r="I21" i="2" s="1"/>
  <c r="J21" i="2" s="1"/>
  <c r="H24" i="2"/>
  <c r="I24" i="2" s="1"/>
  <c r="H20" i="2"/>
  <c r="I20" i="2" s="1"/>
  <c r="F26" i="2"/>
  <c r="H13" i="2"/>
  <c r="H14" i="2"/>
  <c r="I14" i="2" s="1"/>
  <c r="H22" i="2"/>
  <c r="I22" i="2" s="1"/>
  <c r="H15" i="2"/>
  <c r="I15" i="2" s="1"/>
  <c r="H19" i="2"/>
  <c r="I19" i="2" s="1"/>
  <c r="H23" i="2"/>
  <c r="I23" i="2" s="1"/>
  <c r="H16" i="2"/>
  <c r="I16" i="2" s="1"/>
  <c r="H18" i="2"/>
  <c r="I18" i="2" s="1"/>
  <c r="K19" i="6" l="1"/>
  <c r="L12" i="6"/>
  <c r="L19" i="6" s="1"/>
  <c r="G21" i="5"/>
  <c r="H21" i="5" s="1"/>
  <c r="I21" i="5" s="1"/>
  <c r="J21" i="5" s="1"/>
  <c r="G17" i="5"/>
  <c r="H17" i="5" s="1"/>
  <c r="I17" i="5" s="1"/>
  <c r="J17" i="5" s="1"/>
  <c r="F26" i="5"/>
  <c r="G13" i="5"/>
  <c r="H13" i="5" s="1"/>
  <c r="J15" i="2"/>
  <c r="K15" i="2" s="1"/>
  <c r="J23" i="2"/>
  <c r="K23" i="2" s="1"/>
  <c r="J19" i="2"/>
  <c r="K19" i="2" s="1"/>
  <c r="J18" i="2"/>
  <c r="K18" i="2" s="1"/>
  <c r="J16" i="2"/>
  <c r="K16" i="2" s="1"/>
  <c r="J22" i="2"/>
  <c r="K22" i="2" s="1"/>
  <c r="J20" i="2"/>
  <c r="K20" i="2" s="1"/>
  <c r="J14" i="2"/>
  <c r="K14" i="2" s="1"/>
  <c r="J24" i="2"/>
  <c r="K24" i="2" s="1"/>
  <c r="K12" i="3"/>
  <c r="I25" i="3"/>
  <c r="C29" i="3"/>
  <c r="H26" i="2"/>
  <c r="I13" i="2"/>
  <c r="J13" i="2" s="1"/>
  <c r="K21" i="2"/>
  <c r="K17" i="2"/>
  <c r="K21" i="5" l="1"/>
  <c r="C32" i="5"/>
  <c r="K17" i="5"/>
  <c r="C31" i="5"/>
  <c r="H26" i="5"/>
  <c r="I13" i="5"/>
  <c r="C31" i="2"/>
  <c r="C30" i="2"/>
  <c r="C32" i="2"/>
  <c r="I26" i="2"/>
  <c r="J13" i="5" l="1"/>
  <c r="I26" i="5"/>
  <c r="J26" i="2"/>
  <c r="K13" i="2"/>
  <c r="J26" i="5" l="1"/>
  <c r="K13" i="5"/>
  <c r="C30" i="5"/>
  <c r="B12" i="1"/>
  <c r="G25" i="1"/>
  <c r="F25" i="1"/>
  <c r="J13" i="1"/>
  <c r="J14" i="1"/>
  <c r="J15" i="1"/>
  <c r="J16" i="1"/>
  <c r="J17" i="1"/>
  <c r="J18" i="1"/>
  <c r="J19" i="1"/>
  <c r="J20" i="1"/>
  <c r="J21" i="1"/>
  <c r="J22" i="1"/>
  <c r="J23" i="1"/>
  <c r="D13" i="1"/>
  <c r="D14" i="1"/>
  <c r="D15" i="1"/>
  <c r="D16" i="1"/>
  <c r="D17" i="1"/>
  <c r="D18" i="1"/>
  <c r="D19" i="1"/>
  <c r="D20" i="1"/>
  <c r="D21" i="1"/>
  <c r="D22" i="1"/>
  <c r="D23" i="1"/>
  <c r="B13" i="1"/>
  <c r="B14" i="1"/>
  <c r="B15" i="1"/>
  <c r="B16" i="1"/>
  <c r="B17" i="1"/>
  <c r="B18" i="1"/>
  <c r="B19" i="1"/>
  <c r="B20" i="1"/>
  <c r="B21" i="1"/>
  <c r="B22" i="1"/>
  <c r="B23" i="1"/>
  <c r="J12" i="1"/>
  <c r="D12" i="1"/>
  <c r="D8" i="1"/>
  <c r="F8" i="1"/>
  <c r="C8" i="1"/>
  <c r="G4" i="1"/>
  <c r="G5" i="1"/>
  <c r="G6" i="1"/>
  <c r="E4" i="1"/>
  <c r="E5" i="1"/>
  <c r="E6" i="1"/>
  <c r="G3" i="1"/>
  <c r="E3" i="1"/>
  <c r="H3" i="1" s="1"/>
  <c r="H6" i="1" l="1"/>
  <c r="H8" i="1" s="1"/>
  <c r="H4" i="1"/>
  <c r="E13" i="1" s="1"/>
  <c r="H13" i="1" s="1"/>
  <c r="I13" i="1" s="1"/>
  <c r="K13" i="1" s="1"/>
  <c r="H5" i="1"/>
  <c r="E18" i="1" s="1"/>
  <c r="H18" i="1" s="1"/>
  <c r="I18" i="1" s="1"/>
  <c r="G8" i="1"/>
  <c r="E12" i="1"/>
  <c r="H12" i="1" s="1"/>
  <c r="E16" i="1"/>
  <c r="H16" i="1" s="1"/>
  <c r="I16" i="1" s="1"/>
  <c r="K16" i="1" s="1"/>
  <c r="E20" i="1"/>
  <c r="H20" i="1" s="1"/>
  <c r="I20" i="1" s="1"/>
  <c r="K20" i="1" s="1"/>
  <c r="E14" i="1"/>
  <c r="H14" i="1" s="1"/>
  <c r="I14" i="1" s="1"/>
  <c r="K14" i="1" s="1"/>
  <c r="E22" i="1"/>
  <c r="H22" i="1" s="1"/>
  <c r="I22" i="1" s="1"/>
  <c r="K22" i="1" s="1"/>
  <c r="E17" i="1"/>
  <c r="H17" i="1" s="1"/>
  <c r="I17" i="1" s="1"/>
  <c r="K17" i="1" s="1"/>
  <c r="E8" i="1"/>
  <c r="E21" i="1"/>
  <c r="H21" i="1" s="1"/>
  <c r="I21" i="1" s="1"/>
  <c r="K21" i="1" s="1"/>
  <c r="E23" i="1" l="1"/>
  <c r="H23" i="1" s="1"/>
  <c r="I23" i="1" s="1"/>
  <c r="K23" i="1" s="1"/>
  <c r="E15" i="1"/>
  <c r="H15" i="1" s="1"/>
  <c r="I15" i="1" s="1"/>
  <c r="K15" i="1" s="1"/>
  <c r="E19" i="1"/>
  <c r="H19" i="1" s="1"/>
  <c r="I19" i="1" s="1"/>
  <c r="K19" i="1" s="1"/>
  <c r="K18" i="1"/>
  <c r="I12" i="1"/>
  <c r="H25" i="1" l="1"/>
  <c r="K12" i="1"/>
  <c r="I25" i="1"/>
</calcChain>
</file>

<file path=xl/sharedStrings.xml><?xml version="1.0" encoding="utf-8"?>
<sst xmlns="http://schemas.openxmlformats.org/spreadsheetml/2006/main" count="1208" uniqueCount="414">
  <si>
    <t>商品名</t>
    <rPh sb="2" eb="3">
      <t>メイ</t>
    </rPh>
    <phoneticPr fontId="2"/>
  </si>
  <si>
    <t>商ＣＯ</t>
    <phoneticPr fontId="2"/>
  </si>
  <si>
    <t>期首在庫数</t>
    <rPh sb="0" eb="2">
      <t>キシュ</t>
    </rPh>
    <rPh sb="2" eb="4">
      <t>ザイコ</t>
    </rPh>
    <rPh sb="4" eb="5">
      <t>ス</t>
    </rPh>
    <phoneticPr fontId="2"/>
  </si>
  <si>
    <t>委託予定数</t>
    <rPh sb="0" eb="2">
      <t>イタク</t>
    </rPh>
    <rPh sb="2" eb="5">
      <t>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</si>
  <si>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</si>
  <si>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</si>
  <si>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</si>
  <si>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</si>
  <si>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商品一覧表</t>
    <rPh sb="0" eb="2">
      <t>ショウヒン</t>
    </rPh>
    <rPh sb="2" eb="5">
      <t>イチランヒョウ</t>
    </rPh>
    <phoneticPr fontId="2"/>
  </si>
  <si>
    <t>平均</t>
    <rPh sb="0" eb="2">
      <t>ヘイキン</t>
    </rPh>
    <phoneticPr fontId="2"/>
  </si>
  <si>
    <t>委ＣＯ</t>
    <rPh sb="0" eb="1">
      <t>イ</t>
    </rPh>
    <phoneticPr fontId="2"/>
  </si>
  <si>
    <t>委託先名</t>
  </si>
  <si>
    <t>委託先名</t>
    <rPh sb="0" eb="2">
      <t>イタク</t>
    </rPh>
    <rPh sb="2" eb="4">
      <t>サキメイ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</si>
  <si>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</si>
  <si>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</si>
  <si>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</si>
  <si>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</si>
  <si>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</si>
  <si>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</si>
  <si>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2">
      <t>ハンバイ</t>
    </rPh>
    <rPh sb="2" eb="4">
      <t>シスウ</t>
    </rPh>
    <phoneticPr fontId="2"/>
  </si>
  <si>
    <t>評価</t>
    <rPh sb="0" eb="2">
      <t>ヒョウカ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</si>
  <si>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</si>
  <si>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</si>
  <si>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</si>
  <si>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</si>
  <si>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委託販売手数料一覧表</t>
    <rPh sb="0" eb="2">
      <t>イタク</t>
    </rPh>
    <rPh sb="2" eb="4">
      <t>ハンバイ</t>
    </rPh>
    <rPh sb="4" eb="7">
      <t>テスウリョウ</t>
    </rPh>
    <rPh sb="7" eb="10">
      <t>イチランヒョウ</t>
    </rPh>
    <phoneticPr fontId="2"/>
  </si>
  <si>
    <t>東海商事</t>
  </si>
  <si>
    <t>東海商事</t>
    <rPh sb="0" eb="2">
      <t>トウカイ</t>
    </rPh>
    <rPh sb="2" eb="4">
      <t>ショウジ</t>
    </rPh>
    <phoneticPr fontId="2"/>
  </si>
  <si>
    <t>渡辺総業</t>
    <rPh sb="0" eb="2">
      <t>ワタナベ</t>
    </rPh>
    <rPh sb="2" eb="4">
      <t>ソウギョウ</t>
    </rPh>
    <phoneticPr fontId="2"/>
  </si>
  <si>
    <t>鈴木商会</t>
    <rPh sb="0" eb="2">
      <t>スズキ</t>
    </rPh>
    <rPh sb="2" eb="4">
      <t>ショウカイ</t>
    </rPh>
    <phoneticPr fontId="2"/>
  </si>
  <si>
    <t>委託先テーブル</t>
    <phoneticPr fontId="2"/>
  </si>
  <si>
    <t>合計</t>
    <rPh sb="0" eb="2">
      <t>ゴウケイ</t>
    </rPh>
    <phoneticPr fontId="2"/>
  </si>
  <si>
    <t>販売数</t>
    <phoneticPr fontId="2"/>
  </si>
  <si>
    <t>手数料</t>
    <phoneticPr fontId="2"/>
  </si>
  <si>
    <t>渡辺総業</t>
    <phoneticPr fontId="2"/>
  </si>
  <si>
    <t>鈴木商会</t>
    <phoneticPr fontId="2"/>
  </si>
  <si>
    <t>委託先名</t>
    <phoneticPr fontId="2"/>
  </si>
  <si>
    <t>委託先別集計表</t>
    <rPh sb="3" eb="4">
      <t>ベツ</t>
    </rPh>
    <rPh sb="4" eb="6">
      <t>シュウケイ</t>
    </rPh>
    <rPh sb="6" eb="7">
      <t>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</si>
  <si>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3"/>
  </si>
  <si>
    <t>得意先テーブル</t>
    <phoneticPr fontId="3"/>
  </si>
  <si>
    <t>商CO</t>
    <rPh sb="0" eb="1">
      <t>ショウ</t>
    </rPh>
    <phoneticPr fontId="3"/>
  </si>
  <si>
    <t>商品名</t>
    <rPh sb="0" eb="3">
      <t>ショウヒンメイ</t>
    </rPh>
    <phoneticPr fontId="3"/>
  </si>
  <si>
    <t>仕入数</t>
    <rPh sb="0" eb="3">
      <t>シイレスウ</t>
    </rPh>
    <phoneticPr fontId="3"/>
  </si>
  <si>
    <t>仕入額</t>
    <rPh sb="0" eb="3">
      <t>シイレガク</t>
    </rPh>
    <phoneticPr fontId="3"/>
  </si>
  <si>
    <t>手数料</t>
    <rPh sb="0" eb="3">
      <t>テスウリョウ</t>
    </rPh>
    <phoneticPr fontId="3"/>
  </si>
  <si>
    <t>原価</t>
    <rPh sb="0" eb="2">
      <t>ゲンカ</t>
    </rPh>
    <phoneticPr fontId="3"/>
  </si>
  <si>
    <t>利益率</t>
    <rPh sb="0" eb="3">
      <t>リエキリツ</t>
    </rPh>
    <phoneticPr fontId="3"/>
  </si>
  <si>
    <t>定価</t>
    <rPh sb="0" eb="2">
      <t>テイカ</t>
    </rPh>
    <phoneticPr fontId="3"/>
  </si>
  <si>
    <t>得CO</t>
  </si>
  <si>
    <t>得意先名</t>
    <rPh sb="0" eb="4">
      <t>トクイサキメイ</t>
    </rPh>
    <phoneticPr fontId="3"/>
  </si>
  <si>
    <t>E商品</t>
    <phoneticPr fontId="3"/>
  </si>
  <si>
    <t>南四国物産</t>
    <rPh sb="0" eb="3">
      <t>ミナミシコク</t>
    </rPh>
    <rPh sb="3" eb="5">
      <t>ブッサン</t>
    </rPh>
    <phoneticPr fontId="3"/>
  </si>
  <si>
    <t>F商品</t>
    <phoneticPr fontId="3"/>
  </si>
  <si>
    <t>大八木総業</t>
    <rPh sb="0" eb="3">
      <t>オオヤギ</t>
    </rPh>
    <rPh sb="3" eb="5">
      <t>ソウギョウ</t>
    </rPh>
    <phoneticPr fontId="3"/>
  </si>
  <si>
    <t>G商品</t>
    <phoneticPr fontId="3"/>
  </si>
  <si>
    <t>ＪＡＫ商事</t>
    <rPh sb="3" eb="5">
      <t>ショウジ</t>
    </rPh>
    <phoneticPr fontId="3"/>
  </si>
  <si>
    <t>H商品</t>
    <phoneticPr fontId="3"/>
  </si>
  <si>
    <t>値引率表</t>
    <rPh sb="3" eb="4">
      <t>ヒョウ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</si>
  <si>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</si>
  <si>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</si>
  <si>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値引率</t>
    <rPh sb="0" eb="3">
      <t>ネビキリツ</t>
    </rPh>
    <phoneticPr fontId="3"/>
  </si>
  <si>
    <t>得意先別利益額一覧表</t>
    <rPh sb="0" eb="10">
      <t>トクイサキベツリエキガクイチランヒョウ</t>
    </rPh>
    <phoneticPr fontId="3"/>
  </si>
  <si>
    <t>得CO</t>
    <rPh sb="0" eb="1">
      <t>トク</t>
    </rPh>
    <phoneticPr fontId="3"/>
  </si>
  <si>
    <t>売上数</t>
    <rPh sb="0" eb="3">
      <t>ウリアゲスウ</t>
    </rPh>
    <phoneticPr fontId="3"/>
  </si>
  <si>
    <t>値引額</t>
    <rPh sb="0" eb="3">
      <t>ネビキガク</t>
    </rPh>
    <phoneticPr fontId="3"/>
  </si>
  <si>
    <t>売上額</t>
    <rPh sb="0" eb="3">
      <t>ウリジョウガク</t>
    </rPh>
    <phoneticPr fontId="3"/>
  </si>
  <si>
    <t>利益額</t>
    <rPh sb="0" eb="3">
      <t>リエキガク</t>
    </rPh>
    <phoneticPr fontId="3"/>
  </si>
  <si>
    <t>判定</t>
    <rPh sb="0" eb="2">
      <t>ハンテイ</t>
    </rPh>
    <phoneticPr fontId="3"/>
  </si>
  <si>
    <t>得意先別集計表</t>
    <rPh sb="0" eb="7">
      <t>トクイサキベツシュウケイヒョウ</t>
    </rPh>
    <phoneticPr fontId="3"/>
  </si>
  <si>
    <t>得意先名</t>
  </si>
  <si>
    <t>南四国物産</t>
  </si>
  <si>
    <t>基本料金計算表</t>
    <rPh sb="0" eb="2">
      <t>キホン</t>
    </rPh>
    <rPh sb="2" eb="4">
      <t>リョウキン</t>
    </rPh>
    <rPh sb="4" eb="7">
      <t>ケイサンヒョウ</t>
    </rPh>
    <phoneticPr fontId="2"/>
  </si>
  <si>
    <t>ＣＯ</t>
    <phoneticPr fontId="2"/>
  </si>
  <si>
    <t>基本単価</t>
    <rPh sb="0" eb="2">
      <t>キホン</t>
    </rPh>
    <rPh sb="2" eb="4">
      <t>タンカ</t>
    </rPh>
    <phoneticPr fontId="2"/>
  </si>
  <si>
    <t>基本料金</t>
    <rPh sb="0" eb="2">
      <t>キホン</t>
    </rPh>
    <rPh sb="2" eb="4">
      <t>リョウキン</t>
    </rPh>
    <phoneticPr fontId="2"/>
  </si>
  <si>
    <t>追加単価</t>
    <rPh sb="0" eb="2">
      <t>ツイカ</t>
    </rPh>
    <rPh sb="2" eb="4">
      <t>タンカ</t>
    </rPh>
    <phoneticPr fontId="2"/>
  </si>
  <si>
    <t>W商品</t>
    <phoneticPr fontId="2"/>
  </si>
  <si>
    <t>X商品</t>
    <phoneticPr fontId="2"/>
  </si>
  <si>
    <t>Y商品</t>
    <phoneticPr fontId="2"/>
  </si>
  <si>
    <t>Z商品</t>
    <phoneticPr fontId="2"/>
  </si>
  <si>
    <t>請求金額一覧表</t>
    <rPh sb="0" eb="4">
      <t>セイキュウキンガク</t>
    </rPh>
    <rPh sb="4" eb="7">
      <t>イチランヒョウ</t>
    </rPh>
    <phoneticPr fontId="2"/>
  </si>
  <si>
    <t>番号</t>
    <rPh sb="0" eb="2">
      <t>バンゴウ</t>
    </rPh>
    <phoneticPr fontId="2"/>
  </si>
  <si>
    <t>会社名</t>
    <rPh sb="0" eb="2">
      <t>カイシャ</t>
    </rPh>
    <rPh sb="2" eb="3">
      <t>メイ</t>
    </rPh>
    <phoneticPr fontId="2"/>
  </si>
  <si>
    <t>日数</t>
    <rPh sb="0" eb="2">
      <t>ヒスウ</t>
    </rPh>
    <phoneticPr fontId="2"/>
  </si>
  <si>
    <t>追加料金</t>
    <rPh sb="0" eb="2">
      <t>ツイカ</t>
    </rPh>
    <rPh sb="2" eb="4">
      <t>リョウキン</t>
    </rPh>
    <phoneticPr fontId="2"/>
  </si>
  <si>
    <t>補償料</t>
    <rPh sb="0" eb="2">
      <t>ホショウ</t>
    </rPh>
    <rPh sb="2" eb="3">
      <t>リョウ</t>
    </rPh>
    <phoneticPr fontId="2"/>
  </si>
  <si>
    <t>貸出料金</t>
    <rPh sb="0" eb="2">
      <t>カシダシ</t>
    </rPh>
    <rPh sb="2" eb="4">
      <t>リョウキン</t>
    </rPh>
    <phoneticPr fontId="2"/>
  </si>
  <si>
    <t>割引率</t>
    <rPh sb="0" eb="3">
      <t>ワリビキリツ</t>
    </rPh>
    <phoneticPr fontId="2"/>
  </si>
  <si>
    <t>西日本企画</t>
    <rPh sb="0" eb="1">
      <t>ニシ</t>
    </rPh>
    <rPh sb="1" eb="3">
      <t>ニホン</t>
    </rPh>
    <rPh sb="3" eb="5">
      <t>キカク</t>
    </rPh>
    <phoneticPr fontId="2"/>
  </si>
  <si>
    <t>大久保物産</t>
    <rPh sb="0" eb="3">
      <t>オオクボ</t>
    </rPh>
    <rPh sb="3" eb="5">
      <t>ブッサン</t>
    </rPh>
    <phoneticPr fontId="2"/>
  </si>
  <si>
    <t>ヤマト商会</t>
    <rPh sb="3" eb="5">
      <t>ショウカイ</t>
    </rPh>
    <phoneticPr fontId="2"/>
  </si>
  <si>
    <t>ＡＢＣ総業</t>
    <rPh sb="3" eb="5">
      <t>ソウギョウ</t>
    </rPh>
    <phoneticPr fontId="2"/>
  </si>
  <si>
    <t>北海道電機</t>
    <rPh sb="0" eb="3">
      <t>ホッカイドウ</t>
    </rPh>
    <rPh sb="3" eb="5">
      <t>デンキ</t>
    </rPh>
    <phoneticPr fontId="2"/>
  </si>
  <si>
    <t>佐々木産業</t>
    <rPh sb="0" eb="3">
      <t>ササキ</t>
    </rPh>
    <rPh sb="3" eb="5">
      <t>サンギョウ</t>
    </rPh>
    <phoneticPr fontId="2"/>
  </si>
  <si>
    <t>日の出商事</t>
    <rPh sb="0" eb="1">
      <t>ヒ</t>
    </rPh>
    <rPh sb="2" eb="3">
      <t>デ</t>
    </rPh>
    <rPh sb="3" eb="5">
      <t>ショウジ</t>
    </rPh>
    <phoneticPr fontId="2"/>
  </si>
  <si>
    <t>健康ホーム</t>
    <rPh sb="0" eb="2">
      <t>ケンコウ</t>
    </rPh>
    <phoneticPr fontId="2"/>
  </si>
  <si>
    <t>割引額</t>
    <rPh sb="0" eb="3">
      <t>ワリビキガク</t>
    </rPh>
    <phoneticPr fontId="3"/>
  </si>
  <si>
    <t>請求金額</t>
    <rPh sb="0" eb="2">
      <t>セイキュウ</t>
    </rPh>
    <rPh sb="2" eb="4">
      <t>キンガク</t>
    </rPh>
    <phoneticPr fontId="3"/>
  </si>
  <si>
    <t>割引額が5,000円未満の件数</t>
    <rPh sb="0" eb="3">
      <t>ワリビキガク</t>
    </rPh>
    <rPh sb="5" eb="10">
      <t>000エン</t>
    </rPh>
    <rPh sb="10" eb="12">
      <t>ミマン</t>
    </rPh>
    <rPh sb="13" eb="15">
      <t>ケンスウ</t>
    </rPh>
    <phoneticPr fontId="2"/>
  </si>
  <si>
    <t>日数が11日以上の貸出料金の合計</t>
    <rPh sb="0" eb="2">
      <t>ヒスウ</t>
    </rPh>
    <rPh sb="5" eb="6">
      <t>ニチ</t>
    </rPh>
    <rPh sb="6" eb="8">
      <t>イジョウ</t>
    </rPh>
    <rPh sb="9" eb="13">
      <t>カシダシリョウキン</t>
    </rPh>
    <rPh sb="14" eb="16">
      <t>ゴウケイ</t>
    </rPh>
    <phoneticPr fontId="2"/>
  </si>
  <si>
    <t>割引額</t>
    <rPh sb="0" eb="3">
      <t>ワリビキガク</t>
    </rPh>
    <phoneticPr fontId="2"/>
  </si>
  <si>
    <t>&lt;5000</t>
    <phoneticPr fontId="2"/>
  </si>
  <si>
    <t>日数</t>
    <rPh sb="0" eb="2">
      <t>ヒスウ</t>
    </rPh>
    <phoneticPr fontId="2"/>
  </si>
  <si>
    <t>&gt;=11</t>
    <phoneticPr fontId="2"/>
  </si>
  <si>
    <t>加工単価計算表</t>
    <rPh sb="0" eb="2">
      <t>カコウ</t>
    </rPh>
    <rPh sb="2" eb="4">
      <t>タンカ</t>
    </rPh>
    <rPh sb="4" eb="7">
      <t>ケイサンヒョウ</t>
    </rPh>
    <phoneticPr fontId="2"/>
  </si>
  <si>
    <t>製ＣＯ</t>
    <rPh sb="0" eb="1">
      <t>セイ</t>
    </rPh>
    <phoneticPr fontId="2"/>
  </si>
  <si>
    <t>製品名</t>
    <rPh sb="0" eb="3">
      <t>セイヒンメイ</t>
    </rPh>
    <phoneticPr fontId="2"/>
  </si>
  <si>
    <t>数量</t>
    <rPh sb="0" eb="2">
      <t>スウリョウ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</si>
  <si>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</si>
  <si>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</si>
  <si>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加工単価</t>
    <rPh sb="0" eb="2">
      <t>カコウ</t>
    </rPh>
    <rPh sb="2" eb="4">
      <t>タンカ</t>
    </rPh>
    <phoneticPr fontId="2"/>
  </si>
  <si>
    <t>製品J</t>
    <rPh sb="0" eb="2">
      <t>セイヒン</t>
    </rPh>
    <phoneticPr fontId="2"/>
  </si>
  <si>
    <t>製品K</t>
    <rPh sb="0" eb="2">
      <t>セイヒン</t>
    </rPh>
    <phoneticPr fontId="2"/>
  </si>
  <si>
    <t>製品L</t>
    <rPh sb="0" eb="2">
      <t>セイヒン</t>
    </rPh>
    <phoneticPr fontId="2"/>
  </si>
  <si>
    <t>製品M</t>
    <rPh sb="0" eb="2">
      <t>セイヒン</t>
    </rPh>
    <phoneticPr fontId="2"/>
  </si>
  <si>
    <t>依頼先別加工賃一覧表</t>
    <rPh sb="0" eb="3">
      <t>イライサキ</t>
    </rPh>
    <rPh sb="3" eb="4">
      <t>ベツ</t>
    </rPh>
    <rPh sb="4" eb="6">
      <t>カコウ</t>
    </rPh>
    <rPh sb="6" eb="7">
      <t>チン</t>
    </rPh>
    <rPh sb="7" eb="10">
      <t>イチランヒョウ</t>
    </rPh>
    <phoneticPr fontId="2"/>
  </si>
  <si>
    <t>依ＣＯ</t>
    <rPh sb="0" eb="1">
      <t>イ</t>
    </rPh>
    <phoneticPr fontId="2"/>
  </si>
  <si>
    <t>依頼先名</t>
    <rPh sb="0" eb="4">
      <t>イライサキメイ</t>
    </rPh>
    <phoneticPr fontId="2"/>
  </si>
  <si>
    <t>依頼数</t>
    <rPh sb="0" eb="2">
      <t>イライ</t>
    </rPh>
    <rPh sb="2" eb="3">
      <t>スウ</t>
    </rPh>
    <phoneticPr fontId="2"/>
  </si>
  <si>
    <t>完成数</t>
    <rPh sb="0" eb="3">
      <t>カンセイスウ</t>
    </rPh>
    <phoneticPr fontId="2"/>
  </si>
  <si>
    <t>加工賃</t>
    <rPh sb="0" eb="3">
      <t>カコウチン</t>
    </rPh>
    <phoneticPr fontId="2"/>
  </si>
  <si>
    <t>奨励金</t>
    <rPh sb="0" eb="3">
      <t>ショウレイキン</t>
    </rPh>
    <phoneticPr fontId="2"/>
  </si>
  <si>
    <t>諸経費</t>
    <rPh sb="0" eb="3">
      <t>ショケイヒ</t>
    </rPh>
    <phoneticPr fontId="2"/>
  </si>
  <si>
    <t>完成率</t>
    <rPh sb="0" eb="3">
      <t>カンセイリツ</t>
    </rPh>
    <phoneticPr fontId="2"/>
  </si>
  <si>
    <t>勝間田製作</t>
    <rPh sb="0" eb="1">
      <t>カ</t>
    </rPh>
    <rPh sb="1" eb="2">
      <t>カン</t>
    </rPh>
    <rPh sb="2" eb="3">
      <t>ダ</t>
    </rPh>
    <rPh sb="3" eb="5">
      <t>セイサク</t>
    </rPh>
    <phoneticPr fontId="2"/>
  </si>
  <si>
    <t>ひので工業</t>
    <rPh sb="3" eb="5">
      <t>コウギョウ</t>
    </rPh>
    <phoneticPr fontId="2"/>
  </si>
  <si>
    <t>中村製作所</t>
    <rPh sb="0" eb="2">
      <t>ナカムラ</t>
    </rPh>
    <rPh sb="2" eb="5">
      <t>セイサクショ</t>
    </rPh>
    <phoneticPr fontId="2"/>
  </si>
  <si>
    <t>ＫＹテクノ</t>
    <phoneticPr fontId="2"/>
  </si>
  <si>
    <t>三井精工所</t>
    <rPh sb="0" eb="2">
      <t>ミツイ</t>
    </rPh>
    <rPh sb="2" eb="4">
      <t>セイコウ</t>
    </rPh>
    <rPh sb="4" eb="5">
      <t>ショ</t>
    </rPh>
    <phoneticPr fontId="2"/>
  </si>
  <si>
    <t>西日本電工</t>
    <rPh sb="0" eb="1">
      <t>ニシ</t>
    </rPh>
    <rPh sb="1" eb="3">
      <t>ニホン</t>
    </rPh>
    <rPh sb="3" eb="5">
      <t>デンコウ</t>
    </rPh>
    <phoneticPr fontId="2"/>
  </si>
  <si>
    <t>佐々木工機</t>
    <rPh sb="0" eb="3">
      <t>ササキ</t>
    </rPh>
    <rPh sb="3" eb="5">
      <t>コウキ</t>
    </rPh>
    <phoneticPr fontId="2"/>
  </si>
  <si>
    <t>アオキ電機</t>
    <rPh sb="3" eb="5">
      <t>デンキ</t>
    </rPh>
    <phoneticPr fontId="2"/>
  </si>
  <si>
    <t>総額</t>
    <rPh sb="0" eb="2">
      <t>ソウガク</t>
    </rPh>
    <phoneticPr fontId="2"/>
  </si>
  <si>
    <t>合計</t>
    <rPh sb="0" eb="2">
      <t>ゴウケイ</t>
    </rPh>
    <phoneticPr fontId="2"/>
  </si>
  <si>
    <t>乗率表</t>
    <rPh sb="0" eb="2">
      <t>ジョウリツ</t>
    </rPh>
    <rPh sb="2" eb="3">
      <t>ヒョウ</t>
    </rPh>
    <phoneticPr fontId="2"/>
  </si>
  <si>
    <t>評価表</t>
    <rPh sb="0" eb="2">
      <t>ヒョウカ</t>
    </rPh>
    <rPh sb="2" eb="3">
      <t>ヒョウ</t>
    </rPh>
    <phoneticPr fontId="2"/>
  </si>
  <si>
    <t>製品原価</t>
    <rPh sb="0" eb="2">
      <t>セイヒン</t>
    </rPh>
    <rPh sb="2" eb="4">
      <t>ゲンカ</t>
    </rPh>
    <phoneticPr fontId="2"/>
  </si>
  <si>
    <t>乗率</t>
    <rPh sb="0" eb="2">
      <t>ジョウリツ</t>
    </rPh>
    <phoneticPr fontId="2"/>
  </si>
  <si>
    <t>総額</t>
    <rPh sb="0" eb="2">
      <t>ソウガク</t>
    </rPh>
    <phoneticPr fontId="2"/>
  </si>
  <si>
    <t>*</t>
    <phoneticPr fontId="2"/>
  </si>
  <si>
    <t>**</t>
    <phoneticPr fontId="2"/>
  </si>
  <si>
    <t>***</t>
    <phoneticPr fontId="2"/>
  </si>
  <si>
    <t>完成数が460以上の総額の平均</t>
    <rPh sb="0" eb="2">
      <t>カンセイ</t>
    </rPh>
    <rPh sb="2" eb="3">
      <t>スウ</t>
    </rPh>
    <rPh sb="7" eb="9">
      <t>イジョウ</t>
    </rPh>
    <rPh sb="10" eb="12">
      <t>ソウガク</t>
    </rPh>
    <rPh sb="13" eb="15">
      <t>ヘイキン</t>
    </rPh>
    <phoneticPr fontId="2"/>
  </si>
  <si>
    <t>依頼数が490未満の加工賃の合計</t>
    <phoneticPr fontId="2"/>
  </si>
  <si>
    <t>依頼数</t>
  </si>
  <si>
    <t>&lt;490</t>
    <phoneticPr fontId="2"/>
  </si>
  <si>
    <t>完成数</t>
  </si>
  <si>
    <t>&gt;=460</t>
    <phoneticPr fontId="2"/>
  </si>
  <si>
    <t>基本単価計算表</t>
    <rPh sb="0" eb="4">
      <t>キホンタンカ</t>
    </rPh>
    <rPh sb="4" eb="7">
      <t>ケイサンヒョウ</t>
    </rPh>
    <phoneticPr fontId="2"/>
  </si>
  <si>
    <t>番号</t>
  </si>
  <si>
    <t>商品名</t>
  </si>
  <si>
    <t>取得価額</t>
    <rPh sb="0" eb="2">
      <t>シュトク</t>
    </rPh>
    <rPh sb="2" eb="4">
      <t>カガク</t>
    </rPh>
    <phoneticPr fontId="2"/>
  </si>
  <si>
    <t>償却年数</t>
    <rPh sb="0" eb="2">
      <t>ショウキャク</t>
    </rPh>
    <rPh sb="2" eb="4">
      <t>ネンスウ</t>
    </rPh>
    <phoneticPr fontId="2"/>
  </si>
  <si>
    <t>基本単価</t>
    <rPh sb="0" eb="4">
      <t>キホンタンカ</t>
    </rPh>
    <phoneticPr fontId="2"/>
  </si>
  <si>
    <t>商品S</t>
    <phoneticPr fontId="2"/>
  </si>
  <si>
    <t>商品T</t>
    <phoneticPr fontId="2"/>
  </si>
  <si>
    <t>商品U</t>
    <phoneticPr fontId="2"/>
  </si>
  <si>
    <t>商品V</t>
    <phoneticPr fontId="2"/>
  </si>
  <si>
    <t>乗率表</t>
    <rPh sb="0" eb="2">
      <t>ジョウリツ</t>
    </rPh>
    <rPh sb="2" eb="3">
      <t>ヒョウ</t>
    </rPh>
    <phoneticPr fontId="2"/>
  </si>
  <si>
    <t>リース先テーブル</t>
    <rPh sb="3" eb="4">
      <t>サキ</t>
    </rPh>
    <phoneticPr fontId="2"/>
  </si>
  <si>
    <t>ＣＯ</t>
  </si>
  <si>
    <t>リース先名</t>
  </si>
  <si>
    <t>リース先名</t>
    <rPh sb="3" eb="5">
      <t>サキメイ</t>
    </rPh>
    <phoneticPr fontId="2"/>
  </si>
  <si>
    <t>ＯＰ料率テーブル</t>
    <rPh sb="2" eb="4">
      <t>リョウリツ</t>
    </rPh>
    <phoneticPr fontId="2"/>
  </si>
  <si>
    <t>ＯＰ</t>
  </si>
  <si>
    <t>ＯＰ</t>
    <phoneticPr fontId="2"/>
  </si>
  <si>
    <t>ＯＰ料率</t>
    <rPh sb="2" eb="4">
      <t>リョウリツ</t>
    </rPh>
    <phoneticPr fontId="2"/>
  </si>
  <si>
    <t>A</t>
    <phoneticPr fontId="2"/>
  </si>
  <si>
    <t>B</t>
    <phoneticPr fontId="2"/>
  </si>
  <si>
    <t>C</t>
    <phoneticPr fontId="2"/>
  </si>
  <si>
    <t>久保山建設</t>
    <rPh sb="0" eb="3">
      <t>クボヤマ</t>
    </rPh>
    <rPh sb="3" eb="5">
      <t>ケンセツ</t>
    </rPh>
    <phoneticPr fontId="2"/>
  </si>
  <si>
    <t>スター工業</t>
    <rPh sb="3" eb="5">
      <t>コウギョウ</t>
    </rPh>
    <phoneticPr fontId="2"/>
  </si>
  <si>
    <t>ＪＨＰ電機</t>
    <rPh sb="3" eb="5">
      <t>デンキ</t>
    </rPh>
    <phoneticPr fontId="2"/>
  </si>
  <si>
    <t>アサヒ重機</t>
    <rPh sb="3" eb="5">
      <t>ジュウキ</t>
    </rPh>
    <phoneticPr fontId="2"/>
  </si>
  <si>
    <t>リース先別料金合計一覧表</t>
    <rPh sb="3" eb="4">
      <t>サキ</t>
    </rPh>
    <rPh sb="4" eb="5">
      <t>ベツ</t>
    </rPh>
    <rPh sb="5" eb="7">
      <t>リョウキン</t>
    </rPh>
    <rPh sb="7" eb="9">
      <t>ゴウケイ</t>
    </rPh>
    <rPh sb="9" eb="12">
      <t>イチランヒョウ</t>
    </rPh>
    <phoneticPr fontId="2"/>
  </si>
  <si>
    <t>基本料金</t>
  </si>
  <si>
    <t>基本料金</t>
    <rPh sb="0" eb="4">
      <t>キホンリョウキン</t>
    </rPh>
    <phoneticPr fontId="2"/>
  </si>
  <si>
    <t>追加料金</t>
  </si>
  <si>
    <t>追加料金</t>
    <rPh sb="0" eb="4">
      <t>ツイカリョウキン</t>
    </rPh>
    <phoneticPr fontId="2"/>
  </si>
  <si>
    <t>ＯＰ料金</t>
    <rPh sb="2" eb="4">
      <t>リョウキン</t>
    </rPh>
    <phoneticPr fontId="2"/>
  </si>
  <si>
    <t>料金合計</t>
    <rPh sb="0" eb="2">
      <t>リョウキン</t>
    </rPh>
    <rPh sb="2" eb="4">
      <t>ゴウケイ</t>
    </rPh>
    <phoneticPr fontId="2"/>
  </si>
  <si>
    <t>商品別集計表</t>
    <rPh sb="0" eb="2">
      <t>ショウヒン</t>
    </rPh>
    <rPh sb="2" eb="3">
      <t>ベツ</t>
    </rPh>
    <rPh sb="3" eb="5">
      <t>シュウケイ</t>
    </rPh>
    <rPh sb="5" eb="6">
      <t>ヒョウ</t>
    </rPh>
    <phoneticPr fontId="2"/>
  </si>
  <si>
    <t>商品名</t>
    <phoneticPr fontId="2"/>
  </si>
  <si>
    <t>社員別データ表</t>
    <rPh sb="0" eb="2">
      <t>シャイン</t>
    </rPh>
    <rPh sb="2" eb="3">
      <t>ベツ</t>
    </rPh>
    <rPh sb="6" eb="7">
      <t>ヒョウ</t>
    </rPh>
    <phoneticPr fontId="2"/>
  </si>
  <si>
    <t>社員名</t>
  </si>
  <si>
    <t>社員名</t>
    <rPh sb="0" eb="2">
      <t>シャイン</t>
    </rPh>
    <rPh sb="2" eb="3">
      <t>メイ</t>
    </rPh>
    <phoneticPr fontId="2"/>
  </si>
  <si>
    <t>出社日数</t>
    <rPh sb="0" eb="2">
      <t>シュッシャ</t>
    </rPh>
    <rPh sb="2" eb="4">
      <t>ヒスウ</t>
    </rPh>
    <phoneticPr fontId="2"/>
  </si>
  <si>
    <t>在宅日数</t>
    <rPh sb="0" eb="2">
      <t>ザイタク</t>
    </rPh>
    <rPh sb="2" eb="4">
      <t>ヒスウ</t>
    </rPh>
    <phoneticPr fontId="2"/>
  </si>
  <si>
    <t>出社率</t>
  </si>
  <si>
    <t>出社率</t>
    <rPh sb="0" eb="3">
      <t>シュッシャリツ</t>
    </rPh>
    <phoneticPr fontId="2"/>
  </si>
  <si>
    <t>商談数</t>
    <rPh sb="0" eb="2">
      <t>ショウダン</t>
    </rPh>
    <rPh sb="2" eb="3">
      <t>スウ</t>
    </rPh>
    <phoneticPr fontId="2"/>
  </si>
  <si>
    <t>契約数</t>
    <rPh sb="0" eb="3">
      <t>ケイヤクスウ</t>
    </rPh>
    <phoneticPr fontId="2"/>
  </si>
  <si>
    <t>査定</t>
    <rPh sb="0" eb="2">
      <t>サテイ</t>
    </rPh>
    <phoneticPr fontId="2"/>
  </si>
  <si>
    <t>中川　正雄</t>
    <rPh sb="0" eb="2">
      <t>ナカカワ</t>
    </rPh>
    <rPh sb="3" eb="5">
      <t>マサオ</t>
    </rPh>
    <phoneticPr fontId="2"/>
  </si>
  <si>
    <t>加藤　美香</t>
    <rPh sb="0" eb="2">
      <t>カトウ</t>
    </rPh>
    <rPh sb="3" eb="5">
      <t>ミカ</t>
    </rPh>
    <phoneticPr fontId="2"/>
  </si>
  <si>
    <t>長谷川　誠</t>
    <rPh sb="0" eb="3">
      <t>ハセガワ</t>
    </rPh>
    <rPh sb="4" eb="5">
      <t>マコト</t>
    </rPh>
    <phoneticPr fontId="2"/>
  </si>
  <si>
    <t>西　さおり</t>
    <rPh sb="0" eb="1">
      <t>ニシ</t>
    </rPh>
    <phoneticPr fontId="2"/>
  </si>
  <si>
    <t>大山　京介</t>
    <rPh sb="0" eb="2">
      <t>オオヤマ</t>
    </rPh>
    <rPh sb="3" eb="4">
      <t>キョウ</t>
    </rPh>
    <rPh sb="4" eb="5">
      <t>カイ</t>
    </rPh>
    <phoneticPr fontId="2"/>
  </si>
  <si>
    <t>渡部　清子</t>
    <rPh sb="0" eb="2">
      <t>ワタノベ</t>
    </rPh>
    <rPh sb="3" eb="5">
      <t>セイゴ</t>
    </rPh>
    <phoneticPr fontId="2"/>
  </si>
  <si>
    <t>藤森　健一</t>
    <rPh sb="0" eb="2">
      <t>フジノモリ</t>
    </rPh>
    <rPh sb="3" eb="5">
      <t>ケンイチ</t>
    </rPh>
    <phoneticPr fontId="2"/>
  </si>
  <si>
    <t>鈴木　政治</t>
    <rPh sb="0" eb="2">
      <t>スズキ</t>
    </rPh>
    <rPh sb="3" eb="5">
      <t>セイジ</t>
    </rPh>
    <phoneticPr fontId="2"/>
  </si>
  <si>
    <t>久保田　心</t>
    <rPh sb="0" eb="3">
      <t>クボタ</t>
    </rPh>
    <rPh sb="4" eb="5">
      <t>ココロ</t>
    </rPh>
    <phoneticPr fontId="2"/>
  </si>
  <si>
    <t>基本給テーブル</t>
    <rPh sb="0" eb="3">
      <t>キホンキュウ</t>
    </rPh>
    <phoneticPr fontId="2"/>
  </si>
  <si>
    <t>等級</t>
  </si>
  <si>
    <t>等級</t>
    <rPh sb="0" eb="2">
      <t>トウキュウ</t>
    </rPh>
    <phoneticPr fontId="2"/>
  </si>
  <si>
    <t>基本給</t>
  </si>
  <si>
    <t>D</t>
    <phoneticPr fontId="2"/>
  </si>
  <si>
    <t>E</t>
    <phoneticPr fontId="2"/>
  </si>
  <si>
    <t>単価テーブル</t>
    <rPh sb="0" eb="2">
      <t>タンカ</t>
    </rPh>
    <phoneticPr fontId="2"/>
  </si>
  <si>
    <t>通勤単価</t>
    <rPh sb="0" eb="4">
      <t>ツウキンタンカ</t>
    </rPh>
    <phoneticPr fontId="2"/>
  </si>
  <si>
    <t>営業単価</t>
    <rPh sb="0" eb="2">
      <t>エイギョウ</t>
    </rPh>
    <phoneticPr fontId="2"/>
  </si>
  <si>
    <t>総支給額一覧表</t>
    <rPh sb="0" eb="1">
      <t>ソウ</t>
    </rPh>
    <rPh sb="1" eb="4">
      <t>シキュウガク</t>
    </rPh>
    <rPh sb="4" eb="7">
      <t>イチランヒョウ</t>
    </rPh>
    <phoneticPr fontId="2"/>
  </si>
  <si>
    <t>基本給</t>
    <rPh sb="0" eb="3">
      <t>キホンキュウ</t>
    </rPh>
    <phoneticPr fontId="2"/>
  </si>
  <si>
    <t>通勤距離</t>
    <rPh sb="0" eb="2">
      <t>ツウキン</t>
    </rPh>
    <rPh sb="2" eb="4">
      <t>キョリ</t>
    </rPh>
    <phoneticPr fontId="2"/>
  </si>
  <si>
    <t>出社率</t>
    <rPh sb="0" eb="2">
      <t>シュッシャ</t>
    </rPh>
    <rPh sb="2" eb="3">
      <t>リツ</t>
    </rPh>
    <phoneticPr fontId="2"/>
  </si>
  <si>
    <t>通勤手当</t>
    <rPh sb="0" eb="2">
      <t>ツウキン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</si>
  <si>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</si>
  <si>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職域手当</t>
    <rPh sb="0" eb="2">
      <t>ショクイキ</t>
    </rPh>
    <rPh sb="2" eb="4">
      <t>テアテ</t>
    </rPh>
    <phoneticPr fontId="2"/>
  </si>
  <si>
    <t>総支給額</t>
    <rPh sb="0" eb="1">
      <t>ソウ</t>
    </rPh>
    <rPh sb="1" eb="4">
      <t>シキュウガク</t>
    </rPh>
    <phoneticPr fontId="2"/>
  </si>
  <si>
    <t>判定</t>
    <rPh sb="0" eb="2">
      <t>ハンテイ</t>
    </rPh>
    <phoneticPr fontId="2"/>
  </si>
  <si>
    <t>総支給額</t>
    <rPh sb="0" eb="4">
      <t>ソウシキュウガク</t>
    </rPh>
    <phoneticPr fontId="2"/>
  </si>
  <si>
    <t>###</t>
    <phoneticPr fontId="2"/>
  </si>
  <si>
    <t>##</t>
    <phoneticPr fontId="2"/>
  </si>
  <si>
    <t>#</t>
    <phoneticPr fontId="2"/>
  </si>
  <si>
    <t>判定表</t>
    <rPh sb="0" eb="3">
      <t>ハンテイヒョウ</t>
    </rPh>
    <phoneticPr fontId="2"/>
  </si>
  <si>
    <t>出社率が80％以上の総支給額の平均</t>
    <rPh sb="0" eb="2">
      <t>シュッシャ</t>
    </rPh>
    <rPh sb="2" eb="3">
      <t>リツ</t>
    </rPh>
    <rPh sb="7" eb="9">
      <t>イジョウ</t>
    </rPh>
    <rPh sb="10" eb="14">
      <t>ソウシキュウガク</t>
    </rPh>
    <rPh sb="15" eb="17">
      <t>ヘイキン</t>
    </rPh>
    <phoneticPr fontId="2"/>
  </si>
  <si>
    <t>等級がD以外の通勤手当の合計</t>
    <rPh sb="0" eb="2">
      <t>トウキュウ</t>
    </rPh>
    <rPh sb="4" eb="6">
      <t>イガイ</t>
    </rPh>
    <rPh sb="7" eb="9">
      <t>ツウキン</t>
    </rPh>
    <rPh sb="9" eb="11">
      <t>テアテ</t>
    </rPh>
    <rPh sb="12" eb="14">
      <t>ゴウケイ</t>
    </rPh>
    <phoneticPr fontId="2"/>
  </si>
  <si>
    <t>&gt;=80%</t>
    <phoneticPr fontId="2"/>
  </si>
  <si>
    <t>&lt;&gt;D</t>
    <phoneticPr fontId="2"/>
  </si>
  <si>
    <t>株式買入一覧表</t>
    <rPh sb="0" eb="2">
      <t>カブシキ</t>
    </rPh>
    <rPh sb="2" eb="4">
      <t>カイイレ</t>
    </rPh>
    <rPh sb="4" eb="7">
      <t>イチランヒョウ</t>
    </rPh>
    <phoneticPr fontId="2"/>
  </si>
  <si>
    <t>銘柄名</t>
  </si>
  <si>
    <t>銘柄名</t>
    <rPh sb="0" eb="2">
      <t>メイガラ</t>
    </rPh>
    <rPh sb="2" eb="3">
      <t>メイ</t>
    </rPh>
    <phoneticPr fontId="2"/>
  </si>
  <si>
    <t>株価</t>
    <rPh sb="0" eb="2">
      <t>カブカ</t>
    </rPh>
    <phoneticPr fontId="2"/>
  </si>
  <si>
    <t>株数</t>
    <rPh sb="0" eb="2">
      <t>カブスウ</t>
    </rPh>
    <phoneticPr fontId="2"/>
  </si>
  <si>
    <t>約定金額</t>
    <rPh sb="0" eb="2">
      <t>ヤクジョウ</t>
    </rPh>
    <rPh sb="2" eb="4">
      <t>キンガク</t>
    </rPh>
    <phoneticPr fontId="2"/>
  </si>
  <si>
    <t>買入手数料</t>
    <rPh sb="0" eb="2">
      <t>カイイレ</t>
    </rPh>
    <rPh sb="2" eb="5">
      <t>テスウリョウ</t>
    </rPh>
    <phoneticPr fontId="2"/>
  </si>
  <si>
    <t>割引額</t>
    <rPh sb="0" eb="2">
      <t>ワリビキ</t>
    </rPh>
    <rPh sb="2" eb="3">
      <t>ガク</t>
    </rPh>
    <phoneticPr fontId="2"/>
  </si>
  <si>
    <t>支払金額</t>
    <rPh sb="0" eb="2">
      <t>シハライ</t>
    </rPh>
    <rPh sb="2" eb="4">
      <t>キンガク</t>
    </rPh>
    <phoneticPr fontId="2"/>
  </si>
  <si>
    <t>南関東化学</t>
  </si>
  <si>
    <t>南関東化学</t>
    <rPh sb="0" eb="1">
      <t>ナン</t>
    </rPh>
    <rPh sb="1" eb="3">
      <t>カントウ</t>
    </rPh>
    <rPh sb="3" eb="5">
      <t>カガク</t>
    </rPh>
    <phoneticPr fontId="2"/>
  </si>
  <si>
    <t>ＪＡＣ工業</t>
    <rPh sb="3" eb="5">
      <t>コウギョウ</t>
    </rPh>
    <phoneticPr fontId="2"/>
  </si>
  <si>
    <t>西日本倉庫</t>
    <rPh sb="0" eb="1">
      <t>ニシ</t>
    </rPh>
    <rPh sb="1" eb="3">
      <t>ニホン</t>
    </rPh>
    <rPh sb="3" eb="5">
      <t>ソウコ</t>
    </rPh>
    <phoneticPr fontId="2"/>
  </si>
  <si>
    <t>サクラ電機</t>
  </si>
  <si>
    <t>サクラ電機</t>
    <rPh sb="3" eb="5">
      <t>デンキ</t>
    </rPh>
    <phoneticPr fontId="2"/>
  </si>
  <si>
    <t>売却手数料</t>
    <rPh sb="0" eb="2">
      <t>バイキャク</t>
    </rPh>
    <rPh sb="2" eb="5">
      <t>テスウリョウ</t>
    </rPh>
    <phoneticPr fontId="2"/>
  </si>
  <si>
    <t>受取金額</t>
    <rPh sb="0" eb="2">
      <t>ウケトリ</t>
    </rPh>
    <rPh sb="2" eb="4">
      <t>キンガク</t>
    </rPh>
    <phoneticPr fontId="2"/>
  </si>
  <si>
    <t>株式売却一覧表</t>
    <rPh sb="2" eb="4">
      <t>バイキャク</t>
    </rPh>
    <phoneticPr fontId="2"/>
  </si>
  <si>
    <t>銘柄別集計表</t>
    <rPh sb="0" eb="2">
      <t>メイガラ</t>
    </rPh>
    <rPh sb="2" eb="3">
      <t>ベツ</t>
    </rPh>
    <rPh sb="3" eb="6">
      <t>シュウケイヒョウ</t>
    </rPh>
    <phoneticPr fontId="2"/>
  </si>
  <si>
    <t>ＪＡＣ工業</t>
    <phoneticPr fontId="2"/>
  </si>
  <si>
    <t>西日本倉庫</t>
    <phoneticPr fontId="2"/>
  </si>
  <si>
    <t>販売額計算表</t>
    <rPh sb="0" eb="3">
      <t>ハンバイガク</t>
    </rPh>
    <rPh sb="3" eb="6">
      <t>ケイサンヒョウ</t>
    </rPh>
    <phoneticPr fontId="2"/>
  </si>
  <si>
    <t>販ＣＯ</t>
    <rPh sb="0" eb="1">
      <t>ハン</t>
    </rPh>
    <phoneticPr fontId="2"/>
  </si>
  <si>
    <t>販売先名</t>
    <rPh sb="0" eb="2">
      <t>ハンバイ</t>
    </rPh>
    <rPh sb="2" eb="4">
      <t>サキメイ</t>
    </rPh>
    <phoneticPr fontId="2"/>
  </si>
  <si>
    <t>値引率</t>
    <rPh sb="0" eb="3">
      <t>ネビキリツ</t>
    </rPh>
    <phoneticPr fontId="2"/>
  </si>
  <si>
    <t>鈴木商会</t>
    <rPh sb="0" eb="4">
      <t>スズキショウカイ</t>
    </rPh>
    <phoneticPr fontId="2"/>
  </si>
  <si>
    <t>ヤマヨ水産</t>
    <rPh sb="3" eb="5">
      <t>スイサン</t>
    </rPh>
    <phoneticPr fontId="2"/>
  </si>
  <si>
    <t>中央物産</t>
    <rPh sb="0" eb="2">
      <t>チュウオウ</t>
    </rPh>
    <rPh sb="2" eb="4">
      <t>ブッサン</t>
    </rPh>
    <phoneticPr fontId="2"/>
  </si>
  <si>
    <t>長谷川食品</t>
    <rPh sb="0" eb="3">
      <t>ハセガワ</t>
    </rPh>
    <rPh sb="3" eb="5">
      <t>ショクヒン</t>
    </rPh>
    <phoneticPr fontId="2"/>
  </si>
  <si>
    <t>佐藤商店</t>
    <rPh sb="0" eb="2">
      <t>サトウ</t>
    </rPh>
    <rPh sb="2" eb="4">
      <t>ショウテン</t>
    </rPh>
    <phoneticPr fontId="2"/>
  </si>
  <si>
    <t>ＳＢストア</t>
    <phoneticPr fontId="2"/>
  </si>
  <si>
    <t>青木総業</t>
    <rPh sb="0" eb="2">
      <t>アオキ</t>
    </rPh>
    <rPh sb="2" eb="4">
      <t>ソウギョウ</t>
    </rPh>
    <phoneticPr fontId="2"/>
  </si>
  <si>
    <t>東海百貨店</t>
    <rPh sb="0" eb="2">
      <t>トウカイ</t>
    </rPh>
    <rPh sb="2" eb="5">
      <t>ヒャッカテン</t>
    </rPh>
    <phoneticPr fontId="2"/>
  </si>
  <si>
    <t>商品テーブル</t>
    <rPh sb="0" eb="2">
      <t>ショウヒン</t>
    </rPh>
    <phoneticPr fontId="2"/>
  </si>
  <si>
    <t>A商品</t>
    <phoneticPr fontId="2"/>
  </si>
  <si>
    <t>B商品</t>
    <phoneticPr fontId="2"/>
  </si>
  <si>
    <t>C商品</t>
    <phoneticPr fontId="2"/>
  </si>
  <si>
    <t>D商品</t>
    <phoneticPr fontId="2"/>
  </si>
  <si>
    <t>請求額一覧表</t>
    <rPh sb="0" eb="3">
      <t>セイキュウガク</t>
    </rPh>
    <rPh sb="3" eb="6">
      <t>イチランヒョウ</t>
    </rPh>
    <phoneticPr fontId="2"/>
  </si>
  <si>
    <t>請求額</t>
    <rPh sb="0" eb="3">
      <t>セイキュウガク</t>
    </rPh>
    <phoneticPr fontId="2"/>
  </si>
  <si>
    <t>ポイント</t>
    <phoneticPr fontId="2"/>
  </si>
  <si>
    <t>増量数</t>
    <rPh sb="0" eb="2">
      <t>ゾウリョウ</t>
    </rPh>
    <rPh sb="2" eb="3">
      <t>スウ</t>
    </rPh>
    <phoneticPr fontId="2"/>
  </si>
  <si>
    <t>割引率表</t>
    <rPh sb="0" eb="3">
      <t>ワリビキリツ</t>
    </rPh>
    <rPh sb="3" eb="4">
      <t>ヒョウ</t>
    </rPh>
    <phoneticPr fontId="2"/>
  </si>
  <si>
    <t>販売額が60万円以下の件数</t>
    <rPh sb="0" eb="3">
      <t>ハンバイガク</t>
    </rPh>
    <rPh sb="6" eb="7">
      <t>マン</t>
    </rPh>
    <rPh sb="7" eb="8">
      <t>エン</t>
    </rPh>
    <rPh sb="8" eb="10">
      <t>イカ</t>
    </rPh>
    <rPh sb="11" eb="13">
      <t>ケンスウ</t>
    </rPh>
    <phoneticPr fontId="2"/>
  </si>
  <si>
    <t>増量数が20未満の請求額の平均</t>
    <rPh sb="0" eb="2">
      <t>ゾウリョウ</t>
    </rPh>
    <rPh sb="2" eb="3">
      <t>スウ</t>
    </rPh>
    <rPh sb="6" eb="8">
      <t>ミマン</t>
    </rPh>
    <rPh sb="9" eb="12">
      <t>セイキュウガク</t>
    </rPh>
    <rPh sb="13" eb="15">
      <t>ヘイキン</t>
    </rPh>
    <phoneticPr fontId="2"/>
  </si>
  <si>
    <t>販売額</t>
    <phoneticPr fontId="2"/>
  </si>
  <si>
    <t>&lt;=600000</t>
    <phoneticPr fontId="2"/>
  </si>
  <si>
    <t>増量数</t>
    <phoneticPr fontId="2"/>
  </si>
  <si>
    <t>&lt;20</t>
    <phoneticPr fontId="2"/>
  </si>
  <si>
    <t>貸会議室料金計算表</t>
    <rPh sb="0" eb="1">
      <t>カシ</t>
    </rPh>
    <rPh sb="1" eb="4">
      <t>カイギシツ</t>
    </rPh>
    <rPh sb="4" eb="6">
      <t>リョウキン</t>
    </rPh>
    <rPh sb="6" eb="8">
      <t>ケイサン</t>
    </rPh>
    <rPh sb="8" eb="9">
      <t>ヒョウ</t>
    </rPh>
    <phoneticPr fontId="2"/>
  </si>
  <si>
    <t>顧客名</t>
    <rPh sb="0" eb="2">
      <t>コカク</t>
    </rPh>
    <rPh sb="2" eb="3">
      <t>メイ</t>
    </rPh>
    <phoneticPr fontId="2"/>
  </si>
  <si>
    <t>会議室名</t>
    <rPh sb="0" eb="3">
      <t>カイギシツ</t>
    </rPh>
    <rPh sb="3" eb="4">
      <t>メイ</t>
    </rPh>
    <phoneticPr fontId="2"/>
  </si>
  <si>
    <t>利用時間</t>
    <rPh sb="0" eb="4">
      <t>リヨウジカン</t>
    </rPh>
    <phoneticPr fontId="2"/>
  </si>
  <si>
    <t>超過料金</t>
    <rPh sb="0" eb="2">
      <t>チョウカ</t>
    </rPh>
    <rPh sb="2" eb="4">
      <t>リョウキン</t>
    </rPh>
    <phoneticPr fontId="2"/>
  </si>
  <si>
    <t>請求金額一覧表</t>
    <rPh sb="0" eb="2">
      <t>セイキュウ</t>
    </rPh>
    <rPh sb="2" eb="4">
      <t>キンガク</t>
    </rPh>
    <rPh sb="4" eb="6">
      <t>イチラン</t>
    </rPh>
    <rPh sb="6" eb="7">
      <t>ヒョウ</t>
    </rPh>
    <phoneticPr fontId="2"/>
  </si>
  <si>
    <t>写真愛好会</t>
    <rPh sb="0" eb="2">
      <t>シャシン</t>
    </rPh>
    <rPh sb="2" eb="5">
      <t>アイコウカイ</t>
    </rPh>
    <phoneticPr fontId="2"/>
  </si>
  <si>
    <t>旅行クラブ</t>
    <rPh sb="0" eb="2">
      <t>リョコウ</t>
    </rPh>
    <phoneticPr fontId="2"/>
  </si>
  <si>
    <t>子育て会議</t>
    <rPh sb="0" eb="2">
      <t>コソダ</t>
    </rPh>
    <rPh sb="3" eb="5">
      <t>カイギ</t>
    </rPh>
    <phoneticPr fontId="2"/>
  </si>
  <si>
    <t>落語研究会</t>
    <rPh sb="0" eb="2">
      <t>ラクゴ</t>
    </rPh>
    <rPh sb="2" eb="5">
      <t>ケンキュウカイ</t>
    </rPh>
    <phoneticPr fontId="2"/>
  </si>
  <si>
    <t>情報教育会</t>
    <rPh sb="0" eb="2">
      <t>ジョウホウ</t>
    </rPh>
    <rPh sb="2" eb="5">
      <t>キョウイクカイ</t>
    </rPh>
    <phoneticPr fontId="2"/>
  </si>
  <si>
    <t>税金相談会</t>
    <rPh sb="0" eb="2">
      <t>ゼイキン</t>
    </rPh>
    <rPh sb="2" eb="5">
      <t>ソウダンカイ</t>
    </rPh>
    <phoneticPr fontId="2"/>
  </si>
  <si>
    <t>長谷川工業</t>
    <rPh sb="0" eb="3">
      <t>ハセガワ</t>
    </rPh>
    <rPh sb="3" eb="5">
      <t>コウギョウ</t>
    </rPh>
    <phoneticPr fontId="2"/>
  </si>
  <si>
    <t>ＡＢＣ電機</t>
    <rPh sb="3" eb="5">
      <t>デンキ</t>
    </rPh>
    <phoneticPr fontId="2"/>
  </si>
  <si>
    <t>利用人数</t>
    <rPh sb="0" eb="2">
      <t>リヨウ</t>
    </rPh>
    <rPh sb="2" eb="4">
      <t>ニンスウ</t>
    </rPh>
    <phoneticPr fontId="2"/>
  </si>
  <si>
    <t>請求金額</t>
    <rPh sb="0" eb="4">
      <t>セイキュウキンガク</t>
    </rPh>
    <phoneticPr fontId="2"/>
  </si>
  <si>
    <t>超過単価</t>
    <rPh sb="0" eb="2">
      <t>チョウカ</t>
    </rPh>
    <rPh sb="2" eb="4">
      <t>タンカ</t>
    </rPh>
    <phoneticPr fontId="2"/>
  </si>
  <si>
    <t>特別会議室</t>
    <rPh sb="0" eb="2">
      <t>トクベツ</t>
    </rPh>
    <rPh sb="2" eb="5">
      <t>カイギシツ</t>
    </rPh>
    <phoneticPr fontId="2"/>
  </si>
  <si>
    <t>大会議室</t>
    <rPh sb="0" eb="1">
      <t>ダイ</t>
    </rPh>
    <phoneticPr fontId="2"/>
  </si>
  <si>
    <t>中会議室</t>
    <rPh sb="0" eb="1">
      <t>チュウ</t>
    </rPh>
    <phoneticPr fontId="2"/>
  </si>
  <si>
    <t>小会議室</t>
    <rPh sb="0" eb="1">
      <t>コ</t>
    </rPh>
    <phoneticPr fontId="2"/>
  </si>
  <si>
    <t>割引率</t>
    <rPh sb="0" eb="2">
      <t>ワリビキ</t>
    </rPh>
    <rPh sb="2" eb="3">
      <t>リツ</t>
    </rPh>
    <phoneticPr fontId="2"/>
  </si>
  <si>
    <t>会議室テーブル</t>
    <phoneticPr fontId="2"/>
  </si>
  <si>
    <t>料金合計が33,000円以下の件数</t>
    <rPh sb="0" eb="2">
      <t>リョウキン</t>
    </rPh>
    <rPh sb="2" eb="4">
      <t>ゴウケイ</t>
    </rPh>
    <rPh sb="11" eb="12">
      <t>エン</t>
    </rPh>
    <rPh sb="12" eb="14">
      <t>イカ</t>
    </rPh>
    <rPh sb="15" eb="17">
      <t>ケンスウ</t>
    </rPh>
    <phoneticPr fontId="2"/>
  </si>
  <si>
    <t>割引額が2,000円以上の請求金額の合計</t>
    <rPh sb="0" eb="3">
      <t>ワリビキガク</t>
    </rPh>
    <rPh sb="9" eb="10">
      <t>エン</t>
    </rPh>
    <rPh sb="10" eb="12">
      <t>イジョウ</t>
    </rPh>
    <rPh sb="13" eb="17">
      <t>セイキュウキンガク</t>
    </rPh>
    <rPh sb="18" eb="20">
      <t>ゴウケイ</t>
    </rPh>
    <phoneticPr fontId="2"/>
  </si>
  <si>
    <t>料金合計</t>
    <phoneticPr fontId="2"/>
  </si>
  <si>
    <t>&lt;=33000</t>
    <phoneticPr fontId="2"/>
  </si>
  <si>
    <t>割引額</t>
    <phoneticPr fontId="2"/>
  </si>
  <si>
    <t>&gt;=2000</t>
    <phoneticPr fontId="2"/>
  </si>
  <si>
    <t>宿泊料金計算表</t>
    <rPh sb="0" eb="2">
      <t>シュクハク</t>
    </rPh>
    <rPh sb="2" eb="4">
      <t>リョウキン</t>
    </rPh>
    <rPh sb="4" eb="7">
      <t>ケイサンヒョウ</t>
    </rPh>
    <phoneticPr fontId="2"/>
  </si>
  <si>
    <t>代表者名</t>
    <rPh sb="0" eb="3">
      <t>ダイヒョウシャ</t>
    </rPh>
    <rPh sb="3" eb="4">
      <t>メイ</t>
    </rPh>
    <phoneticPr fontId="2"/>
  </si>
  <si>
    <t>客室番号</t>
    <rPh sb="0" eb="2">
      <t>キャクシツ</t>
    </rPh>
    <rPh sb="2" eb="4">
      <t>バンゴウ</t>
    </rPh>
    <phoneticPr fontId="2"/>
  </si>
  <si>
    <t>入室日</t>
    <rPh sb="0" eb="2">
      <t>ニュウシツ</t>
    </rPh>
    <rPh sb="2" eb="3">
      <t>ビ</t>
    </rPh>
    <phoneticPr fontId="2"/>
  </si>
  <si>
    <t>退室日</t>
    <rPh sb="0" eb="3">
      <t>タイシツビ</t>
    </rPh>
    <phoneticPr fontId="2"/>
  </si>
  <si>
    <t>人数</t>
    <rPh sb="0" eb="2">
      <t>ニンスウ</t>
    </rPh>
    <phoneticPr fontId="2"/>
  </si>
  <si>
    <t>井上　陽一</t>
    <rPh sb="0" eb="2">
      <t>イノウエ</t>
    </rPh>
    <rPh sb="3" eb="5">
      <t>ヨウイチ</t>
    </rPh>
    <phoneticPr fontId="2"/>
  </si>
  <si>
    <t>桜井　加奈</t>
    <rPh sb="0" eb="2">
      <t>サクライ</t>
    </rPh>
    <rPh sb="3" eb="5">
      <t>カナ</t>
    </rPh>
    <phoneticPr fontId="2"/>
  </si>
  <si>
    <t>長谷川　勇</t>
    <rPh sb="0" eb="3">
      <t>ハセガワ</t>
    </rPh>
    <rPh sb="4" eb="5">
      <t>イサム</t>
    </rPh>
    <phoneticPr fontId="2"/>
  </si>
  <si>
    <t>林　明日香</t>
    <rPh sb="0" eb="1">
      <t>ハヤシ</t>
    </rPh>
    <rPh sb="2" eb="5">
      <t>アスカ</t>
    </rPh>
    <phoneticPr fontId="2"/>
  </si>
  <si>
    <t>大島　正雄</t>
    <rPh sb="0" eb="2">
      <t>オオシマ</t>
    </rPh>
    <rPh sb="3" eb="5">
      <t>マサオ</t>
    </rPh>
    <phoneticPr fontId="2"/>
  </si>
  <si>
    <t>中村　桜子</t>
    <rPh sb="0" eb="2">
      <t>ナカムラ</t>
    </rPh>
    <rPh sb="3" eb="5">
      <t>サクラコ</t>
    </rPh>
    <phoneticPr fontId="2"/>
  </si>
  <si>
    <t>山田　英樹</t>
    <rPh sb="0" eb="2">
      <t>ヤマダ</t>
    </rPh>
    <rPh sb="3" eb="5">
      <t>ヒデキ</t>
    </rPh>
    <phoneticPr fontId="2"/>
  </si>
  <si>
    <t>内藤　好美</t>
    <rPh sb="0" eb="2">
      <t>ナイトウ</t>
    </rPh>
    <rPh sb="3" eb="5">
      <t>ヨシミ</t>
    </rPh>
    <phoneticPr fontId="2"/>
  </si>
  <si>
    <t>客室テーブル</t>
    <rPh sb="0" eb="2">
      <t>キャクシツ</t>
    </rPh>
    <phoneticPr fontId="2"/>
  </si>
  <si>
    <t>客室名</t>
    <rPh sb="0" eb="2">
      <t>キャクシツ</t>
    </rPh>
    <rPh sb="2" eb="3">
      <t>メイ</t>
    </rPh>
    <phoneticPr fontId="2"/>
  </si>
  <si>
    <t>１泊料金</t>
    <rPh sb="1" eb="2">
      <t>ハク</t>
    </rPh>
    <rPh sb="2" eb="4">
      <t>リョウキン</t>
    </rPh>
    <phoneticPr fontId="2"/>
  </si>
  <si>
    <t>さくら</t>
    <phoneticPr fontId="2"/>
  </si>
  <si>
    <t>いちょう</t>
    <phoneticPr fontId="2"/>
  </si>
  <si>
    <t>もみじ</t>
    <phoneticPr fontId="2"/>
  </si>
  <si>
    <t>ひまわり</t>
    <phoneticPr fontId="2"/>
  </si>
  <si>
    <t>さざんか</t>
    <phoneticPr fontId="2"/>
  </si>
  <si>
    <t>宿泊料金</t>
    <rPh sb="0" eb="2">
      <t>シュクハク</t>
    </rPh>
    <rPh sb="2" eb="4">
      <t>リョウキン</t>
    </rPh>
    <phoneticPr fontId="2"/>
  </si>
  <si>
    <t>サービス料</t>
    <rPh sb="4" eb="5">
      <t>リョウ</t>
    </rPh>
    <phoneticPr fontId="2"/>
  </si>
  <si>
    <t>宿泊日数</t>
    <rPh sb="0" eb="2">
      <t>シュクハク</t>
    </rPh>
    <rPh sb="2" eb="4">
      <t>ヒスウ</t>
    </rPh>
    <phoneticPr fontId="2"/>
  </si>
  <si>
    <t>ＯＰ</t>
    <phoneticPr fontId="2"/>
  </si>
  <si>
    <t>乗率</t>
    <rPh sb="0" eb="2">
      <t>ジョウリツ</t>
    </rPh>
    <phoneticPr fontId="2"/>
  </si>
  <si>
    <t>A</t>
    <phoneticPr fontId="2"/>
  </si>
  <si>
    <t>B</t>
    <phoneticPr fontId="2"/>
  </si>
  <si>
    <t>C</t>
    <phoneticPr fontId="2"/>
  </si>
  <si>
    <t>乗率テーブル</t>
    <phoneticPr fontId="2"/>
  </si>
  <si>
    <t>ＯＰがＢ以外のＯＰ料金の合計</t>
    <rPh sb="4" eb="6">
      <t>イガイ</t>
    </rPh>
    <rPh sb="9" eb="11">
      <t>リョウキン</t>
    </rPh>
    <rPh sb="12" eb="14">
      <t>ゴウケイ</t>
    </rPh>
    <phoneticPr fontId="2"/>
  </si>
  <si>
    <t>割引額が4,500円未満の請求額の最大</t>
    <rPh sb="9" eb="10">
      <t>エン</t>
    </rPh>
    <rPh sb="10" eb="12">
      <t>ミマン</t>
    </rPh>
    <rPh sb="13" eb="16">
      <t>セイキュウガク</t>
    </rPh>
    <rPh sb="17" eb="19">
      <t>サイダイ</t>
    </rPh>
    <phoneticPr fontId="2"/>
  </si>
  <si>
    <t>&lt;&gt;B</t>
    <phoneticPr fontId="2"/>
  </si>
  <si>
    <t>割引額</t>
    <phoneticPr fontId="2"/>
  </si>
  <si>
    <t>&lt;4500</t>
    <phoneticPr fontId="2"/>
  </si>
  <si>
    <t>輸入品原価計算表</t>
    <rPh sb="0" eb="2">
      <t>シュニュウ</t>
    </rPh>
    <rPh sb="2" eb="3">
      <t>ヒン</t>
    </rPh>
    <rPh sb="3" eb="5">
      <t>ゲンカ</t>
    </rPh>
    <rPh sb="5" eb="8">
      <t>ケイサンヒョウ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</si>
  <si>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</si>
  <si>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</si>
  <si>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仕入額(＄)</t>
    <rPh sb="0" eb="3">
      <t>シイレガク</t>
    </rPh>
    <phoneticPr fontId="2"/>
  </si>
  <si>
    <t>仕入数</t>
    <rPh sb="0" eb="3">
      <t>シイレスウ</t>
    </rPh>
    <phoneticPr fontId="2"/>
  </si>
  <si>
    <t>手数料(＄)</t>
    <rPh sb="0" eb="3">
      <t>テスウリョウ</t>
    </rPh>
    <phoneticPr fontId="2"/>
  </si>
  <si>
    <t>為替相場</t>
    <rPh sb="0" eb="4">
      <t>カワセソウバ</t>
    </rPh>
    <phoneticPr fontId="2"/>
  </si>
  <si>
    <t>原価</t>
    <rPh sb="0" eb="2">
      <t>ゲンカ</t>
    </rPh>
    <phoneticPr fontId="2"/>
  </si>
  <si>
    <t>Q商品</t>
    <phoneticPr fontId="2"/>
  </si>
  <si>
    <t>R商品</t>
    <phoneticPr fontId="2"/>
  </si>
  <si>
    <t>S商品</t>
    <phoneticPr fontId="2"/>
  </si>
  <si>
    <t>合計</t>
    <rPh sb="0" eb="2">
      <t>ゴウケイ</t>
    </rPh>
    <phoneticPr fontId="2"/>
  </si>
  <si>
    <t>販売先別請求額一覧表</t>
    <rPh sb="0" eb="3">
      <t>ハンバイサキ</t>
    </rPh>
    <rPh sb="3" eb="4">
      <t>ベツ</t>
    </rPh>
    <rPh sb="4" eb="7">
      <t>セイキュウガク</t>
    </rPh>
    <rPh sb="7" eb="10">
      <t>イチランヒョウ</t>
    </rPh>
    <phoneticPr fontId="2"/>
  </si>
  <si>
    <t>販ＣＯ</t>
    <rPh sb="0" eb="1">
      <t>ハン</t>
    </rPh>
    <phoneticPr fontId="2"/>
  </si>
  <si>
    <t>販売先名</t>
    <rPh sb="0" eb="3">
      <t>ハンバイサキ</t>
    </rPh>
    <rPh sb="3" eb="4">
      <t>メイ</t>
    </rPh>
    <phoneticPr fontId="2"/>
  </si>
  <si>
    <t>定価</t>
    <rPh sb="0" eb="2">
      <t>テイカ</t>
    </rPh>
    <phoneticPr fontId="2"/>
  </si>
  <si>
    <t>販売数</t>
    <rPh sb="0" eb="3">
      <t>ハンバイスウ</t>
    </rPh>
    <phoneticPr fontId="2"/>
  </si>
  <si>
    <t>売価</t>
    <rPh sb="0" eb="2">
      <t>バイカ</t>
    </rPh>
    <phoneticPr fontId="2"/>
  </si>
  <si>
    <t>販売額</t>
    <rPh sb="0" eb="3">
      <t>ハンバイガク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</si>
  <si>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</si>
  <si>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</si>
  <si>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</si>
  <si>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久保山商事</t>
    <rPh sb="0" eb="2">
      <t>クボ</t>
    </rPh>
    <rPh sb="2" eb="3">
      <t>ヤマ</t>
    </rPh>
    <rPh sb="3" eb="5">
      <t>ショウジ</t>
    </rPh>
    <phoneticPr fontId="2"/>
  </si>
  <si>
    <t>ニシヤ総業</t>
    <rPh sb="3" eb="5">
      <t>ソウギョウ</t>
    </rPh>
    <phoneticPr fontId="2"/>
  </si>
  <si>
    <t>信愛百貨店</t>
    <rPh sb="0" eb="2">
      <t>シンアイ</t>
    </rPh>
    <rPh sb="2" eb="5">
      <t>ヒャッカテン</t>
    </rPh>
    <phoneticPr fontId="2"/>
  </si>
  <si>
    <t>魚がし水産</t>
    <rPh sb="0" eb="1">
      <t>サカナ</t>
    </rPh>
    <rPh sb="3" eb="5">
      <t>スイサン</t>
    </rPh>
    <phoneticPr fontId="2"/>
  </si>
  <si>
    <t>前浜ストア</t>
    <rPh sb="0" eb="2">
      <t>マエハマ</t>
    </rPh>
    <phoneticPr fontId="2"/>
  </si>
  <si>
    <t>ＭＡＰ商会</t>
    <rPh sb="3" eb="5">
      <t>ショウカイ</t>
    </rPh>
    <phoneticPr fontId="2"/>
  </si>
  <si>
    <t>三田村商店</t>
    <rPh sb="0" eb="2">
      <t>ミタ</t>
    </rPh>
    <rPh sb="2" eb="3">
      <t>ムラ</t>
    </rPh>
    <rPh sb="3" eb="5">
      <t>ショウテン</t>
    </rPh>
    <phoneticPr fontId="2"/>
  </si>
  <si>
    <t>あけの企画</t>
    <rPh sb="3" eb="5">
      <t>キカク</t>
    </rPh>
    <phoneticPr fontId="2"/>
  </si>
  <si>
    <t>阿久津物産</t>
    <rPh sb="0" eb="3">
      <t>アクツ</t>
    </rPh>
    <rPh sb="3" eb="5">
      <t>ブッサン</t>
    </rPh>
    <phoneticPr fontId="2"/>
  </si>
  <si>
    <t>合計</t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</si>
  <si>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</si>
  <si>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販売数</t>
    <phoneticPr fontId="2"/>
  </si>
  <si>
    <t>請求額</t>
    <phoneticPr fontId="2"/>
  </si>
  <si>
    <t>完成率計算表</t>
    <rPh sb="0" eb="2">
      <t>カンセイ</t>
    </rPh>
    <rPh sb="2" eb="3">
      <t>リツ</t>
    </rPh>
    <rPh sb="3" eb="6">
      <t>ケイサンヒョウ</t>
    </rPh>
    <phoneticPr fontId="2"/>
  </si>
  <si>
    <t>発ＣＯ</t>
    <rPh sb="0" eb="1">
      <t>ハツ</t>
    </rPh>
    <phoneticPr fontId="2"/>
  </si>
  <si>
    <t>発注先名</t>
    <rPh sb="0" eb="2">
      <t>ハッチュウ</t>
    </rPh>
    <rPh sb="2" eb="4">
      <t>サキメイ</t>
    </rPh>
    <phoneticPr fontId="2"/>
  </si>
  <si>
    <t>部ＣＯ</t>
  </si>
  <si>
    <t>部ＣＯ</t>
    <rPh sb="0" eb="1">
      <t>ブ</t>
    </rPh>
    <phoneticPr fontId="2"/>
  </si>
  <si>
    <t>部品名</t>
    <rPh sb="0" eb="3">
      <t>ブヒンメイ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</si>
  <si>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</si>
  <si>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</si>
  <si>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完成率</t>
    <rPh sb="0" eb="2">
      <t>カンセイ</t>
    </rPh>
    <rPh sb="2" eb="3">
      <t>リツ</t>
    </rPh>
    <phoneticPr fontId="2"/>
  </si>
  <si>
    <t>鈴木製作所</t>
    <rPh sb="0" eb="2">
      <t>スズキ</t>
    </rPh>
    <rPh sb="2" eb="5">
      <t>セイサクショ</t>
    </rPh>
    <phoneticPr fontId="2"/>
  </si>
  <si>
    <t>ＪＴＡ工業</t>
    <rPh sb="3" eb="5">
      <t>コウギョウ</t>
    </rPh>
    <phoneticPr fontId="2"/>
  </si>
  <si>
    <t>久保山製作</t>
    <rPh sb="0" eb="3">
      <t>クボヤマ</t>
    </rPh>
    <rPh sb="3" eb="5">
      <t>セイサク</t>
    </rPh>
    <phoneticPr fontId="2"/>
  </si>
  <si>
    <t>岸和田電工</t>
    <rPh sb="0" eb="3">
      <t>キシワダ</t>
    </rPh>
    <rPh sb="3" eb="5">
      <t>デンコウ</t>
    </rPh>
    <phoneticPr fontId="2"/>
  </si>
  <si>
    <t>みなみ精工</t>
    <rPh sb="3" eb="5">
      <t>セイコウ</t>
    </rPh>
    <phoneticPr fontId="2"/>
  </si>
  <si>
    <t>北陸テクノ</t>
    <rPh sb="0" eb="2">
      <t>キタリク</t>
    </rPh>
    <phoneticPr fontId="2"/>
  </si>
  <si>
    <t>中日本電機</t>
    <rPh sb="0" eb="3">
      <t>チュウニホン</t>
    </rPh>
    <rPh sb="3" eb="5">
      <t>デンキ</t>
    </rPh>
    <phoneticPr fontId="2"/>
  </si>
  <si>
    <t>大和田工機</t>
    <rPh sb="0" eb="2">
      <t>ヤマト</t>
    </rPh>
    <rPh sb="2" eb="3">
      <t>タ</t>
    </rPh>
    <rPh sb="3" eb="5">
      <t>コウキ</t>
    </rPh>
    <phoneticPr fontId="2"/>
  </si>
  <si>
    <t>単価</t>
    <rPh sb="0" eb="2">
      <t>タンカ</t>
    </rPh>
    <phoneticPr fontId="2"/>
  </si>
  <si>
    <t>部品テーブル</t>
    <phoneticPr fontId="2"/>
  </si>
  <si>
    <t>部品C</t>
    <phoneticPr fontId="2"/>
  </si>
  <si>
    <t>部品D</t>
    <phoneticPr fontId="2"/>
  </si>
  <si>
    <t>部品E</t>
    <phoneticPr fontId="2"/>
  </si>
  <si>
    <t>部品F</t>
    <phoneticPr fontId="2"/>
  </si>
  <si>
    <t>発注先別支払額一覧表</t>
    <rPh sb="0" eb="2">
      <t>ハッチュウ</t>
    </rPh>
    <rPh sb="2" eb="4">
      <t>サキベツ</t>
    </rPh>
    <rPh sb="4" eb="7">
      <t>シハライガク</t>
    </rPh>
    <rPh sb="7" eb="10">
      <t>イチランヒョウ</t>
    </rPh>
    <phoneticPr fontId="2"/>
  </si>
  <si>
    <t>基本加工賃</t>
    <rPh sb="0" eb="2">
      <t>キホン</t>
    </rPh>
    <rPh sb="2" eb="4">
      <t>カコウ</t>
    </rPh>
    <rPh sb="4" eb="5">
      <t>チン</t>
    </rPh>
    <phoneticPr fontId="2"/>
  </si>
  <si>
    <t>追加加工賃</t>
    <rPh sb="0" eb="2">
      <t>ツイカ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</si>
  <si>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</si>
  <si>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</si>
  <si>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完成率</t>
    <rPh sb="0" eb="3">
      <t>カンセイリツ</t>
    </rPh>
    <phoneticPr fontId="2"/>
  </si>
  <si>
    <t>評価</t>
    <rPh sb="0" eb="2">
      <t>ヒョウカ</t>
    </rPh>
    <phoneticPr fontId="2"/>
  </si>
  <si>
    <t>完成数が380以上の支払額の最小</t>
    <rPh sb="0" eb="2">
      <t>カンセイ</t>
    </rPh>
    <rPh sb="2" eb="3">
      <t>スウ</t>
    </rPh>
    <rPh sb="7" eb="9">
      <t>イジョウ</t>
    </rPh>
    <rPh sb="10" eb="12">
      <t>シハライ</t>
    </rPh>
    <rPh sb="12" eb="13">
      <t>ガク</t>
    </rPh>
    <rPh sb="14" eb="16">
      <t>サイショウ</t>
    </rPh>
    <phoneticPr fontId="2"/>
  </si>
  <si>
    <t>部ＣＯが13以外の諸経費の平均</t>
    <rPh sb="6" eb="8">
      <t>イガイ</t>
    </rPh>
    <rPh sb="9" eb="12">
      <t>ショケイヒ</t>
    </rPh>
    <rPh sb="13" eb="15">
      <t>ヘイキン</t>
    </rPh>
    <phoneticPr fontId="2"/>
  </si>
  <si>
    <t>完成基準数</t>
    <rPh sb="2" eb="4">
      <t>キジュン</t>
    </rPh>
    <rPh sb="4" eb="5">
      <t>スウ</t>
    </rPh>
    <phoneticPr fontId="2"/>
  </si>
  <si>
    <t>完成基準数テーブル</t>
    <rPh sb="2" eb="4">
      <t>キジュン</t>
    </rPh>
    <rPh sb="4" eb="5">
      <t>スウ</t>
    </rPh>
    <phoneticPr fontId="2"/>
  </si>
  <si>
    <t>&gt;=380</t>
    <phoneticPr fontId="2"/>
  </si>
  <si>
    <t>&lt;&gt;13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</si>
</sst>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m&quot;月&quot;d&quot;日&quot;;@"/>
    <numFmt numFmtId="178" formatCode="&quot;¥&quot;#,##0_);[Red]\(&quot;¥&quot;#,##0\)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38" fontId="0" fillId="0" borderId="1" xfId="1" applyFont="1" applyBorder="1" applyAlignment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38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38" fontId="0" fillId="0" borderId="6" xfId="1" applyFont="1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38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76" fontId="0" fillId="0" borderId="6" xfId="2" applyNumberFormat="1" applyFont="1" applyBorder="1">
      <alignment vertical="center"/>
    </xf>
    <xf numFmtId="176" fontId="0" fillId="0" borderId="9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38" fontId="0" fillId="0" borderId="1" xfId="0" applyNumberFormat="1" applyBorder="1" applyAlignment="1">
      <alignment vertical="center"/>
    </xf>
    <xf numFmtId="38" fontId="0" fillId="0" borderId="8" xfId="1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38" fontId="0" fillId="0" borderId="9" xfId="1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38" fontId="0" fillId="0" borderId="0" xfId="0" applyNumberFormat="1" applyBorder="1" applyAlignment="1">
      <alignment vertical="center"/>
    </xf>
    <xf numFmtId="38" fontId="0" fillId="0" borderId="1" xfId="0" applyNumberFormat="1" applyBorder="1"/>
    <xf numFmtId="176" fontId="0" fillId="0" borderId="1" xfId="2" applyNumberFormat="1" applyFont="1" applyBorder="1" applyAlignment="1"/>
    <xf numFmtId="38" fontId="0" fillId="0" borderId="6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6" fontId="0" fillId="0" borderId="8" xfId="2" applyNumberFormat="1" applyFont="1" applyBorder="1" applyAlignment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6" fontId="0" fillId="0" borderId="6" xfId="0" applyNumberFormat="1" applyBorder="1"/>
    <xf numFmtId="176" fontId="0" fillId="0" borderId="9" xfId="0" applyNumberFormat="1" applyBorder="1"/>
    <xf numFmtId="38" fontId="0" fillId="0" borderId="5" xfId="1" applyFont="1" applyBorder="1" applyAlignment="1"/>
    <xf numFmtId="38" fontId="0" fillId="0" borderId="7" xfId="1" applyFont="1" applyBorder="1" applyAlignment="1"/>
    <xf numFmtId="38" fontId="0" fillId="0" borderId="4" xfId="1" applyFont="1" applyBorder="1" applyAlignment="1"/>
    <xf numFmtId="9" fontId="0" fillId="0" borderId="6" xfId="0" applyNumberFormat="1" applyBorder="1"/>
    <xf numFmtId="9" fontId="0" fillId="0" borderId="9" xfId="0" applyNumberFormat="1" applyBorder="1"/>
    <xf numFmtId="9" fontId="0" fillId="0" borderId="1" xfId="2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38" fontId="0" fillId="0" borderId="0" xfId="1" applyFont="1" applyAlignment="1"/>
    <xf numFmtId="0" fontId="4" fillId="0" borderId="8" xfId="0" applyFont="1" applyBorder="1" applyAlignment="1">
      <alignment horizontal="center"/>
    </xf>
    <xf numFmtId="38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/>
    <xf numFmtId="0" fontId="4" fillId="0" borderId="0" xfId="0" applyFont="1" applyAlignment="1"/>
    <xf numFmtId="177" fontId="0" fillId="0" borderId="1" xfId="0" applyNumberFormat="1" applyBorder="1"/>
    <xf numFmtId="0" fontId="0" fillId="0" borderId="1" xfId="0" applyNumberFormat="1" applyBorder="1"/>
    <xf numFmtId="178" fontId="0" fillId="0" borderId="6" xfId="1" applyNumberFormat="1" applyFont="1" applyBorder="1" applyAlignment="1"/>
    <xf numFmtId="178" fontId="0" fillId="0" borderId="9" xfId="1" applyNumberFormat="1" applyFont="1" applyBorder="1" applyAlignment="1"/>
    <xf numFmtId="0" fontId="0" fillId="0" borderId="12" xfId="0" applyBorder="1" applyAlignment="1">
      <alignment horizontal="center"/>
    </xf>
    <xf numFmtId="40" fontId="0" fillId="0" borderId="1" xfId="1" applyNumberFormat="1" applyFont="1" applyBorder="1" applyAlignment="1"/>
    <xf numFmtId="40" fontId="0" fillId="0" borderId="6" xfId="0" applyNumberFormat="1" applyBorder="1"/>
    <xf numFmtId="40" fontId="0" fillId="0" borderId="8" xfId="0" applyNumberFormat="1" applyBorder="1"/>
    <xf numFmtId="176" fontId="0" fillId="0" borderId="6" xfId="2" applyNumberFormat="1" applyFont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B-473F-9787-F4FA8A8B4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B-473F-9787-F4FA8A8B4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B-473F-9787-F4FA8A8B4D8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6E5-BD2B-1065BAB83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 (数式)'!$B$27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8-4841-B0C6-8B0464C522AB}"/>
            </c:ext>
          </c:extLst>
        </c:ser>
        <c:ser>
          <c:idx val="1"/>
          <c:order val="1"/>
          <c:tx>
            <c:strRef>
              <c:f>'準1-5 (数式)'!$C$27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 (数式)'!$A$28:$A$31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 (数式)'!$C$28:$C$31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8-4841-B0C6-8B0464C5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D-4AA8-A5F7-ECB32608E280}"/>
            </c:ext>
          </c:extLst>
        </c:ser>
        <c:ser>
          <c:idx val="1"/>
          <c:order val="1"/>
          <c:tx>
            <c:strRef>
              <c:f>'準1-6'!$I$16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D-4AA8-A5F7-ECB32608E280}"/>
            </c:ext>
          </c:extLst>
        </c:ser>
        <c:ser>
          <c:idx val="2"/>
          <c:order val="2"/>
          <c:tx>
            <c:strRef>
              <c:f>'準1-6'!$J$16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D-4AA8-A5F7-ECB32608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社員別諸手当の比較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'準1-6 (数式)'!$G$16</c:f>
              <c:strCache>
                <c:ptCount val="1"/>
                <c:pt idx="0">
                  <c:v>通勤手当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(数式)'!$G$17:$G$25</c:f>
              <c:numCache>
                <c:formatCode>#,##0_);[Red]\(#,##0\)</c:formatCode>
                <c:ptCount val="9"/>
                <c:pt idx="0">
                  <c:v>9216</c:v>
                </c:pt>
                <c:pt idx="1">
                  <c:v>8112</c:v>
                </c:pt>
                <c:pt idx="2">
                  <c:v>8381</c:v>
                </c:pt>
                <c:pt idx="3">
                  <c:v>12348</c:v>
                </c:pt>
                <c:pt idx="4">
                  <c:v>12324</c:v>
                </c:pt>
                <c:pt idx="5">
                  <c:v>12150</c:v>
                </c:pt>
                <c:pt idx="6">
                  <c:v>7943</c:v>
                </c:pt>
                <c:pt idx="7">
                  <c:v>10982</c:v>
                </c:pt>
                <c:pt idx="8">
                  <c:v>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4-4A31-B04F-F1147D228519}"/>
            </c:ext>
          </c:extLst>
        </c:ser>
        <c:ser>
          <c:idx val="1"/>
          <c:order val="1"/>
          <c:tx>
            <c:strRef>
              <c:f>'準1-6 (数式)'!$I$16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(数式)'!$I$17:$I$25</c:f>
              <c:numCache>
                <c:formatCode>#,##0_);[Red]\(#,##0\)</c:formatCode>
                <c:ptCount val="9"/>
                <c:pt idx="0">
                  <c:v>30720</c:v>
                </c:pt>
                <c:pt idx="1">
                  <c:v>26400</c:v>
                </c:pt>
                <c:pt idx="2">
                  <c:v>23520</c:v>
                </c:pt>
                <c:pt idx="3">
                  <c:v>28800</c:v>
                </c:pt>
                <c:pt idx="4">
                  <c:v>25920</c:v>
                </c:pt>
                <c:pt idx="5">
                  <c:v>30240</c:v>
                </c:pt>
                <c:pt idx="6">
                  <c:v>24960</c:v>
                </c:pt>
                <c:pt idx="7">
                  <c:v>27360</c:v>
                </c:pt>
                <c:pt idx="8">
                  <c:v>28320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4-4A31-B04F-F1147D228519}"/>
            </c:ext>
          </c:extLst>
        </c:ser>
        <c:ser>
          <c:idx val="2"/>
          <c:order val="2"/>
          <c:tx>
            <c:strRef>
              <c:f>'準1-6 (数式)'!$J$16</c:f>
              <c:strCache>
                <c:ptCount val="1"/>
                <c:pt idx="0">
                  <c:v>職域手当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'準1-6 (数式)'!$B$17:$B$25</c:f>
              <c:strCache>
                <c:ptCount val="9"/>
                <c:pt idx="0">
                  <c:v>藤森　健一</c:v>
                </c:pt>
                <c:pt idx="1">
                  <c:v>鈴木　政治</c:v>
                </c:pt>
                <c:pt idx="2">
                  <c:v>長谷川　誠</c:v>
                </c:pt>
                <c:pt idx="3">
                  <c:v>西　さおり</c:v>
                </c:pt>
                <c:pt idx="4">
                  <c:v>加藤　美香</c:v>
                </c:pt>
                <c:pt idx="5">
                  <c:v>久保田　心</c:v>
                </c:pt>
                <c:pt idx="6">
                  <c:v>大山　京介</c:v>
                </c:pt>
                <c:pt idx="7">
                  <c:v>中川　正雄</c:v>
                </c:pt>
                <c:pt idx="8">
                  <c:v>渡部　清子</c:v>
                </c:pt>
              </c:strCache>
            </c:strRef>
          </c:cat>
          <c:val>
            <c:numRef>
              <c:f>'準1-6 (数式)'!$J$17:$J$25</c:f>
              <c:numCache>
                <c:formatCode>#,##0_);[Red]\(#,##0\)</c:formatCode>
                <c:ptCount val="9"/>
                <c:pt idx="0">
                  <c:v>22320</c:v>
                </c:pt>
                <c:pt idx="1">
                  <c:v>22320</c:v>
                </c:pt>
                <c:pt idx="2">
                  <c:v>25820</c:v>
                </c:pt>
                <c:pt idx="3">
                  <c:v>22420</c:v>
                </c:pt>
                <c:pt idx="4">
                  <c:v>24580</c:v>
                </c:pt>
                <c:pt idx="5">
                  <c:v>19460</c:v>
                </c:pt>
                <c:pt idx="6">
                  <c:v>21530</c:v>
                </c:pt>
                <c:pt idx="7">
                  <c:v>22410</c:v>
                </c:pt>
                <c:pt idx="8">
                  <c:v>20440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4-4A31-B04F-F1147D22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143343"/>
        <c:axId val="1823405679"/>
      </c:barChart>
      <c:catAx>
        <c:axId val="1823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405679"/>
        <c:crosses val="autoZero"/>
        <c:auto val="1"/>
        <c:lblAlgn val="ctr"/>
        <c:lblOffset val="100"/>
        <c:noMultiLvlLbl val="0"/>
      </c:catAx>
      <c:valAx>
        <c:axId val="1823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B-45D8-B495-4AEC7BD1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8B-45D8-B495-4AEC7BD14C30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銘柄別の受取金額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'準1-7 (数式)'!$D$24</c:f>
              <c:strCache>
                <c:ptCount val="1"/>
                <c:pt idx="0">
                  <c:v>受取金額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'準1-7 (数式)'!$A$25:$A$28</c:f>
              <c:strCache>
                <c:ptCount val="4"/>
                <c:pt idx="0">
                  <c:v>南関東化学</c:v>
                </c:pt>
                <c:pt idx="1">
                  <c:v>ＪＡＣ工業</c:v>
                </c:pt>
                <c:pt idx="2">
                  <c:v>西日本倉庫</c:v>
                </c:pt>
                <c:pt idx="3">
                  <c:v>サクラ電機</c:v>
                </c:pt>
              </c:strCache>
            </c:strRef>
          </c:cat>
          <c:val>
            <c:numRef>
              <c:f>'準1-7 (数式)'!$D$25:$D$28</c:f>
              <c:numCache>
                <c:formatCode>#,##0_);[Red]\(#,##0\)</c:formatCode>
                <c:ptCount val="4"/>
                <c:pt idx="0">
                  <c:v>2341221</c:v>
                </c:pt>
                <c:pt idx="1">
                  <c:v>3828099</c:v>
                </c:pt>
                <c:pt idx="2">
                  <c:v>2973992</c:v>
                </c:pt>
                <c:pt idx="3">
                  <c:v>3477150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0D5-8230-FD84C9DC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1359"/>
        <c:axId val="26063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'準1-7 (数式)'!$B$24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'準1-7 (数式)'!$A$25:$A$28</c15:sqref>
                        </c15:formulaRef>
                      </c:ext>
                    </c:extLst>
                    <c:strCache>
                      <c:ptCount val="4"/>
                      <c:pt idx="0">
                        <c:v>南関東化学</c:v>
                      </c:pt>
                      <c:pt idx="1">
                        <c:v>ＪＡＣ工業</c:v>
                      </c:pt>
                      <c:pt idx="2">
                        <c:v>西日本倉庫</c:v>
                      </c:pt>
                      <c:pt idx="3">
                        <c:v>サクラ電機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'準1-7 (数式)'!$B$25:$B$28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37-40D5-8230-FD84C9DCCFB6}"/>
                  </c:ext>
                </c:extLst>
              </c15:ser>
            </c15:filteredBarSeries>
          </c:ext>
        </c:extLst>
      </c:barChart>
      <c:catAx>
        <c:axId val="175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630783"/>
        <c:crosses val="autoZero"/>
        <c:auto val="1"/>
        <c:lblAlgn val="ctr"/>
        <c:lblOffset val="100"/>
        <c:noMultiLvlLbl val="0"/>
      </c:catAx>
      <c:valAx>
        <c:axId val="2606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4CF6-B8C8-E498CB9C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'準1-8 (数式)'!$H$15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'準1-8 (数式)'!$B$16:$B$23</c:f>
              <c:strCache>
                <c:ptCount val="8"/>
                <c:pt idx="0">
                  <c:v>長谷川食品</c:v>
                </c:pt>
                <c:pt idx="1">
                  <c:v>青木総業</c:v>
                </c:pt>
                <c:pt idx="2">
                  <c:v>佐藤商店</c:v>
                </c:pt>
                <c:pt idx="3">
                  <c:v>中央物産</c:v>
                </c:pt>
                <c:pt idx="4">
                  <c:v>ヤマヨ水産</c:v>
                </c:pt>
                <c:pt idx="5">
                  <c:v>鈴木商会</c:v>
                </c:pt>
                <c:pt idx="6">
                  <c:v>ＳＢストア</c:v>
                </c:pt>
                <c:pt idx="7">
                  <c:v>東海百貨店</c:v>
                </c:pt>
              </c:strCache>
            </c:strRef>
          </c:cat>
          <c:val>
            <c:numRef>
              <c:f>'準1-8 (数式)'!$H$16:$H$23</c:f>
              <c:numCache>
                <c:formatCode>#,##0_);[Red]\(#,##0\)</c:formatCode>
                <c:ptCount val="8"/>
                <c:pt idx="0">
                  <c:v>368906</c:v>
                </c:pt>
                <c:pt idx="1">
                  <c:v>429135</c:v>
                </c:pt>
                <c:pt idx="2">
                  <c:v>559406</c:v>
                </c:pt>
                <c:pt idx="3">
                  <c:v>574469</c:v>
                </c:pt>
                <c:pt idx="4">
                  <c:v>616915</c:v>
                </c:pt>
                <c:pt idx="5">
                  <c:v>657137</c:v>
                </c:pt>
                <c:pt idx="6">
                  <c:v>663616</c:v>
                </c:pt>
                <c:pt idx="7">
                  <c:v>733851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173-B5A0-E7D12A44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39711"/>
        <c:axId val="270383855"/>
      </c:barChart>
      <c:catAx>
        <c:axId val="26653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383855"/>
        <c:crosses val="autoZero"/>
        <c:auto val="1"/>
        <c:lblAlgn val="ctr"/>
        <c:lblOffset val="100"/>
        <c:noMultiLvlLbl val="0"/>
      </c:catAx>
      <c:valAx>
        <c:axId val="2703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9-4F1A-9B02-090E8357C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9-4F1A-9B02-090E8357C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49-4F1A-9B02-090E8357C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49-4F1A-9B02-090E8357C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49-4F1A-9B02-090E8357C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49-4F1A-9B02-090E8357C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49-4F1A-9B02-090E8357C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E-4F3D-913B-F21F409E905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E-4F3D-913B-F21F409E90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請求金額の構成比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'準1-9 (数式)'!$H$15</c:f>
              <c:strCache>
                <c:ptCount val="1"/>
                <c:pt idx="0">
                  <c:v>請求金額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2-4DC4-ABE6-8657D9012C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2-4DC4-ABE6-8657D9012C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2-4DC4-ABE6-8657D9012C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2-4DC4-ABE6-8657D9012C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2-4DC4-ABE6-8657D9012C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2-4DC4-ABE6-8657D9012C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2-4DC4-ABE6-8657D9012C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2-4DC4-ABE6-8657D9012C2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'準1-9 (数式)'!$B$16:$B$23</c:f>
              <c:strCache>
                <c:ptCount val="8"/>
                <c:pt idx="0">
                  <c:v>子育て会議</c:v>
                </c:pt>
                <c:pt idx="1">
                  <c:v>旅行クラブ</c:v>
                </c:pt>
                <c:pt idx="2">
                  <c:v>情報教育会</c:v>
                </c:pt>
                <c:pt idx="3">
                  <c:v>長谷川工業</c:v>
                </c:pt>
                <c:pt idx="4">
                  <c:v>ＡＢＣ電機</c:v>
                </c:pt>
                <c:pt idx="5">
                  <c:v>写真愛好会</c:v>
                </c:pt>
                <c:pt idx="6">
                  <c:v>落語研究会</c:v>
                </c:pt>
                <c:pt idx="7">
                  <c:v>税金相談会</c:v>
                </c:pt>
              </c:strCache>
            </c:strRef>
          </c:cat>
          <c:val>
            <c:numRef>
              <c:f>'準1-9 (数式)'!$H$16:$H$23</c:f>
              <c:numCache>
                <c:formatCode>#,##0_);[Red]\(#,##0\)</c:formatCode>
                <c:ptCount val="8"/>
                <c:pt idx="0">
                  <c:v>26655</c:v>
                </c:pt>
                <c:pt idx="1">
                  <c:v>26978</c:v>
                </c:pt>
                <c:pt idx="2">
                  <c:v>33754</c:v>
                </c:pt>
                <c:pt idx="3">
                  <c:v>34688</c:v>
                </c:pt>
                <c:pt idx="4">
                  <c:v>35901</c:v>
                </c:pt>
                <c:pt idx="5">
                  <c:v>40236</c:v>
                </c:pt>
                <c:pt idx="6">
                  <c:v>40696</c:v>
                </c:pt>
                <c:pt idx="7">
                  <c:v>42061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02-4DC4-ABE6-8657D9012C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E50-84E4-7014E10F9DD4}"/>
            </c:ext>
          </c:extLst>
        </c:ser>
        <c:ser>
          <c:idx val="1"/>
          <c:order val="1"/>
          <c:tx>
            <c:strRef>
              <c:f>'準1-10'!$E$15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E-4E50-84E4-7014E10F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 (数式)'!$C$28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A-4A4C-9992-D125600B7F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A-4A4C-9992-D125600B7F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A-4A4C-9992-D125600B7F81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 (数式)'!$A$29:$A$31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 (数式)'!$C$29:$C$31</c:f>
              <c:numCache>
                <c:formatCode>#,##0_);[Red]\(#,##0\)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A-4A4C-9992-D125600B7F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代表者別の比較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'準1-10 (数式)'!$C$15</c:f>
              <c:strCache>
                <c:ptCount val="1"/>
                <c:pt idx="0">
                  <c:v>宿泊料金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(数式)'!$C$16:$C$23</c:f>
              <c:numCache>
                <c:formatCode>#,##0_);[Red]\(#,##0\)</c:formatCode>
                <c:ptCount val="8"/>
                <c:pt idx="0">
                  <c:v>69520</c:v>
                </c:pt>
                <c:pt idx="1">
                  <c:v>60720</c:v>
                </c:pt>
                <c:pt idx="2">
                  <c:v>52140</c:v>
                </c:pt>
                <c:pt idx="3">
                  <c:v>53820</c:v>
                </c:pt>
                <c:pt idx="4">
                  <c:v>84320</c:v>
                </c:pt>
                <c:pt idx="5">
                  <c:v>40480</c:v>
                </c:pt>
                <c:pt idx="6">
                  <c:v>66180</c:v>
                </c:pt>
                <c:pt idx="7">
                  <c:v>55150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E66-9A02-AA912CCF0384}"/>
            </c:ext>
          </c:extLst>
        </c:ser>
        <c:ser>
          <c:idx val="1"/>
          <c:order val="1"/>
          <c:tx>
            <c:strRef>
              <c:f>'準1-10 (数式)'!$E$15</c:f>
              <c:strCache>
                <c:ptCount val="1"/>
                <c:pt idx="0">
                  <c:v>ＯＰ料金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'準1-10 (数式)'!$B$16:$B$23</c:f>
              <c:strCache>
                <c:ptCount val="8"/>
                <c:pt idx="0">
                  <c:v>山田　英樹</c:v>
                </c:pt>
                <c:pt idx="1">
                  <c:v>大島　正雄</c:v>
                </c:pt>
                <c:pt idx="2">
                  <c:v>長谷川　勇</c:v>
                </c:pt>
                <c:pt idx="3">
                  <c:v>中村　桜子</c:v>
                </c:pt>
                <c:pt idx="4">
                  <c:v>林　明日香</c:v>
                </c:pt>
                <c:pt idx="5">
                  <c:v>井上　陽一</c:v>
                </c:pt>
                <c:pt idx="6">
                  <c:v>内藤　好美</c:v>
                </c:pt>
                <c:pt idx="7">
                  <c:v>桜井　加奈</c:v>
                </c:pt>
              </c:strCache>
            </c:strRef>
          </c:cat>
          <c:val>
            <c:numRef>
              <c:f>'準1-10 (数式)'!$E$16:$E$23</c:f>
              <c:numCache>
                <c:formatCode>#,##0_);[Red]\(#,##0\)</c:formatCode>
                <c:ptCount val="8"/>
                <c:pt idx="0">
                  <c:v>20856</c:v>
                </c:pt>
                <c:pt idx="1">
                  <c:v>18216</c:v>
                </c:pt>
                <c:pt idx="2">
                  <c:v>15642</c:v>
                </c:pt>
                <c:pt idx="3">
                  <c:v>10764</c:v>
                </c:pt>
                <c:pt idx="4">
                  <c:v>8432</c:v>
                </c:pt>
                <c:pt idx="5">
                  <c:v>8096</c:v>
                </c:pt>
                <c:pt idx="6">
                  <c:v>6618</c:v>
                </c:pt>
                <c:pt idx="7">
                  <c:v>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E66-9A02-AA912CCF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058239"/>
        <c:axId val="1720346671"/>
      </c:barChart>
      <c:catAx>
        <c:axId val="1796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6671"/>
        <c:crosses val="autoZero"/>
        <c:auto val="1"/>
        <c:lblAlgn val="ctr"/>
        <c:lblOffset val="100"/>
        <c:noMultiLvlLbl val="0"/>
      </c:catAx>
      <c:valAx>
        <c:axId val="1720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626-836D-A196F351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'準1-11 (数式)'!$C$24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'準1-11 (数式)'!$A$25:$A$27</c:f>
              <c:strCache>
                <c:ptCount val="3"/>
                <c:pt idx="0">
                  <c:v>Q商品</c:v>
                </c:pt>
                <c:pt idx="1">
                  <c:v>R商品</c:v>
                </c:pt>
                <c:pt idx="2">
                  <c:v>S商品</c:v>
                </c:pt>
              </c:strCache>
            </c:strRef>
          </c:cat>
          <c:val>
            <c:numRef>
              <c:f>'準1-11 (数式)'!$C$25:$C$27</c:f>
              <c:numCache>
                <c:formatCode>#,##0_);[Red]\(#,##0\)</c:formatCode>
                <c:ptCount val="3"/>
                <c:pt idx="0">
                  <c:v>5172549</c:v>
                </c:pt>
                <c:pt idx="1">
                  <c:v>5023306</c:v>
                </c:pt>
                <c:pt idx="2">
                  <c:v>5884282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7-4E09-9B9C-F1BAD00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04287"/>
        <c:axId val="1807776911"/>
      </c:barChart>
      <c:catAx>
        <c:axId val="1714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776911"/>
        <c:crosses val="autoZero"/>
        <c:auto val="1"/>
        <c:lblAlgn val="ctr"/>
        <c:lblOffset val="100"/>
        <c:noMultiLvlLbl val="0"/>
      </c:catAx>
      <c:valAx>
        <c:axId val="1807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41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9BF-84FB-6676925DD37F}"/>
            </c:ext>
          </c:extLst>
        </c:ser>
        <c:ser>
          <c:idx val="1"/>
          <c:order val="1"/>
          <c:tx>
            <c:strRef>
              <c:f>'準1-12'!$F$15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9BF-84FB-6676925D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発注先名別の集計グラフ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'準1-12 (数式)'!$E$15</c:f>
              <c:strCache>
                <c:ptCount val="1"/>
                <c:pt idx="0">
                  <c:v>基本加工賃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(数式)'!$E$16:$E$23</c:f>
              <c:numCache>
                <c:formatCode>#,##0_);[Red]\(#,##0\)</c:formatCode>
                <c:ptCount val="8"/>
                <c:pt idx="0">
                  <c:v>354000</c:v>
                </c:pt>
                <c:pt idx="1">
                  <c:v>393000</c:v>
                </c:pt>
                <c:pt idx="2">
                  <c:v>315000</c:v>
                </c:pt>
                <c:pt idx="3">
                  <c:v>372000</c:v>
                </c:pt>
                <c:pt idx="4">
                  <c:v>315000</c:v>
                </c:pt>
                <c:pt idx="5">
                  <c:v>354000</c:v>
                </c:pt>
                <c:pt idx="6">
                  <c:v>393000</c:v>
                </c:pt>
                <c:pt idx="7">
                  <c:v>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FA6-8E25-A6ACC1D8B8CF}"/>
            </c:ext>
          </c:extLst>
        </c:ser>
        <c:ser>
          <c:idx val="1"/>
          <c:order val="1"/>
          <c:tx>
            <c:strRef>
              <c:f>'準1-12 (数式)'!$F$15</c:f>
              <c:strCache>
                <c:ptCount val="1"/>
                <c:pt idx="0">
                  <c:v>追加加工賃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'準1-12 (数式)'!$B$16:$B$23</c:f>
              <c:strCache>
                <c:ptCount val="8"/>
                <c:pt idx="0">
                  <c:v>鈴木製作所</c:v>
                </c:pt>
                <c:pt idx="1">
                  <c:v>みなみ精工</c:v>
                </c:pt>
                <c:pt idx="2">
                  <c:v>北陸テクノ</c:v>
                </c:pt>
                <c:pt idx="3">
                  <c:v>中日本電機</c:v>
                </c:pt>
                <c:pt idx="4">
                  <c:v>大和田工機</c:v>
                </c:pt>
                <c:pt idx="5">
                  <c:v>岸和田電工</c:v>
                </c:pt>
                <c:pt idx="6">
                  <c:v>ＪＴＡ工業</c:v>
                </c:pt>
                <c:pt idx="7">
                  <c:v>久保山製作</c:v>
                </c:pt>
              </c:strCache>
            </c:strRef>
          </c:cat>
          <c:val>
            <c:numRef>
              <c:f>'準1-12 (数式)'!$F$16:$F$23</c:f>
              <c:numCache>
                <c:formatCode>#,##0_);[Red]\(#,##0\)</c:formatCode>
                <c:ptCount val="8"/>
                <c:pt idx="0">
                  <c:v>53218.000000000007</c:v>
                </c:pt>
                <c:pt idx="1">
                  <c:v>77814</c:v>
                </c:pt>
                <c:pt idx="2">
                  <c:v>69300</c:v>
                </c:pt>
                <c:pt idx="3">
                  <c:v>107756.00000000001</c:v>
                </c:pt>
                <c:pt idx="4">
                  <c:v>92400.000000000015</c:v>
                </c:pt>
                <c:pt idx="5">
                  <c:v>147972</c:v>
                </c:pt>
                <c:pt idx="6">
                  <c:v>206063.00000000003</c:v>
                </c:pt>
                <c:pt idx="7">
                  <c:v>212784.00000000003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FA6-8E25-A6ACC1D8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6824207"/>
        <c:axId val="1720352911"/>
      </c:barChart>
      <c:catAx>
        <c:axId val="18568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52911"/>
        <c:crosses val="autoZero"/>
        <c:auto val="1"/>
        <c:lblAlgn val="ctr"/>
        <c:lblOffset val="100"/>
        <c:noMultiLvlLbl val="0"/>
      </c:catAx>
      <c:valAx>
        <c:axId val="17203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8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517-8BA4-00805855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'準1-2 (数式)'!$C$29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'準1-2 (数式)'!$A$30:$A$32</c:f>
              <c:strCache>
                <c:ptCount val="3"/>
                <c:pt idx="0">
                  <c:v>南四国物産</c:v>
                </c:pt>
                <c:pt idx="1">
                  <c:v>大八木総業</c:v>
                </c:pt>
                <c:pt idx="2">
                  <c:v>ＪＡＫ商事</c:v>
                </c:pt>
              </c:strCache>
            </c:strRef>
          </c:cat>
          <c:val>
            <c:numRef>
              <c:f>'準1-2 (数式)'!$C$30:$C$32</c:f>
              <c:numCache>
                <c:formatCode>#,##0_);[Red]\(#,##0\)</c:formatCode>
                <c:ptCount val="3"/>
                <c:pt idx="0">
                  <c:v>1355997</c:v>
                </c:pt>
                <c:pt idx="1">
                  <c:v>1332885</c:v>
                </c:pt>
                <c:pt idx="2">
                  <c:v>1341643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2EB-9ED5-242DD6B7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61343"/>
        <c:axId val="378405295"/>
      </c:barChart>
      <c:catAx>
        <c:axId val="380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405295"/>
        <c:crosses val="autoZero"/>
        <c:auto val="1"/>
        <c:lblAlgn val="ctr"/>
        <c:lblOffset val="100"/>
        <c:noMultiLvlLbl val="0"/>
      </c:catAx>
      <c:valAx>
        <c:axId val="37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E-474B-95FC-BE993EC9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会社別の請求金額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'準1-3 (数式)'!$L$9</c:f>
              <c:strCache>
                <c:ptCount val="1"/>
                <c:pt idx="0">
                  <c:v>請求金額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'準1-3 (数式)'!$B$10:$B$17</c:f>
              <c:strCache>
                <c:ptCount val="8"/>
                <c:pt idx="0">
                  <c:v>ＡＢＣ総業</c:v>
                </c:pt>
                <c:pt idx="1">
                  <c:v>佐々木産業</c:v>
                </c:pt>
                <c:pt idx="2">
                  <c:v>西日本企画</c:v>
                </c:pt>
                <c:pt idx="3">
                  <c:v>大久保物産</c:v>
                </c:pt>
                <c:pt idx="4">
                  <c:v>日の出商事</c:v>
                </c:pt>
                <c:pt idx="5">
                  <c:v>健康ホーム</c:v>
                </c:pt>
                <c:pt idx="6">
                  <c:v>ヤマト商会</c:v>
                </c:pt>
                <c:pt idx="7">
                  <c:v>北海道電機</c:v>
                </c:pt>
              </c:strCache>
            </c:strRef>
          </c:cat>
          <c:val>
            <c:numRef>
              <c:f>'準1-3 (数式)'!$L$10:$L$17</c:f>
              <c:numCache>
                <c:formatCode>#,##0_);[Red]\(#,##0\)</c:formatCode>
                <c:ptCount val="8"/>
                <c:pt idx="0">
                  <c:v>54077</c:v>
                </c:pt>
                <c:pt idx="1">
                  <c:v>58866</c:v>
                </c:pt>
                <c:pt idx="2">
                  <c:v>64541</c:v>
                </c:pt>
                <c:pt idx="3">
                  <c:v>70045</c:v>
                </c:pt>
                <c:pt idx="4">
                  <c:v>76962</c:v>
                </c:pt>
                <c:pt idx="5">
                  <c:v>80740</c:v>
                </c:pt>
                <c:pt idx="6">
                  <c:v>95037</c:v>
                </c:pt>
                <c:pt idx="7">
                  <c:v>120089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C-4889-AE7D-26A2576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35168"/>
        <c:axId val="1152098608"/>
      </c:barChart>
      <c:catAx>
        <c:axId val="118373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98608"/>
        <c:crosses val="autoZero"/>
        <c:auto val="1"/>
        <c:lblAlgn val="ctr"/>
        <c:lblOffset val="100"/>
        <c:noMultiLvlLbl val="0"/>
      </c:catAx>
      <c:valAx>
        <c:axId val="11520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7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6AD-A9B0-7777D4B1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依頼先別の完成率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'準1-4 (数式)'!$K$9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'準1-4 (数式)'!$B$10:$B$17</c:f>
              <c:strCache>
                <c:ptCount val="8"/>
                <c:pt idx="0">
                  <c:v>勝間田製作</c:v>
                </c:pt>
                <c:pt idx="1">
                  <c:v>アオキ電機</c:v>
                </c:pt>
                <c:pt idx="2">
                  <c:v>ひので工業</c:v>
                </c:pt>
                <c:pt idx="3">
                  <c:v>中村製作所</c:v>
                </c:pt>
                <c:pt idx="4">
                  <c:v>佐々木工機</c:v>
                </c:pt>
                <c:pt idx="5">
                  <c:v>三井精工所</c:v>
                </c:pt>
                <c:pt idx="6">
                  <c:v>西日本電工</c:v>
                </c:pt>
                <c:pt idx="7">
                  <c:v>ＫＹテクノ</c:v>
                </c:pt>
              </c:strCache>
            </c:strRef>
          </c:cat>
          <c:val>
            <c:numRef>
              <c:f>'準1-4 (数式)'!$K$10:$K$17</c:f>
              <c:numCache>
                <c:formatCode>0.0%</c:formatCode>
                <c:ptCount val="8"/>
                <c:pt idx="0">
                  <c:v>0.94799999999999995</c:v>
                </c:pt>
                <c:pt idx="1">
                  <c:v>0.94299999999999995</c:v>
                </c:pt>
                <c:pt idx="2">
                  <c:v>0.96899999999999997</c:v>
                </c:pt>
                <c:pt idx="3">
                  <c:v>0.94</c:v>
                </c:pt>
                <c:pt idx="4">
                  <c:v>0.94099999999999995</c:v>
                </c:pt>
                <c:pt idx="5">
                  <c:v>0.95799999999999996</c:v>
                </c:pt>
                <c:pt idx="6">
                  <c:v>0.97299999999999998</c:v>
                </c:pt>
                <c:pt idx="7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61-9570-0DBF093E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4239"/>
        <c:axId val="1779631967"/>
      </c:lineChart>
      <c:catAx>
        <c:axId val="18121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31967"/>
        <c:crosses val="autoZero"/>
        <c:auto val="1"/>
        <c:lblAlgn val="ctr"/>
        <c:lblOffset val="100"/>
        <c:noMultiLvlLbl val="0"/>
      </c:catAx>
      <c:valAx>
        <c:axId val="1779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1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'準1-5'!$B$27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'準1-5'!$B$28:$B$31</c:f>
              <c:numCache>
                <c:formatCode>#,##0_);[Red]\(#,##0\)</c:formatCode>
                <c:ptCount val="4"/>
                <c:pt idx="0">
                  <c:v>186300</c:v>
                </c:pt>
                <c:pt idx="1">
                  <c:v>243900</c:v>
                </c:pt>
                <c:pt idx="2">
                  <c:v>239400</c:v>
                </c:pt>
                <c:pt idx="3">
                  <c:v>256500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82-9389-77B99A354197}"/>
            </c:ext>
          </c:extLst>
        </c:ser>
        <c:ser>
          <c:idx val="1"/>
          <c:order val="1"/>
          <c:tx>
            <c:strRef>
              <c:f>'準1-5'!$C$27</c:f>
              <c:strCache>
                <c:ptCount val="1"/>
                <c:pt idx="0">
                  <c:v>追加料金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'準1-5'!$A$28:$A$31</c:f>
              <c:strCache>
                <c:ptCount val="4"/>
                <c:pt idx="0">
                  <c:v>商品S</c:v>
                </c:pt>
                <c:pt idx="1">
                  <c:v>商品T</c:v>
                </c:pt>
                <c:pt idx="2">
                  <c:v>商品U</c:v>
                </c:pt>
                <c:pt idx="3">
                  <c:v>商品V</c:v>
                </c:pt>
              </c:strCache>
            </c:strRef>
          </c:cat>
          <c:val>
            <c:numRef>
              <c:f>'準1-5'!$C$28:$C$31</c:f>
              <c:numCache>
                <c:formatCode>#,##0_);[Red]\(#,##0\)</c:formatCode>
                <c:ptCount val="4"/>
                <c:pt idx="0">
                  <c:v>18630</c:v>
                </c:pt>
                <c:pt idx="1">
                  <c:v>58265</c:v>
                </c:pt>
                <c:pt idx="2">
                  <c:v>13300</c:v>
                </c:pt>
                <c:pt idx="3">
                  <c:v>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882-9389-77B99A35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979679"/>
        <c:axId val="1825325679"/>
      </c:barChart>
      <c:catAx>
        <c:axId val="18249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25679"/>
        <c:crosses val="autoZero"/>
        <c:auto val="1"/>
        <c:lblAlgn val="ctr"/>
        <c:lblOffset val="100"/>
        <c:noMultiLvlLbl val="0"/>
      </c:catAx>
      <c:valAx>
        <c:axId val="18253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9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0</xdr:rowOff>
    </xdr:from>
    <xdr:to>
      <xdr:col>10</xdr:col>
      <xdr:colOff>676275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65D15B-6CCD-4D30-AFC7-3C437684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F28683-C9B5-4369-A331-AF1BB954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03AB7-27FD-40EE-8CB1-5BF4ACFD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228600</xdr:rowOff>
    </xdr:from>
    <xdr:to>
      <xdr:col>12</xdr:col>
      <xdr:colOff>9524</xdr:colOff>
      <xdr:row>43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FB988B-3513-4901-89DD-DDE473A37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324C58-CC96-427A-891E-2FEBA2F3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8</xdr:col>
      <xdr:colOff>828674</xdr:colOff>
      <xdr:row>40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CC560-3686-4C03-99DA-2F0255B1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1FAF9B-F181-4C5E-88DD-B39E24C8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13</xdr:col>
      <xdr:colOff>9524</xdr:colOff>
      <xdr:row>42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72289-CD2E-4CCC-B41C-2237CF674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83D80D-5E7B-494F-9FA7-94EBD495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12</xdr:col>
      <xdr:colOff>676274</xdr:colOff>
      <xdr:row>41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3CB7FB-67E9-4A55-9C09-AE041C66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C810CC-BCE3-43EF-BB54-A299AAF0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32</xdr:row>
      <xdr:rowOff>0</xdr:rowOff>
    </xdr:from>
    <xdr:to>
      <xdr:col>8</xdr:col>
      <xdr:colOff>495299</xdr:colOff>
      <xdr:row>43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468C3B-5071-4438-AEE4-B31BD5BF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228600</xdr:rowOff>
    </xdr:from>
    <xdr:to>
      <xdr:col>13</xdr:col>
      <xdr:colOff>0</xdr:colOff>
      <xdr:row>41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8CFC76-9FEE-4D22-B2D3-7EE416040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30DD0D-A9C5-417B-9713-D3AAC63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781050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9B5A6E-0FBF-4C52-A4B6-8A10B945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E22042-E5AD-4881-B7CB-88CC9571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11</xdr:col>
      <xdr:colOff>9524</xdr:colOff>
      <xdr:row>42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C650DB-D66E-4DFB-9F5F-C489D164A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919229-ADA8-474A-B52C-528259A9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228600</xdr:rowOff>
    </xdr:from>
    <xdr:to>
      <xdr:col>11</xdr:col>
      <xdr:colOff>9524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34B29F-5E2B-4823-A7C1-3A5E5B7F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CBB7E1-6C8B-4A21-9C0C-85CBF6A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0</xdr:rowOff>
    </xdr:from>
    <xdr:to>
      <xdr:col>11</xdr:col>
      <xdr:colOff>676275</xdr:colOff>
      <xdr:row>37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2AFD5-71A7-4DA6-B0D0-FDFBD6F24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FF1306-EA88-45CA-B02B-CF3BF963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24</xdr:row>
      <xdr:rowOff>0</xdr:rowOff>
    </xdr:from>
    <xdr:to>
      <xdr:col>11</xdr:col>
      <xdr:colOff>390525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575B4C-479B-46F0-A0CA-32BF239AA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</xdr:rowOff>
    </xdr:from>
    <xdr:to>
      <xdr:col>11</xdr:col>
      <xdr:colOff>676275</xdr:colOff>
      <xdr:row>43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AC106A-70A6-4781-BBB1-972F0842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workbookViewId="0">
      <selection activeCell="N31" sqref="N31"/>
    </sheetView>
  </sheetViews>
  <sheetFormatPr defaultRowHeight="18.75"/>
  <cols>
    <col min="3" max="4" width="11" bestFit="1" customWidth="1"/>
    <col min="8" max="8" width="9.5" bestFit="1" customWidth="1"/>
    <col min="9" max="9" width="8" bestFit="1" customWidth="1"/>
  </cols>
  <sheetData>
    <row r="1" spans="1:11" ht="19.5" thickBot="1">
      <c r="A1" s="97" t="s">
        <v>8</v>
      </c>
      <c r="B1" s="97"/>
      <c r="C1" s="97"/>
      <c r="D1" s="97"/>
      <c r="E1" s="97"/>
      <c r="F1" s="97"/>
      <c r="G1" s="97"/>
      <c r="H1" s="97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8" t="s">
        <v>30</v>
      </c>
      <c r="K2" s="98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7" t="s">
        <v>25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8" t="s">
        <v>37</v>
      </c>
      <c r="B27" s="98"/>
      <c r="C27" s="98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A10:K10"/>
    <mergeCell ref="J2:K2"/>
    <mergeCell ref="A27:C27"/>
  </mergeCells>
  <phoneticPr fontId="2"/>
  <pageMargins left="0.25" right="0.25" top="0.75" bottom="0.75" header="0.3" footer="0.3"/>
  <pageSetup paperSize="9" scale="8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58FB-FFC7-43EE-9B74-85E584A69906}">
  <sheetPr>
    <pageSetUpPr fitToPage="1"/>
  </sheetPr>
  <dimension ref="A1:L31"/>
  <sheetViews>
    <sheetView showFormulas="1" topLeftCell="A15" workbookViewId="0">
      <selection activeCell="A15" sqref="A1:L1048576"/>
    </sheetView>
  </sheetViews>
  <sheetFormatPr defaultRowHeight="18.75"/>
  <cols>
    <col min="1" max="1" width="3.625" bestFit="1" customWidth="1"/>
    <col min="2" max="2" width="27" bestFit="1" customWidth="1"/>
    <col min="3" max="3" width="27.125" bestFit="1" customWidth="1"/>
    <col min="4" max="4" width="15.875" bestFit="1" customWidth="1"/>
    <col min="5" max="5" width="19.875" bestFit="1" customWidth="1"/>
    <col min="6" max="6" width="17.5" bestFit="1" customWidth="1"/>
    <col min="7" max="7" width="19.625" bestFit="1" customWidth="1"/>
    <col min="8" max="8" width="3.625" bestFit="1" customWidth="1"/>
    <col min="9" max="9" width="18.25" bestFit="1" customWidth="1"/>
    <col min="10" max="10" width="15.875" bestFit="1" customWidth="1"/>
    <col min="11" max="11" width="16" bestFit="1" customWidth="1"/>
    <col min="12" max="12" width="21.75" bestFit="1" customWidth="1"/>
  </cols>
  <sheetData>
    <row r="1" spans="1:12" ht="19.5" thickBot="1">
      <c r="A1" s="97" t="s">
        <v>148</v>
      </c>
      <c r="B1" s="97"/>
      <c r="C1" s="97"/>
      <c r="D1" s="97"/>
      <c r="E1" s="97"/>
      <c r="F1" s="97"/>
      <c r="H1" s="98" t="s">
        <v>159</v>
      </c>
      <c r="I1" s="98"/>
      <c r="K1" s="98" t="s">
        <v>163</v>
      </c>
      <c r="L1" s="98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7" t="s">
        <v>174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10" t="s">
        <v>181</v>
      </c>
      <c r="B26" s="110"/>
      <c r="C26" s="110"/>
    </row>
    <row r="27" spans="1:12">
      <c r="A27" s="55" t="s">
        <v>150</v>
      </c>
      <c r="B27" s="56" t="s">
        <v>175</v>
      </c>
      <c r="C27" s="18" t="s">
        <v>177</v>
      </c>
      <c r="G27" s="55" t="s">
        <v>150</v>
      </c>
      <c r="H27" s="56" t="s">
        <v>150</v>
      </c>
      <c r="I27" s="56" t="s">
        <v>150</v>
      </c>
      <c r="J27" s="18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5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6F6-C69B-4396-9E44-2DA02E77FF69}">
  <sheetPr>
    <pageSetUpPr fitToPage="1"/>
  </sheetPr>
  <dimension ref="A1:N31"/>
  <sheetViews>
    <sheetView topLeftCell="A22" workbookViewId="0">
      <selection activeCell="P18" sqref="P18"/>
    </sheetView>
  </sheetViews>
  <sheetFormatPr defaultRowHeight="18.75"/>
  <cols>
    <col min="1" max="1" width="5.25" bestFit="1" customWidth="1"/>
    <col min="2" max="2" width="11" bestFit="1" customWidth="1"/>
    <col min="4" max="4" width="9.5" bestFit="1" customWidth="1"/>
    <col min="6" max="6" width="7.125" bestFit="1" customWidth="1"/>
    <col min="8" max="8" width="5.25" bestFit="1" customWidth="1"/>
    <col min="10" max="10" width="9" bestFit="1" customWidth="1"/>
    <col min="11" max="11" width="9.5" bestFit="1" customWidth="1"/>
    <col min="12" max="12" width="5.25" bestFit="1" customWidth="1"/>
    <col min="14" max="14" width="5.5" bestFit="1" customWidth="1"/>
  </cols>
  <sheetData>
    <row r="1" spans="1:14" ht="19.5" thickBot="1">
      <c r="A1" s="97" t="s">
        <v>183</v>
      </c>
      <c r="B1" s="97"/>
      <c r="C1" s="97"/>
      <c r="D1" s="97"/>
      <c r="E1" s="97"/>
      <c r="F1" s="97"/>
      <c r="G1" s="97"/>
      <c r="H1" s="97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8" t="s">
        <v>202</v>
      </c>
      <c r="K2" s="98"/>
      <c r="M2" s="97" t="s">
        <v>158</v>
      </c>
      <c r="N2" s="97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3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3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7" t="s">
        <v>224</v>
      </c>
      <c r="N9" s="97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8" t="s">
        <v>208</v>
      </c>
      <c r="K11" s="98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55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3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3" t="s">
        <v>210</v>
      </c>
      <c r="K13" s="10">
        <v>480</v>
      </c>
      <c r="M13" s="53">
        <v>340000</v>
      </c>
      <c r="N13" s="10" t="s">
        <v>221</v>
      </c>
    </row>
    <row r="15" spans="1:14" ht="19.5" thickBot="1">
      <c r="A15" s="109" t="s">
        <v>211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3"/>
      <c r="B27" s="8" t="s">
        <v>31</v>
      </c>
      <c r="C27" s="54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5" t="s">
        <v>225</v>
      </c>
      <c r="B30" s="106"/>
      <c r="C30" s="106"/>
      <c r="D30" s="106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7" t="s">
        <v>226</v>
      </c>
      <c r="B31" s="108"/>
      <c r="C31" s="108"/>
      <c r="D31" s="108"/>
      <c r="E31" s="14">
        <f>DSUM(総支給額一覧表6,G16,$K$30:$K$31)</f>
        <v>68815</v>
      </c>
      <c r="I31" s="51" t="s">
        <v>227</v>
      </c>
      <c r="K31" s="51" t="s">
        <v>228</v>
      </c>
    </row>
  </sheetData>
  <sortState ref="A17:L25">
    <sortCondition descending="1" ref="K16"/>
  </sortState>
  <mergeCells count="8">
    <mergeCell ref="A31:D31"/>
    <mergeCell ref="J2:K2"/>
    <mergeCell ref="J11:K11"/>
    <mergeCell ref="A1:H1"/>
    <mergeCell ref="M9:N9"/>
    <mergeCell ref="M2:N2"/>
    <mergeCell ref="A15:L15"/>
    <mergeCell ref="A30:D30"/>
  </mergeCells>
  <phoneticPr fontId="2"/>
  <pageMargins left="0.25" right="0.25" top="0.75" bottom="0.75" header="0.3" footer="0.3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CD15-F7A4-400A-B6C4-2C85D726D838}">
  <sheetPr>
    <pageSetUpPr fitToPage="1"/>
  </sheetPr>
  <dimension ref="A1:N31"/>
  <sheetViews>
    <sheetView showFormulas="1" topLeftCell="A8" workbookViewId="0">
      <selection activeCell="A8" sqref="A1:N1048576"/>
    </sheetView>
  </sheetViews>
  <sheetFormatPr defaultRowHeight="18.75"/>
  <cols>
    <col min="1" max="1" width="2.75" bestFit="1" customWidth="1"/>
    <col min="2" max="2" width="16.625" bestFit="1" customWidth="1"/>
    <col min="3" max="3" width="7.625" bestFit="1" customWidth="1"/>
    <col min="4" max="4" width="15.75" bestFit="1" customWidth="1"/>
    <col min="5" max="5" width="28.625" bestFit="1" customWidth="1"/>
    <col min="6" max="6" width="16.625" bestFit="1" customWidth="1"/>
    <col min="7" max="7" width="24.625" bestFit="1" customWidth="1"/>
    <col min="8" max="8" width="16.625" bestFit="1" customWidth="1"/>
    <col min="9" max="9" width="7.375" bestFit="1" customWidth="1"/>
    <col min="10" max="10" width="27.875" bestFit="1" customWidth="1"/>
    <col min="11" max="11" width="10.125" bestFit="1" customWidth="1"/>
    <col min="12" max="12" width="28.5" bestFit="1" customWidth="1"/>
    <col min="13" max="13" width="4.625" bestFit="1" customWidth="1"/>
    <col min="14" max="14" width="3.125" bestFit="1" customWidth="1"/>
  </cols>
  <sheetData>
    <row r="1" spans="1:14" ht="19.5" thickBot="1">
      <c r="A1" s="97" t="s">
        <v>183</v>
      </c>
      <c r="B1" s="97"/>
      <c r="C1" s="97"/>
      <c r="D1" s="97"/>
      <c r="E1" s="97"/>
      <c r="F1" s="97"/>
      <c r="G1" s="97"/>
      <c r="H1" s="97"/>
    </row>
    <row r="2" spans="1:14" ht="19.5" thickBot="1">
      <c r="A2" s="2" t="s">
        <v>72</v>
      </c>
      <c r="B2" s="3" t="s">
        <v>185</v>
      </c>
      <c r="C2" s="3" t="s">
        <v>186</v>
      </c>
      <c r="D2" s="3" t="s">
        <v>187</v>
      </c>
      <c r="E2" s="3" t="s">
        <v>189</v>
      </c>
      <c r="F2" s="3" t="s">
        <v>190</v>
      </c>
      <c r="G2" s="3" t="s">
        <v>191</v>
      </c>
      <c r="H2" s="4" t="s">
        <v>192</v>
      </c>
      <c r="J2" s="98" t="s">
        <v>202</v>
      </c>
      <c r="K2" s="98"/>
      <c r="M2" s="97" t="s">
        <v>134</v>
      </c>
      <c r="N2" s="97"/>
    </row>
    <row r="3" spans="1:14">
      <c r="A3" s="5">
        <v>101</v>
      </c>
      <c r="B3" s="1" t="s">
        <v>193</v>
      </c>
      <c r="C3" s="1">
        <v>17</v>
      </c>
      <c r="D3" s="1">
        <v>3</v>
      </c>
      <c r="E3" s="72">
        <f>ROUND(C3/(C3+D3),2)</f>
        <v>0.85</v>
      </c>
      <c r="F3" s="1">
        <v>103</v>
      </c>
      <c r="G3" s="1">
        <v>58</v>
      </c>
      <c r="H3" s="6">
        <f>ROUNDUP(G3/F3*100,0)</f>
        <v>57</v>
      </c>
      <c r="J3" s="2" t="s">
        <v>204</v>
      </c>
      <c r="K3" s="4" t="s">
        <v>205</v>
      </c>
      <c r="M3" s="2" t="s">
        <v>160</v>
      </c>
      <c r="N3" s="4" t="s">
        <v>109</v>
      </c>
    </row>
    <row r="4" spans="1:14">
      <c r="A4" s="5">
        <v>102</v>
      </c>
      <c r="B4" s="1" t="s">
        <v>194</v>
      </c>
      <c r="C4" s="1">
        <v>15</v>
      </c>
      <c r="D4" s="1">
        <v>4</v>
      </c>
      <c r="E4" s="72">
        <f t="shared" ref="E4:E11" si="0">ROUND(C4/(C4+D4),2)</f>
        <v>0.79</v>
      </c>
      <c r="F4" s="1">
        <v>94</v>
      </c>
      <c r="G4" s="1">
        <v>50</v>
      </c>
      <c r="H4" s="6">
        <f t="shared" ref="H4:H11" si="1">ROUNDUP(G4/F4*100,0)</f>
        <v>54</v>
      </c>
      <c r="J4" s="5" t="s">
        <v>167</v>
      </c>
      <c r="K4" s="6">
        <v>297600</v>
      </c>
      <c r="M4" s="5">
        <v>100</v>
      </c>
      <c r="N4" s="65">
        <v>9.0999999999999998E-2</v>
      </c>
    </row>
    <row r="5" spans="1:14">
      <c r="A5" s="5">
        <v>103</v>
      </c>
      <c r="B5" s="1" t="s">
        <v>195</v>
      </c>
      <c r="C5" s="1">
        <v>17</v>
      </c>
      <c r="D5" s="1">
        <v>3</v>
      </c>
      <c r="E5" s="72">
        <f t="shared" si="0"/>
        <v>0.85</v>
      </c>
      <c r="F5" s="1">
        <v>126</v>
      </c>
      <c r="G5" s="1">
        <v>61</v>
      </c>
      <c r="H5" s="6">
        <f t="shared" si="1"/>
        <v>49</v>
      </c>
      <c r="J5" s="5" t="s">
        <v>168</v>
      </c>
      <c r="K5" s="6">
        <v>283800</v>
      </c>
      <c r="M5" s="5">
        <v>200</v>
      </c>
      <c r="N5" s="65">
        <v>8.3000000000000004E-2</v>
      </c>
    </row>
    <row r="6" spans="1:14" ht="19.5" thickBot="1">
      <c r="A6" s="5">
        <v>201</v>
      </c>
      <c r="B6" s="1" t="s">
        <v>196</v>
      </c>
      <c r="C6" s="1">
        <v>14</v>
      </c>
      <c r="D6" s="1">
        <v>6</v>
      </c>
      <c r="E6" s="72">
        <f t="shared" si="0"/>
        <v>0.7</v>
      </c>
      <c r="F6" s="1">
        <v>96</v>
      </c>
      <c r="G6" s="1">
        <v>57</v>
      </c>
      <c r="H6" s="6">
        <f t="shared" si="1"/>
        <v>60</v>
      </c>
      <c r="J6" s="5" t="s">
        <v>169</v>
      </c>
      <c r="K6" s="6">
        <v>270200</v>
      </c>
      <c r="M6" s="58">
        <v>300</v>
      </c>
      <c r="N6" s="66">
        <v>7.4999999999999997E-2</v>
      </c>
    </row>
    <row r="7" spans="1:14">
      <c r="A7" s="5">
        <v>202</v>
      </c>
      <c r="B7" s="1" t="s">
        <v>197</v>
      </c>
      <c r="C7" s="1">
        <v>13</v>
      </c>
      <c r="D7" s="1">
        <v>7</v>
      </c>
      <c r="E7" s="72">
        <f t="shared" si="0"/>
        <v>0.65</v>
      </c>
      <c r="F7" s="1">
        <v>87</v>
      </c>
      <c r="G7" s="1">
        <v>45</v>
      </c>
      <c r="H7" s="6">
        <f t="shared" si="1"/>
        <v>52</v>
      </c>
      <c r="J7" s="5" t="s">
        <v>206</v>
      </c>
      <c r="K7" s="6">
        <v>259500</v>
      </c>
    </row>
    <row r="8" spans="1:14" ht="19.5" thickBot="1">
      <c r="A8" s="5">
        <v>203</v>
      </c>
      <c r="B8" s="1" t="s">
        <v>198</v>
      </c>
      <c r="C8" s="1">
        <v>18</v>
      </c>
      <c r="D8" s="1">
        <v>2</v>
      </c>
      <c r="E8" s="72">
        <f t="shared" si="0"/>
        <v>0.9</v>
      </c>
      <c r="F8" s="1">
        <v>135</v>
      </c>
      <c r="G8" s="1">
        <v>79</v>
      </c>
      <c r="H8" s="6">
        <f t="shared" si="1"/>
        <v>59</v>
      </c>
      <c r="J8" s="58" t="s">
        <v>207</v>
      </c>
      <c r="K8" s="10">
        <v>246300</v>
      </c>
    </row>
    <row r="9" spans="1:14" ht="19.5" thickBot="1">
      <c r="A9" s="5">
        <v>301</v>
      </c>
      <c r="B9" s="1" t="s">
        <v>199</v>
      </c>
      <c r="C9" s="1">
        <v>16</v>
      </c>
      <c r="D9" s="1">
        <v>4</v>
      </c>
      <c r="E9" s="72">
        <f t="shared" si="0"/>
        <v>0.8</v>
      </c>
      <c r="F9" s="1">
        <v>114</v>
      </c>
      <c r="G9" s="1">
        <v>72</v>
      </c>
      <c r="H9" s="6">
        <f t="shared" si="1"/>
        <v>64</v>
      </c>
      <c r="M9" s="97" t="s">
        <v>224</v>
      </c>
      <c r="N9" s="97"/>
    </row>
    <row r="10" spans="1:14">
      <c r="A10" s="5">
        <v>302</v>
      </c>
      <c r="B10" s="1" t="s">
        <v>200</v>
      </c>
      <c r="C10" s="1">
        <v>13</v>
      </c>
      <c r="D10" s="1">
        <v>7</v>
      </c>
      <c r="E10" s="72">
        <f t="shared" si="0"/>
        <v>0.65</v>
      </c>
      <c r="F10" s="1">
        <v>72</v>
      </c>
      <c r="G10" s="1">
        <v>39</v>
      </c>
      <c r="H10" s="6">
        <f t="shared" si="1"/>
        <v>55</v>
      </c>
      <c r="M10" s="2" t="s">
        <v>220</v>
      </c>
      <c r="N10" s="4" t="s">
        <v>219</v>
      </c>
    </row>
    <row r="11" spans="1:14" ht="19.5" thickBot="1">
      <c r="A11" s="5">
        <v>303</v>
      </c>
      <c r="B11" s="1" t="s">
        <v>201</v>
      </c>
      <c r="C11" s="1">
        <v>15</v>
      </c>
      <c r="D11" s="1">
        <v>5</v>
      </c>
      <c r="E11" s="72">
        <f t="shared" si="0"/>
        <v>0.75</v>
      </c>
      <c r="F11" s="1">
        <v>107</v>
      </c>
      <c r="G11" s="1">
        <v>67</v>
      </c>
      <c r="H11" s="6">
        <f t="shared" si="1"/>
        <v>63</v>
      </c>
      <c r="J11" s="98" t="s">
        <v>208</v>
      </c>
      <c r="K11" s="98"/>
      <c r="M11" s="5">
        <v>1</v>
      </c>
      <c r="N11" s="6" t="s">
        <v>223</v>
      </c>
    </row>
    <row r="12" spans="1:14">
      <c r="A12" s="5"/>
      <c r="B12" s="1"/>
      <c r="C12" s="1"/>
      <c r="D12" s="1"/>
      <c r="E12" s="1"/>
      <c r="F12" s="1"/>
      <c r="G12" s="1"/>
      <c r="H12" s="6"/>
      <c r="J12" s="60" t="s">
        <v>209</v>
      </c>
      <c r="K12" s="18">
        <v>20</v>
      </c>
      <c r="M12" s="5">
        <v>320000</v>
      </c>
      <c r="N12" s="6" t="s">
        <v>222</v>
      </c>
    </row>
    <row r="13" spans="1:14" ht="19.5" thickBot="1">
      <c r="A13" s="58"/>
      <c r="B13" s="8" t="s">
        <v>31</v>
      </c>
      <c r="C13" s="13">
        <f>SUM(C3:C11)</f>
        <v>138</v>
      </c>
      <c r="D13" s="13">
        <f t="shared" ref="D13:G13" si="2">SUM(D3:D11)</f>
        <v>41</v>
      </c>
      <c r="E13" s="13"/>
      <c r="F13" s="13">
        <f t="shared" si="2"/>
        <v>934</v>
      </c>
      <c r="G13" s="13">
        <f t="shared" si="2"/>
        <v>528</v>
      </c>
      <c r="H13" s="14"/>
      <c r="J13" s="58" t="s">
        <v>210</v>
      </c>
      <c r="K13" s="10">
        <v>480</v>
      </c>
      <c r="M13" s="58">
        <v>340000</v>
      </c>
      <c r="N13" s="10" t="s">
        <v>221</v>
      </c>
    </row>
    <row r="15" spans="1:14" ht="19.5" thickBot="1">
      <c r="A15" s="109" t="s">
        <v>211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</row>
    <row r="16" spans="1:14">
      <c r="A16" s="2" t="s">
        <v>160</v>
      </c>
      <c r="B16" s="3" t="s">
        <v>184</v>
      </c>
      <c r="C16" s="3" t="s">
        <v>204</v>
      </c>
      <c r="D16" s="3" t="s">
        <v>212</v>
      </c>
      <c r="E16" s="3" t="s">
        <v>213</v>
      </c>
      <c r="F16" s="3" t="s">
        <v>214</v>
      </c>
      <c r="G16" s="3" t="s">
        <v>215</v>
      </c>
      <c r="H16" s="3" t="s">
        <v>192</v>
      </c>
      <c r="I16" s="3" t="s">
        <v>216</v>
      </c>
      <c r="J16" s="3" t="s">
        <v>217</v>
      </c>
      <c r="K16" s="3" t="s">
        <v>218</v>
      </c>
      <c r="L16" s="4" t="s">
        <v>219</v>
      </c>
    </row>
    <row r="17" spans="1:12">
      <c r="A17" s="5">
        <v>301</v>
      </c>
      <c r="B17" s="1" t="str">
        <f t="shared" ref="B17:B25" si="3">VLOOKUP(A17,$A$3:$H$11,2,0)</f>
        <v>藤森　健一</v>
      </c>
      <c r="C17" s="1" t="s">
        <v>167</v>
      </c>
      <c r="D17" s="11">
        <f t="shared" ref="D17:D25" si="4">VLOOKUP(C17,$J$4:$K$8,2,0)</f>
        <v>297600</v>
      </c>
      <c r="E17" s="1">
        <v>36</v>
      </c>
      <c r="F17" s="72">
        <f t="shared" ref="F17:F25" si="5">VLOOKUP(A17,$A$3:$H$11,5,0)</f>
        <v>0.8</v>
      </c>
      <c r="G17" s="11">
        <f t="shared" ref="G17:G25" si="6">$K$12*E17*F17*VLOOKUP(A17,$A$3:$H$11,3,0)</f>
        <v>9216</v>
      </c>
      <c r="H17" s="1">
        <f t="shared" ref="H17:H25" si="7">VLOOKUP(A17,$A$3:$H$11,8,0)</f>
        <v>64</v>
      </c>
      <c r="I17" s="11">
        <f t="shared" ref="I17:I25" si="8">$K$13*H17</f>
        <v>30720</v>
      </c>
      <c r="J17" s="11">
        <f t="shared" ref="J17:J25" si="9">ROUNDDOWN(D17*VLOOKUP(A17,$M$4:$N$6,2,1),-1)</f>
        <v>22320</v>
      </c>
      <c r="K17" s="46">
        <f t="shared" ref="K17:K25" si="10">D17+G17+I17+J17</f>
        <v>359856</v>
      </c>
      <c r="L17" s="6" t="str">
        <f t="shared" ref="L17:L25" si="11">IF(F17&lt;=85%,VLOOKUP(K17,$M$11:$N$13,2,TRUE),"#")</f>
        <v>###</v>
      </c>
    </row>
    <row r="18" spans="1:12">
      <c r="A18" s="5">
        <v>302</v>
      </c>
      <c r="B18" s="1" t="str">
        <f t="shared" si="3"/>
        <v>鈴木　政治</v>
      </c>
      <c r="C18" s="1" t="s">
        <v>167</v>
      </c>
      <c r="D18" s="11">
        <f t="shared" si="4"/>
        <v>297600</v>
      </c>
      <c r="E18" s="1">
        <v>48</v>
      </c>
      <c r="F18" s="72">
        <f t="shared" si="5"/>
        <v>0.65</v>
      </c>
      <c r="G18" s="11">
        <f t="shared" si="6"/>
        <v>8112</v>
      </c>
      <c r="H18" s="1">
        <f t="shared" si="7"/>
        <v>55</v>
      </c>
      <c r="I18" s="11">
        <f t="shared" si="8"/>
        <v>26400</v>
      </c>
      <c r="J18" s="11">
        <f t="shared" si="9"/>
        <v>22320</v>
      </c>
      <c r="K18" s="46">
        <f t="shared" si="10"/>
        <v>354432</v>
      </c>
      <c r="L18" s="6" t="str">
        <f t="shared" si="11"/>
        <v>###</v>
      </c>
    </row>
    <row r="19" spans="1:12">
      <c r="A19" s="5">
        <v>103</v>
      </c>
      <c r="B19" s="1" t="str">
        <f t="shared" si="3"/>
        <v>長谷川　誠</v>
      </c>
      <c r="C19" s="1" t="s">
        <v>168</v>
      </c>
      <c r="D19" s="11">
        <f t="shared" si="4"/>
        <v>283800</v>
      </c>
      <c r="E19" s="1">
        <v>29</v>
      </c>
      <c r="F19" s="72">
        <f t="shared" si="5"/>
        <v>0.85</v>
      </c>
      <c r="G19" s="11">
        <f t="shared" si="6"/>
        <v>8381</v>
      </c>
      <c r="H19" s="1">
        <f t="shared" si="7"/>
        <v>49</v>
      </c>
      <c r="I19" s="11">
        <f t="shared" si="8"/>
        <v>23520</v>
      </c>
      <c r="J19" s="11">
        <f t="shared" si="9"/>
        <v>25820</v>
      </c>
      <c r="K19" s="46">
        <f t="shared" si="10"/>
        <v>341521</v>
      </c>
      <c r="L19" s="6" t="str">
        <f t="shared" si="11"/>
        <v>###</v>
      </c>
    </row>
    <row r="20" spans="1:12">
      <c r="A20" s="5">
        <v>201</v>
      </c>
      <c r="B20" s="1" t="str">
        <f t="shared" si="3"/>
        <v>西　さおり</v>
      </c>
      <c r="C20" s="1" t="s">
        <v>169</v>
      </c>
      <c r="D20" s="11">
        <f t="shared" si="4"/>
        <v>270200</v>
      </c>
      <c r="E20" s="1">
        <v>63</v>
      </c>
      <c r="F20" s="72">
        <f t="shared" si="5"/>
        <v>0.7</v>
      </c>
      <c r="G20" s="11">
        <f t="shared" si="6"/>
        <v>12348</v>
      </c>
      <c r="H20" s="1">
        <f t="shared" si="7"/>
        <v>60</v>
      </c>
      <c r="I20" s="11">
        <f t="shared" si="8"/>
        <v>28800</v>
      </c>
      <c r="J20" s="11">
        <f t="shared" si="9"/>
        <v>22420</v>
      </c>
      <c r="K20" s="46">
        <f t="shared" si="10"/>
        <v>333768</v>
      </c>
      <c r="L20" s="6" t="str">
        <f t="shared" si="11"/>
        <v>##</v>
      </c>
    </row>
    <row r="21" spans="1:12">
      <c r="A21" s="5">
        <v>102</v>
      </c>
      <c r="B21" s="1" t="str">
        <f t="shared" si="3"/>
        <v>加藤　美香</v>
      </c>
      <c r="C21" s="1" t="s">
        <v>169</v>
      </c>
      <c r="D21" s="11">
        <f t="shared" si="4"/>
        <v>270200</v>
      </c>
      <c r="E21" s="1">
        <v>52</v>
      </c>
      <c r="F21" s="72">
        <f t="shared" si="5"/>
        <v>0.79</v>
      </c>
      <c r="G21" s="11">
        <f t="shared" si="6"/>
        <v>12324</v>
      </c>
      <c r="H21" s="1">
        <f t="shared" si="7"/>
        <v>54</v>
      </c>
      <c r="I21" s="11">
        <f t="shared" si="8"/>
        <v>25920</v>
      </c>
      <c r="J21" s="11">
        <f t="shared" si="9"/>
        <v>24580</v>
      </c>
      <c r="K21" s="46">
        <f t="shared" si="10"/>
        <v>333024</v>
      </c>
      <c r="L21" s="6" t="str">
        <f t="shared" si="11"/>
        <v>##</v>
      </c>
    </row>
    <row r="22" spans="1:12">
      <c r="A22" s="5">
        <v>303</v>
      </c>
      <c r="B22" s="1" t="str">
        <f t="shared" si="3"/>
        <v>久保田　心</v>
      </c>
      <c r="C22" s="1" t="s">
        <v>206</v>
      </c>
      <c r="D22" s="11">
        <f t="shared" si="4"/>
        <v>259500</v>
      </c>
      <c r="E22" s="1">
        <v>54</v>
      </c>
      <c r="F22" s="72">
        <f t="shared" si="5"/>
        <v>0.75</v>
      </c>
      <c r="G22" s="11">
        <f t="shared" si="6"/>
        <v>12150</v>
      </c>
      <c r="H22" s="1">
        <f t="shared" si="7"/>
        <v>63</v>
      </c>
      <c r="I22" s="11">
        <f t="shared" si="8"/>
        <v>30240</v>
      </c>
      <c r="J22" s="11">
        <f t="shared" si="9"/>
        <v>19460</v>
      </c>
      <c r="K22" s="46">
        <f t="shared" si="10"/>
        <v>321350</v>
      </c>
      <c r="L22" s="6" t="str">
        <f t="shared" si="11"/>
        <v>##</v>
      </c>
    </row>
    <row r="23" spans="1:12">
      <c r="A23" s="5">
        <v>202</v>
      </c>
      <c r="B23" s="1" t="str">
        <f t="shared" si="3"/>
        <v>大山　京介</v>
      </c>
      <c r="C23" s="1" t="s">
        <v>206</v>
      </c>
      <c r="D23" s="11">
        <f t="shared" si="4"/>
        <v>259500</v>
      </c>
      <c r="E23" s="1">
        <v>47</v>
      </c>
      <c r="F23" s="72">
        <f t="shared" si="5"/>
        <v>0.65</v>
      </c>
      <c r="G23" s="11">
        <f t="shared" si="6"/>
        <v>7943</v>
      </c>
      <c r="H23" s="1">
        <f t="shared" si="7"/>
        <v>52</v>
      </c>
      <c r="I23" s="11">
        <f t="shared" si="8"/>
        <v>24960</v>
      </c>
      <c r="J23" s="11">
        <f t="shared" si="9"/>
        <v>21530</v>
      </c>
      <c r="K23" s="46">
        <f t="shared" si="10"/>
        <v>313933</v>
      </c>
      <c r="L23" s="6" t="str">
        <f t="shared" si="11"/>
        <v>#</v>
      </c>
    </row>
    <row r="24" spans="1:12">
      <c r="A24" s="5">
        <v>101</v>
      </c>
      <c r="B24" s="1" t="str">
        <f t="shared" si="3"/>
        <v>中川　正雄</v>
      </c>
      <c r="C24" s="1" t="s">
        <v>207</v>
      </c>
      <c r="D24" s="11">
        <f t="shared" si="4"/>
        <v>246300</v>
      </c>
      <c r="E24" s="1">
        <v>38</v>
      </c>
      <c r="F24" s="72">
        <f t="shared" si="5"/>
        <v>0.85</v>
      </c>
      <c r="G24" s="11">
        <f t="shared" si="6"/>
        <v>10982</v>
      </c>
      <c r="H24" s="1">
        <f t="shared" si="7"/>
        <v>57</v>
      </c>
      <c r="I24" s="11">
        <f t="shared" si="8"/>
        <v>27360</v>
      </c>
      <c r="J24" s="11">
        <f t="shared" si="9"/>
        <v>22410</v>
      </c>
      <c r="K24" s="46">
        <f t="shared" si="10"/>
        <v>307052</v>
      </c>
      <c r="L24" s="6" t="str">
        <f t="shared" si="11"/>
        <v>#</v>
      </c>
    </row>
    <row r="25" spans="1:12">
      <c r="A25" s="5">
        <v>203</v>
      </c>
      <c r="B25" s="1" t="str">
        <f t="shared" si="3"/>
        <v>渡部　清子</v>
      </c>
      <c r="C25" s="1" t="s">
        <v>207</v>
      </c>
      <c r="D25" s="11">
        <f t="shared" si="4"/>
        <v>246300</v>
      </c>
      <c r="E25" s="1">
        <v>23</v>
      </c>
      <c r="F25" s="72">
        <f t="shared" si="5"/>
        <v>0.9</v>
      </c>
      <c r="G25" s="11">
        <f t="shared" si="6"/>
        <v>7452</v>
      </c>
      <c r="H25" s="1">
        <f t="shared" si="7"/>
        <v>59</v>
      </c>
      <c r="I25" s="11">
        <f t="shared" si="8"/>
        <v>28320</v>
      </c>
      <c r="J25" s="11">
        <f t="shared" si="9"/>
        <v>20440</v>
      </c>
      <c r="K25" s="46">
        <f t="shared" si="10"/>
        <v>302512</v>
      </c>
      <c r="L25" s="6" t="str">
        <f t="shared" si="11"/>
        <v>#</v>
      </c>
    </row>
    <row r="26" spans="1:1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6"/>
    </row>
    <row r="27" spans="1:12" ht="19.5" thickBot="1">
      <c r="A27" s="58"/>
      <c r="B27" s="8" t="s">
        <v>31</v>
      </c>
      <c r="C27" s="59"/>
      <c r="D27" s="15">
        <f>SUM(D17:D25)</f>
        <v>2431000</v>
      </c>
      <c r="E27" s="15"/>
      <c r="F27" s="15"/>
      <c r="G27" s="15">
        <f t="shared" ref="G27:K27" si="12">SUM(G17:G25)</f>
        <v>88908</v>
      </c>
      <c r="H27" s="15"/>
      <c r="I27" s="15">
        <f t="shared" si="12"/>
        <v>246240</v>
      </c>
      <c r="J27" s="15">
        <f t="shared" si="12"/>
        <v>201300</v>
      </c>
      <c r="K27" s="15">
        <f t="shared" si="12"/>
        <v>2967448</v>
      </c>
      <c r="L27" s="10"/>
    </row>
    <row r="29" spans="1:12" ht="19.5" thickBot="1"/>
    <row r="30" spans="1:12">
      <c r="A30" s="105" t="s">
        <v>225</v>
      </c>
      <c r="B30" s="106"/>
      <c r="C30" s="106"/>
      <c r="D30" s="106"/>
      <c r="E30" s="69">
        <f>ROUND(DAVERAGE(総支給額一覧表6,K16,$I$30:$I$31),0)</f>
        <v>327735</v>
      </c>
      <c r="I30" s="49" t="s">
        <v>188</v>
      </c>
      <c r="K30" s="49" t="s">
        <v>203</v>
      </c>
    </row>
    <row r="31" spans="1:12" ht="19.5" thickBot="1">
      <c r="A31" s="107" t="s">
        <v>226</v>
      </c>
      <c r="B31" s="108"/>
      <c r="C31" s="108"/>
      <c r="D31" s="108"/>
      <c r="E31" s="14">
        <f>DSUM(総支給額一覧表6,G16,$K$30:$K$31)</f>
        <v>68815</v>
      </c>
      <c r="I31" s="51" t="s">
        <v>227</v>
      </c>
      <c r="K31" s="51" t="s">
        <v>228</v>
      </c>
    </row>
  </sheetData>
  <mergeCells count="8">
    <mergeCell ref="A30:D30"/>
    <mergeCell ref="A31:D31"/>
    <mergeCell ref="A1:H1"/>
    <mergeCell ref="J2:K2"/>
    <mergeCell ref="M2:N2"/>
    <mergeCell ref="M9:N9"/>
    <mergeCell ref="J11:K11"/>
    <mergeCell ref="A15:L15"/>
  </mergeCells>
  <phoneticPr fontId="2"/>
  <pageMargins left="0.25" right="0.25" top="0.75" bottom="0.75" header="0.3" footer="0.3"/>
  <pageSetup paperSize="9" scale="5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5756-E0D2-4CD9-8F19-F7B690D5ED3D}">
  <sheetPr>
    <pageSetUpPr fitToPage="1"/>
  </sheetPr>
  <dimension ref="A1:I28"/>
  <sheetViews>
    <sheetView workbookViewId="0">
      <selection activeCell="I18" sqref="I18"/>
    </sheetView>
  </sheetViews>
  <sheetFormatPr defaultRowHeight="18.75"/>
  <cols>
    <col min="1" max="1" width="5.25" bestFit="1" customWidth="1"/>
    <col min="2" max="3" width="11" bestFit="1" customWidth="1"/>
    <col min="4" max="4" width="9.5" bestFit="1" customWidth="1"/>
    <col min="5" max="5" width="10.5" bestFit="1" customWidth="1"/>
    <col min="6" max="9" width="11" bestFit="1" customWidth="1"/>
  </cols>
  <sheetData>
    <row r="1" spans="1:9" ht="19.5" thickBot="1">
      <c r="A1" s="97" t="s">
        <v>229</v>
      </c>
      <c r="B1" s="97"/>
      <c r="C1" s="97"/>
      <c r="D1" s="97"/>
      <c r="E1" s="97"/>
      <c r="F1" s="97"/>
      <c r="G1" s="97"/>
      <c r="H1" s="97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7" t="s">
        <v>246</v>
      </c>
      <c r="B10" s="97"/>
      <c r="C10" s="97"/>
      <c r="D10" s="97"/>
      <c r="E10" s="97"/>
      <c r="F10" s="97"/>
      <c r="G10" s="97"/>
      <c r="H10" s="97"/>
      <c r="I10" s="97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7" t="s">
        <v>247</v>
      </c>
      <c r="B23" s="97"/>
      <c r="C23" s="97"/>
      <c r="D23" s="97"/>
    </row>
    <row r="24" spans="1:9">
      <c r="A24" s="113" t="s">
        <v>231</v>
      </c>
      <c r="B24" s="114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11" t="s">
        <v>239</v>
      </c>
      <c r="B25" s="112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11" t="s">
        <v>240</v>
      </c>
      <c r="B26" s="112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11" t="s">
        <v>241</v>
      </c>
      <c r="B27" s="112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7" t="s">
        <v>243</v>
      </c>
      <c r="B28" s="108"/>
      <c r="C28" s="13">
        <f>DSUM(株式売却一覧表7,C$24,$I$24:$I$25)</f>
        <v>22820</v>
      </c>
      <c r="D28" s="14">
        <f>DSUM(株式売却一覧表7,D$24,$I$24:$I$25)</f>
        <v>3477150</v>
      </c>
    </row>
  </sheetData>
  <sortState ref="A12:I19">
    <sortCondition descending="1" ref="H11"/>
  </sortState>
  <mergeCells count="8">
    <mergeCell ref="A26:B26"/>
    <mergeCell ref="A27:B27"/>
    <mergeCell ref="A28:B28"/>
    <mergeCell ref="A23:D23"/>
    <mergeCell ref="A1:H1"/>
    <mergeCell ref="A10:I10"/>
    <mergeCell ref="A24:B24"/>
    <mergeCell ref="A25:B25"/>
  </mergeCells>
  <phoneticPr fontId="2"/>
  <pageMargins left="0.25" right="0.25" top="0.75" bottom="0.75" header="0.3" footer="0.3"/>
  <pageSetup paperSize="9" scale="9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0A69-5358-409D-99EB-A459408488DA}">
  <sheetPr>
    <pageSetUpPr fitToPage="1"/>
  </sheetPr>
  <dimension ref="A1:I28"/>
  <sheetViews>
    <sheetView showFormulas="1" workbookViewId="0">
      <selection activeCell="A2" sqref="A1:I1048576"/>
    </sheetView>
  </sheetViews>
  <sheetFormatPr defaultRowHeight="18.75"/>
  <cols>
    <col min="1" max="1" width="2.75" bestFit="1" customWidth="1"/>
    <col min="2" max="2" width="16" bestFit="1" customWidth="1"/>
    <col min="3" max="3" width="22.375" bestFit="1" customWidth="1"/>
    <col min="4" max="4" width="22.5" bestFit="1" customWidth="1"/>
    <col min="5" max="5" width="8.125" bestFit="1" customWidth="1"/>
    <col min="6" max="6" width="23.625" bestFit="1" customWidth="1"/>
    <col min="7" max="7" width="13.25" bestFit="1" customWidth="1"/>
    <col min="8" max="8" width="8.375" bestFit="1" customWidth="1"/>
    <col min="9" max="9" width="21.25" bestFit="1" customWidth="1"/>
  </cols>
  <sheetData>
    <row r="1" spans="1:9" ht="19.5" thickBot="1">
      <c r="A1" s="97" t="s">
        <v>229</v>
      </c>
      <c r="B1" s="97"/>
      <c r="C1" s="97"/>
      <c r="D1" s="97"/>
      <c r="E1" s="97"/>
      <c r="F1" s="97"/>
      <c r="G1" s="97"/>
      <c r="H1" s="97"/>
    </row>
    <row r="2" spans="1:9">
      <c r="A2" s="2" t="s">
        <v>72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235</v>
      </c>
      <c r="G2" s="3" t="s">
        <v>236</v>
      </c>
      <c r="H2" s="4" t="s">
        <v>237</v>
      </c>
    </row>
    <row r="3" spans="1:9">
      <c r="A3" s="5">
        <v>101</v>
      </c>
      <c r="B3" s="1" t="s">
        <v>239</v>
      </c>
      <c r="C3" s="11">
        <v>377</v>
      </c>
      <c r="D3" s="11">
        <v>6000</v>
      </c>
      <c r="E3" s="11">
        <f>C3*D3</f>
        <v>2262000</v>
      </c>
      <c r="F3" s="11">
        <f>INT(IF(E3&gt;=3300000,E3*0.46%,E3*0.59%))</f>
        <v>13345</v>
      </c>
      <c r="G3" s="11">
        <f>ROUNDUP(F3*3.8%,-1)</f>
        <v>510</v>
      </c>
      <c r="H3" s="48">
        <f>E3+F3-G3</f>
        <v>2274835</v>
      </c>
    </row>
    <row r="4" spans="1:9">
      <c r="A4" s="5">
        <v>102</v>
      </c>
      <c r="B4" s="1" t="s">
        <v>240</v>
      </c>
      <c r="C4" s="11">
        <v>913</v>
      </c>
      <c r="D4" s="11">
        <v>4000</v>
      </c>
      <c r="E4" s="11">
        <f t="shared" ref="E4:E6" si="0">C4*D4</f>
        <v>3652000</v>
      </c>
      <c r="F4" s="11">
        <f t="shared" ref="F4:F6" si="1">INT(IF(E4&gt;=3300000,E4*0.46%,E4*0.59%))</f>
        <v>16799</v>
      </c>
      <c r="G4" s="11">
        <f t="shared" ref="G4:G6" si="2">ROUNDUP(F4*3.8%,-1)</f>
        <v>640</v>
      </c>
      <c r="H4" s="48">
        <f t="shared" ref="H4:H6" si="3">E4+F4-G4</f>
        <v>3668159</v>
      </c>
    </row>
    <row r="5" spans="1:9">
      <c r="A5" s="5">
        <v>103</v>
      </c>
      <c r="B5" s="1" t="s">
        <v>241</v>
      </c>
      <c r="C5" s="11">
        <v>572</v>
      </c>
      <c r="D5" s="11">
        <v>5000</v>
      </c>
      <c r="E5" s="11">
        <f t="shared" si="0"/>
        <v>2860000</v>
      </c>
      <c r="F5" s="11">
        <f t="shared" si="1"/>
        <v>16874</v>
      </c>
      <c r="G5" s="11">
        <f t="shared" si="2"/>
        <v>650</v>
      </c>
      <c r="H5" s="48">
        <f t="shared" si="3"/>
        <v>2876224</v>
      </c>
    </row>
    <row r="6" spans="1:9">
      <c r="A6" s="5">
        <v>104</v>
      </c>
      <c r="B6" s="1" t="s">
        <v>243</v>
      </c>
      <c r="C6" s="11">
        <v>481</v>
      </c>
      <c r="D6" s="11">
        <v>7000</v>
      </c>
      <c r="E6" s="11">
        <f t="shared" si="0"/>
        <v>3367000</v>
      </c>
      <c r="F6" s="11">
        <f t="shared" si="1"/>
        <v>15488</v>
      </c>
      <c r="G6" s="11">
        <f t="shared" si="2"/>
        <v>590</v>
      </c>
      <c r="H6" s="48">
        <f t="shared" si="3"/>
        <v>3381898</v>
      </c>
    </row>
    <row r="7" spans="1:9">
      <c r="A7" s="5"/>
      <c r="B7" s="1"/>
      <c r="C7" s="1"/>
      <c r="D7" s="1"/>
      <c r="E7" s="1"/>
      <c r="F7" s="1"/>
      <c r="G7" s="1"/>
      <c r="H7" s="6"/>
    </row>
    <row r="8" spans="1:9" ht="19.5" thickBot="1">
      <c r="A8" s="58"/>
      <c r="B8" s="79" t="s">
        <v>31</v>
      </c>
      <c r="C8" s="59"/>
      <c r="D8" s="15">
        <f>SUM(D3:D6)</f>
        <v>22000</v>
      </c>
      <c r="E8" s="15">
        <f t="shared" ref="E8:H8" si="4">SUM(E3:E6)</f>
        <v>12141000</v>
      </c>
      <c r="F8" s="15">
        <f t="shared" si="4"/>
        <v>62506</v>
      </c>
      <c r="G8" s="15">
        <f t="shared" si="4"/>
        <v>2390</v>
      </c>
      <c r="H8" s="80">
        <f t="shared" si="4"/>
        <v>12201116</v>
      </c>
    </row>
    <row r="10" spans="1:9" ht="19.5" thickBot="1">
      <c r="A10" s="97" t="s">
        <v>246</v>
      </c>
      <c r="B10" s="97"/>
      <c r="C10" s="97"/>
      <c r="D10" s="97"/>
      <c r="E10" s="97"/>
      <c r="F10" s="97"/>
      <c r="G10" s="97"/>
      <c r="H10" s="97"/>
      <c r="I10" s="97"/>
    </row>
    <row r="11" spans="1:9">
      <c r="A11" s="2" t="s">
        <v>72</v>
      </c>
      <c r="B11" s="3" t="s">
        <v>231</v>
      </c>
      <c r="C11" s="3" t="s">
        <v>232</v>
      </c>
      <c r="D11" s="3" t="s">
        <v>233</v>
      </c>
      <c r="E11" s="3" t="s">
        <v>234</v>
      </c>
      <c r="F11" s="3" t="s">
        <v>244</v>
      </c>
      <c r="G11" s="3" t="s">
        <v>236</v>
      </c>
      <c r="H11" s="3" t="s">
        <v>245</v>
      </c>
      <c r="I11" s="4" t="s">
        <v>219</v>
      </c>
    </row>
    <row r="12" spans="1:9">
      <c r="A12" s="5">
        <v>102</v>
      </c>
      <c r="B12" s="1" t="str">
        <f t="shared" ref="B12:B19" si="5">VLOOKUP(A12,$A$3:$H$6,2,0)</f>
        <v>ＪＡＣ工業</v>
      </c>
      <c r="C12" s="11">
        <v>957</v>
      </c>
      <c r="D12" s="11">
        <v>3000</v>
      </c>
      <c r="E12" s="11">
        <f t="shared" ref="E12:E19" si="6">C12*D12</f>
        <v>2871000</v>
      </c>
      <c r="F12" s="11">
        <f t="shared" ref="F12:F19" si="7">INT(IF(E12&gt;=1600000, E12*0.62%, E12*0.73%))</f>
        <v>17800</v>
      </c>
      <c r="G12" s="11">
        <f t="shared" ref="G12:G19" si="8">ROUNDUP(F12*4.2%, -1)</f>
        <v>750</v>
      </c>
      <c r="H12" s="46">
        <f t="shared" ref="H12:H19" si="9">E12-(F12-G12)</f>
        <v>2853950</v>
      </c>
      <c r="I12" s="6" t="str">
        <f t="shared" ref="I12:I19" si="10">IF(OR(D12&gt;=4000,H12&gt;=1700000),"A","")</f>
        <v>A</v>
      </c>
    </row>
    <row r="13" spans="1:9">
      <c r="A13" s="5">
        <v>104</v>
      </c>
      <c r="B13" s="1" t="str">
        <f t="shared" si="5"/>
        <v>サクラ電機</v>
      </c>
      <c r="C13" s="11">
        <v>495</v>
      </c>
      <c r="D13" s="11">
        <v>5000</v>
      </c>
      <c r="E13" s="11">
        <f t="shared" si="6"/>
        <v>2475000</v>
      </c>
      <c r="F13" s="11">
        <f t="shared" si="7"/>
        <v>15345</v>
      </c>
      <c r="G13" s="11">
        <f t="shared" si="8"/>
        <v>650</v>
      </c>
      <c r="H13" s="46">
        <f t="shared" si="9"/>
        <v>2460305</v>
      </c>
      <c r="I13" s="6" t="str">
        <f t="shared" si="10"/>
        <v>A</v>
      </c>
    </row>
    <row r="14" spans="1:9">
      <c r="A14" s="5">
        <v>103</v>
      </c>
      <c r="B14" s="1" t="str">
        <f t="shared" si="5"/>
        <v>西日本倉庫</v>
      </c>
      <c r="C14" s="11">
        <v>603</v>
      </c>
      <c r="D14" s="11">
        <v>3000</v>
      </c>
      <c r="E14" s="11">
        <f t="shared" si="6"/>
        <v>1809000</v>
      </c>
      <c r="F14" s="11">
        <f t="shared" si="7"/>
        <v>11215</v>
      </c>
      <c r="G14" s="11">
        <f t="shared" si="8"/>
        <v>480</v>
      </c>
      <c r="H14" s="46">
        <f t="shared" si="9"/>
        <v>1798265</v>
      </c>
      <c r="I14" s="6" t="str">
        <f t="shared" si="10"/>
        <v>A</v>
      </c>
    </row>
    <row r="15" spans="1:9">
      <c r="A15" s="5">
        <v>101</v>
      </c>
      <c r="B15" s="1" t="str">
        <f t="shared" si="5"/>
        <v>南関東化学</v>
      </c>
      <c r="C15" s="11">
        <v>402</v>
      </c>
      <c r="D15" s="11">
        <v>4000</v>
      </c>
      <c r="E15" s="11">
        <f t="shared" si="6"/>
        <v>1608000</v>
      </c>
      <c r="F15" s="11">
        <f t="shared" si="7"/>
        <v>9969</v>
      </c>
      <c r="G15" s="11">
        <f t="shared" si="8"/>
        <v>420</v>
      </c>
      <c r="H15" s="46">
        <f t="shared" si="9"/>
        <v>1598451</v>
      </c>
      <c r="I15" s="6" t="str">
        <f t="shared" si="10"/>
        <v>A</v>
      </c>
    </row>
    <row r="16" spans="1:9">
      <c r="A16" s="5">
        <v>103</v>
      </c>
      <c r="B16" s="1" t="str">
        <f t="shared" si="5"/>
        <v>西日本倉庫</v>
      </c>
      <c r="C16" s="11">
        <v>592</v>
      </c>
      <c r="D16" s="11">
        <v>2000</v>
      </c>
      <c r="E16" s="11">
        <f t="shared" si="6"/>
        <v>1184000</v>
      </c>
      <c r="F16" s="11">
        <f t="shared" si="7"/>
        <v>8643</v>
      </c>
      <c r="G16" s="11">
        <f t="shared" si="8"/>
        <v>370</v>
      </c>
      <c r="H16" s="46">
        <f t="shared" si="9"/>
        <v>1175727</v>
      </c>
      <c r="I16" s="6" t="str">
        <f t="shared" si="10"/>
        <v/>
      </c>
    </row>
    <row r="17" spans="1:9">
      <c r="A17" s="5">
        <v>104</v>
      </c>
      <c r="B17" s="1" t="str">
        <f t="shared" si="5"/>
        <v>サクラ電機</v>
      </c>
      <c r="C17" s="11">
        <v>512</v>
      </c>
      <c r="D17" s="11">
        <v>2000</v>
      </c>
      <c r="E17" s="11">
        <f t="shared" si="6"/>
        <v>1024000</v>
      </c>
      <c r="F17" s="11">
        <f t="shared" si="7"/>
        <v>7475</v>
      </c>
      <c r="G17" s="11">
        <f t="shared" si="8"/>
        <v>320</v>
      </c>
      <c r="H17" s="46">
        <f t="shared" si="9"/>
        <v>1016845</v>
      </c>
      <c r="I17" s="6" t="str">
        <f t="shared" si="10"/>
        <v/>
      </c>
    </row>
    <row r="18" spans="1:9">
      <c r="A18" s="5">
        <v>102</v>
      </c>
      <c r="B18" s="1" t="str">
        <f t="shared" si="5"/>
        <v>ＪＡＣ工業</v>
      </c>
      <c r="C18" s="11">
        <v>981</v>
      </c>
      <c r="D18" s="11">
        <v>1000</v>
      </c>
      <c r="E18" s="11">
        <f t="shared" si="6"/>
        <v>981000</v>
      </c>
      <c r="F18" s="11">
        <f t="shared" si="7"/>
        <v>7161</v>
      </c>
      <c r="G18" s="11">
        <f t="shared" si="8"/>
        <v>310</v>
      </c>
      <c r="H18" s="46">
        <f t="shared" si="9"/>
        <v>974149</v>
      </c>
      <c r="I18" s="6" t="str">
        <f t="shared" si="10"/>
        <v/>
      </c>
    </row>
    <row r="19" spans="1:9">
      <c r="A19" s="5">
        <v>101</v>
      </c>
      <c r="B19" s="1" t="str">
        <f t="shared" si="5"/>
        <v>南関東化学</v>
      </c>
      <c r="C19" s="11">
        <v>374</v>
      </c>
      <c r="D19" s="11">
        <v>2000</v>
      </c>
      <c r="E19" s="11">
        <f t="shared" si="6"/>
        <v>748000</v>
      </c>
      <c r="F19" s="11">
        <f t="shared" si="7"/>
        <v>5460</v>
      </c>
      <c r="G19" s="11">
        <f t="shared" si="8"/>
        <v>230</v>
      </c>
      <c r="H19" s="46">
        <f t="shared" si="9"/>
        <v>742770</v>
      </c>
      <c r="I19" s="6" t="str">
        <f t="shared" si="10"/>
        <v/>
      </c>
    </row>
    <row r="20" spans="1:9">
      <c r="A20" s="5"/>
      <c r="B20" s="1"/>
      <c r="C20" s="1"/>
      <c r="D20" s="1"/>
      <c r="E20" s="1"/>
      <c r="F20" s="1"/>
      <c r="G20" s="1"/>
      <c r="H20" s="1"/>
      <c r="I20" s="6"/>
    </row>
    <row r="21" spans="1:9" ht="19.5" thickBot="1">
      <c r="A21" s="58"/>
      <c r="B21" s="79" t="s">
        <v>31</v>
      </c>
      <c r="C21" s="59"/>
      <c r="D21" s="15">
        <f>SUM(D12:D19)</f>
        <v>22000</v>
      </c>
      <c r="E21" s="15">
        <f t="shared" ref="E21:H21" si="11">SUM(E12:E19)</f>
        <v>12700000</v>
      </c>
      <c r="F21" s="15">
        <f t="shared" si="11"/>
        <v>83068</v>
      </c>
      <c r="G21" s="15">
        <f t="shared" si="11"/>
        <v>3530</v>
      </c>
      <c r="H21" s="15">
        <f t="shared" si="11"/>
        <v>12620462</v>
      </c>
      <c r="I21" s="10"/>
    </row>
    <row r="23" spans="1:9" ht="19.5" thickBot="1">
      <c r="A23" s="97" t="s">
        <v>247</v>
      </c>
      <c r="B23" s="97"/>
      <c r="C23" s="97"/>
      <c r="D23" s="97"/>
    </row>
    <row r="24" spans="1:9">
      <c r="A24" s="113" t="s">
        <v>231</v>
      </c>
      <c r="B24" s="114"/>
      <c r="C24" s="3" t="s">
        <v>244</v>
      </c>
      <c r="D24" s="4" t="s">
        <v>245</v>
      </c>
      <c r="F24" s="1" t="s">
        <v>230</v>
      </c>
      <c r="G24" s="1" t="s">
        <v>230</v>
      </c>
      <c r="H24" s="1" t="s">
        <v>230</v>
      </c>
      <c r="I24" s="1" t="s">
        <v>230</v>
      </c>
    </row>
    <row r="25" spans="1:9">
      <c r="A25" s="111" t="s">
        <v>239</v>
      </c>
      <c r="B25" s="112"/>
      <c r="C25" s="11">
        <f>DSUM(株式売却一覧表7,C$24,$F$24:$F$25)</f>
        <v>15429</v>
      </c>
      <c r="D25" s="12">
        <f>DSUM(株式売却一覧表7,D$24,$F$24:$F$25)</f>
        <v>2341221</v>
      </c>
      <c r="F25" s="1" t="s">
        <v>238</v>
      </c>
      <c r="G25" s="1" t="s">
        <v>248</v>
      </c>
      <c r="H25" s="1" t="s">
        <v>249</v>
      </c>
      <c r="I25" s="1" t="s">
        <v>242</v>
      </c>
    </row>
    <row r="26" spans="1:9">
      <c r="A26" s="111" t="s">
        <v>240</v>
      </c>
      <c r="B26" s="112"/>
      <c r="C26" s="11">
        <f>DSUM(株式売却一覧表7,C$24,$G$24:$G$25)</f>
        <v>24961</v>
      </c>
      <c r="D26" s="12">
        <f>DSUM(株式売却一覧表7,D$24,$G$24:$G$25)</f>
        <v>3828099</v>
      </c>
    </row>
    <row r="27" spans="1:9">
      <c r="A27" s="111" t="s">
        <v>241</v>
      </c>
      <c r="B27" s="112"/>
      <c r="C27" s="11">
        <f>DSUM(株式売却一覧表7,C$24,$H$24:$H$25)</f>
        <v>19858</v>
      </c>
      <c r="D27" s="12">
        <f>DSUM(株式売却一覧表7,D$24,$H$24:$H$25)</f>
        <v>2973992</v>
      </c>
    </row>
    <row r="28" spans="1:9" ht="19.5" thickBot="1">
      <c r="A28" s="107" t="s">
        <v>243</v>
      </c>
      <c r="B28" s="108"/>
      <c r="C28" s="13">
        <f>DSUM(株式売却一覧表7,C$24,$I$24:$I$25)</f>
        <v>22820</v>
      </c>
      <c r="D28" s="14">
        <f>DSUM(株式売却一覧表7,D$24,$I$24:$I$25)</f>
        <v>3477150</v>
      </c>
    </row>
  </sheetData>
  <mergeCells count="8">
    <mergeCell ref="A27:B27"/>
    <mergeCell ref="A28:B28"/>
    <mergeCell ref="A1:H1"/>
    <mergeCell ref="A10:I10"/>
    <mergeCell ref="A23:D23"/>
    <mergeCell ref="A24:B24"/>
    <mergeCell ref="A25:B25"/>
    <mergeCell ref="A26:B26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B2A-D90E-4396-A1CE-69E2EC0D7E78}">
  <sheetPr>
    <pageSetUpPr fitToPage="1"/>
  </sheetPr>
  <dimension ref="A1:M30"/>
  <sheetViews>
    <sheetView topLeftCell="A36" workbookViewId="0">
      <selection activeCell="L28" sqref="L28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9.5" bestFit="1" customWidth="1"/>
    <col min="6" max="6" width="7.125" bestFit="1" customWidth="1"/>
    <col min="7" max="7" width="10.25" bestFit="1" customWidth="1"/>
    <col min="8" max="9" width="9.5" bestFit="1" customWidth="1"/>
    <col min="10" max="10" width="5.25" bestFit="1" customWidth="1"/>
    <col min="11" max="11" width="7.125" bestFit="1" customWidth="1"/>
    <col min="12" max="12" width="7.5" bestFit="1" customWidth="1"/>
    <col min="13" max="13" width="7.125" bestFit="1" customWidth="1"/>
  </cols>
  <sheetData>
    <row r="1" spans="1:13" ht="19.5" thickBot="1">
      <c r="A1" s="97" t="s">
        <v>250</v>
      </c>
      <c r="B1" s="97"/>
      <c r="C1" s="97"/>
      <c r="D1" s="97"/>
      <c r="E1" s="97"/>
      <c r="F1" s="97"/>
      <c r="G1" s="97"/>
      <c r="H1" s="97"/>
      <c r="I1" s="97"/>
      <c r="K1" s="97" t="s">
        <v>262</v>
      </c>
      <c r="L1" s="97"/>
      <c r="M1" s="97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7" t="s">
        <v>267</v>
      </c>
      <c r="B14" s="97"/>
      <c r="C14" s="97"/>
      <c r="D14" s="97"/>
      <c r="E14" s="97"/>
      <c r="F14" s="97"/>
      <c r="G14" s="97"/>
      <c r="H14" s="97"/>
      <c r="I14" s="97"/>
      <c r="J14" s="97"/>
      <c r="L14" s="97" t="s">
        <v>271</v>
      </c>
      <c r="M14" s="97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5" t="s">
        <v>272</v>
      </c>
      <c r="B29" s="106"/>
      <c r="C29" s="106"/>
      <c r="D29" s="106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7" t="s">
        <v>273</v>
      </c>
      <c r="B30" s="108"/>
      <c r="C30" s="108"/>
      <c r="D30" s="108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sortState ref="A16:J23">
    <sortCondition ref="H15"/>
  </sortState>
  <mergeCells count="6">
    <mergeCell ref="A30:D30"/>
    <mergeCell ref="A1:I1"/>
    <mergeCell ref="K1:M1"/>
    <mergeCell ref="L14:M14"/>
    <mergeCell ref="A14:J14"/>
    <mergeCell ref="A29:D29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B3DA-75B6-4721-BE1D-B4622CA48058}">
  <sheetPr>
    <pageSetUpPr fitToPage="1"/>
  </sheetPr>
  <dimension ref="A1:M30"/>
  <sheetViews>
    <sheetView showFormulas="1" workbookViewId="0">
      <selection activeCell="A2" sqref="A1:M1048576"/>
    </sheetView>
  </sheetViews>
  <sheetFormatPr defaultRowHeight="18.75"/>
  <cols>
    <col min="1" max="1" width="3.625" bestFit="1" customWidth="1"/>
    <col min="2" max="3" width="16.125" bestFit="1" customWidth="1"/>
    <col min="4" max="4" width="16.25" bestFit="1" customWidth="1"/>
    <col min="5" max="5" width="25.375" bestFit="1" customWidth="1"/>
    <col min="6" max="6" width="18.125" bestFit="1" customWidth="1"/>
    <col min="7" max="7" width="20.875" bestFit="1" customWidth="1"/>
    <col min="8" max="8" width="16.125" bestFit="1" customWidth="1"/>
    <col min="9" max="9" width="15.25" bestFit="1" customWidth="1"/>
    <col min="10" max="10" width="43.125" bestFit="1" customWidth="1"/>
    <col min="11" max="11" width="3.625" bestFit="1" customWidth="1"/>
    <col min="12" max="12" width="3.875" bestFit="1" customWidth="1"/>
    <col min="13" max="13" width="3.625" bestFit="1" customWidth="1"/>
  </cols>
  <sheetData>
    <row r="1" spans="1:13" ht="19.5" thickBot="1">
      <c r="A1" s="97" t="s">
        <v>250</v>
      </c>
      <c r="B1" s="97"/>
      <c r="C1" s="97"/>
      <c r="D1" s="97"/>
      <c r="E1" s="97"/>
      <c r="F1" s="97"/>
      <c r="G1" s="97"/>
      <c r="H1" s="97"/>
      <c r="I1" s="97"/>
      <c r="K1" s="97" t="s">
        <v>262</v>
      </c>
      <c r="L1" s="97"/>
      <c r="M1" s="97"/>
    </row>
    <row r="2" spans="1:13">
      <c r="A2" s="2" t="s">
        <v>251</v>
      </c>
      <c r="B2" s="3" t="s">
        <v>252</v>
      </c>
      <c r="C2" s="3" t="s">
        <v>13</v>
      </c>
      <c r="D2" s="3" t="s">
        <v>14</v>
      </c>
      <c r="E2" s="3" t="s">
        <v>16</v>
      </c>
      <c r="F2" s="3" t="s">
        <v>6</v>
      </c>
      <c r="G2" s="3" t="s">
        <v>253</v>
      </c>
      <c r="H2" s="3" t="s">
        <v>7</v>
      </c>
      <c r="I2" s="4" t="s">
        <v>17</v>
      </c>
      <c r="K2" s="60" t="s">
        <v>13</v>
      </c>
      <c r="L2" s="61" t="s">
        <v>14</v>
      </c>
      <c r="M2" s="18" t="s">
        <v>5</v>
      </c>
    </row>
    <row r="3" spans="1:13">
      <c r="A3" s="5">
        <v>101</v>
      </c>
      <c r="B3" s="1" t="s">
        <v>254</v>
      </c>
      <c r="C3" s="1">
        <v>13</v>
      </c>
      <c r="D3" s="1" t="str">
        <f>VLOOKUP(C3,$K$3:$M$6,2,0)</f>
        <v>C商品</v>
      </c>
      <c r="E3" s="11">
        <v>408</v>
      </c>
      <c r="F3" s="11">
        <f>VLOOKUP(C3,$K$3:$M$6,3,0)*1.3</f>
        <v>1833</v>
      </c>
      <c r="G3" s="47">
        <f>IF(OR(E3&gt;=440,F3&gt;=2000),8.9%,5.6%)</f>
        <v>5.5999999999999994E-2</v>
      </c>
      <c r="H3" s="11">
        <f>ROUND(F3*(1-G3),-1)</f>
        <v>1730</v>
      </c>
      <c r="I3" s="12">
        <f>H3*E3</f>
        <v>705840</v>
      </c>
      <c r="K3" s="5">
        <v>11</v>
      </c>
      <c r="L3" s="1" t="s">
        <v>263</v>
      </c>
      <c r="M3" s="12">
        <v>1560</v>
      </c>
    </row>
    <row r="4" spans="1:13">
      <c r="A4" s="5">
        <v>102</v>
      </c>
      <c r="B4" s="1" t="s">
        <v>255</v>
      </c>
      <c r="C4" s="1">
        <v>11</v>
      </c>
      <c r="D4" s="1" t="str">
        <f t="shared" ref="D4:D10" si="0">VLOOKUP(C4,$K$3:$M$6,2,0)</f>
        <v>A商品</v>
      </c>
      <c r="E4" s="11">
        <v>354</v>
      </c>
      <c r="F4" s="11">
        <f t="shared" ref="F4:F10" si="1">VLOOKUP(C4,$K$3:$M$6,3,0)*1.3</f>
        <v>2028</v>
      </c>
      <c r="G4" s="47">
        <f t="shared" ref="G4:G10" si="2">IF(OR(E4&gt;=440,F4&gt;=2000),8.9%,5.6%)</f>
        <v>8.900000000000001E-2</v>
      </c>
      <c r="H4" s="11">
        <f t="shared" ref="H4:H10" si="3">ROUND(F4*(1-G4),-1)</f>
        <v>1850</v>
      </c>
      <c r="I4" s="12">
        <f t="shared" ref="I4:I10" si="4">H4*E4</f>
        <v>654900</v>
      </c>
      <c r="K4" s="5">
        <v>12</v>
      </c>
      <c r="L4" s="1" t="s">
        <v>264</v>
      </c>
      <c r="M4" s="12">
        <v>1290</v>
      </c>
    </row>
    <row r="5" spans="1:13">
      <c r="A5" s="5">
        <v>103</v>
      </c>
      <c r="B5" s="1" t="s">
        <v>256</v>
      </c>
      <c r="C5" s="1">
        <v>14</v>
      </c>
      <c r="D5" s="1" t="str">
        <f t="shared" si="0"/>
        <v>D商品</v>
      </c>
      <c r="E5" s="11">
        <v>363</v>
      </c>
      <c r="F5" s="11">
        <f t="shared" si="1"/>
        <v>1781</v>
      </c>
      <c r="G5" s="47">
        <f t="shared" si="2"/>
        <v>5.5999999999999994E-2</v>
      </c>
      <c r="H5" s="11">
        <f t="shared" si="3"/>
        <v>1680</v>
      </c>
      <c r="I5" s="12">
        <f t="shared" si="4"/>
        <v>609840</v>
      </c>
      <c r="K5" s="5">
        <v>13</v>
      </c>
      <c r="L5" s="1" t="s">
        <v>265</v>
      </c>
      <c r="M5" s="12">
        <v>1410</v>
      </c>
    </row>
    <row r="6" spans="1:13" ht="19.5" thickBot="1">
      <c r="A6" s="5">
        <v>104</v>
      </c>
      <c r="B6" s="1" t="s">
        <v>257</v>
      </c>
      <c r="C6" s="1">
        <v>12</v>
      </c>
      <c r="D6" s="1" t="str">
        <f t="shared" si="0"/>
        <v>B商品</v>
      </c>
      <c r="E6" s="11">
        <v>245</v>
      </c>
      <c r="F6" s="11">
        <f t="shared" si="1"/>
        <v>1677</v>
      </c>
      <c r="G6" s="47">
        <f t="shared" si="2"/>
        <v>5.5999999999999994E-2</v>
      </c>
      <c r="H6" s="11">
        <f t="shared" si="3"/>
        <v>1580</v>
      </c>
      <c r="I6" s="12">
        <f t="shared" si="4"/>
        <v>387100</v>
      </c>
      <c r="K6" s="58">
        <v>14</v>
      </c>
      <c r="L6" s="59" t="s">
        <v>266</v>
      </c>
      <c r="M6" s="14">
        <v>1370</v>
      </c>
    </row>
    <row r="7" spans="1:13">
      <c r="A7" s="5">
        <v>105</v>
      </c>
      <c r="B7" s="1" t="s">
        <v>258</v>
      </c>
      <c r="C7" s="1">
        <v>11</v>
      </c>
      <c r="D7" s="1" t="str">
        <f t="shared" si="0"/>
        <v>A商品</v>
      </c>
      <c r="E7" s="11">
        <v>321</v>
      </c>
      <c r="F7" s="11">
        <f t="shared" si="1"/>
        <v>2028</v>
      </c>
      <c r="G7" s="47">
        <f t="shared" si="2"/>
        <v>8.900000000000001E-2</v>
      </c>
      <c r="H7" s="11">
        <f t="shared" si="3"/>
        <v>1850</v>
      </c>
      <c r="I7" s="12">
        <f t="shared" si="4"/>
        <v>593850</v>
      </c>
    </row>
    <row r="8" spans="1:13">
      <c r="A8" s="5">
        <v>106</v>
      </c>
      <c r="B8" s="1" t="s">
        <v>259</v>
      </c>
      <c r="C8" s="1">
        <v>14</v>
      </c>
      <c r="D8" s="1" t="str">
        <f t="shared" si="0"/>
        <v>D商品</v>
      </c>
      <c r="E8" s="11">
        <v>440</v>
      </c>
      <c r="F8" s="11">
        <f t="shared" si="1"/>
        <v>1781</v>
      </c>
      <c r="G8" s="47">
        <f t="shared" si="2"/>
        <v>8.900000000000001E-2</v>
      </c>
      <c r="H8" s="11">
        <f t="shared" si="3"/>
        <v>1620</v>
      </c>
      <c r="I8" s="12">
        <f t="shared" si="4"/>
        <v>712800</v>
      </c>
    </row>
    <row r="9" spans="1:13">
      <c r="A9" s="5">
        <v>107</v>
      </c>
      <c r="B9" s="1" t="s">
        <v>260</v>
      </c>
      <c r="C9" s="1">
        <v>12</v>
      </c>
      <c r="D9" s="1" t="str">
        <f t="shared" si="0"/>
        <v>B商品</v>
      </c>
      <c r="E9" s="11">
        <v>285</v>
      </c>
      <c r="F9" s="11">
        <f t="shared" si="1"/>
        <v>1677</v>
      </c>
      <c r="G9" s="47">
        <f t="shared" si="2"/>
        <v>5.5999999999999994E-2</v>
      </c>
      <c r="H9" s="11">
        <f t="shared" si="3"/>
        <v>1580</v>
      </c>
      <c r="I9" s="12">
        <f t="shared" si="4"/>
        <v>450300</v>
      </c>
    </row>
    <row r="10" spans="1:13">
      <c r="A10" s="5">
        <v>108</v>
      </c>
      <c r="B10" s="1" t="s">
        <v>261</v>
      </c>
      <c r="C10" s="1">
        <v>13</v>
      </c>
      <c r="D10" s="1" t="str">
        <f t="shared" si="0"/>
        <v>C商品</v>
      </c>
      <c r="E10" s="11">
        <v>472</v>
      </c>
      <c r="F10" s="11">
        <f t="shared" si="1"/>
        <v>1833</v>
      </c>
      <c r="G10" s="47">
        <f t="shared" si="2"/>
        <v>8.900000000000001E-2</v>
      </c>
      <c r="H10" s="11">
        <f t="shared" si="3"/>
        <v>1670</v>
      </c>
      <c r="I10" s="12">
        <f t="shared" si="4"/>
        <v>788240</v>
      </c>
      <c r="M10" s="83"/>
    </row>
    <row r="11" spans="1:13">
      <c r="A11" s="5"/>
      <c r="B11" s="1"/>
      <c r="C11" s="1"/>
      <c r="D11" s="1"/>
      <c r="E11" s="1"/>
      <c r="F11" s="1"/>
      <c r="G11" s="1"/>
      <c r="H11" s="1"/>
      <c r="I11" s="6"/>
      <c r="K11" s="78"/>
      <c r="L11" s="78"/>
      <c r="M11" s="83"/>
    </row>
    <row r="12" spans="1:13" ht="19.5" thickBot="1">
      <c r="A12" s="58"/>
      <c r="B12" s="8" t="s">
        <v>31</v>
      </c>
      <c r="C12" s="59"/>
      <c r="D12" s="59"/>
      <c r="E12" s="15">
        <f>SUM(E3:E10)</f>
        <v>2888</v>
      </c>
      <c r="F12" s="15"/>
      <c r="G12" s="15"/>
      <c r="H12" s="15"/>
      <c r="I12" s="80">
        <f t="shared" ref="I12" si="5">SUM(I3:I10)</f>
        <v>4902870</v>
      </c>
    </row>
    <row r="14" spans="1:13" ht="19.5" thickBot="1">
      <c r="A14" s="97" t="s">
        <v>267</v>
      </c>
      <c r="B14" s="97"/>
      <c r="C14" s="97"/>
      <c r="D14" s="97"/>
      <c r="E14" s="97"/>
      <c r="F14" s="97"/>
      <c r="G14" s="97"/>
      <c r="H14" s="97"/>
      <c r="I14" s="97"/>
      <c r="J14" s="97"/>
      <c r="L14" s="97" t="s">
        <v>271</v>
      </c>
      <c r="M14" s="97"/>
    </row>
    <row r="15" spans="1:13">
      <c r="A15" s="2" t="s">
        <v>251</v>
      </c>
      <c r="B15" s="3" t="s">
        <v>252</v>
      </c>
      <c r="C15" s="3" t="s">
        <v>16</v>
      </c>
      <c r="D15" s="3" t="s">
        <v>270</v>
      </c>
      <c r="E15" s="3" t="s">
        <v>17</v>
      </c>
      <c r="F15" s="3" t="s">
        <v>87</v>
      </c>
      <c r="G15" s="3" t="s">
        <v>100</v>
      </c>
      <c r="H15" s="3" t="s">
        <v>268</v>
      </c>
      <c r="I15" s="3" t="s">
        <v>269</v>
      </c>
      <c r="J15" s="4" t="s">
        <v>219</v>
      </c>
      <c r="L15" s="2" t="s">
        <v>17</v>
      </c>
      <c r="M15" s="4" t="s">
        <v>87</v>
      </c>
    </row>
    <row r="16" spans="1:13">
      <c r="A16" s="5">
        <v>104</v>
      </c>
      <c r="B16" s="1" t="str">
        <f t="shared" ref="B16:B23" si="6">VLOOKUP(A16,$A$3:$I$10,2,0)</f>
        <v>長谷川食品</v>
      </c>
      <c r="C16" s="1">
        <f t="shared" ref="C16:C23" si="7">VLOOKUP(A16,$A$3:$I$10,5,0)</f>
        <v>245</v>
      </c>
      <c r="D16" s="1">
        <f t="shared" ref="D16:D23" si="8">INT(C16*5%)</f>
        <v>12</v>
      </c>
      <c r="E16" s="11">
        <f t="shared" ref="E16:E23" si="9">VLOOKUP(A16,$A$3:$I$10,9,0)</f>
        <v>387100</v>
      </c>
      <c r="F16" s="47">
        <f t="shared" ref="F16:F23" si="10">VLOOKUP(E16,$L$16:$M$18,2,1)</f>
        <v>4.7E-2</v>
      </c>
      <c r="G16" s="11">
        <f t="shared" ref="G16:G23" si="11">ROUNDUP(E16*F16,0)</f>
        <v>18194</v>
      </c>
      <c r="H16" s="46">
        <f t="shared" ref="H16:H23" si="12">E16-G16</f>
        <v>368906</v>
      </c>
      <c r="I16" s="11">
        <f t="shared" ref="I16:I23" si="13">INT(H16*1.2%)</f>
        <v>4426</v>
      </c>
      <c r="J16" s="6" t="str">
        <f t="shared" ref="J16:J23" si="14">IF(AND(C16&gt;=$C$26,H16&gt;=$H$26),"***",IF(OR(C16&gt;=$C$26,H16&gt;=$H$26),"**", "*"))</f>
        <v>*</v>
      </c>
      <c r="L16" s="5">
        <v>1</v>
      </c>
      <c r="M16" s="65">
        <v>4.7E-2</v>
      </c>
    </row>
    <row r="17" spans="1:13">
      <c r="A17" s="5">
        <v>107</v>
      </c>
      <c r="B17" s="1" t="str">
        <f t="shared" si="6"/>
        <v>青木総業</v>
      </c>
      <c r="C17" s="1">
        <f t="shared" si="7"/>
        <v>285</v>
      </c>
      <c r="D17" s="1">
        <f t="shared" si="8"/>
        <v>14</v>
      </c>
      <c r="E17" s="11">
        <f t="shared" si="9"/>
        <v>450300</v>
      </c>
      <c r="F17" s="47">
        <f t="shared" si="10"/>
        <v>4.7E-2</v>
      </c>
      <c r="G17" s="11">
        <f t="shared" si="11"/>
        <v>21165</v>
      </c>
      <c r="H17" s="46">
        <f t="shared" si="12"/>
        <v>429135</v>
      </c>
      <c r="I17" s="11">
        <f t="shared" si="13"/>
        <v>5149</v>
      </c>
      <c r="J17" s="6" t="str">
        <f t="shared" si="14"/>
        <v>*</v>
      </c>
      <c r="L17" s="5">
        <v>590000</v>
      </c>
      <c r="M17" s="65">
        <v>5.8000000000000003E-2</v>
      </c>
    </row>
    <row r="18" spans="1:13" ht="19.5" thickBot="1">
      <c r="A18" s="5">
        <v>105</v>
      </c>
      <c r="B18" s="1" t="str">
        <f t="shared" si="6"/>
        <v>佐藤商店</v>
      </c>
      <c r="C18" s="1">
        <f t="shared" si="7"/>
        <v>321</v>
      </c>
      <c r="D18" s="1">
        <f t="shared" si="8"/>
        <v>16</v>
      </c>
      <c r="E18" s="11">
        <f t="shared" si="9"/>
        <v>593850</v>
      </c>
      <c r="F18" s="47">
        <f t="shared" si="10"/>
        <v>5.8000000000000003E-2</v>
      </c>
      <c r="G18" s="11">
        <f t="shared" si="11"/>
        <v>34444</v>
      </c>
      <c r="H18" s="46">
        <f t="shared" si="12"/>
        <v>559406</v>
      </c>
      <c r="I18" s="11">
        <f t="shared" si="13"/>
        <v>6712</v>
      </c>
      <c r="J18" s="6" t="str">
        <f t="shared" si="14"/>
        <v>*</v>
      </c>
      <c r="L18" s="58">
        <v>670000</v>
      </c>
      <c r="M18" s="66">
        <v>6.9000000000000006E-2</v>
      </c>
    </row>
    <row r="19" spans="1:13">
      <c r="A19" s="5">
        <v>103</v>
      </c>
      <c r="B19" s="1" t="str">
        <f t="shared" si="6"/>
        <v>中央物産</v>
      </c>
      <c r="C19" s="1">
        <f t="shared" si="7"/>
        <v>363</v>
      </c>
      <c r="D19" s="1">
        <f t="shared" si="8"/>
        <v>18</v>
      </c>
      <c r="E19" s="11">
        <f t="shared" si="9"/>
        <v>609840</v>
      </c>
      <c r="F19" s="47">
        <f t="shared" si="10"/>
        <v>5.8000000000000003E-2</v>
      </c>
      <c r="G19" s="11">
        <f t="shared" si="11"/>
        <v>35371</v>
      </c>
      <c r="H19" s="46">
        <f t="shared" si="12"/>
        <v>574469</v>
      </c>
      <c r="I19" s="11">
        <f t="shared" si="13"/>
        <v>6893</v>
      </c>
      <c r="J19" s="6" t="str">
        <f t="shared" si="14"/>
        <v>**</v>
      </c>
    </row>
    <row r="20" spans="1:13">
      <c r="A20" s="5">
        <v>102</v>
      </c>
      <c r="B20" s="1" t="str">
        <f t="shared" si="6"/>
        <v>ヤマヨ水産</v>
      </c>
      <c r="C20" s="1">
        <f t="shared" si="7"/>
        <v>354</v>
      </c>
      <c r="D20" s="1">
        <f t="shared" si="8"/>
        <v>17</v>
      </c>
      <c r="E20" s="11">
        <f t="shared" si="9"/>
        <v>654900</v>
      </c>
      <c r="F20" s="47">
        <f t="shared" si="10"/>
        <v>5.8000000000000003E-2</v>
      </c>
      <c r="G20" s="11">
        <f t="shared" si="11"/>
        <v>37985</v>
      </c>
      <c r="H20" s="46">
        <f t="shared" si="12"/>
        <v>616915</v>
      </c>
      <c r="I20" s="11">
        <f t="shared" si="13"/>
        <v>7402</v>
      </c>
      <c r="J20" s="6" t="str">
        <f t="shared" si="14"/>
        <v>**</v>
      </c>
    </row>
    <row r="21" spans="1:13">
      <c r="A21" s="5">
        <v>101</v>
      </c>
      <c r="B21" s="1" t="str">
        <f t="shared" si="6"/>
        <v>鈴木商会</v>
      </c>
      <c r="C21" s="1">
        <f t="shared" si="7"/>
        <v>408</v>
      </c>
      <c r="D21" s="1">
        <f t="shared" si="8"/>
        <v>20</v>
      </c>
      <c r="E21" s="11">
        <f t="shared" si="9"/>
        <v>705840</v>
      </c>
      <c r="F21" s="47">
        <f t="shared" si="10"/>
        <v>6.9000000000000006E-2</v>
      </c>
      <c r="G21" s="11">
        <f t="shared" si="11"/>
        <v>48703</v>
      </c>
      <c r="H21" s="46">
        <f t="shared" si="12"/>
        <v>657137</v>
      </c>
      <c r="I21" s="11">
        <f t="shared" si="13"/>
        <v>7885</v>
      </c>
      <c r="J21" s="6" t="str">
        <f t="shared" si="14"/>
        <v>***</v>
      </c>
    </row>
    <row r="22" spans="1:13">
      <c r="A22" s="5">
        <v>106</v>
      </c>
      <c r="B22" s="1" t="str">
        <f t="shared" si="6"/>
        <v>ＳＢストア</v>
      </c>
      <c r="C22" s="1">
        <f t="shared" si="7"/>
        <v>440</v>
      </c>
      <c r="D22" s="1">
        <f t="shared" si="8"/>
        <v>22</v>
      </c>
      <c r="E22" s="11">
        <f t="shared" si="9"/>
        <v>712800</v>
      </c>
      <c r="F22" s="47">
        <f t="shared" si="10"/>
        <v>6.9000000000000006E-2</v>
      </c>
      <c r="G22" s="11">
        <f t="shared" si="11"/>
        <v>49184</v>
      </c>
      <c r="H22" s="46">
        <f t="shared" si="12"/>
        <v>663616</v>
      </c>
      <c r="I22" s="11">
        <f t="shared" si="13"/>
        <v>7963</v>
      </c>
      <c r="J22" s="6" t="str">
        <f t="shared" si="14"/>
        <v>***</v>
      </c>
    </row>
    <row r="23" spans="1:13">
      <c r="A23" s="5">
        <v>108</v>
      </c>
      <c r="B23" s="1" t="str">
        <f t="shared" si="6"/>
        <v>東海百貨店</v>
      </c>
      <c r="C23" s="1">
        <f t="shared" si="7"/>
        <v>472</v>
      </c>
      <c r="D23" s="1">
        <f t="shared" si="8"/>
        <v>23</v>
      </c>
      <c r="E23" s="11">
        <f t="shared" si="9"/>
        <v>788240</v>
      </c>
      <c r="F23" s="47">
        <f t="shared" si="10"/>
        <v>6.9000000000000006E-2</v>
      </c>
      <c r="G23" s="11">
        <f t="shared" si="11"/>
        <v>54389</v>
      </c>
      <c r="H23" s="46">
        <f t="shared" si="12"/>
        <v>733851</v>
      </c>
      <c r="I23" s="11">
        <f t="shared" si="13"/>
        <v>8806</v>
      </c>
      <c r="J23" s="6" t="str">
        <f t="shared" si="14"/>
        <v>***</v>
      </c>
    </row>
    <row r="24" spans="1:13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3">
      <c r="A25" s="5"/>
      <c r="B25" s="62" t="s">
        <v>31</v>
      </c>
      <c r="C25" s="11">
        <f>SUM(C16:C23)</f>
        <v>2888</v>
      </c>
      <c r="D25" s="11">
        <f t="shared" ref="D25:I25" si="15">SUM(D16:D23)</f>
        <v>142</v>
      </c>
      <c r="E25" s="11">
        <f t="shared" si="15"/>
        <v>4902870</v>
      </c>
      <c r="F25" s="11"/>
      <c r="G25" s="11">
        <f t="shared" si="15"/>
        <v>299435</v>
      </c>
      <c r="H25" s="11">
        <f t="shared" si="15"/>
        <v>4603435</v>
      </c>
      <c r="I25" s="11">
        <f t="shared" si="15"/>
        <v>55236</v>
      </c>
      <c r="J25" s="6"/>
    </row>
    <row r="26" spans="1:13" ht="19.5" thickBot="1">
      <c r="A26" s="58"/>
      <c r="B26" s="8" t="s">
        <v>9</v>
      </c>
      <c r="C26" s="13">
        <f>ROUND(AVERAGE(C16:C23),0)</f>
        <v>361</v>
      </c>
      <c r="D26" s="13">
        <f t="shared" ref="D26:I26" si="16">ROUND(AVERAGE(D16:D23),0)</f>
        <v>18</v>
      </c>
      <c r="E26" s="13">
        <f t="shared" si="16"/>
        <v>612859</v>
      </c>
      <c r="F26" s="13"/>
      <c r="G26" s="13">
        <f t="shared" si="16"/>
        <v>37429</v>
      </c>
      <c r="H26" s="13">
        <f t="shared" si="16"/>
        <v>575429</v>
      </c>
      <c r="I26" s="13">
        <f t="shared" si="16"/>
        <v>6905</v>
      </c>
      <c r="J26" s="10"/>
    </row>
    <row r="28" spans="1:13" ht="19.5" thickBot="1"/>
    <row r="29" spans="1:13">
      <c r="A29" s="105" t="s">
        <v>272</v>
      </c>
      <c r="B29" s="106"/>
      <c r="C29" s="106"/>
      <c r="D29" s="106"/>
      <c r="E29" s="18">
        <f>DCOUNT(請求額一覧表8, E15, G29:G30)</f>
        <v>3</v>
      </c>
      <c r="G29" s="49" t="s">
        <v>274</v>
      </c>
      <c r="I29" s="49" t="s">
        <v>276</v>
      </c>
    </row>
    <row r="30" spans="1:13" ht="19.5" thickBot="1">
      <c r="A30" s="107" t="s">
        <v>273</v>
      </c>
      <c r="B30" s="108"/>
      <c r="C30" s="108"/>
      <c r="D30" s="108"/>
      <c r="E30" s="14">
        <f>ROUND(DAVERAGE(請求額一覧表8,H15, I29:I30),0)</f>
        <v>509766</v>
      </c>
      <c r="G30" s="51" t="s">
        <v>275</v>
      </c>
      <c r="I30" s="51" t="s">
        <v>277</v>
      </c>
    </row>
  </sheetData>
  <mergeCells count="6">
    <mergeCell ref="A30:D30"/>
    <mergeCell ref="A1:I1"/>
    <mergeCell ref="K1:M1"/>
    <mergeCell ref="A14:J14"/>
    <mergeCell ref="L14:M14"/>
    <mergeCell ref="A29:D29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5ECE-6383-43D6-B21F-275229E9F9B0}">
  <sheetPr>
    <pageSetUpPr fitToPage="1"/>
  </sheetPr>
  <dimension ref="A1:M29"/>
  <sheetViews>
    <sheetView workbookViewId="0">
      <selection activeCell="S19" sqref="S19"/>
    </sheetView>
  </sheetViews>
  <sheetFormatPr defaultRowHeight="18.75"/>
  <cols>
    <col min="1" max="1" width="5.25" bestFit="1" customWidth="1"/>
    <col min="2" max="2" width="11" bestFit="1" customWidth="1"/>
    <col min="4" max="4" width="11" bestFit="1" customWidth="1"/>
    <col min="7" max="7" width="9.25" bestFit="1" customWidth="1"/>
    <col min="9" max="9" width="8.25" bestFit="1" customWidth="1"/>
    <col min="10" max="10" width="5.25" bestFit="1" customWidth="1"/>
    <col min="11" max="11" width="11" bestFit="1" customWidth="1"/>
  </cols>
  <sheetData>
    <row r="1" spans="1:13" ht="19.5" thickBot="1">
      <c r="A1" s="97" t="s">
        <v>278</v>
      </c>
      <c r="B1" s="97"/>
      <c r="C1" s="97"/>
      <c r="D1" s="97"/>
      <c r="E1" s="97"/>
      <c r="F1" s="97"/>
      <c r="G1" s="97"/>
      <c r="H1" s="97"/>
      <c r="J1" s="97" t="s">
        <v>300</v>
      </c>
      <c r="K1" s="97"/>
      <c r="L1" s="97"/>
      <c r="M1" s="97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7" t="s">
        <v>283</v>
      </c>
      <c r="B14" s="97"/>
      <c r="C14" s="97"/>
      <c r="D14" s="97"/>
      <c r="E14" s="97"/>
      <c r="F14" s="97"/>
      <c r="G14" s="97"/>
      <c r="H14" s="97"/>
      <c r="I14" s="97"/>
      <c r="K14" s="97" t="s">
        <v>271</v>
      </c>
      <c r="L14" s="97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5" t="s">
        <v>301</v>
      </c>
      <c r="B28" s="106"/>
      <c r="C28" s="106"/>
      <c r="D28" s="106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7" t="s">
        <v>302</v>
      </c>
      <c r="B29" s="108"/>
      <c r="C29" s="108"/>
      <c r="D29" s="108"/>
      <c r="E29" s="14">
        <f>DSUM(請求金額一覧表9,H15,I28:I29)</f>
        <v>122993</v>
      </c>
      <c r="G29" s="51" t="s">
        <v>304</v>
      </c>
      <c r="I29" s="51" t="s">
        <v>306</v>
      </c>
    </row>
  </sheetData>
  <sortState ref="A16:I23">
    <sortCondition ref="H15"/>
  </sortState>
  <mergeCells count="6">
    <mergeCell ref="A29:D29"/>
    <mergeCell ref="A1:H1"/>
    <mergeCell ref="A14:I14"/>
    <mergeCell ref="K14:L14"/>
    <mergeCell ref="J1:M1"/>
    <mergeCell ref="A28:D28"/>
  </mergeCells>
  <phoneticPr fontId="2"/>
  <pageMargins left="0.25" right="0.25" top="0.75" bottom="0.75" header="0.3" footer="0.3"/>
  <pageSetup paperSize="9" scale="7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8994-F18D-4F55-BF15-A31D91AF3F3F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625" bestFit="1" customWidth="1"/>
    <col min="4" max="4" width="17" bestFit="1" customWidth="1"/>
    <col min="5" max="5" width="20.5" bestFit="1" customWidth="1"/>
    <col min="6" max="6" width="17" bestFit="1" customWidth="1"/>
    <col min="7" max="7" width="20.125" bestFit="1" customWidth="1"/>
    <col min="8" max="8" width="8.375" bestFit="1" customWidth="1"/>
    <col min="9" max="9" width="18.375" bestFit="1" customWidth="1"/>
    <col min="10" max="10" width="2.75" bestFit="1" customWidth="1"/>
    <col min="11" max="11" width="5.625" bestFit="1" customWidth="1"/>
    <col min="12" max="13" width="4.625" bestFit="1" customWidth="1"/>
  </cols>
  <sheetData>
    <row r="1" spans="1:13" ht="19.5" thickBot="1">
      <c r="A1" s="97" t="s">
        <v>278</v>
      </c>
      <c r="B1" s="97"/>
      <c r="C1" s="97"/>
      <c r="D1" s="97"/>
      <c r="E1" s="97"/>
      <c r="F1" s="97"/>
      <c r="G1" s="97"/>
      <c r="H1" s="97"/>
      <c r="J1" s="97" t="s">
        <v>300</v>
      </c>
      <c r="K1" s="97"/>
      <c r="L1" s="97"/>
      <c r="M1" s="97"/>
    </row>
    <row r="2" spans="1:13">
      <c r="A2" s="2" t="s">
        <v>81</v>
      </c>
      <c r="B2" s="3" t="s">
        <v>279</v>
      </c>
      <c r="C2" s="3" t="s">
        <v>72</v>
      </c>
      <c r="D2" s="3" t="s">
        <v>280</v>
      </c>
      <c r="E2" s="3" t="s">
        <v>281</v>
      </c>
      <c r="F2" s="3" t="s">
        <v>74</v>
      </c>
      <c r="G2" s="3" t="s">
        <v>282</v>
      </c>
      <c r="H2" s="4" t="s">
        <v>180</v>
      </c>
      <c r="J2" s="60" t="s">
        <v>72</v>
      </c>
      <c r="K2" s="61" t="s">
        <v>280</v>
      </c>
      <c r="L2" s="61" t="s">
        <v>153</v>
      </c>
      <c r="M2" s="18" t="s">
        <v>294</v>
      </c>
    </row>
    <row r="3" spans="1:13">
      <c r="A3" s="5">
        <v>101</v>
      </c>
      <c r="B3" s="1" t="s">
        <v>284</v>
      </c>
      <c r="C3" s="1">
        <v>13</v>
      </c>
      <c r="D3" s="1" t="str">
        <f>VLOOKUP(C3,$J$3:$M$6,2,0)</f>
        <v>中会議室</v>
      </c>
      <c r="E3" s="1">
        <v>10</v>
      </c>
      <c r="F3" s="11">
        <f>VLOOKUP(C3,$J$3:$M$6,3,0)*5</f>
        <v>24800</v>
      </c>
      <c r="G3" s="11">
        <f>VLOOKUP(C3,$J$3:$M$6,4,0)*(E3-5)</f>
        <v>12400</v>
      </c>
      <c r="H3" s="48">
        <f>F3+G3</f>
        <v>37200</v>
      </c>
      <c r="J3" s="5">
        <v>11</v>
      </c>
      <c r="K3" s="1" t="s">
        <v>295</v>
      </c>
      <c r="L3" s="11">
        <v>6380</v>
      </c>
      <c r="M3" s="12">
        <v>3190</v>
      </c>
    </row>
    <row r="4" spans="1:13">
      <c r="A4" s="5">
        <v>102</v>
      </c>
      <c r="B4" s="1" t="s">
        <v>285</v>
      </c>
      <c r="C4" s="1">
        <v>14</v>
      </c>
      <c r="D4" s="1" t="str">
        <f t="shared" ref="D4:D10" si="0">VLOOKUP(C4,$J$3:$M$6,2,0)</f>
        <v>小会議室</v>
      </c>
      <c r="E4" s="1">
        <v>6</v>
      </c>
      <c r="F4" s="11">
        <f t="shared" ref="F4:F10" si="1">VLOOKUP(C4,$J$3:$M$6,3,0)*5</f>
        <v>23600</v>
      </c>
      <c r="G4" s="11">
        <f t="shared" ref="G4:G10" si="2">VLOOKUP(C4,$J$3:$M$6,4,0)*(E4-5)</f>
        <v>2360</v>
      </c>
      <c r="H4" s="48">
        <f t="shared" ref="H4:H10" si="3">F4+G4</f>
        <v>25960</v>
      </c>
      <c r="J4" s="5">
        <v>12</v>
      </c>
      <c r="K4" s="1" t="s">
        <v>296</v>
      </c>
      <c r="L4" s="11">
        <v>5650</v>
      </c>
      <c r="M4" s="12">
        <v>2830</v>
      </c>
    </row>
    <row r="5" spans="1:13">
      <c r="A5" s="5">
        <v>103</v>
      </c>
      <c r="B5" s="1" t="s">
        <v>286</v>
      </c>
      <c r="C5" s="1">
        <v>13</v>
      </c>
      <c r="D5" s="1" t="str">
        <f t="shared" si="0"/>
        <v>中会議室</v>
      </c>
      <c r="E5" s="1">
        <v>5</v>
      </c>
      <c r="F5" s="11">
        <f t="shared" si="1"/>
        <v>24800</v>
      </c>
      <c r="G5" s="11">
        <f t="shared" si="2"/>
        <v>0</v>
      </c>
      <c r="H5" s="48">
        <f t="shared" si="3"/>
        <v>24800</v>
      </c>
      <c r="J5" s="5">
        <v>13</v>
      </c>
      <c r="K5" s="1" t="s">
        <v>297</v>
      </c>
      <c r="L5" s="11">
        <v>4960</v>
      </c>
      <c r="M5" s="12">
        <v>2480</v>
      </c>
    </row>
    <row r="6" spans="1:13" ht="19.5" thickBot="1">
      <c r="A6" s="5">
        <v>201</v>
      </c>
      <c r="B6" s="1" t="s">
        <v>287</v>
      </c>
      <c r="C6" s="1">
        <v>11</v>
      </c>
      <c r="D6" s="1" t="str">
        <f t="shared" si="0"/>
        <v>特別会議室</v>
      </c>
      <c r="E6" s="1">
        <v>7</v>
      </c>
      <c r="F6" s="11">
        <f t="shared" si="1"/>
        <v>31900</v>
      </c>
      <c r="G6" s="11">
        <f t="shared" si="2"/>
        <v>6380</v>
      </c>
      <c r="H6" s="48">
        <f t="shared" si="3"/>
        <v>38280</v>
      </c>
      <c r="J6" s="58">
        <v>14</v>
      </c>
      <c r="K6" s="59" t="s">
        <v>298</v>
      </c>
      <c r="L6" s="13">
        <v>4720</v>
      </c>
      <c r="M6" s="14">
        <v>2360</v>
      </c>
    </row>
    <row r="7" spans="1:13">
      <c r="A7" s="5">
        <v>202</v>
      </c>
      <c r="B7" s="1" t="s">
        <v>288</v>
      </c>
      <c r="C7" s="1">
        <v>11</v>
      </c>
      <c r="D7" s="1" t="str">
        <f t="shared" si="0"/>
        <v>特別会議室</v>
      </c>
      <c r="E7" s="1">
        <v>5</v>
      </c>
      <c r="F7" s="11">
        <f t="shared" si="1"/>
        <v>31900</v>
      </c>
      <c r="G7" s="11">
        <f t="shared" si="2"/>
        <v>0</v>
      </c>
      <c r="H7" s="48">
        <f t="shared" si="3"/>
        <v>31900</v>
      </c>
    </row>
    <row r="8" spans="1:13">
      <c r="A8" s="5">
        <v>203</v>
      </c>
      <c r="B8" s="1" t="s">
        <v>289</v>
      </c>
      <c r="C8" s="1">
        <v>12</v>
      </c>
      <c r="D8" s="1" t="str">
        <f t="shared" si="0"/>
        <v>大会議室</v>
      </c>
      <c r="E8" s="1">
        <v>8</v>
      </c>
      <c r="F8" s="11">
        <f t="shared" si="1"/>
        <v>28250</v>
      </c>
      <c r="G8" s="11">
        <f t="shared" si="2"/>
        <v>8490</v>
      </c>
      <c r="H8" s="48">
        <f t="shared" si="3"/>
        <v>36740</v>
      </c>
    </row>
    <row r="9" spans="1:13">
      <c r="A9" s="5">
        <v>301</v>
      </c>
      <c r="B9" s="1" t="s">
        <v>290</v>
      </c>
      <c r="C9" s="1">
        <v>14</v>
      </c>
      <c r="D9" s="1" t="str">
        <f t="shared" si="0"/>
        <v>小会議室</v>
      </c>
      <c r="E9" s="1">
        <v>9</v>
      </c>
      <c r="F9" s="11">
        <f t="shared" si="1"/>
        <v>23600</v>
      </c>
      <c r="G9" s="11">
        <f t="shared" si="2"/>
        <v>9440</v>
      </c>
      <c r="H9" s="48">
        <f t="shared" si="3"/>
        <v>33040</v>
      </c>
    </row>
    <row r="10" spans="1:13">
      <c r="A10" s="5">
        <v>302</v>
      </c>
      <c r="B10" s="1" t="s">
        <v>291</v>
      </c>
      <c r="C10" s="1">
        <v>12</v>
      </c>
      <c r="D10" s="1" t="str">
        <f t="shared" si="0"/>
        <v>大会議室</v>
      </c>
      <c r="E10" s="1">
        <v>6</v>
      </c>
      <c r="F10" s="11">
        <f t="shared" si="1"/>
        <v>28250</v>
      </c>
      <c r="G10" s="11">
        <f t="shared" si="2"/>
        <v>2830</v>
      </c>
      <c r="H10" s="48">
        <f t="shared" si="3"/>
        <v>31080</v>
      </c>
    </row>
    <row r="11" spans="1:13">
      <c r="A11" s="5"/>
      <c r="B11" s="1"/>
      <c r="C11" s="1"/>
      <c r="D11" s="1"/>
      <c r="E11" s="1"/>
      <c r="F11" s="1"/>
      <c r="G11" s="1"/>
      <c r="H11" s="6"/>
    </row>
    <row r="12" spans="1:13" ht="19.5" thickBot="1">
      <c r="A12" s="58"/>
      <c r="B12" s="8" t="s">
        <v>31</v>
      </c>
      <c r="C12" s="59"/>
      <c r="D12" s="59"/>
      <c r="E12" s="59"/>
      <c r="F12" s="15">
        <f>SUM(F3:F10)</f>
        <v>217100</v>
      </c>
      <c r="G12" s="15">
        <f t="shared" ref="G12:H12" si="4">SUM(G3:G10)</f>
        <v>41900</v>
      </c>
      <c r="H12" s="80">
        <f t="shared" si="4"/>
        <v>259000</v>
      </c>
    </row>
    <row r="14" spans="1:13" ht="19.5" thickBot="1">
      <c r="A14" s="97" t="s">
        <v>283</v>
      </c>
      <c r="B14" s="97"/>
      <c r="C14" s="97"/>
      <c r="D14" s="97"/>
      <c r="E14" s="97"/>
      <c r="F14" s="97"/>
      <c r="G14" s="97"/>
      <c r="H14" s="97"/>
      <c r="I14" s="97"/>
      <c r="K14" s="97" t="s">
        <v>271</v>
      </c>
      <c r="L14" s="97"/>
    </row>
    <row r="15" spans="1:13">
      <c r="A15" s="2" t="s">
        <v>81</v>
      </c>
      <c r="B15" s="3" t="s">
        <v>279</v>
      </c>
      <c r="C15" s="3" t="s">
        <v>180</v>
      </c>
      <c r="D15" s="3" t="s">
        <v>87</v>
      </c>
      <c r="E15" s="3" t="s">
        <v>100</v>
      </c>
      <c r="F15" s="3" t="s">
        <v>292</v>
      </c>
      <c r="G15" s="3" t="s">
        <v>122</v>
      </c>
      <c r="H15" s="3" t="s">
        <v>293</v>
      </c>
      <c r="I15" s="4" t="s">
        <v>219</v>
      </c>
      <c r="K15" s="2" t="s">
        <v>81</v>
      </c>
      <c r="L15" s="4" t="s">
        <v>299</v>
      </c>
    </row>
    <row r="16" spans="1:13">
      <c r="A16" s="5">
        <v>103</v>
      </c>
      <c r="B16" s="1" t="str">
        <f t="shared" ref="B16:B23" si="5">VLOOKUP(A16,$A$3:$H$10,2,0)</f>
        <v>子育て会議</v>
      </c>
      <c r="C16" s="11">
        <f t="shared" ref="C16:C23" si="6">VLOOKUP(A16,$A$3:$H$10,8,0)</f>
        <v>24800</v>
      </c>
      <c r="D16" s="47">
        <f t="shared" ref="D16:D23" si="7">VLOOKUP(A16,$K$16:$L$18,2,1)</f>
        <v>6.3E-2</v>
      </c>
      <c r="E16" s="11">
        <f t="shared" ref="E16:E23" si="8">ROUNDDOWN(C16*D16,-1)</f>
        <v>1560</v>
      </c>
      <c r="F16" s="1">
        <v>81</v>
      </c>
      <c r="G16" s="11">
        <f t="shared" ref="G16:G23" si="9">ROUNDUP(C16*F16*0.17%,0)</f>
        <v>3415</v>
      </c>
      <c r="H16" s="46">
        <f t="shared" ref="H16:H23" si="10">C16-E16+G16</f>
        <v>26655</v>
      </c>
      <c r="I16" s="6" t="str">
        <f t="shared" ref="I16:I23" si="11">IF(OR(F16&lt;70,H16&lt;33000), "*","**")</f>
        <v>*</v>
      </c>
      <c r="K16" s="5">
        <v>100</v>
      </c>
      <c r="L16" s="65">
        <v>6.3E-2</v>
      </c>
    </row>
    <row r="17" spans="1:12">
      <c r="A17" s="5">
        <v>102</v>
      </c>
      <c r="B17" s="1" t="str">
        <f t="shared" si="5"/>
        <v>旅行クラブ</v>
      </c>
      <c r="C17" s="11">
        <f t="shared" si="6"/>
        <v>25960</v>
      </c>
      <c r="D17" s="47">
        <f t="shared" si="7"/>
        <v>6.3E-2</v>
      </c>
      <c r="E17" s="11">
        <f t="shared" si="8"/>
        <v>1630</v>
      </c>
      <c r="F17" s="1">
        <v>60</v>
      </c>
      <c r="G17" s="11">
        <f t="shared" si="9"/>
        <v>2648</v>
      </c>
      <c r="H17" s="46">
        <f t="shared" si="10"/>
        <v>26978</v>
      </c>
      <c r="I17" s="6" t="str">
        <f t="shared" si="11"/>
        <v>*</v>
      </c>
      <c r="K17" s="5">
        <v>200</v>
      </c>
      <c r="L17" s="65">
        <v>5.6000000000000001E-2</v>
      </c>
    </row>
    <row r="18" spans="1:12" ht="19.5" thickBot="1">
      <c r="A18" s="5">
        <v>202</v>
      </c>
      <c r="B18" s="1" t="str">
        <f t="shared" si="5"/>
        <v>情報教育会</v>
      </c>
      <c r="C18" s="11">
        <f t="shared" si="6"/>
        <v>31900</v>
      </c>
      <c r="D18" s="47">
        <f t="shared" si="7"/>
        <v>5.6000000000000001E-2</v>
      </c>
      <c r="E18" s="11">
        <f t="shared" si="8"/>
        <v>1780</v>
      </c>
      <c r="F18" s="1">
        <v>67</v>
      </c>
      <c r="G18" s="11">
        <f t="shared" si="9"/>
        <v>3634</v>
      </c>
      <c r="H18" s="46">
        <f t="shared" si="10"/>
        <v>33754</v>
      </c>
      <c r="I18" s="6" t="str">
        <f t="shared" si="11"/>
        <v>*</v>
      </c>
      <c r="K18" s="58">
        <v>300</v>
      </c>
      <c r="L18" s="66">
        <v>4.9000000000000002E-2</v>
      </c>
    </row>
    <row r="19" spans="1:12">
      <c r="A19" s="5">
        <v>301</v>
      </c>
      <c r="B19" s="1" t="str">
        <f t="shared" si="5"/>
        <v>長谷川工業</v>
      </c>
      <c r="C19" s="11">
        <f t="shared" si="6"/>
        <v>33040</v>
      </c>
      <c r="D19" s="47">
        <f t="shared" si="7"/>
        <v>4.9000000000000002E-2</v>
      </c>
      <c r="E19" s="11">
        <f t="shared" si="8"/>
        <v>1610</v>
      </c>
      <c r="F19" s="1">
        <v>58</v>
      </c>
      <c r="G19" s="11">
        <f t="shared" si="9"/>
        <v>3258</v>
      </c>
      <c r="H19" s="46">
        <f t="shared" si="10"/>
        <v>34688</v>
      </c>
      <c r="I19" s="6" t="str">
        <f t="shared" si="11"/>
        <v>*</v>
      </c>
    </row>
    <row r="20" spans="1:12">
      <c r="A20" s="5">
        <v>302</v>
      </c>
      <c r="B20" s="1" t="str">
        <f t="shared" si="5"/>
        <v>ＡＢＣ電機</v>
      </c>
      <c r="C20" s="11">
        <f t="shared" si="6"/>
        <v>31080</v>
      </c>
      <c r="D20" s="47">
        <f t="shared" si="7"/>
        <v>4.9000000000000002E-2</v>
      </c>
      <c r="E20" s="11">
        <f t="shared" si="8"/>
        <v>1520</v>
      </c>
      <c r="F20" s="1">
        <v>120</v>
      </c>
      <c r="G20" s="11">
        <f t="shared" si="9"/>
        <v>6341</v>
      </c>
      <c r="H20" s="46">
        <f t="shared" si="10"/>
        <v>35901</v>
      </c>
      <c r="I20" s="6" t="str">
        <f t="shared" si="11"/>
        <v>**</v>
      </c>
    </row>
    <row r="21" spans="1:12">
      <c r="A21" s="5">
        <v>101</v>
      </c>
      <c r="B21" s="1" t="str">
        <f t="shared" si="5"/>
        <v>写真愛好会</v>
      </c>
      <c r="C21" s="11">
        <f t="shared" si="6"/>
        <v>37200</v>
      </c>
      <c r="D21" s="47">
        <f t="shared" si="7"/>
        <v>6.3E-2</v>
      </c>
      <c r="E21" s="11">
        <f t="shared" si="8"/>
        <v>2340</v>
      </c>
      <c r="F21" s="1">
        <v>85</v>
      </c>
      <c r="G21" s="11">
        <f t="shared" si="9"/>
        <v>5376</v>
      </c>
      <c r="H21" s="46">
        <f t="shared" si="10"/>
        <v>40236</v>
      </c>
      <c r="I21" s="6" t="str">
        <f t="shared" si="11"/>
        <v>**</v>
      </c>
    </row>
    <row r="22" spans="1:12">
      <c r="A22" s="5">
        <v>201</v>
      </c>
      <c r="B22" s="1" t="str">
        <f t="shared" si="5"/>
        <v>落語研究会</v>
      </c>
      <c r="C22" s="11">
        <f t="shared" si="6"/>
        <v>38280</v>
      </c>
      <c r="D22" s="47">
        <f t="shared" si="7"/>
        <v>5.6000000000000001E-2</v>
      </c>
      <c r="E22" s="11">
        <f t="shared" si="8"/>
        <v>2140</v>
      </c>
      <c r="F22" s="1">
        <v>70</v>
      </c>
      <c r="G22" s="11">
        <f t="shared" si="9"/>
        <v>4556</v>
      </c>
      <c r="H22" s="46">
        <f t="shared" si="10"/>
        <v>40696</v>
      </c>
      <c r="I22" s="6" t="str">
        <f t="shared" si="11"/>
        <v>**</v>
      </c>
    </row>
    <row r="23" spans="1:12">
      <c r="A23" s="5">
        <v>203</v>
      </c>
      <c r="B23" s="1" t="str">
        <f t="shared" si="5"/>
        <v>税金相談会</v>
      </c>
      <c r="C23" s="11">
        <f t="shared" si="6"/>
        <v>36740</v>
      </c>
      <c r="D23" s="47">
        <f t="shared" si="7"/>
        <v>5.6000000000000001E-2</v>
      </c>
      <c r="E23" s="11">
        <f t="shared" si="8"/>
        <v>2050</v>
      </c>
      <c r="F23" s="1">
        <v>118</v>
      </c>
      <c r="G23" s="11">
        <f t="shared" si="9"/>
        <v>7371</v>
      </c>
      <c r="H23" s="46">
        <f t="shared" si="10"/>
        <v>42061</v>
      </c>
      <c r="I23" s="6" t="str">
        <f t="shared" si="11"/>
        <v>**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58"/>
      <c r="B25" s="8" t="s">
        <v>31</v>
      </c>
      <c r="C25" s="15">
        <f>SUM(C16:C23)</f>
        <v>259000</v>
      </c>
      <c r="D25" s="15"/>
      <c r="E25" s="15">
        <f t="shared" ref="E25:H25" si="12">SUM(E16:E23)</f>
        <v>14630</v>
      </c>
      <c r="F25" s="15">
        <f t="shared" si="12"/>
        <v>659</v>
      </c>
      <c r="G25" s="15">
        <f t="shared" si="12"/>
        <v>36599</v>
      </c>
      <c r="H25" s="15">
        <f t="shared" si="12"/>
        <v>280969</v>
      </c>
      <c r="I25" s="10"/>
    </row>
    <row r="27" spans="1:12" ht="19.5" thickBot="1"/>
    <row r="28" spans="1:12">
      <c r="A28" s="105" t="s">
        <v>301</v>
      </c>
      <c r="B28" s="106"/>
      <c r="C28" s="106"/>
      <c r="D28" s="106"/>
      <c r="E28" s="18">
        <f>DCOUNT(請求金額一覧表9,C15,G28:G29)</f>
        <v>4</v>
      </c>
      <c r="G28" s="49" t="s">
        <v>303</v>
      </c>
      <c r="I28" s="49" t="s">
        <v>305</v>
      </c>
    </row>
    <row r="29" spans="1:12" ht="19.5" thickBot="1">
      <c r="A29" s="107" t="s">
        <v>302</v>
      </c>
      <c r="B29" s="108"/>
      <c r="C29" s="108"/>
      <c r="D29" s="108"/>
      <c r="E29" s="14">
        <f>DSUM(請求金額一覧表9,H15,I28:I29)</f>
        <v>122993</v>
      </c>
      <c r="G29" s="51" t="s">
        <v>304</v>
      </c>
      <c r="I29" s="51" t="s">
        <v>306</v>
      </c>
    </row>
  </sheetData>
  <mergeCells count="6">
    <mergeCell ref="A29:D29"/>
    <mergeCell ref="A1:H1"/>
    <mergeCell ref="J1:M1"/>
    <mergeCell ref="A14:I14"/>
    <mergeCell ref="K14:L14"/>
    <mergeCell ref="A28:D28"/>
  </mergeCells>
  <phoneticPr fontId="2"/>
  <pageMargins left="0.25" right="0.25" top="0.75" bottom="0.75" header="0.3" footer="0.3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BFD0-4B85-4E99-832B-FE135D3F89BA}">
  <sheetPr>
    <pageSetUpPr fitToPage="1"/>
  </sheetPr>
  <dimension ref="A1:M29"/>
  <sheetViews>
    <sheetView topLeftCell="A15" workbookViewId="0">
      <selection activeCell="E29" sqref="E29"/>
    </sheetView>
  </sheetViews>
  <sheetFormatPr defaultRowHeight="18.75"/>
  <cols>
    <col min="1" max="1" width="5.25" bestFit="1" customWidth="1"/>
    <col min="2" max="2" width="11" bestFit="1" customWidth="1"/>
    <col min="5" max="5" width="9" bestFit="1" customWidth="1"/>
    <col min="6" max="6" width="11" bestFit="1" customWidth="1"/>
    <col min="7" max="7" width="9" bestFit="1" customWidth="1"/>
    <col min="8" max="8" width="8" bestFit="1" customWidth="1"/>
    <col min="10" max="10" width="3.5" customWidth="1"/>
  </cols>
  <sheetData>
    <row r="1" spans="1:13" ht="19.5" thickBot="1">
      <c r="A1" s="109" t="s">
        <v>307</v>
      </c>
      <c r="B1" s="109"/>
      <c r="C1" s="109"/>
      <c r="D1" s="109"/>
      <c r="E1" s="109"/>
      <c r="F1" s="109"/>
      <c r="G1" s="109"/>
      <c r="H1" s="109"/>
      <c r="I1" s="109"/>
      <c r="J1" s="84"/>
      <c r="K1" s="98" t="s">
        <v>321</v>
      </c>
      <c r="L1" s="98"/>
      <c r="M1" s="98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57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7" t="s">
        <v>267</v>
      </c>
      <c r="B14" s="97"/>
      <c r="C14" s="97"/>
      <c r="D14" s="97"/>
      <c r="E14" s="97"/>
      <c r="F14" s="97"/>
      <c r="G14" s="97"/>
      <c r="H14" s="97"/>
      <c r="I14" s="97"/>
      <c r="K14" s="97" t="s">
        <v>337</v>
      </c>
      <c r="L14" s="97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5" t="s">
        <v>338</v>
      </c>
      <c r="B28" s="106"/>
      <c r="C28" s="106"/>
      <c r="D28" s="106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7" t="s">
        <v>339</v>
      </c>
      <c r="B29" s="108"/>
      <c r="C29" s="108"/>
      <c r="D29" s="108"/>
      <c r="E29" s="14">
        <f>DMAX(請求額一覧表10,H15,L28:L29)</f>
        <v>76655</v>
      </c>
      <c r="K29" s="51" t="s">
        <v>340</v>
      </c>
      <c r="L29" s="51" t="s">
        <v>342</v>
      </c>
    </row>
  </sheetData>
  <sortState ref="A16:I23">
    <sortCondition descending="1" ref="E15"/>
  </sortState>
  <mergeCells count="6">
    <mergeCell ref="A28:D28"/>
    <mergeCell ref="A29:D29"/>
    <mergeCell ref="A1:I1"/>
    <mergeCell ref="A14:I14"/>
    <mergeCell ref="K1:M1"/>
    <mergeCell ref="K14:L14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45B-BB7C-42EF-8840-477D7A858F0A}">
  <sheetPr>
    <pageSetUpPr fitToPage="1"/>
  </sheetPr>
  <dimension ref="A1:K31"/>
  <sheetViews>
    <sheetView showFormulas="1" topLeftCell="A22" workbookViewId="0">
      <selection activeCell="C14" sqref="C14"/>
    </sheetView>
  </sheetViews>
  <sheetFormatPr defaultRowHeight="18.75"/>
  <cols>
    <col min="1" max="1" width="4.625" bestFit="1" customWidth="1"/>
    <col min="2" max="3" width="25.5" bestFit="1" customWidth="1"/>
    <col min="4" max="5" width="16" bestFit="1" customWidth="1"/>
    <col min="6" max="6" width="14.75" bestFit="1" customWidth="1"/>
    <col min="7" max="7" width="15.125" bestFit="1" customWidth="1"/>
    <col min="8" max="8" width="22.75" bestFit="1" customWidth="1"/>
    <col min="9" max="9" width="8.25" bestFit="1" customWidth="1"/>
    <col min="10" max="10" width="9.875" bestFit="1" customWidth="1"/>
    <col min="11" max="11" width="35.875" bestFit="1" customWidth="1"/>
  </cols>
  <sheetData>
    <row r="1" spans="1:11" ht="19.5" thickBot="1">
      <c r="A1" s="97" t="s">
        <v>8</v>
      </c>
      <c r="B1" s="97"/>
      <c r="C1" s="97"/>
      <c r="D1" s="97"/>
      <c r="E1" s="97"/>
      <c r="F1" s="97"/>
      <c r="G1" s="97"/>
      <c r="H1" s="97"/>
    </row>
    <row r="2" spans="1:11" ht="19.5" thickBot="1">
      <c r="A2" s="2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98" t="s">
        <v>30</v>
      </c>
      <c r="K2" s="98"/>
    </row>
    <row r="3" spans="1:11">
      <c r="A3" s="5">
        <v>11</v>
      </c>
      <c r="B3" s="1" t="s">
        <v>21</v>
      </c>
      <c r="C3" s="11">
        <v>43</v>
      </c>
      <c r="D3" s="11">
        <v>1644</v>
      </c>
      <c r="E3" s="11">
        <f>INT((D3-C3)*1.03)</f>
        <v>1649</v>
      </c>
      <c r="F3" s="11">
        <v>1174</v>
      </c>
      <c r="G3" s="11">
        <f>ROUNDUP(F3*1.28, -1)</f>
        <v>1510</v>
      </c>
      <c r="H3" s="12">
        <f>ROUNDUP(IF(E3&gt;=2100,G3*0.91,G3*0.79),0)</f>
        <v>1193</v>
      </c>
      <c r="J3" s="2" t="s">
        <v>10</v>
      </c>
      <c r="K3" s="4" t="s">
        <v>12</v>
      </c>
    </row>
    <row r="4" spans="1:11">
      <c r="A4" s="5">
        <v>12</v>
      </c>
      <c r="B4" s="1" t="s">
        <v>22</v>
      </c>
      <c r="C4" s="11">
        <v>38</v>
      </c>
      <c r="D4" s="11">
        <v>2094</v>
      </c>
      <c r="E4" s="11">
        <f t="shared" ref="E4:E6" si="0">INT((D4-C4)*1.03)</f>
        <v>2117</v>
      </c>
      <c r="F4" s="11">
        <v>963</v>
      </c>
      <c r="G4" s="11">
        <f t="shared" ref="G4:G6" si="1">ROUNDUP(F4*1.28, -1)</f>
        <v>1240</v>
      </c>
      <c r="H4" s="12">
        <f t="shared" ref="H4:H6" si="2">ROUNDUP(IF(E4&gt;=2100,G4*0.91,G4*0.79),0)</f>
        <v>1129</v>
      </c>
      <c r="J4" s="5">
        <v>101</v>
      </c>
      <c r="K4" s="6" t="s">
        <v>27</v>
      </c>
    </row>
    <row r="5" spans="1:11">
      <c r="A5" s="5">
        <v>13</v>
      </c>
      <c r="B5" s="1" t="s">
        <v>23</v>
      </c>
      <c r="C5" s="11">
        <v>46</v>
      </c>
      <c r="D5" s="11">
        <v>1732</v>
      </c>
      <c r="E5" s="11">
        <f t="shared" si="0"/>
        <v>1736</v>
      </c>
      <c r="F5" s="11">
        <v>1219</v>
      </c>
      <c r="G5" s="11">
        <f t="shared" si="1"/>
        <v>1570</v>
      </c>
      <c r="H5" s="12">
        <f t="shared" si="2"/>
        <v>1241</v>
      </c>
      <c r="J5" s="5">
        <v>102</v>
      </c>
      <c r="K5" s="6" t="s">
        <v>28</v>
      </c>
    </row>
    <row r="6" spans="1:11" ht="19.5" thickBot="1">
      <c r="A6" s="5">
        <v>14</v>
      </c>
      <c r="B6" s="1" t="s">
        <v>24</v>
      </c>
      <c r="C6" s="11">
        <v>37</v>
      </c>
      <c r="D6" s="11">
        <v>2391</v>
      </c>
      <c r="E6" s="11">
        <f t="shared" si="0"/>
        <v>2424</v>
      </c>
      <c r="F6" s="11">
        <v>851</v>
      </c>
      <c r="G6" s="11">
        <f t="shared" si="1"/>
        <v>1090</v>
      </c>
      <c r="H6" s="12">
        <f t="shared" si="2"/>
        <v>992</v>
      </c>
      <c r="J6" s="7">
        <v>103</v>
      </c>
      <c r="K6" s="10" t="s">
        <v>29</v>
      </c>
    </row>
    <row r="7" spans="1:11">
      <c r="A7" s="5"/>
      <c r="B7" s="1"/>
      <c r="C7" s="11"/>
      <c r="D7" s="11"/>
      <c r="E7" s="11"/>
      <c r="F7" s="11"/>
      <c r="G7" s="11"/>
      <c r="H7" s="12"/>
    </row>
    <row r="8" spans="1:11" ht="19.5" thickBot="1">
      <c r="A8" s="7"/>
      <c r="B8" s="8" t="s">
        <v>9</v>
      </c>
      <c r="C8" s="13">
        <f>ROUND(AVERAGE(C3:C6),0)</f>
        <v>41</v>
      </c>
      <c r="D8" s="13">
        <f t="shared" ref="D8:H8" si="3">ROUND(AVERAGE(D3:D6),0)</f>
        <v>1965</v>
      </c>
      <c r="E8" s="13">
        <f t="shared" si="3"/>
        <v>1982</v>
      </c>
      <c r="F8" s="13">
        <f t="shared" si="3"/>
        <v>1052</v>
      </c>
      <c r="G8" s="13">
        <f t="shared" si="3"/>
        <v>1353</v>
      </c>
      <c r="H8" s="14">
        <f t="shared" si="3"/>
        <v>1139</v>
      </c>
    </row>
    <row r="10" spans="1:11" ht="19.5" thickBot="1">
      <c r="A10" s="97" t="s">
        <v>25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1">
      <c r="A11" s="2" t="s">
        <v>10</v>
      </c>
      <c r="B11" s="3" t="s">
        <v>12</v>
      </c>
      <c r="C11" s="3" t="s">
        <v>13</v>
      </c>
      <c r="D11" s="3" t="s">
        <v>14</v>
      </c>
      <c r="E11" s="3" t="s">
        <v>7</v>
      </c>
      <c r="F11" s="3" t="s">
        <v>15</v>
      </c>
      <c r="G11" s="3" t="s">
        <v>16</v>
      </c>
      <c r="H11" s="3" t="s">
        <v>17</v>
      </c>
      <c r="I11" s="3" t="s">
        <v>18</v>
      </c>
      <c r="J11" s="3" t="s">
        <v>19</v>
      </c>
      <c r="K11" s="4" t="s">
        <v>20</v>
      </c>
    </row>
    <row r="12" spans="1:11">
      <c r="A12" s="5">
        <v>101</v>
      </c>
      <c r="B12" s="1" t="str">
        <f>VLOOKUP(A12,$J$4:$K$6,2,0)</f>
        <v>東海商事</v>
      </c>
      <c r="C12" s="1">
        <v>11</v>
      </c>
      <c r="D12" s="1" t="str">
        <f>VLOOKUP(C12,$A$3:$H$6,2,0)</f>
        <v>商品A</v>
      </c>
      <c r="E12" s="11">
        <f>VLOOKUP(C12,$A$3:$H$6,8,0)</f>
        <v>1193</v>
      </c>
      <c r="F12" s="11">
        <v>586</v>
      </c>
      <c r="G12" s="11">
        <v>538</v>
      </c>
      <c r="H12" s="11">
        <f>E12*G12</f>
        <v>641834</v>
      </c>
      <c r="I12" s="11">
        <f>INT(H12*8.9%)</f>
        <v>57123</v>
      </c>
      <c r="J12" s="1">
        <f>INT(G12/F12*100)</f>
        <v>91</v>
      </c>
      <c r="K12" s="6" t="str">
        <f>IF(AND(I12&gt;=65000,J12&gt;=93),"A",IF(OR(I12&gt;=65000,J12&gt;=93),"B","C"))</f>
        <v>C</v>
      </c>
    </row>
    <row r="13" spans="1:11">
      <c r="A13" s="5">
        <v>101</v>
      </c>
      <c r="B13" s="1" t="str">
        <f t="shared" ref="B13:B23" si="4">VLOOKUP(A13,$J$4:$K$6,2,0)</f>
        <v>東海商事</v>
      </c>
      <c r="C13" s="1">
        <v>12</v>
      </c>
      <c r="D13" s="1" t="str">
        <f t="shared" ref="D13:D23" si="5">VLOOKUP(C13,$A$3:$H$6,2,0)</f>
        <v>商品B</v>
      </c>
      <c r="E13" s="11">
        <f t="shared" ref="E13:E23" si="6">VLOOKUP(C13,$A$3:$H$6,8,0)</f>
        <v>1129</v>
      </c>
      <c r="F13" s="11">
        <v>643</v>
      </c>
      <c r="G13" s="11">
        <v>614</v>
      </c>
      <c r="H13" s="11">
        <f t="shared" ref="H13:H23" si="7">E13*G13</f>
        <v>693206</v>
      </c>
      <c r="I13" s="11">
        <f t="shared" ref="I13:I23" si="8">INT(H13*8.9%)</f>
        <v>61695</v>
      </c>
      <c r="J13" s="1">
        <f t="shared" ref="J13:J23" si="9">INT(G13/F13*100)</f>
        <v>95</v>
      </c>
      <c r="K13" s="6" t="str">
        <f t="shared" ref="K13:K23" si="10">IF(AND(I13&gt;=65000,J13&gt;=93),"A",IF(OR(I13&gt;=65000,J13&gt;=93),"B","C"))</f>
        <v>B</v>
      </c>
    </row>
    <row r="14" spans="1:11">
      <c r="A14" s="5">
        <v>101</v>
      </c>
      <c r="B14" s="1" t="str">
        <f t="shared" si="4"/>
        <v>東海商事</v>
      </c>
      <c r="C14" s="1">
        <v>13</v>
      </c>
      <c r="D14" s="1" t="str">
        <f t="shared" si="5"/>
        <v>商品C</v>
      </c>
      <c r="E14" s="11">
        <f t="shared" si="6"/>
        <v>1241</v>
      </c>
      <c r="F14" s="11">
        <v>627</v>
      </c>
      <c r="G14" s="11">
        <v>586</v>
      </c>
      <c r="H14" s="11">
        <f t="shared" si="7"/>
        <v>727226</v>
      </c>
      <c r="I14" s="11">
        <f t="shared" si="8"/>
        <v>64723</v>
      </c>
      <c r="J14" s="1">
        <f t="shared" si="9"/>
        <v>93</v>
      </c>
      <c r="K14" s="6" t="str">
        <f t="shared" si="10"/>
        <v>B</v>
      </c>
    </row>
    <row r="15" spans="1:11">
      <c r="A15" s="5">
        <v>101</v>
      </c>
      <c r="B15" s="1" t="str">
        <f t="shared" si="4"/>
        <v>東海商事</v>
      </c>
      <c r="C15" s="1">
        <v>14</v>
      </c>
      <c r="D15" s="1" t="str">
        <f t="shared" si="5"/>
        <v>商品D</v>
      </c>
      <c r="E15" s="11">
        <f t="shared" si="6"/>
        <v>992</v>
      </c>
      <c r="F15" s="11">
        <v>712</v>
      </c>
      <c r="G15" s="11">
        <v>662</v>
      </c>
      <c r="H15" s="11">
        <f t="shared" si="7"/>
        <v>656704</v>
      </c>
      <c r="I15" s="11">
        <f t="shared" si="8"/>
        <v>58446</v>
      </c>
      <c r="J15" s="1">
        <f t="shared" si="9"/>
        <v>92</v>
      </c>
      <c r="K15" s="6" t="str">
        <f t="shared" si="10"/>
        <v>C</v>
      </c>
    </row>
    <row r="16" spans="1:11">
      <c r="A16" s="5">
        <v>102</v>
      </c>
      <c r="B16" s="1" t="str">
        <f t="shared" si="4"/>
        <v>渡辺総業</v>
      </c>
      <c r="C16" s="1">
        <v>11</v>
      </c>
      <c r="D16" s="1" t="str">
        <f t="shared" si="5"/>
        <v>商品A</v>
      </c>
      <c r="E16" s="11">
        <f t="shared" si="6"/>
        <v>1193</v>
      </c>
      <c r="F16" s="11">
        <v>547</v>
      </c>
      <c r="G16" s="11">
        <v>521</v>
      </c>
      <c r="H16" s="11">
        <f t="shared" si="7"/>
        <v>621553</v>
      </c>
      <c r="I16" s="11">
        <f t="shared" si="8"/>
        <v>55318</v>
      </c>
      <c r="J16" s="1">
        <f t="shared" si="9"/>
        <v>95</v>
      </c>
      <c r="K16" s="6" t="str">
        <f t="shared" si="10"/>
        <v>B</v>
      </c>
    </row>
    <row r="17" spans="1:11">
      <c r="A17" s="5">
        <v>102</v>
      </c>
      <c r="B17" s="1" t="str">
        <f t="shared" si="4"/>
        <v>渡辺総業</v>
      </c>
      <c r="C17" s="1">
        <v>12</v>
      </c>
      <c r="D17" s="1" t="str">
        <f t="shared" si="5"/>
        <v>商品B</v>
      </c>
      <c r="E17" s="11">
        <f t="shared" si="6"/>
        <v>1129</v>
      </c>
      <c r="F17" s="11">
        <v>690</v>
      </c>
      <c r="G17" s="11">
        <v>638</v>
      </c>
      <c r="H17" s="11">
        <f t="shared" si="7"/>
        <v>720302</v>
      </c>
      <c r="I17" s="11">
        <f t="shared" si="8"/>
        <v>64106</v>
      </c>
      <c r="J17" s="1">
        <f t="shared" si="9"/>
        <v>92</v>
      </c>
      <c r="K17" s="6" t="str">
        <f t="shared" si="10"/>
        <v>C</v>
      </c>
    </row>
    <row r="18" spans="1:11">
      <c r="A18" s="5">
        <v>102</v>
      </c>
      <c r="B18" s="1" t="str">
        <f t="shared" si="4"/>
        <v>渡辺総業</v>
      </c>
      <c r="C18" s="1">
        <v>13</v>
      </c>
      <c r="D18" s="1" t="str">
        <f t="shared" si="5"/>
        <v>商品C</v>
      </c>
      <c r="E18" s="11">
        <f t="shared" si="6"/>
        <v>1241</v>
      </c>
      <c r="F18" s="11">
        <v>664</v>
      </c>
      <c r="G18" s="11">
        <v>629</v>
      </c>
      <c r="H18" s="11">
        <f t="shared" si="7"/>
        <v>780589</v>
      </c>
      <c r="I18" s="11">
        <f t="shared" si="8"/>
        <v>69472</v>
      </c>
      <c r="J18" s="1">
        <f t="shared" si="9"/>
        <v>94</v>
      </c>
      <c r="K18" s="6" t="str">
        <f t="shared" si="10"/>
        <v>A</v>
      </c>
    </row>
    <row r="19" spans="1:11">
      <c r="A19" s="5">
        <v>102</v>
      </c>
      <c r="B19" s="1" t="str">
        <f t="shared" si="4"/>
        <v>渡辺総業</v>
      </c>
      <c r="C19" s="1">
        <v>14</v>
      </c>
      <c r="D19" s="1" t="str">
        <f t="shared" si="5"/>
        <v>商品D</v>
      </c>
      <c r="E19" s="11">
        <f t="shared" si="6"/>
        <v>992</v>
      </c>
      <c r="F19" s="11">
        <v>869</v>
      </c>
      <c r="G19" s="11">
        <v>813</v>
      </c>
      <c r="H19" s="11">
        <f t="shared" si="7"/>
        <v>806496</v>
      </c>
      <c r="I19" s="11">
        <f t="shared" si="8"/>
        <v>71778</v>
      </c>
      <c r="J19" s="1">
        <f t="shared" si="9"/>
        <v>93</v>
      </c>
      <c r="K19" s="6" t="str">
        <f t="shared" si="10"/>
        <v>A</v>
      </c>
    </row>
    <row r="20" spans="1:11">
      <c r="A20" s="5">
        <v>103</v>
      </c>
      <c r="B20" s="1" t="str">
        <f t="shared" si="4"/>
        <v>鈴木商会</v>
      </c>
      <c r="C20" s="1">
        <v>11</v>
      </c>
      <c r="D20" s="1" t="str">
        <f t="shared" si="5"/>
        <v>商品A</v>
      </c>
      <c r="E20" s="11">
        <f t="shared" si="6"/>
        <v>1193</v>
      </c>
      <c r="F20" s="11">
        <v>521</v>
      </c>
      <c r="G20" s="11">
        <v>492</v>
      </c>
      <c r="H20" s="11">
        <f t="shared" si="7"/>
        <v>586956</v>
      </c>
      <c r="I20" s="11">
        <f t="shared" si="8"/>
        <v>52239</v>
      </c>
      <c r="J20" s="1">
        <f t="shared" si="9"/>
        <v>94</v>
      </c>
      <c r="K20" s="6" t="str">
        <f t="shared" si="10"/>
        <v>B</v>
      </c>
    </row>
    <row r="21" spans="1:11">
      <c r="A21" s="5">
        <v>103</v>
      </c>
      <c r="B21" s="1" t="str">
        <f t="shared" si="4"/>
        <v>鈴木商会</v>
      </c>
      <c r="C21" s="1">
        <v>12</v>
      </c>
      <c r="D21" s="1" t="str">
        <f t="shared" si="5"/>
        <v>商品B</v>
      </c>
      <c r="E21" s="11">
        <f t="shared" si="6"/>
        <v>1129</v>
      </c>
      <c r="F21" s="11">
        <v>766</v>
      </c>
      <c r="G21" s="11">
        <v>714</v>
      </c>
      <c r="H21" s="11">
        <f t="shared" si="7"/>
        <v>806106</v>
      </c>
      <c r="I21" s="11">
        <f t="shared" si="8"/>
        <v>71743</v>
      </c>
      <c r="J21" s="1">
        <f t="shared" si="9"/>
        <v>93</v>
      </c>
      <c r="K21" s="6" t="str">
        <f t="shared" si="10"/>
        <v>A</v>
      </c>
    </row>
    <row r="22" spans="1:11">
      <c r="A22" s="5">
        <v>103</v>
      </c>
      <c r="B22" s="1" t="str">
        <f t="shared" si="4"/>
        <v>鈴木商会</v>
      </c>
      <c r="C22" s="1">
        <v>13</v>
      </c>
      <c r="D22" s="1" t="str">
        <f t="shared" si="5"/>
        <v>商品C</v>
      </c>
      <c r="E22" s="11">
        <f t="shared" si="6"/>
        <v>1241</v>
      </c>
      <c r="F22" s="11">
        <v>445</v>
      </c>
      <c r="G22" s="11">
        <v>404</v>
      </c>
      <c r="H22" s="11">
        <f t="shared" si="7"/>
        <v>501364</v>
      </c>
      <c r="I22" s="11">
        <f t="shared" si="8"/>
        <v>44621</v>
      </c>
      <c r="J22" s="1">
        <f t="shared" si="9"/>
        <v>90</v>
      </c>
      <c r="K22" s="6" t="str">
        <f t="shared" si="10"/>
        <v>C</v>
      </c>
    </row>
    <row r="23" spans="1:11">
      <c r="A23" s="5">
        <v>103</v>
      </c>
      <c r="B23" s="1" t="str">
        <f t="shared" si="4"/>
        <v>鈴木商会</v>
      </c>
      <c r="C23" s="1">
        <v>14</v>
      </c>
      <c r="D23" s="1" t="str">
        <f t="shared" si="5"/>
        <v>商品D</v>
      </c>
      <c r="E23" s="11">
        <f t="shared" si="6"/>
        <v>992</v>
      </c>
      <c r="F23" s="11">
        <v>841</v>
      </c>
      <c r="G23" s="11">
        <v>781</v>
      </c>
      <c r="H23" s="11">
        <f t="shared" si="7"/>
        <v>774752</v>
      </c>
      <c r="I23" s="11">
        <f t="shared" si="8"/>
        <v>68952</v>
      </c>
      <c r="J23" s="1">
        <f t="shared" si="9"/>
        <v>92</v>
      </c>
      <c r="K23" s="6" t="str">
        <f t="shared" si="10"/>
        <v>B</v>
      </c>
    </row>
    <row r="24" spans="1:11">
      <c r="A24" s="5"/>
      <c r="B24" s="1"/>
      <c r="C24" s="1"/>
      <c r="D24" s="1"/>
      <c r="E24" s="1"/>
      <c r="F24" s="1"/>
      <c r="G24" s="1"/>
      <c r="H24" s="1"/>
      <c r="I24" s="1"/>
      <c r="J24" s="1"/>
      <c r="K24" s="6"/>
    </row>
    <row r="25" spans="1:11" ht="19.5" thickBot="1">
      <c r="A25" s="7"/>
      <c r="B25" s="8" t="s">
        <v>31</v>
      </c>
      <c r="C25" s="9"/>
      <c r="D25" s="9"/>
      <c r="E25" s="9"/>
      <c r="F25" s="15">
        <f>SUM(F12:F23)</f>
        <v>7911</v>
      </c>
      <c r="G25" s="15">
        <f t="shared" ref="G25:I25" si="11">SUM(G12:G23)</f>
        <v>7392</v>
      </c>
      <c r="H25" s="15">
        <f t="shared" si="11"/>
        <v>8317088</v>
      </c>
      <c r="I25" s="15">
        <f t="shared" si="11"/>
        <v>740216</v>
      </c>
      <c r="J25" s="9"/>
      <c r="K25" s="10"/>
    </row>
    <row r="27" spans="1:11" ht="19.5" thickBot="1">
      <c r="A27" s="98" t="s">
        <v>37</v>
      </c>
      <c r="B27" s="98"/>
      <c r="C27" s="98"/>
    </row>
    <row r="28" spans="1:11">
      <c r="A28" s="2" t="s">
        <v>36</v>
      </c>
      <c r="B28" s="3" t="s">
        <v>32</v>
      </c>
      <c r="C28" s="4" t="s">
        <v>33</v>
      </c>
      <c r="E28" s="16" t="s">
        <v>11</v>
      </c>
      <c r="F28" s="17" t="s">
        <v>11</v>
      </c>
      <c r="G28" s="18" t="s">
        <v>11</v>
      </c>
    </row>
    <row r="29" spans="1:11" ht="19.5" thickBot="1">
      <c r="A29" s="5" t="s">
        <v>26</v>
      </c>
      <c r="B29" s="11">
        <f>DSUM(委託販売手数料一覧表1,B$28,$E$28:$E$29)</f>
        <v>2400</v>
      </c>
      <c r="C29" s="12">
        <f>DSUM(委託販売手数料一覧表1,C$28,$E$28:$E$29)</f>
        <v>241987</v>
      </c>
      <c r="E29" s="7" t="s">
        <v>26</v>
      </c>
      <c r="F29" s="9" t="s">
        <v>34</v>
      </c>
      <c r="G29" s="10" t="s">
        <v>35</v>
      </c>
    </row>
    <row r="30" spans="1:11">
      <c r="A30" s="5" t="s">
        <v>34</v>
      </c>
      <c r="B30" s="11">
        <f>DSUM(委託販売手数料一覧表1,B$28,$F$28:$F$29)</f>
        <v>2601</v>
      </c>
      <c r="C30" s="12">
        <f>DSUM(委託販売手数料一覧表1,C$28,$F$28:$F$29)</f>
        <v>260674</v>
      </c>
    </row>
    <row r="31" spans="1:11" ht="19.5" thickBot="1">
      <c r="A31" s="7" t="s">
        <v>35</v>
      </c>
      <c r="B31" s="13">
        <f>DSUM(委託販売手数料一覧表1,B$28,$G$28:$G$29)</f>
        <v>2391</v>
      </c>
      <c r="C31" s="14">
        <f>DSUM(委託販売手数料一覧表1,C$28,$G$28:$G$29)</f>
        <v>237555</v>
      </c>
    </row>
  </sheetData>
  <mergeCells count="4">
    <mergeCell ref="A1:H1"/>
    <mergeCell ref="J2:K2"/>
    <mergeCell ref="A10:K10"/>
    <mergeCell ref="A27:C27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5D6A-17A4-454F-BC2D-46AE1024EFB5}">
  <sheetPr>
    <pageSetUpPr fitToPage="1"/>
  </sheetPr>
  <dimension ref="A1:M29"/>
  <sheetViews>
    <sheetView showFormulas="1" workbookViewId="0">
      <selection activeCell="A2" sqref="A1:M1048576"/>
    </sheetView>
  </sheetViews>
  <sheetFormatPr defaultRowHeight="18.75"/>
  <cols>
    <col min="1" max="1" width="2.75" bestFit="1" customWidth="1"/>
    <col min="2" max="3" width="16.125" bestFit="1" customWidth="1"/>
    <col min="4" max="4" width="16.25" bestFit="1" customWidth="1"/>
    <col min="5" max="5" width="19.375" bestFit="1" customWidth="1"/>
    <col min="6" max="6" width="11.25" bestFit="1" customWidth="1"/>
    <col min="7" max="7" width="14.875" bestFit="1" customWidth="1"/>
    <col min="8" max="8" width="10.25" bestFit="1" customWidth="1"/>
    <col min="9" max="9" width="21.5" bestFit="1" customWidth="1"/>
    <col min="10" max="10" width="3.5" customWidth="1"/>
    <col min="11" max="13" width="4.625" bestFit="1" customWidth="1"/>
  </cols>
  <sheetData>
    <row r="1" spans="1:13" ht="19.5" thickBot="1">
      <c r="A1" s="109" t="s">
        <v>307</v>
      </c>
      <c r="B1" s="109"/>
      <c r="C1" s="109"/>
      <c r="D1" s="109"/>
      <c r="E1" s="109"/>
      <c r="F1" s="109"/>
      <c r="G1" s="109"/>
      <c r="H1" s="109"/>
      <c r="I1" s="109"/>
      <c r="J1" s="84"/>
      <c r="K1" s="98" t="s">
        <v>321</v>
      </c>
      <c r="L1" s="98"/>
      <c r="M1" s="98"/>
    </row>
    <row r="2" spans="1:13">
      <c r="A2" s="81" t="s">
        <v>72</v>
      </c>
      <c r="B2" s="82" t="s">
        <v>308</v>
      </c>
      <c r="C2" s="82" t="s">
        <v>309</v>
      </c>
      <c r="D2" s="82" t="s">
        <v>322</v>
      </c>
      <c r="E2" s="82" t="s">
        <v>310</v>
      </c>
      <c r="F2" s="82" t="s">
        <v>311</v>
      </c>
      <c r="G2" s="82" t="s">
        <v>331</v>
      </c>
      <c r="H2" s="82" t="s">
        <v>312</v>
      </c>
      <c r="I2" s="4" t="s">
        <v>329</v>
      </c>
      <c r="J2" s="73"/>
      <c r="K2" s="81" t="s">
        <v>309</v>
      </c>
      <c r="L2" s="82" t="s">
        <v>322</v>
      </c>
      <c r="M2" s="4" t="s">
        <v>323</v>
      </c>
    </row>
    <row r="3" spans="1:13">
      <c r="A3" s="5">
        <v>101</v>
      </c>
      <c r="B3" s="1" t="s">
        <v>313</v>
      </c>
      <c r="C3" s="1">
        <v>13</v>
      </c>
      <c r="D3" s="1" t="str">
        <f t="shared" ref="D3:D10" si="0">VLOOKUP(C3,$K$3:$M$7,2,0)</f>
        <v>もみじ</v>
      </c>
      <c r="E3" s="85">
        <v>45143</v>
      </c>
      <c r="F3" s="85">
        <v>45147</v>
      </c>
      <c r="G3" s="86">
        <f>F3-E3</f>
        <v>4</v>
      </c>
      <c r="H3" s="1">
        <v>1</v>
      </c>
      <c r="I3" s="12">
        <f t="shared" ref="I3:I10" si="1">VLOOKUP(C3,$K$3:$M$7,3,0)*H3*G3</f>
        <v>40480</v>
      </c>
      <c r="K3" s="5">
        <v>11</v>
      </c>
      <c r="L3" s="1" t="s">
        <v>324</v>
      </c>
      <c r="M3" s="87">
        <v>11030</v>
      </c>
    </row>
    <row r="4" spans="1:13">
      <c r="A4" s="5">
        <v>102</v>
      </c>
      <c r="B4" s="1" t="s">
        <v>314</v>
      </c>
      <c r="C4" s="1">
        <v>11</v>
      </c>
      <c r="D4" s="1" t="str">
        <f t="shared" si="0"/>
        <v>さくら</v>
      </c>
      <c r="E4" s="85">
        <v>45141</v>
      </c>
      <c r="F4" s="85">
        <v>45142</v>
      </c>
      <c r="G4" s="86">
        <f t="shared" ref="G4:G10" si="2">F4-E4</f>
        <v>1</v>
      </c>
      <c r="H4" s="1">
        <v>5</v>
      </c>
      <c r="I4" s="12">
        <f t="shared" si="1"/>
        <v>55150</v>
      </c>
      <c r="K4" s="5">
        <v>12</v>
      </c>
      <c r="L4" s="1" t="s">
        <v>325</v>
      </c>
      <c r="M4" s="87">
        <v>8690</v>
      </c>
    </row>
    <row r="5" spans="1:13">
      <c r="A5" s="5">
        <v>103</v>
      </c>
      <c r="B5" s="1" t="s">
        <v>315</v>
      </c>
      <c r="C5" s="1">
        <v>12</v>
      </c>
      <c r="D5" s="1" t="str">
        <f t="shared" si="0"/>
        <v>いちょう</v>
      </c>
      <c r="E5" s="85">
        <v>45144</v>
      </c>
      <c r="F5" s="85">
        <v>45147</v>
      </c>
      <c r="G5" s="86">
        <f t="shared" si="2"/>
        <v>3</v>
      </c>
      <c r="H5" s="1">
        <v>2</v>
      </c>
      <c r="I5" s="12">
        <f t="shared" si="1"/>
        <v>52140</v>
      </c>
      <c r="K5" s="5">
        <v>13</v>
      </c>
      <c r="L5" s="1" t="s">
        <v>326</v>
      </c>
      <c r="M5" s="87">
        <v>10120</v>
      </c>
    </row>
    <row r="6" spans="1:13">
      <c r="A6" s="5">
        <v>104</v>
      </c>
      <c r="B6" s="1" t="s">
        <v>316</v>
      </c>
      <c r="C6" s="1">
        <v>14</v>
      </c>
      <c r="D6" s="1" t="str">
        <f t="shared" si="0"/>
        <v>ひまわり</v>
      </c>
      <c r="E6" s="85">
        <v>45148</v>
      </c>
      <c r="F6" s="85">
        <v>45150</v>
      </c>
      <c r="G6" s="86">
        <f t="shared" si="2"/>
        <v>2</v>
      </c>
      <c r="H6" s="1">
        <v>4</v>
      </c>
      <c r="I6" s="12">
        <f t="shared" si="1"/>
        <v>84320</v>
      </c>
      <c r="K6" s="5">
        <v>14</v>
      </c>
      <c r="L6" s="1" t="s">
        <v>327</v>
      </c>
      <c r="M6" s="87">
        <v>10540</v>
      </c>
    </row>
    <row r="7" spans="1:13" ht="19.5" thickBot="1">
      <c r="A7" s="5">
        <v>105</v>
      </c>
      <c r="B7" s="1" t="s">
        <v>317</v>
      </c>
      <c r="C7" s="1">
        <v>13</v>
      </c>
      <c r="D7" s="1" t="str">
        <f t="shared" si="0"/>
        <v>もみじ</v>
      </c>
      <c r="E7" s="85">
        <v>45150</v>
      </c>
      <c r="F7" s="85">
        <v>45153</v>
      </c>
      <c r="G7" s="86">
        <f t="shared" si="2"/>
        <v>3</v>
      </c>
      <c r="H7" s="1">
        <v>2</v>
      </c>
      <c r="I7" s="12">
        <f t="shared" si="1"/>
        <v>60720</v>
      </c>
      <c r="K7" s="74">
        <v>15</v>
      </c>
      <c r="L7" s="75" t="s">
        <v>328</v>
      </c>
      <c r="M7" s="88">
        <v>8970</v>
      </c>
    </row>
    <row r="8" spans="1:13">
      <c r="A8" s="5">
        <v>106</v>
      </c>
      <c r="B8" s="1" t="s">
        <v>318</v>
      </c>
      <c r="C8" s="1">
        <v>15</v>
      </c>
      <c r="D8" s="1" t="str">
        <f t="shared" si="0"/>
        <v>さざんか</v>
      </c>
      <c r="E8" s="85">
        <v>45147</v>
      </c>
      <c r="F8" s="85">
        <v>45149</v>
      </c>
      <c r="G8" s="86">
        <f t="shared" si="2"/>
        <v>2</v>
      </c>
      <c r="H8" s="1">
        <v>3</v>
      </c>
      <c r="I8" s="12">
        <f t="shared" si="1"/>
        <v>53820</v>
      </c>
    </row>
    <row r="9" spans="1:13">
      <c r="A9" s="5">
        <v>107</v>
      </c>
      <c r="B9" s="1" t="s">
        <v>319</v>
      </c>
      <c r="C9" s="1">
        <v>12</v>
      </c>
      <c r="D9" s="1" t="str">
        <f t="shared" si="0"/>
        <v>いちょう</v>
      </c>
      <c r="E9" s="85">
        <v>45149</v>
      </c>
      <c r="F9" s="85">
        <v>45153</v>
      </c>
      <c r="G9" s="86">
        <f t="shared" si="2"/>
        <v>4</v>
      </c>
      <c r="H9" s="1">
        <v>2</v>
      </c>
      <c r="I9" s="12">
        <f t="shared" si="1"/>
        <v>69520</v>
      </c>
    </row>
    <row r="10" spans="1:13">
      <c r="A10" s="5">
        <v>108</v>
      </c>
      <c r="B10" s="1" t="s">
        <v>320</v>
      </c>
      <c r="C10" s="1">
        <v>11</v>
      </c>
      <c r="D10" s="1" t="str">
        <f t="shared" si="0"/>
        <v>さくら</v>
      </c>
      <c r="E10" s="85">
        <v>45145</v>
      </c>
      <c r="F10" s="85">
        <v>45147</v>
      </c>
      <c r="G10" s="86">
        <f t="shared" si="2"/>
        <v>2</v>
      </c>
      <c r="H10" s="1">
        <v>3</v>
      </c>
      <c r="I10" s="12">
        <f t="shared" si="1"/>
        <v>66180</v>
      </c>
    </row>
    <row r="11" spans="1:13">
      <c r="A11" s="5"/>
      <c r="B11" s="1"/>
      <c r="C11" s="1"/>
      <c r="D11" s="1"/>
      <c r="E11" s="1"/>
      <c r="F11" s="1"/>
      <c r="G11" s="1"/>
      <c r="H11" s="1"/>
      <c r="I11" s="6"/>
    </row>
    <row r="12" spans="1:13" ht="19.5" thickBot="1">
      <c r="A12" s="74"/>
      <c r="B12" s="8" t="s">
        <v>31</v>
      </c>
      <c r="C12" s="75"/>
      <c r="D12" s="75"/>
      <c r="E12" s="75"/>
      <c r="F12" s="75"/>
      <c r="G12" s="13">
        <f>SUM(G3:G10)</f>
        <v>21</v>
      </c>
      <c r="H12" s="13">
        <f t="shared" ref="H12:I12" si="3">SUM(H3:H10)</f>
        <v>22</v>
      </c>
      <c r="I12" s="14">
        <f t="shared" si="3"/>
        <v>482330</v>
      </c>
    </row>
    <row r="14" spans="1:13" ht="19.5" thickBot="1">
      <c r="A14" s="97" t="s">
        <v>267</v>
      </c>
      <c r="B14" s="97"/>
      <c r="C14" s="97"/>
      <c r="D14" s="97"/>
      <c r="E14" s="97"/>
      <c r="F14" s="97"/>
      <c r="G14" s="97"/>
      <c r="H14" s="97"/>
      <c r="I14" s="97"/>
      <c r="K14" s="97" t="s">
        <v>337</v>
      </c>
      <c r="L14" s="97"/>
    </row>
    <row r="15" spans="1:13">
      <c r="A15" s="81" t="s">
        <v>72</v>
      </c>
      <c r="B15" s="82" t="s">
        <v>308</v>
      </c>
      <c r="C15" s="82" t="s">
        <v>329</v>
      </c>
      <c r="D15" s="82" t="s">
        <v>165</v>
      </c>
      <c r="E15" s="82" t="s">
        <v>179</v>
      </c>
      <c r="F15" s="82" t="s">
        <v>330</v>
      </c>
      <c r="G15" s="82" t="s">
        <v>100</v>
      </c>
      <c r="H15" s="82" t="s">
        <v>268</v>
      </c>
      <c r="I15" s="4" t="s">
        <v>20</v>
      </c>
      <c r="K15" s="81" t="s">
        <v>332</v>
      </c>
      <c r="L15" s="4" t="s">
        <v>333</v>
      </c>
    </row>
    <row r="16" spans="1:13">
      <c r="A16" s="5">
        <v>107</v>
      </c>
      <c r="B16" s="1" t="str">
        <f t="shared" ref="B16:B23" si="4">VLOOKUP(A16,$A$3:$I$10,2,0)</f>
        <v>山田　英樹</v>
      </c>
      <c r="C16" s="11">
        <f t="shared" ref="C16:C23" si="5">VLOOKUP(A16,$A$3:$I$10,9,0)</f>
        <v>69520</v>
      </c>
      <c r="D16" s="1" t="s">
        <v>167</v>
      </c>
      <c r="E16" s="11">
        <f t="shared" ref="E16:E23" si="6">VLOOKUP(D16,$K$16:$L$18,2,0)*C16</f>
        <v>20856</v>
      </c>
      <c r="F16" s="11">
        <f t="shared" ref="F16:F23" si="7">INT((C16+E16)*11%)</f>
        <v>9941</v>
      </c>
      <c r="G16" s="11">
        <f t="shared" ref="G16:G23" si="8">ROUND((C16+E16)*5.7%,-1)</f>
        <v>5150</v>
      </c>
      <c r="H16" s="46">
        <f t="shared" ref="H16:H23" si="9">C16+E16+F16-G16</f>
        <v>95167</v>
      </c>
      <c r="I16" s="6" t="str">
        <f t="shared" ref="I16:I23" si="10">IF(AND(E16&gt;=8000,H16&gt;=70000),"A","B")</f>
        <v>A</v>
      </c>
      <c r="K16" s="5" t="s">
        <v>334</v>
      </c>
      <c r="L16" s="70">
        <v>0.3</v>
      </c>
    </row>
    <row r="17" spans="1:12">
      <c r="A17" s="5">
        <v>105</v>
      </c>
      <c r="B17" s="1" t="str">
        <f t="shared" si="4"/>
        <v>大島　正雄</v>
      </c>
      <c r="C17" s="11">
        <f t="shared" si="5"/>
        <v>60720</v>
      </c>
      <c r="D17" s="1" t="s">
        <v>167</v>
      </c>
      <c r="E17" s="11">
        <f t="shared" si="6"/>
        <v>18216</v>
      </c>
      <c r="F17" s="11">
        <f t="shared" si="7"/>
        <v>8682</v>
      </c>
      <c r="G17" s="11">
        <f t="shared" si="8"/>
        <v>4500</v>
      </c>
      <c r="H17" s="46">
        <f t="shared" si="9"/>
        <v>83118</v>
      </c>
      <c r="I17" s="6" t="str">
        <f t="shared" si="10"/>
        <v>A</v>
      </c>
      <c r="K17" s="5" t="s">
        <v>335</v>
      </c>
      <c r="L17" s="70">
        <v>0.2</v>
      </c>
    </row>
    <row r="18" spans="1:12" ht="19.5" thickBot="1">
      <c r="A18" s="5">
        <v>103</v>
      </c>
      <c r="B18" s="1" t="str">
        <f t="shared" si="4"/>
        <v>長谷川　勇</v>
      </c>
      <c r="C18" s="11">
        <f t="shared" si="5"/>
        <v>52140</v>
      </c>
      <c r="D18" s="1" t="s">
        <v>167</v>
      </c>
      <c r="E18" s="11">
        <f t="shared" si="6"/>
        <v>15642</v>
      </c>
      <c r="F18" s="11">
        <f t="shared" si="7"/>
        <v>7456</v>
      </c>
      <c r="G18" s="11">
        <f t="shared" si="8"/>
        <v>3860</v>
      </c>
      <c r="H18" s="46">
        <f t="shared" si="9"/>
        <v>71378</v>
      </c>
      <c r="I18" s="6" t="str">
        <f t="shared" si="10"/>
        <v>A</v>
      </c>
      <c r="K18" s="74" t="s">
        <v>336</v>
      </c>
      <c r="L18" s="71">
        <v>0.1</v>
      </c>
    </row>
    <row r="19" spans="1:12">
      <c r="A19" s="5">
        <v>106</v>
      </c>
      <c r="B19" s="1" t="str">
        <f t="shared" si="4"/>
        <v>中村　桜子</v>
      </c>
      <c r="C19" s="11">
        <f t="shared" si="5"/>
        <v>53820</v>
      </c>
      <c r="D19" s="1" t="s">
        <v>168</v>
      </c>
      <c r="E19" s="11">
        <f t="shared" si="6"/>
        <v>10764</v>
      </c>
      <c r="F19" s="11">
        <f t="shared" si="7"/>
        <v>7104</v>
      </c>
      <c r="G19" s="11">
        <f t="shared" si="8"/>
        <v>3680</v>
      </c>
      <c r="H19" s="46">
        <f t="shared" si="9"/>
        <v>68008</v>
      </c>
      <c r="I19" s="6" t="str">
        <f t="shared" si="10"/>
        <v>B</v>
      </c>
    </row>
    <row r="20" spans="1:12">
      <c r="A20" s="5">
        <v>104</v>
      </c>
      <c r="B20" s="1" t="str">
        <f t="shared" si="4"/>
        <v>林　明日香</v>
      </c>
      <c r="C20" s="11">
        <f t="shared" si="5"/>
        <v>84320</v>
      </c>
      <c r="D20" s="1" t="s">
        <v>169</v>
      </c>
      <c r="E20" s="11">
        <f t="shared" si="6"/>
        <v>8432</v>
      </c>
      <c r="F20" s="11">
        <f t="shared" si="7"/>
        <v>10202</v>
      </c>
      <c r="G20" s="11">
        <f t="shared" si="8"/>
        <v>5290</v>
      </c>
      <c r="H20" s="46">
        <f t="shared" si="9"/>
        <v>97664</v>
      </c>
      <c r="I20" s="6" t="str">
        <f t="shared" si="10"/>
        <v>A</v>
      </c>
    </row>
    <row r="21" spans="1:12">
      <c r="A21" s="5">
        <v>101</v>
      </c>
      <c r="B21" s="1" t="str">
        <f t="shared" si="4"/>
        <v>井上　陽一</v>
      </c>
      <c r="C21" s="11">
        <f t="shared" si="5"/>
        <v>40480</v>
      </c>
      <c r="D21" s="1" t="s">
        <v>168</v>
      </c>
      <c r="E21" s="11">
        <f t="shared" si="6"/>
        <v>8096</v>
      </c>
      <c r="F21" s="11">
        <f t="shared" si="7"/>
        <v>5343</v>
      </c>
      <c r="G21" s="11">
        <f t="shared" si="8"/>
        <v>2770</v>
      </c>
      <c r="H21" s="46">
        <f t="shared" si="9"/>
        <v>51149</v>
      </c>
      <c r="I21" s="6" t="str">
        <f t="shared" si="10"/>
        <v>B</v>
      </c>
    </row>
    <row r="22" spans="1:12">
      <c r="A22" s="5">
        <v>108</v>
      </c>
      <c r="B22" s="1" t="str">
        <f t="shared" si="4"/>
        <v>内藤　好美</v>
      </c>
      <c r="C22" s="11">
        <f t="shared" si="5"/>
        <v>66180</v>
      </c>
      <c r="D22" s="1" t="s">
        <v>169</v>
      </c>
      <c r="E22" s="11">
        <f t="shared" si="6"/>
        <v>6618</v>
      </c>
      <c r="F22" s="11">
        <f t="shared" si="7"/>
        <v>8007</v>
      </c>
      <c r="G22" s="11">
        <f t="shared" si="8"/>
        <v>4150</v>
      </c>
      <c r="H22" s="46">
        <f t="shared" si="9"/>
        <v>76655</v>
      </c>
      <c r="I22" s="6" t="str">
        <f t="shared" si="10"/>
        <v>B</v>
      </c>
    </row>
    <row r="23" spans="1:12">
      <c r="A23" s="5">
        <v>102</v>
      </c>
      <c r="B23" s="1" t="str">
        <f t="shared" si="4"/>
        <v>桜井　加奈</v>
      </c>
      <c r="C23" s="11">
        <f t="shared" si="5"/>
        <v>55150</v>
      </c>
      <c r="D23" s="1" t="s">
        <v>169</v>
      </c>
      <c r="E23" s="11">
        <f t="shared" si="6"/>
        <v>5515</v>
      </c>
      <c r="F23" s="11">
        <f t="shared" si="7"/>
        <v>6673</v>
      </c>
      <c r="G23" s="11">
        <f t="shared" si="8"/>
        <v>3460</v>
      </c>
      <c r="H23" s="46">
        <f t="shared" si="9"/>
        <v>63878</v>
      </c>
      <c r="I23" s="6" t="str">
        <f t="shared" si="10"/>
        <v>B</v>
      </c>
    </row>
    <row r="24" spans="1:12">
      <c r="A24" s="5"/>
      <c r="B24" s="1"/>
      <c r="C24" s="1"/>
      <c r="D24" s="1"/>
      <c r="E24" s="1"/>
      <c r="F24" s="1"/>
      <c r="G24" s="1"/>
      <c r="H24" s="1"/>
      <c r="I24" s="6"/>
    </row>
    <row r="25" spans="1:12" ht="19.5" thickBot="1">
      <c r="A25" s="74"/>
      <c r="B25" s="8" t="s">
        <v>31</v>
      </c>
      <c r="C25" s="15">
        <f>SUM(C16:C23)</f>
        <v>482330</v>
      </c>
      <c r="D25" s="15"/>
      <c r="E25" s="15">
        <f t="shared" ref="E25:H25" si="11">SUM(E16:E23)</f>
        <v>94139</v>
      </c>
      <c r="F25" s="15">
        <f t="shared" si="11"/>
        <v>63408</v>
      </c>
      <c r="G25" s="15">
        <f t="shared" si="11"/>
        <v>32860</v>
      </c>
      <c r="H25" s="15">
        <f t="shared" si="11"/>
        <v>607017</v>
      </c>
      <c r="I25" s="10"/>
    </row>
    <row r="27" spans="1:12" ht="19.5" thickBot="1"/>
    <row r="28" spans="1:12">
      <c r="A28" s="105" t="s">
        <v>338</v>
      </c>
      <c r="B28" s="106"/>
      <c r="C28" s="106"/>
      <c r="D28" s="106"/>
      <c r="E28" s="69">
        <f>DSUM(請求額一覧表10,E15,K28:K29)</f>
        <v>75279</v>
      </c>
      <c r="K28" s="89" t="s">
        <v>164</v>
      </c>
      <c r="L28" s="89" t="s">
        <v>341</v>
      </c>
    </row>
    <row r="29" spans="1:12" ht="19.5" thickBot="1">
      <c r="A29" s="107" t="s">
        <v>339</v>
      </c>
      <c r="B29" s="108"/>
      <c r="C29" s="108"/>
      <c r="D29" s="108"/>
      <c r="E29" s="14">
        <f>DMAX(請求額一覧表10,H15,L28:L29)</f>
        <v>76655</v>
      </c>
      <c r="K29" s="51" t="s">
        <v>340</v>
      </c>
      <c r="L29" s="51" t="s">
        <v>342</v>
      </c>
    </row>
  </sheetData>
  <mergeCells count="6">
    <mergeCell ref="A29:D29"/>
    <mergeCell ref="A1:I1"/>
    <mergeCell ref="K1:M1"/>
    <mergeCell ref="A14:I14"/>
    <mergeCell ref="K14:L14"/>
    <mergeCell ref="A28:D28"/>
  </mergeCells>
  <phoneticPr fontId="2"/>
  <pageMargins left="0.25" right="0.25" top="0.75" bottom="0.75" header="0.3" footer="0.3"/>
  <pageSetup paperSize="9" scale="5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FABF-AB2E-41AC-8781-DBBC59D22589}">
  <sheetPr>
    <pageSetUpPr fitToPage="1"/>
  </sheetPr>
  <dimension ref="A1:K27"/>
  <sheetViews>
    <sheetView workbookViewId="0">
      <selection activeCell="O16" sqref="O16"/>
    </sheetView>
  </sheetViews>
  <sheetFormatPr defaultRowHeight="18.75"/>
  <cols>
    <col min="1" max="1" width="7.125" bestFit="1" customWidth="1"/>
    <col min="2" max="2" width="11" bestFit="1" customWidth="1"/>
    <col min="3" max="3" width="10.5" bestFit="1" customWidth="1"/>
    <col min="4" max="4" width="8.5" bestFit="1" customWidth="1"/>
    <col min="5" max="5" width="10.5" bestFit="1" customWidth="1"/>
    <col min="7" max="7" width="8.5" bestFit="1" customWidth="1"/>
    <col min="8" max="8" width="10.5" bestFit="1" customWidth="1"/>
    <col min="9" max="9" width="7.125" bestFit="1" customWidth="1"/>
    <col min="10" max="10" width="8" bestFit="1" customWidth="1"/>
    <col min="11" max="11" width="10.5" bestFit="1" customWidth="1"/>
  </cols>
  <sheetData>
    <row r="1" spans="1:11" ht="19.5" thickBot="1">
      <c r="A1" s="109" t="s">
        <v>343</v>
      </c>
      <c r="B1" s="109"/>
      <c r="C1" s="109"/>
      <c r="D1" s="109"/>
      <c r="E1" s="109"/>
      <c r="F1" s="109"/>
      <c r="G1" s="109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7" t="s">
        <v>355</v>
      </c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7" t="s">
        <v>375</v>
      </c>
      <c r="B23" s="97"/>
      <c r="C23" s="97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sortState ref="A11:K19">
    <sortCondition descending="1" ref="K10"/>
  </sortState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5909-D641-49C2-9F5C-D2CB612252C4}">
  <sheetPr>
    <pageSetUpPr fitToPage="1"/>
  </sheetPr>
  <dimension ref="A1:K27"/>
  <sheetViews>
    <sheetView showFormulas="1" workbookViewId="0">
      <selection activeCell="A2" sqref="A1:K1048576"/>
    </sheetView>
  </sheetViews>
  <sheetFormatPr defaultRowHeight="18.75"/>
  <cols>
    <col min="1" max="1" width="3.625" bestFit="1" customWidth="1"/>
    <col min="2" max="2" width="24.25" bestFit="1" customWidth="1"/>
    <col min="3" max="3" width="24.75" bestFit="1" customWidth="1"/>
    <col min="4" max="4" width="16" bestFit="1" customWidth="1"/>
    <col min="5" max="5" width="17.875" bestFit="1" customWidth="1"/>
    <col min="6" max="6" width="8.125" bestFit="1" customWidth="1"/>
    <col min="7" max="7" width="19.125" bestFit="1" customWidth="1"/>
    <col min="8" max="8" width="8.375" bestFit="1" customWidth="1"/>
    <col min="9" max="9" width="22.625" bestFit="1" customWidth="1"/>
    <col min="10" max="10" width="11.75" bestFit="1" customWidth="1"/>
    <col min="11" max="11" width="8.25" bestFit="1" customWidth="1"/>
  </cols>
  <sheetData>
    <row r="1" spans="1:11" ht="19.5" thickBot="1">
      <c r="A1" s="109" t="s">
        <v>343</v>
      </c>
      <c r="B1" s="109"/>
      <c r="C1" s="109"/>
      <c r="D1" s="109"/>
      <c r="E1" s="109"/>
      <c r="F1" s="109"/>
      <c r="G1" s="109"/>
    </row>
    <row r="2" spans="1:11">
      <c r="A2" s="81" t="s">
        <v>344</v>
      </c>
      <c r="B2" s="82" t="s">
        <v>345</v>
      </c>
      <c r="C2" s="82" t="s">
        <v>346</v>
      </c>
      <c r="D2" s="82" t="s">
        <v>347</v>
      </c>
      <c r="E2" s="82" t="s">
        <v>348</v>
      </c>
      <c r="F2" s="82" t="s">
        <v>349</v>
      </c>
      <c r="G2" s="4" t="s">
        <v>350</v>
      </c>
    </row>
    <row r="3" spans="1:11">
      <c r="A3" s="5">
        <v>101</v>
      </c>
      <c r="B3" s="1" t="s">
        <v>351</v>
      </c>
      <c r="C3" s="90">
        <v>37896.370000000003</v>
      </c>
      <c r="D3" s="1">
        <v>965</v>
      </c>
      <c r="E3" s="90">
        <f>ROUND(C3*5.7%,2)</f>
        <v>2160.09</v>
      </c>
      <c r="F3" s="90">
        <v>118.12</v>
      </c>
      <c r="G3" s="91">
        <f>ROUNDUP((C3+E3)/D3*F3,-1)</f>
        <v>4910</v>
      </c>
    </row>
    <row r="4" spans="1:11">
      <c r="A4" s="5">
        <v>102</v>
      </c>
      <c r="B4" s="1" t="s">
        <v>352</v>
      </c>
      <c r="C4" s="90">
        <v>35405.18</v>
      </c>
      <c r="D4" s="1">
        <v>791</v>
      </c>
      <c r="E4" s="90">
        <f t="shared" ref="E4:E5" si="0">ROUND(C4*5.7%,2)</f>
        <v>2018.1</v>
      </c>
      <c r="F4" s="90">
        <v>120.78</v>
      </c>
      <c r="G4" s="91">
        <f t="shared" ref="G4:G5" si="1">ROUNDUP((C4+E4)/D4*F4,-1)</f>
        <v>5720</v>
      </c>
    </row>
    <row r="5" spans="1:11">
      <c r="A5" s="5">
        <v>103</v>
      </c>
      <c r="B5" s="1" t="s">
        <v>353</v>
      </c>
      <c r="C5" s="90">
        <v>42782.59</v>
      </c>
      <c r="D5" s="1">
        <v>862</v>
      </c>
      <c r="E5" s="90">
        <f t="shared" si="0"/>
        <v>2438.61</v>
      </c>
      <c r="F5" s="90">
        <v>119.43</v>
      </c>
      <c r="G5" s="91">
        <f t="shared" si="1"/>
        <v>6270</v>
      </c>
    </row>
    <row r="6" spans="1:11">
      <c r="A6" s="5"/>
      <c r="B6" s="1"/>
      <c r="C6" s="1"/>
      <c r="D6" s="1"/>
      <c r="E6" s="1"/>
      <c r="F6" s="1"/>
      <c r="G6" s="6"/>
    </row>
    <row r="7" spans="1:11" ht="19.5" thickBot="1">
      <c r="A7" s="74"/>
      <c r="B7" s="8" t="s">
        <v>354</v>
      </c>
      <c r="C7" s="92">
        <f>SUM(C3:C5)</f>
        <v>116084.14</v>
      </c>
      <c r="D7" s="92">
        <f t="shared" ref="D7:E7" si="2">SUM(D3:D5)</f>
        <v>2618</v>
      </c>
      <c r="E7" s="92">
        <f t="shared" si="2"/>
        <v>6616.8000000000011</v>
      </c>
      <c r="F7" s="75"/>
      <c r="G7" s="10"/>
    </row>
    <row r="9" spans="1:11" ht="19.5" thickBot="1">
      <c r="A9" s="97" t="s">
        <v>355</v>
      </c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>
      <c r="A10" s="81" t="s">
        <v>356</v>
      </c>
      <c r="B10" s="82" t="s">
        <v>357</v>
      </c>
      <c r="C10" s="82" t="s">
        <v>344</v>
      </c>
      <c r="D10" s="82" t="s">
        <v>345</v>
      </c>
      <c r="E10" s="82" t="s">
        <v>358</v>
      </c>
      <c r="F10" s="82" t="s">
        <v>359</v>
      </c>
      <c r="G10" s="82" t="s">
        <v>360</v>
      </c>
      <c r="H10" s="82" t="s">
        <v>361</v>
      </c>
      <c r="I10" s="82" t="s">
        <v>362</v>
      </c>
      <c r="J10" s="82" t="s">
        <v>363</v>
      </c>
      <c r="K10" s="4" t="s">
        <v>364</v>
      </c>
    </row>
    <row r="11" spans="1:11">
      <c r="A11" s="5">
        <v>1007</v>
      </c>
      <c r="B11" s="1" t="s">
        <v>371</v>
      </c>
      <c r="C11" s="1">
        <v>103</v>
      </c>
      <c r="D11" s="1" t="str">
        <f t="shared" ref="D11:D19" si="3">VLOOKUP(C11,$A$3:$G$5,2,0)</f>
        <v>S商品</v>
      </c>
      <c r="E11" s="11">
        <f t="shared" ref="E11:E19" si="4">VLOOKUP(C11,$A$3:$G$5,7,0)*1.3</f>
        <v>8151</v>
      </c>
      <c r="F11" s="1">
        <v>319</v>
      </c>
      <c r="G11" s="1">
        <f t="shared" ref="G11:G19" si="5">INT(IF(F11&gt;=290,E11*0.93,E11*0.91))</f>
        <v>7580</v>
      </c>
      <c r="H11" s="11">
        <f t="shared" ref="H11:H19" si="6">G11*F11</f>
        <v>2418020</v>
      </c>
      <c r="I11" s="47">
        <f t="shared" ref="I11:I19" si="7">IF(OR(F11&gt;=320,H11&gt;=2000000),5.3%,4.2%)</f>
        <v>5.2999999999999999E-2</v>
      </c>
      <c r="J11" s="11">
        <f t="shared" ref="J11:J19" si="8">ROUNDUP(H11*I11,0)</f>
        <v>128156</v>
      </c>
      <c r="K11" s="48">
        <f t="shared" ref="K11:K19" si="9">H11-J11</f>
        <v>2289864</v>
      </c>
    </row>
    <row r="12" spans="1:11">
      <c r="A12" s="5">
        <v>1003</v>
      </c>
      <c r="B12" s="1" t="s">
        <v>367</v>
      </c>
      <c r="C12" s="1">
        <v>103</v>
      </c>
      <c r="D12" s="1" t="str">
        <f t="shared" si="3"/>
        <v>S商品</v>
      </c>
      <c r="E12" s="11">
        <f t="shared" si="4"/>
        <v>8151</v>
      </c>
      <c r="F12" s="1">
        <v>273</v>
      </c>
      <c r="G12" s="1">
        <f t="shared" si="5"/>
        <v>7417</v>
      </c>
      <c r="H12" s="11">
        <f t="shared" si="6"/>
        <v>2024841</v>
      </c>
      <c r="I12" s="47">
        <f t="shared" si="7"/>
        <v>5.2999999999999999E-2</v>
      </c>
      <c r="J12" s="11">
        <f t="shared" si="8"/>
        <v>107317</v>
      </c>
      <c r="K12" s="48">
        <f t="shared" si="9"/>
        <v>1917524</v>
      </c>
    </row>
    <row r="13" spans="1:11">
      <c r="A13" s="5">
        <v>1009</v>
      </c>
      <c r="B13" s="1" t="s">
        <v>373</v>
      </c>
      <c r="C13" s="1">
        <v>102</v>
      </c>
      <c r="D13" s="1" t="str">
        <f t="shared" si="3"/>
        <v>R商品</v>
      </c>
      <c r="E13" s="11">
        <f t="shared" si="4"/>
        <v>7436</v>
      </c>
      <c r="F13" s="1">
        <v>290</v>
      </c>
      <c r="G13" s="1">
        <f t="shared" si="5"/>
        <v>6915</v>
      </c>
      <c r="H13" s="11">
        <f t="shared" si="6"/>
        <v>2005350</v>
      </c>
      <c r="I13" s="47">
        <f t="shared" si="7"/>
        <v>5.2999999999999999E-2</v>
      </c>
      <c r="J13" s="11">
        <f t="shared" si="8"/>
        <v>106284</v>
      </c>
      <c r="K13" s="48">
        <f t="shared" si="9"/>
        <v>1899066</v>
      </c>
    </row>
    <row r="14" spans="1:11">
      <c r="A14" s="5">
        <v>1008</v>
      </c>
      <c r="B14" s="1" t="s">
        <v>372</v>
      </c>
      <c r="C14" s="1">
        <v>101</v>
      </c>
      <c r="D14" s="1" t="str">
        <f t="shared" si="3"/>
        <v>Q商品</v>
      </c>
      <c r="E14" s="11">
        <f t="shared" si="4"/>
        <v>6383</v>
      </c>
      <c r="F14" s="1">
        <v>324</v>
      </c>
      <c r="G14" s="1">
        <f t="shared" si="5"/>
        <v>5936</v>
      </c>
      <c r="H14" s="11">
        <f t="shared" si="6"/>
        <v>1923264</v>
      </c>
      <c r="I14" s="47">
        <f t="shared" si="7"/>
        <v>5.2999999999999999E-2</v>
      </c>
      <c r="J14" s="11">
        <f t="shared" si="8"/>
        <v>101933</v>
      </c>
      <c r="K14" s="48">
        <f t="shared" si="9"/>
        <v>1821331</v>
      </c>
    </row>
    <row r="15" spans="1:11">
      <c r="A15" s="5">
        <v>1002</v>
      </c>
      <c r="B15" s="1" t="s">
        <v>366</v>
      </c>
      <c r="C15" s="1">
        <v>101</v>
      </c>
      <c r="D15" s="1" t="str">
        <f t="shared" si="3"/>
        <v>Q商品</v>
      </c>
      <c r="E15" s="11">
        <f t="shared" si="4"/>
        <v>6383</v>
      </c>
      <c r="F15" s="1">
        <v>320</v>
      </c>
      <c r="G15" s="1">
        <f t="shared" si="5"/>
        <v>5936</v>
      </c>
      <c r="H15" s="11">
        <f t="shared" si="6"/>
        <v>1899520</v>
      </c>
      <c r="I15" s="47">
        <f t="shared" si="7"/>
        <v>5.2999999999999999E-2</v>
      </c>
      <c r="J15" s="11">
        <f t="shared" si="8"/>
        <v>100675</v>
      </c>
      <c r="K15" s="48">
        <f t="shared" si="9"/>
        <v>1798845</v>
      </c>
    </row>
    <row r="16" spans="1:11">
      <c r="A16" s="5">
        <v>1005</v>
      </c>
      <c r="B16" s="1" t="s">
        <v>369</v>
      </c>
      <c r="C16" s="1">
        <v>103</v>
      </c>
      <c r="D16" s="1" t="str">
        <f t="shared" si="3"/>
        <v>S商品</v>
      </c>
      <c r="E16" s="11">
        <f t="shared" si="4"/>
        <v>8151</v>
      </c>
      <c r="F16" s="1">
        <v>236</v>
      </c>
      <c r="G16" s="1">
        <f t="shared" si="5"/>
        <v>7417</v>
      </c>
      <c r="H16" s="11">
        <f t="shared" si="6"/>
        <v>1750412</v>
      </c>
      <c r="I16" s="47">
        <f t="shared" si="7"/>
        <v>4.2000000000000003E-2</v>
      </c>
      <c r="J16" s="11">
        <f t="shared" si="8"/>
        <v>73518</v>
      </c>
      <c r="K16" s="48">
        <f t="shared" si="9"/>
        <v>1676894</v>
      </c>
    </row>
    <row r="17" spans="1:11">
      <c r="A17" s="5">
        <v>1004</v>
      </c>
      <c r="B17" s="1" t="s">
        <v>368</v>
      </c>
      <c r="C17" s="1">
        <v>102</v>
      </c>
      <c r="D17" s="1" t="str">
        <f t="shared" si="3"/>
        <v>R商品</v>
      </c>
      <c r="E17" s="11">
        <f t="shared" si="4"/>
        <v>7436</v>
      </c>
      <c r="F17" s="1">
        <v>247</v>
      </c>
      <c r="G17" s="1">
        <f t="shared" si="5"/>
        <v>6766</v>
      </c>
      <c r="H17" s="11">
        <f t="shared" si="6"/>
        <v>1671202</v>
      </c>
      <c r="I17" s="47">
        <f t="shared" si="7"/>
        <v>4.2000000000000003E-2</v>
      </c>
      <c r="J17" s="11">
        <f t="shared" si="8"/>
        <v>70191</v>
      </c>
      <c r="K17" s="48">
        <f t="shared" si="9"/>
        <v>1601011</v>
      </c>
    </row>
    <row r="18" spans="1:11">
      <c r="A18" s="5">
        <v>1006</v>
      </c>
      <c r="B18" s="1" t="s">
        <v>370</v>
      </c>
      <c r="C18" s="1">
        <v>101</v>
      </c>
      <c r="D18" s="1" t="str">
        <f t="shared" si="3"/>
        <v>Q商品</v>
      </c>
      <c r="E18" s="11">
        <f t="shared" si="4"/>
        <v>6383</v>
      </c>
      <c r="F18" s="1">
        <v>279</v>
      </c>
      <c r="G18" s="1">
        <f t="shared" si="5"/>
        <v>5808</v>
      </c>
      <c r="H18" s="11">
        <f t="shared" si="6"/>
        <v>1620432</v>
      </c>
      <c r="I18" s="47">
        <f t="shared" si="7"/>
        <v>4.2000000000000003E-2</v>
      </c>
      <c r="J18" s="11">
        <f t="shared" si="8"/>
        <v>68059</v>
      </c>
      <c r="K18" s="48">
        <f t="shared" si="9"/>
        <v>1552373</v>
      </c>
    </row>
    <row r="19" spans="1:11">
      <c r="A19" s="5">
        <v>1001</v>
      </c>
      <c r="B19" s="1" t="s">
        <v>365</v>
      </c>
      <c r="C19" s="1">
        <v>102</v>
      </c>
      <c r="D19" s="1" t="str">
        <f t="shared" si="3"/>
        <v>R商品</v>
      </c>
      <c r="E19" s="11">
        <f t="shared" si="4"/>
        <v>7436</v>
      </c>
      <c r="F19" s="1">
        <v>235</v>
      </c>
      <c r="G19" s="1">
        <f t="shared" si="5"/>
        <v>6766</v>
      </c>
      <c r="H19" s="11">
        <f t="shared" si="6"/>
        <v>1590010</v>
      </c>
      <c r="I19" s="47">
        <f t="shared" si="7"/>
        <v>4.2000000000000003E-2</v>
      </c>
      <c r="J19" s="11">
        <f t="shared" si="8"/>
        <v>66781</v>
      </c>
      <c r="K19" s="48">
        <f t="shared" si="9"/>
        <v>1523229</v>
      </c>
    </row>
    <row r="20" spans="1:11">
      <c r="A20" s="5"/>
      <c r="B20" s="1"/>
      <c r="C20" s="1"/>
      <c r="D20" s="1"/>
      <c r="E20" s="1"/>
      <c r="F20" s="1"/>
      <c r="G20" s="1"/>
      <c r="H20" s="1"/>
      <c r="I20" s="1"/>
      <c r="J20" s="1"/>
      <c r="K20" s="6"/>
    </row>
    <row r="21" spans="1:11" ht="19.5" thickBot="1">
      <c r="A21" s="74"/>
      <c r="B21" s="8" t="s">
        <v>374</v>
      </c>
      <c r="C21" s="75"/>
      <c r="D21" s="75"/>
      <c r="E21" s="75"/>
      <c r="F21" s="13">
        <f>SUM(F11:F19)</f>
        <v>2523</v>
      </c>
      <c r="G21" s="13"/>
      <c r="H21" s="13">
        <f t="shared" ref="H21:K21" si="10">SUM(H11:H19)</f>
        <v>16903051</v>
      </c>
      <c r="I21" s="13"/>
      <c r="J21" s="13">
        <f t="shared" si="10"/>
        <v>822914</v>
      </c>
      <c r="K21" s="14">
        <f t="shared" si="10"/>
        <v>16080137</v>
      </c>
    </row>
    <row r="23" spans="1:11" ht="19.5" thickBot="1">
      <c r="A23" s="97" t="s">
        <v>375</v>
      </c>
      <c r="B23" s="97"/>
      <c r="C23" s="97"/>
    </row>
    <row r="24" spans="1:11">
      <c r="A24" s="81" t="s">
        <v>150</v>
      </c>
      <c r="B24" s="82" t="s">
        <v>376</v>
      </c>
      <c r="C24" s="4" t="s">
        <v>377</v>
      </c>
      <c r="F24" s="76" t="s">
        <v>150</v>
      </c>
      <c r="G24" s="77" t="s">
        <v>150</v>
      </c>
      <c r="H24" s="18" t="s">
        <v>150</v>
      </c>
    </row>
    <row r="25" spans="1:11" ht="19.5" thickBot="1">
      <c r="A25" s="5" t="s">
        <v>351</v>
      </c>
      <c r="B25" s="1">
        <f>DSUM(販売先別請求額一覧表11,6,$F$24:$F$25)</f>
        <v>923</v>
      </c>
      <c r="C25" s="12">
        <f>DSUM(販売先別請求額一覧表11,11,$F$24:$F$25)</f>
        <v>5172549</v>
      </c>
      <c r="F25" s="74" t="s">
        <v>351</v>
      </c>
      <c r="G25" s="75" t="s">
        <v>352</v>
      </c>
      <c r="H25" s="10" t="s">
        <v>353</v>
      </c>
    </row>
    <row r="26" spans="1:11">
      <c r="A26" s="5" t="s">
        <v>352</v>
      </c>
      <c r="B26" s="1">
        <f>DSUM(販売先別請求額一覧表11,6,$G$24:$G$25)</f>
        <v>772</v>
      </c>
      <c r="C26" s="12">
        <f>DSUM(販売先別請求額一覧表11,11,$G$24:$G$25)</f>
        <v>5023306</v>
      </c>
    </row>
    <row r="27" spans="1:11" ht="19.5" thickBot="1">
      <c r="A27" s="74" t="s">
        <v>353</v>
      </c>
      <c r="B27" s="75">
        <f>DSUM(販売先別請求額一覧表11,6,$H$24:$H$25)</f>
        <v>828</v>
      </c>
      <c r="C27" s="14">
        <f>DSUM(販売先別請求額一覧表11,11,$H$24:$H$25)</f>
        <v>5884282</v>
      </c>
    </row>
  </sheetData>
  <mergeCells count="3">
    <mergeCell ref="A1:G1"/>
    <mergeCell ref="A9:K9"/>
    <mergeCell ref="A23:C23"/>
  </mergeCells>
  <phoneticPr fontId="2"/>
  <pageMargins left="0.25" right="0.25" top="0.75" bottom="0.75" header="0.3" footer="0.3"/>
  <pageSetup paperSize="9" scale="6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D874-C62A-46A9-97C5-1E0EA66A84C0}">
  <sheetPr>
    <pageSetUpPr fitToPage="1"/>
  </sheetPr>
  <dimension ref="A1:K29"/>
  <sheetViews>
    <sheetView topLeftCell="A8" workbookViewId="0">
      <selection activeCell="N11" sqref="N11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6" width="11" bestFit="1" customWidth="1"/>
    <col min="7" max="7" width="8" bestFit="1" customWidth="1"/>
    <col min="8" max="8" width="9.5" bestFit="1" customWidth="1"/>
    <col min="9" max="9" width="11" bestFit="1" customWidth="1"/>
    <col min="10" max="10" width="7.125" bestFit="1" customWidth="1"/>
    <col min="11" max="11" width="6" bestFit="1" customWidth="1"/>
  </cols>
  <sheetData>
    <row r="1" spans="1:11" ht="19.5" thickBot="1">
      <c r="A1" s="97" t="s">
        <v>378</v>
      </c>
      <c r="B1" s="97"/>
      <c r="C1" s="97"/>
      <c r="D1" s="97"/>
      <c r="E1" s="97"/>
      <c r="F1" s="97"/>
      <c r="G1" s="97"/>
      <c r="I1" s="115" t="s">
        <v>396</v>
      </c>
      <c r="J1" s="115"/>
      <c r="K1" s="115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7" t="s">
        <v>411</v>
      </c>
      <c r="J10" s="97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7" t="s">
        <v>401</v>
      </c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5" t="s">
        <v>408</v>
      </c>
      <c r="B28" s="106"/>
      <c r="C28" s="106"/>
      <c r="D28" s="106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7" t="s">
        <v>409</v>
      </c>
      <c r="B29" s="108"/>
      <c r="C29" s="108"/>
      <c r="D29" s="108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sortState ref="A16:J23">
    <sortCondition ref="D15"/>
  </sortState>
  <mergeCells count="6">
    <mergeCell ref="A28:D28"/>
    <mergeCell ref="A29:D29"/>
    <mergeCell ref="A1:G1"/>
    <mergeCell ref="A14:J14"/>
    <mergeCell ref="I10:J10"/>
    <mergeCell ref="I1:K1"/>
  </mergeCells>
  <phoneticPr fontId="2"/>
  <pageMargins left="0.25" right="0.25" top="0.75" bottom="0.75" header="0.3" footer="0.3"/>
  <pageSetup paperSize="9" scale="86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D89C-1533-4980-8C8B-68A23B05DE83}">
  <sheetPr>
    <pageSetUpPr fitToPage="1"/>
  </sheetPr>
  <dimension ref="A1:K29"/>
  <sheetViews>
    <sheetView showFormulas="1" workbookViewId="0">
      <selection activeCell="A2" sqref="A1:K1048576"/>
    </sheetView>
  </sheetViews>
  <sheetFormatPr defaultRowHeight="18.75"/>
  <cols>
    <col min="1" max="1" width="3.625" bestFit="1" customWidth="1"/>
    <col min="2" max="4" width="16.625" bestFit="1" customWidth="1"/>
    <col min="5" max="5" width="30.125" bestFit="1" customWidth="1"/>
    <col min="6" max="6" width="23.875" bestFit="1" customWidth="1"/>
    <col min="7" max="7" width="26.5" bestFit="1" customWidth="1"/>
    <col min="8" max="8" width="8.375" bestFit="1" customWidth="1"/>
    <col min="9" max="9" width="16.625" bestFit="1" customWidth="1"/>
    <col min="10" max="10" width="41" bestFit="1" customWidth="1"/>
    <col min="11" max="11" width="2.875" bestFit="1" customWidth="1"/>
  </cols>
  <sheetData>
    <row r="1" spans="1:11" ht="19.5" thickBot="1">
      <c r="A1" s="97" t="s">
        <v>378</v>
      </c>
      <c r="B1" s="97"/>
      <c r="C1" s="97"/>
      <c r="D1" s="97"/>
      <c r="E1" s="97"/>
      <c r="F1" s="97"/>
      <c r="G1" s="97"/>
      <c r="I1" s="115" t="s">
        <v>396</v>
      </c>
      <c r="J1" s="115"/>
      <c r="K1" s="115"/>
    </row>
    <row r="2" spans="1:11">
      <c r="A2" s="81" t="s">
        <v>379</v>
      </c>
      <c r="B2" s="82" t="s">
        <v>380</v>
      </c>
      <c r="C2" s="82" t="s">
        <v>382</v>
      </c>
      <c r="D2" s="82" t="s">
        <v>383</v>
      </c>
      <c r="E2" s="82" t="s">
        <v>384</v>
      </c>
      <c r="F2" s="82" t="s">
        <v>385</v>
      </c>
      <c r="G2" s="4" t="s">
        <v>386</v>
      </c>
      <c r="I2" s="1" t="s">
        <v>382</v>
      </c>
      <c r="J2" s="1" t="s">
        <v>383</v>
      </c>
      <c r="K2" s="1" t="s">
        <v>395</v>
      </c>
    </row>
    <row r="3" spans="1:11">
      <c r="A3" s="5">
        <v>101</v>
      </c>
      <c r="B3" s="1" t="s">
        <v>387</v>
      </c>
      <c r="C3" s="1">
        <v>13</v>
      </c>
      <c r="D3" s="1" t="str">
        <f t="shared" ref="D3:D10" si="0">VLOOKUP(C3,$I$3:$K$6,2,0)</f>
        <v>部品E</v>
      </c>
      <c r="E3" s="1">
        <v>365</v>
      </c>
      <c r="F3" s="1">
        <v>341</v>
      </c>
      <c r="G3" s="93">
        <f>ROUNDUP(F3/E3,3)</f>
        <v>0.93500000000000005</v>
      </c>
      <c r="I3" s="1">
        <v>11</v>
      </c>
      <c r="J3" s="1" t="s">
        <v>397</v>
      </c>
      <c r="K3" s="11">
        <v>1050</v>
      </c>
    </row>
    <row r="4" spans="1:11">
      <c r="A4" s="5">
        <v>102</v>
      </c>
      <c r="B4" s="1" t="s">
        <v>388</v>
      </c>
      <c r="C4" s="1">
        <v>12</v>
      </c>
      <c r="D4" s="1" t="str">
        <f t="shared" si="0"/>
        <v>部品D</v>
      </c>
      <c r="E4" s="1">
        <v>475</v>
      </c>
      <c r="F4" s="1">
        <v>443</v>
      </c>
      <c r="G4" s="93">
        <f t="shared" ref="G4:G10" si="1">ROUNDUP(F4/E4,3)</f>
        <v>0.93300000000000005</v>
      </c>
      <c r="I4" s="1">
        <v>12</v>
      </c>
      <c r="J4" s="1" t="s">
        <v>398</v>
      </c>
      <c r="K4" s="11">
        <v>1310</v>
      </c>
    </row>
    <row r="5" spans="1:11">
      <c r="A5" s="5">
        <v>103</v>
      </c>
      <c r="B5" s="1" t="s">
        <v>389</v>
      </c>
      <c r="C5" s="1">
        <v>14</v>
      </c>
      <c r="D5" s="1" t="str">
        <f t="shared" si="0"/>
        <v>部品F</v>
      </c>
      <c r="E5" s="1">
        <v>493</v>
      </c>
      <c r="F5" s="1">
        <v>456</v>
      </c>
      <c r="G5" s="93">
        <f t="shared" si="1"/>
        <v>0.92500000000000004</v>
      </c>
      <c r="I5" s="1">
        <v>13</v>
      </c>
      <c r="J5" s="1" t="s">
        <v>399</v>
      </c>
      <c r="K5" s="11">
        <v>1180</v>
      </c>
    </row>
    <row r="6" spans="1:11">
      <c r="A6" s="5">
        <v>104</v>
      </c>
      <c r="B6" s="1" t="s">
        <v>390</v>
      </c>
      <c r="C6" s="1">
        <v>13</v>
      </c>
      <c r="D6" s="1" t="str">
        <f t="shared" si="0"/>
        <v>部品E</v>
      </c>
      <c r="E6" s="1">
        <v>452</v>
      </c>
      <c r="F6" s="1">
        <v>414</v>
      </c>
      <c r="G6" s="93">
        <f t="shared" si="1"/>
        <v>0.91600000000000004</v>
      </c>
      <c r="I6" s="1">
        <v>14</v>
      </c>
      <c r="J6" s="1" t="s">
        <v>400</v>
      </c>
      <c r="K6" s="11">
        <v>1240</v>
      </c>
    </row>
    <row r="7" spans="1:11">
      <c r="A7" s="5">
        <v>105</v>
      </c>
      <c r="B7" s="1" t="s">
        <v>391</v>
      </c>
      <c r="C7" s="1">
        <v>12</v>
      </c>
      <c r="D7" s="1" t="str">
        <f t="shared" si="0"/>
        <v>部品D</v>
      </c>
      <c r="E7" s="1">
        <v>384</v>
      </c>
      <c r="F7" s="1">
        <v>354</v>
      </c>
      <c r="G7" s="93">
        <f t="shared" si="1"/>
        <v>0.92200000000000004</v>
      </c>
    </row>
    <row r="8" spans="1:11">
      <c r="A8" s="5">
        <v>106</v>
      </c>
      <c r="B8" s="1" t="s">
        <v>392</v>
      </c>
      <c r="C8" s="1">
        <v>11</v>
      </c>
      <c r="D8" s="1" t="str">
        <f t="shared" si="0"/>
        <v>部品C</v>
      </c>
      <c r="E8" s="1">
        <v>399</v>
      </c>
      <c r="F8" s="1">
        <v>360</v>
      </c>
      <c r="G8" s="93">
        <f t="shared" si="1"/>
        <v>0.90300000000000002</v>
      </c>
    </row>
    <row r="9" spans="1:11">
      <c r="A9" s="5">
        <v>107</v>
      </c>
      <c r="B9" s="1" t="s">
        <v>393</v>
      </c>
      <c r="C9" s="1">
        <v>14</v>
      </c>
      <c r="D9" s="1" t="str">
        <f t="shared" si="0"/>
        <v>部品F</v>
      </c>
      <c r="E9" s="1">
        <v>416</v>
      </c>
      <c r="F9" s="1">
        <v>379</v>
      </c>
      <c r="G9" s="93">
        <f t="shared" si="1"/>
        <v>0.91200000000000003</v>
      </c>
    </row>
    <row r="10" spans="1:11">
      <c r="A10" s="5">
        <v>108</v>
      </c>
      <c r="B10" s="1" t="s">
        <v>394</v>
      </c>
      <c r="C10" s="1">
        <v>11</v>
      </c>
      <c r="D10" s="1" t="str">
        <f t="shared" si="0"/>
        <v>部品C</v>
      </c>
      <c r="E10" s="1">
        <v>406</v>
      </c>
      <c r="F10" s="1">
        <v>380</v>
      </c>
      <c r="G10" s="93">
        <f t="shared" si="1"/>
        <v>0.93600000000000005</v>
      </c>
      <c r="I10" s="97" t="s">
        <v>411</v>
      </c>
      <c r="J10" s="97"/>
    </row>
    <row r="11" spans="1:11">
      <c r="A11" s="5"/>
      <c r="B11" s="1"/>
      <c r="C11" s="1"/>
      <c r="D11" s="1"/>
      <c r="E11" s="1"/>
      <c r="F11" s="1"/>
      <c r="G11" s="6"/>
      <c r="I11" s="1" t="s">
        <v>410</v>
      </c>
      <c r="J11" s="1">
        <v>300</v>
      </c>
    </row>
    <row r="12" spans="1:11" ht="19.5" thickBot="1">
      <c r="A12" s="74"/>
      <c r="B12" s="8" t="s">
        <v>354</v>
      </c>
      <c r="C12" s="75"/>
      <c r="D12" s="75"/>
      <c r="E12" s="13">
        <f>SUM(E3:E10)</f>
        <v>3390</v>
      </c>
      <c r="F12" s="13">
        <f>SUM(F3:F10)</f>
        <v>3127</v>
      </c>
      <c r="G12" s="10"/>
    </row>
    <row r="14" spans="1:11" ht="19.5" thickBot="1">
      <c r="A14" s="97" t="s">
        <v>401</v>
      </c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81" t="s">
        <v>379</v>
      </c>
      <c r="B15" s="82" t="s">
        <v>380</v>
      </c>
      <c r="C15" s="82" t="s">
        <v>382</v>
      </c>
      <c r="D15" s="82" t="s">
        <v>385</v>
      </c>
      <c r="E15" s="82" t="s">
        <v>402</v>
      </c>
      <c r="F15" s="82" t="s">
        <v>403</v>
      </c>
      <c r="G15" s="82" t="s">
        <v>404</v>
      </c>
      <c r="H15" s="82" t="s">
        <v>405</v>
      </c>
      <c r="I15" s="82" t="s">
        <v>406</v>
      </c>
      <c r="J15" s="4" t="s">
        <v>407</v>
      </c>
    </row>
    <row r="16" spans="1:11">
      <c r="A16" s="5">
        <v>101</v>
      </c>
      <c r="B16" s="1" t="str">
        <f t="shared" ref="B16:B23" si="2">VLOOKUP(A16,$A$3:$G$10,2,0)</f>
        <v>鈴木製作所</v>
      </c>
      <c r="C16" s="1">
        <f t="shared" ref="C16:C23" si="3">VLOOKUP(A16,$A$3:$G$10,3,0)</f>
        <v>13</v>
      </c>
      <c r="D16" s="1">
        <f t="shared" ref="D16:D23" si="4">VLOOKUP(A16,$A$3:$G$10,6,0)</f>
        <v>341</v>
      </c>
      <c r="E16" s="11">
        <f t="shared" ref="E16:E23" si="5">VLOOKUP(C16,$I$3:$K$6,3,0)*$J$11</f>
        <v>354000</v>
      </c>
      <c r="F16" s="11">
        <f t="shared" ref="F16:F23" si="6">VLOOKUP(C16,$I$3:$K$6,3,0)*(D16-$J$11)*1.1</f>
        <v>53218.000000000007</v>
      </c>
      <c r="G16" s="11">
        <f t="shared" ref="G16:G23" si="7">INT(IF(D16&gt;=380,(E16+F16)*4.8%,(E16+F16)*3.9%))</f>
        <v>15881</v>
      </c>
      <c r="H16" s="46">
        <f t="shared" ref="H16:H23" si="8">E16+F16+G16</f>
        <v>423099</v>
      </c>
      <c r="I16" s="47">
        <f t="shared" ref="I16:I23" si="9">VLOOKUP(A16,$A$3:$G$10,7,0)</f>
        <v>0.93500000000000005</v>
      </c>
      <c r="J16" s="6" t="str">
        <f t="shared" ref="J16:J23" si="10">IF(AND(H16&gt;=500000,I16&gt;=92.5%),"A",IF(OR(H16&gt;=500000,I16&gt;=92.5%),"B","C"))</f>
        <v>B</v>
      </c>
    </row>
    <row r="17" spans="1:10">
      <c r="A17" s="5">
        <v>105</v>
      </c>
      <c r="B17" s="1" t="str">
        <f t="shared" si="2"/>
        <v>みなみ精工</v>
      </c>
      <c r="C17" s="1">
        <f t="shared" si="3"/>
        <v>12</v>
      </c>
      <c r="D17" s="1">
        <f t="shared" si="4"/>
        <v>354</v>
      </c>
      <c r="E17" s="11">
        <f t="shared" si="5"/>
        <v>393000</v>
      </c>
      <c r="F17" s="11">
        <f t="shared" si="6"/>
        <v>77814</v>
      </c>
      <c r="G17" s="11">
        <f t="shared" si="7"/>
        <v>18361</v>
      </c>
      <c r="H17" s="46">
        <f t="shared" si="8"/>
        <v>489175</v>
      </c>
      <c r="I17" s="47">
        <f t="shared" si="9"/>
        <v>0.92200000000000004</v>
      </c>
      <c r="J17" s="6" t="str">
        <f t="shared" si="10"/>
        <v>C</v>
      </c>
    </row>
    <row r="18" spans="1:10">
      <c r="A18" s="5">
        <v>106</v>
      </c>
      <c r="B18" s="1" t="str">
        <f t="shared" si="2"/>
        <v>北陸テクノ</v>
      </c>
      <c r="C18" s="1">
        <f t="shared" si="3"/>
        <v>11</v>
      </c>
      <c r="D18" s="1">
        <f t="shared" si="4"/>
        <v>360</v>
      </c>
      <c r="E18" s="11">
        <f t="shared" si="5"/>
        <v>315000</v>
      </c>
      <c r="F18" s="11">
        <f t="shared" si="6"/>
        <v>69300</v>
      </c>
      <c r="G18" s="11">
        <f t="shared" si="7"/>
        <v>14987</v>
      </c>
      <c r="H18" s="46">
        <f t="shared" si="8"/>
        <v>399287</v>
      </c>
      <c r="I18" s="47">
        <f t="shared" si="9"/>
        <v>0.90300000000000002</v>
      </c>
      <c r="J18" s="6" t="str">
        <f t="shared" si="10"/>
        <v>C</v>
      </c>
    </row>
    <row r="19" spans="1:10">
      <c r="A19" s="5">
        <v>107</v>
      </c>
      <c r="B19" s="1" t="str">
        <f t="shared" si="2"/>
        <v>中日本電機</v>
      </c>
      <c r="C19" s="1">
        <f t="shared" si="3"/>
        <v>14</v>
      </c>
      <c r="D19" s="1">
        <f t="shared" si="4"/>
        <v>379</v>
      </c>
      <c r="E19" s="11">
        <f t="shared" si="5"/>
        <v>372000</v>
      </c>
      <c r="F19" s="11">
        <f t="shared" si="6"/>
        <v>107756.00000000001</v>
      </c>
      <c r="G19" s="11">
        <f t="shared" si="7"/>
        <v>18710</v>
      </c>
      <c r="H19" s="46">
        <f t="shared" si="8"/>
        <v>498466</v>
      </c>
      <c r="I19" s="47">
        <f t="shared" si="9"/>
        <v>0.91200000000000003</v>
      </c>
      <c r="J19" s="6" t="str">
        <f t="shared" si="10"/>
        <v>C</v>
      </c>
    </row>
    <row r="20" spans="1:10">
      <c r="A20" s="5">
        <v>108</v>
      </c>
      <c r="B20" s="1" t="str">
        <f t="shared" si="2"/>
        <v>大和田工機</v>
      </c>
      <c r="C20" s="1">
        <f t="shared" si="3"/>
        <v>11</v>
      </c>
      <c r="D20" s="1">
        <f t="shared" si="4"/>
        <v>380</v>
      </c>
      <c r="E20" s="11">
        <f t="shared" si="5"/>
        <v>315000</v>
      </c>
      <c r="F20" s="11">
        <f t="shared" si="6"/>
        <v>92400.000000000015</v>
      </c>
      <c r="G20" s="11">
        <f t="shared" si="7"/>
        <v>19555</v>
      </c>
      <c r="H20" s="46">
        <f t="shared" si="8"/>
        <v>426955</v>
      </c>
      <c r="I20" s="47">
        <f t="shared" si="9"/>
        <v>0.93600000000000005</v>
      </c>
      <c r="J20" s="6" t="str">
        <f t="shared" si="10"/>
        <v>B</v>
      </c>
    </row>
    <row r="21" spans="1:10">
      <c r="A21" s="5">
        <v>104</v>
      </c>
      <c r="B21" s="1" t="str">
        <f t="shared" si="2"/>
        <v>岸和田電工</v>
      </c>
      <c r="C21" s="1">
        <f t="shared" si="3"/>
        <v>13</v>
      </c>
      <c r="D21" s="1">
        <f t="shared" si="4"/>
        <v>414</v>
      </c>
      <c r="E21" s="11">
        <f t="shared" si="5"/>
        <v>354000</v>
      </c>
      <c r="F21" s="11">
        <f t="shared" si="6"/>
        <v>147972</v>
      </c>
      <c r="G21" s="11">
        <f t="shared" si="7"/>
        <v>24094</v>
      </c>
      <c r="H21" s="46">
        <f t="shared" si="8"/>
        <v>526066</v>
      </c>
      <c r="I21" s="47">
        <f t="shared" si="9"/>
        <v>0.91600000000000004</v>
      </c>
      <c r="J21" s="6" t="str">
        <f t="shared" si="10"/>
        <v>B</v>
      </c>
    </row>
    <row r="22" spans="1:10">
      <c r="A22" s="5">
        <v>102</v>
      </c>
      <c r="B22" s="1" t="str">
        <f t="shared" si="2"/>
        <v>ＪＴＡ工業</v>
      </c>
      <c r="C22" s="1">
        <f t="shared" si="3"/>
        <v>12</v>
      </c>
      <c r="D22" s="1">
        <f t="shared" si="4"/>
        <v>443</v>
      </c>
      <c r="E22" s="11">
        <f t="shared" si="5"/>
        <v>393000</v>
      </c>
      <c r="F22" s="11">
        <f t="shared" si="6"/>
        <v>206063.00000000003</v>
      </c>
      <c r="G22" s="11">
        <f t="shared" si="7"/>
        <v>28755</v>
      </c>
      <c r="H22" s="46">
        <f t="shared" si="8"/>
        <v>627818</v>
      </c>
      <c r="I22" s="47">
        <f t="shared" si="9"/>
        <v>0.93300000000000005</v>
      </c>
      <c r="J22" s="6" t="str">
        <f t="shared" si="10"/>
        <v>A</v>
      </c>
    </row>
    <row r="23" spans="1:10">
      <c r="A23" s="5">
        <v>103</v>
      </c>
      <c r="B23" s="1" t="str">
        <f t="shared" si="2"/>
        <v>久保山製作</v>
      </c>
      <c r="C23" s="1">
        <f t="shared" si="3"/>
        <v>14</v>
      </c>
      <c r="D23" s="1">
        <f t="shared" si="4"/>
        <v>456</v>
      </c>
      <c r="E23" s="11">
        <f t="shared" si="5"/>
        <v>372000</v>
      </c>
      <c r="F23" s="11">
        <f t="shared" si="6"/>
        <v>212784.00000000003</v>
      </c>
      <c r="G23" s="11">
        <f t="shared" si="7"/>
        <v>28069</v>
      </c>
      <c r="H23" s="46">
        <f t="shared" si="8"/>
        <v>612853</v>
      </c>
      <c r="I23" s="47">
        <f t="shared" si="9"/>
        <v>0.92500000000000004</v>
      </c>
      <c r="J23" s="6" t="str">
        <f t="shared" si="10"/>
        <v>A</v>
      </c>
    </row>
    <row r="24" spans="1:10">
      <c r="A24" s="5"/>
      <c r="B24" s="1"/>
      <c r="C24" s="1"/>
      <c r="D24" s="1"/>
      <c r="E24" s="1"/>
      <c r="F24" s="1"/>
      <c r="G24" s="1"/>
      <c r="H24" s="1"/>
      <c r="I24" s="1"/>
      <c r="J24" s="6"/>
    </row>
    <row r="25" spans="1:10" ht="19.5" thickBot="1">
      <c r="A25" s="74"/>
      <c r="B25" s="8" t="s">
        <v>354</v>
      </c>
      <c r="C25" s="75"/>
      <c r="D25" s="13">
        <f>SUM(D16:D23)</f>
        <v>3127</v>
      </c>
      <c r="E25" s="13">
        <f t="shared" ref="E25:H25" si="11">SUM(E16:E23)</f>
        <v>2868000</v>
      </c>
      <c r="F25" s="13">
        <f t="shared" si="11"/>
        <v>967307</v>
      </c>
      <c r="G25" s="13">
        <f t="shared" si="11"/>
        <v>168412</v>
      </c>
      <c r="H25" s="13">
        <f t="shared" si="11"/>
        <v>4003719</v>
      </c>
      <c r="I25" s="13"/>
      <c r="J25" s="10"/>
    </row>
    <row r="27" spans="1:10" ht="19.5" thickBot="1"/>
    <row r="28" spans="1:10">
      <c r="A28" s="105" t="s">
        <v>408</v>
      </c>
      <c r="B28" s="106"/>
      <c r="C28" s="106"/>
      <c r="D28" s="106"/>
      <c r="E28" s="69">
        <f>DMIN(発注先別支払額一覧表12,H15,I28:I29)</f>
        <v>426955</v>
      </c>
      <c r="I28" s="1" t="s">
        <v>146</v>
      </c>
      <c r="J28" s="1" t="s">
        <v>381</v>
      </c>
    </row>
    <row r="29" spans="1:10" ht="19.5" thickBot="1">
      <c r="A29" s="107" t="s">
        <v>409</v>
      </c>
      <c r="B29" s="108"/>
      <c r="C29" s="108"/>
      <c r="D29" s="108"/>
      <c r="E29" s="14">
        <f>ROUND(DAVERAGE(発注先別支払額一覧表12,G15,J28:J29),0)</f>
        <v>21406</v>
      </c>
      <c r="I29" s="1" t="s">
        <v>412</v>
      </c>
      <c r="J29" s="1" t="s">
        <v>413</v>
      </c>
    </row>
  </sheetData>
  <mergeCells count="6">
    <mergeCell ref="A29:D29"/>
    <mergeCell ref="A1:G1"/>
    <mergeCell ref="I1:K1"/>
    <mergeCell ref="I10:J10"/>
    <mergeCell ref="A14:J14"/>
    <mergeCell ref="A28:D28"/>
  </mergeCells>
  <phoneticPr fontId="2"/>
  <pageMargins left="0.25" right="0.25" top="0.75" bottom="0.75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5CC-AEDA-4AAD-B2CB-8F022A0BE6C5}">
  <sheetPr>
    <tabColor rgb="FFFF0000"/>
    <pageSetUpPr fitToPage="1"/>
  </sheetPr>
  <dimension ref="A1:N33"/>
  <sheetViews>
    <sheetView tabSelected="1" topLeftCell="A15" workbookViewId="0">
      <selection activeCell="O26" sqref="O26"/>
    </sheetView>
  </sheetViews>
  <sheetFormatPr defaultRowHeight="18.75"/>
  <cols>
    <col min="1" max="2" width="11" bestFit="1" customWidth="1"/>
    <col min="3" max="3" width="9.5" bestFit="1" customWidth="1"/>
    <col min="4" max="4" width="10.5" bestFit="1" customWidth="1"/>
    <col min="5" max="7" width="11" bestFit="1" customWidth="1"/>
    <col min="8" max="8" width="9.5" bestFit="1" customWidth="1"/>
    <col min="9" max="9" width="10.5" bestFit="1" customWidth="1"/>
    <col min="10" max="10" width="9.5" bestFit="1" customWidth="1"/>
    <col min="11" max="11" width="11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9" t="s">
        <v>38</v>
      </c>
      <c r="B1" s="99"/>
      <c r="C1" s="99"/>
      <c r="D1" s="99"/>
      <c r="E1" s="99"/>
      <c r="F1" s="99"/>
      <c r="G1" s="99"/>
      <c r="H1" s="99"/>
      <c r="I1" s="19"/>
      <c r="J1" s="99" t="s">
        <v>39</v>
      </c>
      <c r="K1" s="99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100" t="s">
        <v>57</v>
      </c>
      <c r="K6" s="100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9" t="s">
        <v>61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9" t="s">
        <v>68</v>
      </c>
      <c r="B28" s="99"/>
      <c r="C28" s="9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94" t="s">
        <v>49</v>
      </c>
      <c r="B29" s="95" t="s">
        <v>63</v>
      </c>
      <c r="C29" s="96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A11:K11"/>
    <mergeCell ref="A28:C28"/>
    <mergeCell ref="J6:K6"/>
  </mergeCells>
  <phoneticPr fontId="2"/>
  <pageMargins left="0.25" right="0.25" top="0.75" bottom="0.75" header="0.3" footer="0.3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7FC4-4B27-43CC-B108-977DC3BA7932}">
  <sheetPr>
    <pageSetUpPr fitToPage="1"/>
  </sheetPr>
  <dimension ref="A1:N33"/>
  <sheetViews>
    <sheetView showFormulas="1" workbookViewId="0">
      <selection activeCell="E10" sqref="E10"/>
    </sheetView>
  </sheetViews>
  <sheetFormatPr defaultRowHeight="18.75"/>
  <cols>
    <col min="1" max="1" width="5.625" bestFit="1" customWidth="1"/>
    <col min="2" max="3" width="25.5" bestFit="1" customWidth="1"/>
    <col min="4" max="4" width="16" bestFit="1" customWidth="1"/>
    <col min="5" max="5" width="17.375" bestFit="1" customWidth="1"/>
    <col min="6" max="6" width="18.25" bestFit="1" customWidth="1"/>
    <col min="7" max="7" width="20.5" bestFit="1" customWidth="1"/>
    <col min="8" max="8" width="15.75" bestFit="1" customWidth="1"/>
    <col min="9" max="9" width="7.375" bestFit="1" customWidth="1"/>
    <col min="10" max="10" width="20.125" bestFit="1" customWidth="1"/>
    <col min="11" max="11" width="21.375" bestFit="1" customWidth="1"/>
    <col min="12" max="12" width="3.375" customWidth="1"/>
    <col min="13" max="13" width="8.5" bestFit="1" customWidth="1"/>
    <col min="14" max="14" width="11" bestFit="1" customWidth="1"/>
  </cols>
  <sheetData>
    <row r="1" spans="1:14" ht="19.5" thickBot="1">
      <c r="A1" s="99" t="s">
        <v>38</v>
      </c>
      <c r="B1" s="99"/>
      <c r="C1" s="99"/>
      <c r="D1" s="99"/>
      <c r="E1" s="99"/>
      <c r="F1" s="99"/>
      <c r="G1" s="99"/>
      <c r="H1" s="99"/>
      <c r="I1" s="19"/>
      <c r="J1" s="99" t="s">
        <v>39</v>
      </c>
      <c r="K1" s="99"/>
      <c r="L1" s="19"/>
    </row>
    <row r="2" spans="1:14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2" t="s">
        <v>47</v>
      </c>
      <c r="I2" s="19"/>
      <c r="J2" s="20" t="s">
        <v>48</v>
      </c>
      <c r="K2" s="22" t="s">
        <v>49</v>
      </c>
      <c r="L2" s="19"/>
    </row>
    <row r="3" spans="1:14">
      <c r="A3" s="23">
        <v>11</v>
      </c>
      <c r="B3" s="24" t="s">
        <v>50</v>
      </c>
      <c r="C3" s="25">
        <v>2135</v>
      </c>
      <c r="D3" s="25">
        <v>5814000</v>
      </c>
      <c r="E3" s="25">
        <f>IF(D3&lt;6000000,D3*4.8%,D3*5.7%)</f>
        <v>279072</v>
      </c>
      <c r="F3" s="25">
        <f>ROUNDUP((D3+E3)/C3, 0)</f>
        <v>2854</v>
      </c>
      <c r="G3" s="26">
        <f>IF(AND(C3&gt;=2100,F3&gt;=2800),26%,27%)</f>
        <v>0.26</v>
      </c>
      <c r="H3" s="27">
        <f>ROUNDDOWN(F3*(1+G3), -1)</f>
        <v>3590</v>
      </c>
      <c r="I3" s="19"/>
      <c r="J3" s="23">
        <v>101</v>
      </c>
      <c r="K3" s="28" t="s">
        <v>51</v>
      </c>
      <c r="L3" s="19"/>
    </row>
    <row r="4" spans="1:14">
      <c r="A4" s="23">
        <v>12</v>
      </c>
      <c r="B4" s="24" t="s">
        <v>52</v>
      </c>
      <c r="C4" s="25">
        <v>1948</v>
      </c>
      <c r="D4" s="25">
        <v>5781000</v>
      </c>
      <c r="E4" s="25">
        <f t="shared" ref="E4:E6" si="0">IF(D4&lt;6000000,D4*4.8%,D4*5.7%)</f>
        <v>277488</v>
      </c>
      <c r="F4" s="25">
        <f t="shared" ref="F4:F6" si="1">ROUNDUP((D4+E4)/C4, 0)</f>
        <v>3111</v>
      </c>
      <c r="G4" s="26">
        <f t="shared" ref="G4:G6" si="2">IF(AND(C4&gt;=2100,F4&gt;=2800),26%,27%)</f>
        <v>0.27</v>
      </c>
      <c r="H4" s="27">
        <f t="shared" ref="H4:H6" si="3">ROUNDDOWN(F4*(1+G4), -1)</f>
        <v>3950</v>
      </c>
      <c r="I4" s="19"/>
      <c r="J4" s="23">
        <v>102</v>
      </c>
      <c r="K4" s="28" t="s">
        <v>53</v>
      </c>
      <c r="L4" s="19"/>
    </row>
    <row r="5" spans="1:14" ht="19.5" thickBot="1">
      <c r="A5" s="23">
        <v>13</v>
      </c>
      <c r="B5" s="24" t="s">
        <v>54</v>
      </c>
      <c r="C5" s="25">
        <v>2208</v>
      </c>
      <c r="D5" s="25">
        <v>6137000</v>
      </c>
      <c r="E5" s="25">
        <f t="shared" si="0"/>
        <v>349809</v>
      </c>
      <c r="F5" s="25">
        <f t="shared" si="1"/>
        <v>2938</v>
      </c>
      <c r="G5" s="26">
        <f t="shared" si="2"/>
        <v>0.26</v>
      </c>
      <c r="H5" s="27">
        <f t="shared" si="3"/>
        <v>3700</v>
      </c>
      <c r="I5" s="19"/>
      <c r="J5" s="29">
        <v>103</v>
      </c>
      <c r="K5" s="30" t="s">
        <v>55</v>
      </c>
      <c r="L5" s="19"/>
    </row>
    <row r="6" spans="1:14" ht="19.5" thickBot="1">
      <c r="A6" s="23">
        <v>14</v>
      </c>
      <c r="B6" s="24" t="s">
        <v>56</v>
      </c>
      <c r="C6" s="25">
        <v>2319</v>
      </c>
      <c r="D6" s="25">
        <v>6053000</v>
      </c>
      <c r="E6" s="25">
        <f t="shared" si="0"/>
        <v>345021</v>
      </c>
      <c r="F6" s="25">
        <f t="shared" si="1"/>
        <v>2759</v>
      </c>
      <c r="G6" s="26">
        <f t="shared" si="2"/>
        <v>0.27</v>
      </c>
      <c r="H6" s="27">
        <f t="shared" si="3"/>
        <v>3500</v>
      </c>
      <c r="I6" s="19"/>
      <c r="J6" s="100" t="s">
        <v>57</v>
      </c>
      <c r="K6" s="100"/>
      <c r="L6" s="19"/>
    </row>
    <row r="7" spans="1:14">
      <c r="A7" s="23"/>
      <c r="B7" s="24"/>
      <c r="C7" s="24"/>
      <c r="D7" s="24"/>
      <c r="E7" s="24"/>
      <c r="F7" s="24"/>
      <c r="G7" s="24"/>
      <c r="H7" s="28"/>
      <c r="I7" s="19"/>
      <c r="J7" s="20" t="s">
        <v>59</v>
      </c>
      <c r="K7" s="22" t="s">
        <v>60</v>
      </c>
      <c r="L7" s="19"/>
    </row>
    <row r="8" spans="1:14" ht="19.5" thickBot="1">
      <c r="A8" s="29"/>
      <c r="B8" s="31" t="s">
        <v>58</v>
      </c>
      <c r="C8" s="32">
        <f>SUM(C3:C6)</f>
        <v>8610</v>
      </c>
      <c r="D8" s="32">
        <f t="shared" ref="D8:E8" si="4">SUM(D3:D6)</f>
        <v>23785000</v>
      </c>
      <c r="E8" s="32">
        <f t="shared" si="4"/>
        <v>1251390</v>
      </c>
      <c r="F8" s="33"/>
      <c r="G8" s="33"/>
      <c r="H8" s="30"/>
      <c r="I8" s="19"/>
      <c r="J8" s="23">
        <v>1</v>
      </c>
      <c r="K8" s="34">
        <v>6.8000000000000005E-2</v>
      </c>
      <c r="L8" s="19"/>
    </row>
    <row r="9" spans="1:14">
      <c r="A9" s="43"/>
      <c r="B9" s="44"/>
      <c r="C9" s="45"/>
      <c r="D9" s="45"/>
      <c r="E9" s="45"/>
      <c r="F9" s="43"/>
      <c r="G9" s="43"/>
      <c r="H9" s="43"/>
      <c r="I9" s="19"/>
      <c r="J9" s="23">
        <v>2400000</v>
      </c>
      <c r="K9" s="34">
        <v>7.6999999999999999E-2</v>
      </c>
      <c r="L9" s="19"/>
    </row>
    <row r="10" spans="1:14" ht="19.5" thickBot="1">
      <c r="A10" s="43"/>
      <c r="B10" s="44"/>
      <c r="C10" s="45"/>
      <c r="D10" s="45"/>
      <c r="E10" s="45"/>
      <c r="F10" s="43"/>
      <c r="G10" s="43"/>
      <c r="H10" s="43"/>
      <c r="I10" s="19"/>
      <c r="J10" s="29">
        <v>2700000</v>
      </c>
      <c r="K10" s="35">
        <v>8.5999999999999993E-2</v>
      </c>
      <c r="L10" s="19"/>
    </row>
    <row r="11" spans="1:14" ht="19.5" thickBot="1">
      <c r="A11" s="99" t="s">
        <v>61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19"/>
    </row>
    <row r="12" spans="1:14">
      <c r="A12" s="20" t="s">
        <v>62</v>
      </c>
      <c r="B12" s="21" t="s">
        <v>49</v>
      </c>
      <c r="C12" s="21" t="s">
        <v>40</v>
      </c>
      <c r="D12" s="21" t="s">
        <v>41</v>
      </c>
      <c r="E12" s="21" t="s">
        <v>63</v>
      </c>
      <c r="F12" s="21" t="s">
        <v>59</v>
      </c>
      <c r="G12" s="21" t="s">
        <v>60</v>
      </c>
      <c r="H12" s="21" t="s">
        <v>64</v>
      </c>
      <c r="I12" s="21" t="s">
        <v>65</v>
      </c>
      <c r="J12" s="21" t="s">
        <v>66</v>
      </c>
      <c r="K12" s="22" t="s">
        <v>67</v>
      </c>
      <c r="L12" s="19"/>
    </row>
    <row r="13" spans="1:14">
      <c r="A13" s="23">
        <v>101</v>
      </c>
      <c r="B13" s="24" t="str">
        <f t="shared" ref="B13:B24" si="5">VLOOKUP(A13,$J$3:$K$5,2,0)</f>
        <v>南四国物産</v>
      </c>
      <c r="C13" s="24">
        <v>11</v>
      </c>
      <c r="D13" s="24" t="str">
        <f t="shared" ref="D13:D24" si="6">VLOOKUP(C13,$A$3:$H$6,2,0)</f>
        <v>E商品</v>
      </c>
      <c r="E13" s="24">
        <v>668</v>
      </c>
      <c r="F13" s="25">
        <f t="shared" ref="F13:F24" si="7">VLOOKUP(C13,$A$3:$H$6,8,0)*E13</f>
        <v>2398120</v>
      </c>
      <c r="G13" s="36">
        <f t="shared" ref="G13:G24" si="8">VLOOKUP(F13,$J$8:$K$10,2,1)</f>
        <v>6.8000000000000005E-2</v>
      </c>
      <c r="H13" s="25">
        <f>ROUNDUP(F13*G13,0)</f>
        <v>163073</v>
      </c>
      <c r="I13" s="37">
        <f>F13-H13</f>
        <v>2235047</v>
      </c>
      <c r="J13" s="25">
        <f t="shared" ref="J13:J24" si="9">I13-VLOOKUP(C13,$A$3:$H$6,6,0)*E13</f>
        <v>328575</v>
      </c>
      <c r="K13" s="28" t="str">
        <f>IF(AND(C13&lt;&gt;12,J13&gt;=330000),"良好","")</f>
        <v/>
      </c>
      <c r="L13" s="19"/>
      <c r="M13" s="19"/>
      <c r="N13" s="19"/>
    </row>
    <row r="14" spans="1:14">
      <c r="A14" s="23">
        <v>101</v>
      </c>
      <c r="B14" s="24" t="str">
        <f t="shared" si="5"/>
        <v>南四国物産</v>
      </c>
      <c r="C14" s="24">
        <v>12</v>
      </c>
      <c r="D14" s="24" t="str">
        <f t="shared" si="6"/>
        <v>F商品</v>
      </c>
      <c r="E14" s="24">
        <v>785</v>
      </c>
      <c r="F14" s="25">
        <f t="shared" si="7"/>
        <v>3100750</v>
      </c>
      <c r="G14" s="36">
        <f t="shared" si="8"/>
        <v>8.5999999999999993E-2</v>
      </c>
      <c r="H14" s="25">
        <f t="shared" ref="H14:H24" si="10">ROUNDUP(F14*G14,0)</f>
        <v>266665</v>
      </c>
      <c r="I14" s="37">
        <f t="shared" ref="I14:I24" si="11">F14-H14</f>
        <v>2834085</v>
      </c>
      <c r="J14" s="25">
        <f t="shared" si="9"/>
        <v>391950</v>
      </c>
      <c r="K14" s="28" t="str">
        <f t="shared" ref="K14:K24" si="12">IF(AND(C14&lt;&gt;12,J14&gt;=330000),"良好","")</f>
        <v/>
      </c>
      <c r="L14" s="19"/>
      <c r="M14" s="19"/>
      <c r="N14" s="19"/>
    </row>
    <row r="15" spans="1:14">
      <c r="A15" s="23">
        <v>101</v>
      </c>
      <c r="B15" s="24" t="str">
        <f t="shared" si="5"/>
        <v>南四国物産</v>
      </c>
      <c r="C15" s="24">
        <v>13</v>
      </c>
      <c r="D15" s="24" t="str">
        <f t="shared" si="6"/>
        <v>G商品</v>
      </c>
      <c r="E15" s="24">
        <v>654</v>
      </c>
      <c r="F15" s="25">
        <f t="shared" si="7"/>
        <v>2419800</v>
      </c>
      <c r="G15" s="36">
        <f t="shared" si="8"/>
        <v>7.6999999999999999E-2</v>
      </c>
      <c r="H15" s="25">
        <f t="shared" si="10"/>
        <v>186325</v>
      </c>
      <c r="I15" s="37">
        <f t="shared" si="11"/>
        <v>2233475</v>
      </c>
      <c r="J15" s="25">
        <f t="shared" si="9"/>
        <v>312023</v>
      </c>
      <c r="K15" s="28" t="str">
        <f t="shared" si="12"/>
        <v/>
      </c>
      <c r="L15" s="19"/>
      <c r="M15" s="19"/>
      <c r="N15" s="19"/>
    </row>
    <row r="16" spans="1:14">
      <c r="A16" s="23">
        <v>101</v>
      </c>
      <c r="B16" s="24" t="str">
        <f t="shared" si="5"/>
        <v>南四国物産</v>
      </c>
      <c r="C16" s="24">
        <v>14</v>
      </c>
      <c r="D16" s="24" t="str">
        <f t="shared" si="6"/>
        <v>H商品</v>
      </c>
      <c r="E16" s="24">
        <v>686</v>
      </c>
      <c r="F16" s="25">
        <f t="shared" si="7"/>
        <v>2401000</v>
      </c>
      <c r="G16" s="36">
        <f t="shared" si="8"/>
        <v>7.6999999999999999E-2</v>
      </c>
      <c r="H16" s="25">
        <f t="shared" si="10"/>
        <v>184877</v>
      </c>
      <c r="I16" s="37">
        <f t="shared" si="11"/>
        <v>2216123</v>
      </c>
      <c r="J16" s="25">
        <f t="shared" si="9"/>
        <v>323449</v>
      </c>
      <c r="K16" s="28" t="str">
        <f t="shared" si="12"/>
        <v/>
      </c>
      <c r="L16" s="19"/>
      <c r="M16" s="19"/>
      <c r="N16" s="19"/>
    </row>
    <row r="17" spans="1:14">
      <c r="A17" s="23">
        <v>102</v>
      </c>
      <c r="B17" s="24" t="str">
        <f t="shared" si="5"/>
        <v>大八木総業</v>
      </c>
      <c r="C17" s="24">
        <v>11</v>
      </c>
      <c r="D17" s="24" t="str">
        <f t="shared" si="6"/>
        <v>E商品</v>
      </c>
      <c r="E17" s="24">
        <v>847</v>
      </c>
      <c r="F17" s="25">
        <f t="shared" si="7"/>
        <v>3040730</v>
      </c>
      <c r="G17" s="36">
        <f t="shared" si="8"/>
        <v>8.5999999999999993E-2</v>
      </c>
      <c r="H17" s="25">
        <f t="shared" si="10"/>
        <v>261503</v>
      </c>
      <c r="I17" s="37">
        <f t="shared" si="11"/>
        <v>2779227</v>
      </c>
      <c r="J17" s="25">
        <f t="shared" si="9"/>
        <v>361889</v>
      </c>
      <c r="K17" s="28" t="str">
        <f t="shared" si="12"/>
        <v>良好</v>
      </c>
      <c r="L17" s="19"/>
      <c r="M17" s="19"/>
      <c r="N17" s="19"/>
    </row>
    <row r="18" spans="1:14">
      <c r="A18" s="23">
        <v>102</v>
      </c>
      <c r="B18" s="24" t="str">
        <f t="shared" si="5"/>
        <v>大八木総業</v>
      </c>
      <c r="C18" s="24">
        <v>12</v>
      </c>
      <c r="D18" s="24" t="str">
        <f t="shared" si="6"/>
        <v>F商品</v>
      </c>
      <c r="E18" s="24">
        <v>524</v>
      </c>
      <c r="F18" s="25">
        <f t="shared" si="7"/>
        <v>2069800</v>
      </c>
      <c r="G18" s="36">
        <f t="shared" si="8"/>
        <v>6.8000000000000005E-2</v>
      </c>
      <c r="H18" s="25">
        <f t="shared" si="10"/>
        <v>140747</v>
      </c>
      <c r="I18" s="37">
        <f t="shared" si="11"/>
        <v>1929053</v>
      </c>
      <c r="J18" s="25">
        <f t="shared" si="9"/>
        <v>298889</v>
      </c>
      <c r="K18" s="28" t="str">
        <f t="shared" si="12"/>
        <v/>
      </c>
      <c r="L18" s="19"/>
      <c r="M18" s="19"/>
      <c r="N18" s="19"/>
    </row>
    <row r="19" spans="1:14">
      <c r="A19" s="23">
        <v>102</v>
      </c>
      <c r="B19" s="24" t="str">
        <f t="shared" si="5"/>
        <v>大八木総業</v>
      </c>
      <c r="C19" s="24">
        <v>13</v>
      </c>
      <c r="D19" s="24" t="str">
        <f t="shared" si="6"/>
        <v>G商品</v>
      </c>
      <c r="E19" s="24">
        <v>694</v>
      </c>
      <c r="F19" s="25">
        <f t="shared" si="7"/>
        <v>2567800</v>
      </c>
      <c r="G19" s="36">
        <f t="shared" si="8"/>
        <v>7.6999999999999999E-2</v>
      </c>
      <c r="H19" s="25">
        <f t="shared" si="10"/>
        <v>197721</v>
      </c>
      <c r="I19" s="37">
        <f t="shared" si="11"/>
        <v>2370079</v>
      </c>
      <c r="J19" s="25">
        <f t="shared" si="9"/>
        <v>331107</v>
      </c>
      <c r="K19" s="28" t="str">
        <f t="shared" si="12"/>
        <v>良好</v>
      </c>
      <c r="L19" s="19"/>
      <c r="M19" s="19"/>
      <c r="N19" s="19"/>
    </row>
    <row r="20" spans="1:14">
      <c r="A20" s="23">
        <v>102</v>
      </c>
      <c r="B20" s="24" t="str">
        <f t="shared" si="5"/>
        <v>大八木総業</v>
      </c>
      <c r="C20" s="24">
        <v>14</v>
      </c>
      <c r="D20" s="24" t="str">
        <f t="shared" si="6"/>
        <v>H商品</v>
      </c>
      <c r="E20" s="24">
        <v>775</v>
      </c>
      <c r="F20" s="25">
        <f t="shared" si="7"/>
        <v>2712500</v>
      </c>
      <c r="G20" s="36">
        <f t="shared" si="8"/>
        <v>8.5999999999999993E-2</v>
      </c>
      <c r="H20" s="25">
        <f t="shared" si="10"/>
        <v>233275</v>
      </c>
      <c r="I20" s="37">
        <f t="shared" si="11"/>
        <v>2479225</v>
      </c>
      <c r="J20" s="25">
        <f t="shared" si="9"/>
        <v>341000</v>
      </c>
      <c r="K20" s="28" t="str">
        <f t="shared" si="12"/>
        <v>良好</v>
      </c>
      <c r="L20" s="19"/>
      <c r="M20" s="19"/>
      <c r="N20" s="19"/>
    </row>
    <row r="21" spans="1:14">
      <c r="A21" s="23">
        <v>103</v>
      </c>
      <c r="B21" s="24" t="str">
        <f t="shared" si="5"/>
        <v>ＪＡＫ商事</v>
      </c>
      <c r="C21" s="24">
        <v>11</v>
      </c>
      <c r="D21" s="24" t="str">
        <f t="shared" si="6"/>
        <v>E商品</v>
      </c>
      <c r="E21" s="24">
        <v>571</v>
      </c>
      <c r="F21" s="25">
        <f t="shared" si="7"/>
        <v>2049890</v>
      </c>
      <c r="G21" s="36">
        <f t="shared" si="8"/>
        <v>6.8000000000000005E-2</v>
      </c>
      <c r="H21" s="25">
        <f t="shared" si="10"/>
        <v>139393</v>
      </c>
      <c r="I21" s="37">
        <f t="shared" si="11"/>
        <v>1910497</v>
      </c>
      <c r="J21" s="25">
        <f t="shared" si="9"/>
        <v>280863</v>
      </c>
      <c r="K21" s="28" t="str">
        <f t="shared" si="12"/>
        <v/>
      </c>
      <c r="L21" s="19"/>
      <c r="M21" s="19"/>
      <c r="N21" s="19"/>
    </row>
    <row r="22" spans="1:14">
      <c r="A22" s="23">
        <v>103</v>
      </c>
      <c r="B22" s="24" t="str">
        <f t="shared" si="5"/>
        <v>ＪＡＫ商事</v>
      </c>
      <c r="C22" s="24">
        <v>12</v>
      </c>
      <c r="D22" s="24" t="str">
        <f t="shared" si="6"/>
        <v>F商品</v>
      </c>
      <c r="E22" s="24">
        <v>639</v>
      </c>
      <c r="F22" s="25">
        <f t="shared" si="7"/>
        <v>2524050</v>
      </c>
      <c r="G22" s="36">
        <f t="shared" si="8"/>
        <v>7.6999999999999999E-2</v>
      </c>
      <c r="H22" s="25">
        <f t="shared" si="10"/>
        <v>194352</v>
      </c>
      <c r="I22" s="37">
        <f t="shared" si="11"/>
        <v>2329698</v>
      </c>
      <c r="J22" s="25">
        <f t="shared" si="9"/>
        <v>341769</v>
      </c>
      <c r="K22" s="28" t="str">
        <f t="shared" si="12"/>
        <v/>
      </c>
      <c r="L22" s="19"/>
      <c r="M22" s="19"/>
      <c r="N22" s="19"/>
    </row>
    <row r="23" spans="1:14">
      <c r="A23" s="23">
        <v>103</v>
      </c>
      <c r="B23" s="24" t="str">
        <f t="shared" si="5"/>
        <v>ＪＡＫ商事</v>
      </c>
      <c r="C23" s="24">
        <v>13</v>
      </c>
      <c r="D23" s="24" t="str">
        <f t="shared" si="6"/>
        <v>G商品</v>
      </c>
      <c r="E23" s="24">
        <v>824</v>
      </c>
      <c r="F23" s="25">
        <f t="shared" si="7"/>
        <v>3048800</v>
      </c>
      <c r="G23" s="36">
        <f t="shared" si="8"/>
        <v>8.5999999999999993E-2</v>
      </c>
      <c r="H23" s="25">
        <f t="shared" si="10"/>
        <v>262197</v>
      </c>
      <c r="I23" s="37">
        <f t="shared" si="11"/>
        <v>2786603</v>
      </c>
      <c r="J23" s="25">
        <f t="shared" si="9"/>
        <v>365691</v>
      </c>
      <c r="K23" s="28" t="str">
        <f t="shared" si="12"/>
        <v>良好</v>
      </c>
      <c r="L23" s="19"/>
      <c r="M23" s="19"/>
      <c r="N23" s="19"/>
    </row>
    <row r="24" spans="1:14">
      <c r="A24" s="23">
        <v>103</v>
      </c>
      <c r="B24" s="24" t="str">
        <f t="shared" si="5"/>
        <v>ＪＡＫ商事</v>
      </c>
      <c r="C24" s="24">
        <v>14</v>
      </c>
      <c r="D24" s="24" t="str">
        <f t="shared" si="6"/>
        <v>H商品</v>
      </c>
      <c r="E24" s="24">
        <v>803</v>
      </c>
      <c r="F24" s="25">
        <f t="shared" si="7"/>
        <v>2810500</v>
      </c>
      <c r="G24" s="36">
        <f t="shared" si="8"/>
        <v>8.5999999999999993E-2</v>
      </c>
      <c r="H24" s="25">
        <f t="shared" si="10"/>
        <v>241703</v>
      </c>
      <c r="I24" s="37">
        <f t="shared" si="11"/>
        <v>2568797</v>
      </c>
      <c r="J24" s="25">
        <f t="shared" si="9"/>
        <v>353320</v>
      </c>
      <c r="K24" s="28" t="str">
        <f t="shared" si="12"/>
        <v>良好</v>
      </c>
      <c r="L24" s="19"/>
      <c r="M24" s="19"/>
      <c r="N24" s="19"/>
    </row>
    <row r="25" spans="1:14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19"/>
      <c r="M25" s="19"/>
      <c r="N25" s="19"/>
    </row>
    <row r="26" spans="1:14" ht="19.5" thickBot="1">
      <c r="A26" s="29"/>
      <c r="B26" s="31" t="s">
        <v>58</v>
      </c>
      <c r="C26" s="33"/>
      <c r="D26" s="33"/>
      <c r="E26" s="38">
        <f>SUM(E13:E24)</f>
        <v>8470</v>
      </c>
      <c r="F26" s="38">
        <f t="shared" ref="F26:J26" si="13">SUM(F13:F24)</f>
        <v>31143740</v>
      </c>
      <c r="G26" s="38"/>
      <c r="H26" s="38">
        <f t="shared" si="13"/>
        <v>2471831</v>
      </c>
      <c r="I26" s="38">
        <f t="shared" si="13"/>
        <v>28671909</v>
      </c>
      <c r="J26" s="38">
        <f t="shared" si="13"/>
        <v>4030525</v>
      </c>
      <c r="K26" s="30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19.5" thickBot="1">
      <c r="A28" s="99" t="s">
        <v>68</v>
      </c>
      <c r="B28" s="99"/>
      <c r="C28" s="9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39" t="s">
        <v>49</v>
      </c>
      <c r="B29" s="40" t="s">
        <v>63</v>
      </c>
      <c r="C29" s="41" t="s">
        <v>66</v>
      </c>
      <c r="D29" s="19"/>
      <c r="E29" s="39" t="s">
        <v>69</v>
      </c>
      <c r="F29" s="40" t="s">
        <v>69</v>
      </c>
      <c r="G29" s="41" t="s">
        <v>69</v>
      </c>
      <c r="I29" s="19"/>
      <c r="J29" s="19"/>
      <c r="K29" s="19"/>
      <c r="L29" s="19"/>
      <c r="M29" s="19"/>
      <c r="N29" s="19"/>
    </row>
    <row r="30" spans="1:14" ht="19.5" thickBot="1">
      <c r="A30" s="23" t="s">
        <v>51</v>
      </c>
      <c r="B30" s="25">
        <f>DSUM(得意先別利益額一覧表2,B$29,$E$29:$E$30)</f>
        <v>2793</v>
      </c>
      <c r="C30" s="27">
        <f>DSUM(得意先別利益額一覧表2,C$29,$E$29:$E$30)</f>
        <v>1355997</v>
      </c>
      <c r="D30" s="19"/>
      <c r="E30" s="29" t="s">
        <v>70</v>
      </c>
      <c r="F30" s="33" t="s">
        <v>53</v>
      </c>
      <c r="G30" s="30" t="s">
        <v>55</v>
      </c>
      <c r="I30" s="19"/>
      <c r="J30" s="19"/>
      <c r="K30" s="19"/>
      <c r="L30" s="19"/>
      <c r="M30" s="19"/>
      <c r="N30" s="19"/>
    </row>
    <row r="31" spans="1:14">
      <c r="A31" s="23" t="s">
        <v>53</v>
      </c>
      <c r="B31" s="25">
        <f>DSUM(得意先別利益額一覧表2,B$29,$F$29:$F$30)</f>
        <v>2840</v>
      </c>
      <c r="C31" s="27">
        <f>DSUM(得意先別利益額一覧表2,C$29,$F$29:$F$30)</f>
        <v>1332885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19.5" thickBot="1">
      <c r="A32" s="29" t="s">
        <v>55</v>
      </c>
      <c r="B32" s="38">
        <f>DSUM(得意先別利益額一覧表2,B$29,$G$29:$G$30)</f>
        <v>2837</v>
      </c>
      <c r="C32" s="42">
        <f>DSUM(得意先別利益額一覧表2,C$29,$G$29:$G$30)</f>
        <v>1341643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5">
    <mergeCell ref="A1:H1"/>
    <mergeCell ref="J1:K1"/>
    <mergeCell ref="J6:K6"/>
    <mergeCell ref="A11:K11"/>
    <mergeCell ref="A28:C28"/>
  </mergeCells>
  <phoneticPr fontId="2"/>
  <pageMargins left="0.25" right="0.25" top="0.75" bottom="0.75" header="0.3" footer="0.3"/>
  <pageSetup paperSize="9" scale="3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52BC-C1A8-4F14-9707-75D06BFFBBA3}">
  <sheetPr>
    <pageSetUpPr fitToPage="1"/>
  </sheetPr>
  <dimension ref="A1:L25"/>
  <sheetViews>
    <sheetView workbookViewId="0">
      <selection activeCell="E22" sqref="E22"/>
    </sheetView>
  </sheetViews>
  <sheetFormatPr defaultRowHeight="18.75"/>
  <cols>
    <col min="1" max="1" width="5.25" bestFit="1" customWidth="1"/>
    <col min="2" max="2" width="11" bestFit="1" customWidth="1"/>
    <col min="3" max="4" width="9" bestFit="1" customWidth="1"/>
    <col min="8" max="8" width="7.125" bestFit="1" customWidth="1"/>
    <col min="10" max="11" width="7.125" bestFit="1" customWidth="1"/>
  </cols>
  <sheetData>
    <row r="1" spans="1:12" ht="19.5" thickBot="1">
      <c r="A1" s="97" t="s">
        <v>71</v>
      </c>
      <c r="B1" s="97"/>
      <c r="C1" s="97"/>
      <c r="D1" s="97"/>
      <c r="E1" s="97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7" t="s">
        <v>80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81</v>
      </c>
      <c r="B9" s="3" t="s">
        <v>82</v>
      </c>
      <c r="C9" s="3" t="s">
        <v>72</v>
      </c>
      <c r="D9" s="3" t="s">
        <v>14</v>
      </c>
      <c r="E9" s="3" t="s">
        <v>83</v>
      </c>
      <c r="F9" s="3" t="s">
        <v>74</v>
      </c>
      <c r="G9" s="3" t="s">
        <v>84</v>
      </c>
      <c r="H9" s="3" t="s">
        <v>85</v>
      </c>
      <c r="I9" s="3" t="s">
        <v>86</v>
      </c>
      <c r="J9" s="3" t="s">
        <v>87</v>
      </c>
      <c r="K9" s="40" t="s">
        <v>96</v>
      </c>
      <c r="L9" s="41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3" t="s">
        <v>98</v>
      </c>
      <c r="B22" s="104"/>
      <c r="C22" s="104"/>
      <c r="D22" s="104"/>
      <c r="E22" s="18">
        <f>DCOUNT(請求金額一覧表3,11,$G$22:$G$23)</f>
        <v>5</v>
      </c>
      <c r="G22" s="49" t="s">
        <v>100</v>
      </c>
    </row>
    <row r="23" spans="1:12" ht="19.5" thickBot="1">
      <c r="A23" s="101" t="s">
        <v>99</v>
      </c>
      <c r="B23" s="102"/>
      <c r="C23" s="102"/>
      <c r="D23" s="102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sortState ref="A10:L17">
    <sortCondition ref="L9"/>
  </sortState>
  <mergeCells count="4">
    <mergeCell ref="A23:D23"/>
    <mergeCell ref="A1:E1"/>
    <mergeCell ref="A8:L8"/>
    <mergeCell ref="A22:D22"/>
  </mergeCells>
  <phoneticPr fontId="2"/>
  <pageMargins left="0.25" right="0.25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EEBB-6FEB-4D3D-93A9-F51ECCF9A4F4}">
  <sheetPr>
    <pageSetUpPr fitToPage="1"/>
  </sheetPr>
  <dimension ref="A1:L25"/>
  <sheetViews>
    <sheetView showFormulas="1" workbookViewId="0">
      <selection activeCell="A2" sqref="A1:L1048576"/>
    </sheetView>
  </sheetViews>
  <sheetFormatPr defaultRowHeight="18.75"/>
  <cols>
    <col min="1" max="1" width="2.75" bestFit="1" customWidth="1"/>
    <col min="2" max="2" width="5.625" bestFit="1" customWidth="1"/>
    <col min="3" max="3" width="4.625" bestFit="1" customWidth="1"/>
    <col min="4" max="4" width="15.875" bestFit="1" customWidth="1"/>
    <col min="5" max="5" width="22.375" bestFit="1" customWidth="1"/>
    <col min="6" max="6" width="15.875" bestFit="1" customWidth="1"/>
    <col min="7" max="7" width="20.5" bestFit="1" customWidth="1"/>
    <col min="8" max="8" width="16.375" bestFit="1" customWidth="1"/>
    <col min="9" max="9" width="8.125" bestFit="1" customWidth="1"/>
    <col min="10" max="10" width="19.75" bestFit="1" customWidth="1"/>
    <col min="11" max="11" width="8.25" bestFit="1" customWidth="1"/>
    <col min="12" max="12" width="8.125" bestFit="1" customWidth="1"/>
  </cols>
  <sheetData>
    <row r="1" spans="1:12" ht="19.5" thickBot="1">
      <c r="A1" s="97" t="s">
        <v>71</v>
      </c>
      <c r="B1" s="97"/>
      <c r="C1" s="97"/>
      <c r="D1" s="97"/>
      <c r="E1" s="97"/>
    </row>
    <row r="2" spans="1:12">
      <c r="A2" s="2" t="s">
        <v>72</v>
      </c>
      <c r="B2" s="3" t="s">
        <v>14</v>
      </c>
      <c r="C2" s="3" t="s">
        <v>73</v>
      </c>
      <c r="D2" s="3" t="s">
        <v>74</v>
      </c>
      <c r="E2" s="4" t="s">
        <v>75</v>
      </c>
    </row>
    <row r="3" spans="1:12">
      <c r="A3" s="5">
        <v>101</v>
      </c>
      <c r="B3" s="1" t="s">
        <v>76</v>
      </c>
      <c r="C3" s="11">
        <v>6710</v>
      </c>
      <c r="D3" s="11">
        <f>C3*10</f>
        <v>67100</v>
      </c>
      <c r="E3" s="12">
        <f>ROUNDDOWN(C3*1.23,-1)</f>
        <v>8250</v>
      </c>
    </row>
    <row r="4" spans="1:12">
      <c r="A4" s="5">
        <v>102</v>
      </c>
      <c r="B4" s="1" t="s">
        <v>77</v>
      </c>
      <c r="C4" s="11">
        <v>4830</v>
      </c>
      <c r="D4" s="11">
        <f t="shared" ref="D4:D6" si="0">C4*10</f>
        <v>48300</v>
      </c>
      <c r="E4" s="12">
        <f t="shared" ref="E4:E6" si="1">ROUNDDOWN(C4*1.23,-1)</f>
        <v>5940</v>
      </c>
    </row>
    <row r="5" spans="1:12">
      <c r="A5" s="5">
        <v>103</v>
      </c>
      <c r="B5" s="1" t="s">
        <v>78</v>
      </c>
      <c r="C5" s="11">
        <v>6120</v>
      </c>
      <c r="D5" s="11">
        <f t="shared" si="0"/>
        <v>61200</v>
      </c>
      <c r="E5" s="12">
        <f t="shared" si="1"/>
        <v>7520</v>
      </c>
    </row>
    <row r="6" spans="1:12" ht="19.5" thickBot="1">
      <c r="A6" s="7">
        <v>104</v>
      </c>
      <c r="B6" s="9" t="s">
        <v>79</v>
      </c>
      <c r="C6" s="13">
        <v>5640</v>
      </c>
      <c r="D6" s="13">
        <f t="shared" si="0"/>
        <v>56400</v>
      </c>
      <c r="E6" s="14">
        <f t="shared" si="1"/>
        <v>6930</v>
      </c>
    </row>
    <row r="8" spans="1:12" ht="19.5" thickBot="1">
      <c r="A8" s="97" t="s">
        <v>80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81</v>
      </c>
      <c r="B9" s="3" t="s">
        <v>82</v>
      </c>
      <c r="C9" s="3" t="s">
        <v>72</v>
      </c>
      <c r="D9" s="3" t="s">
        <v>14</v>
      </c>
      <c r="E9" s="3" t="s">
        <v>83</v>
      </c>
      <c r="F9" s="3" t="s">
        <v>74</v>
      </c>
      <c r="G9" s="3" t="s">
        <v>84</v>
      </c>
      <c r="H9" s="3" t="s">
        <v>85</v>
      </c>
      <c r="I9" s="3" t="s">
        <v>86</v>
      </c>
      <c r="J9" s="3" t="s">
        <v>87</v>
      </c>
      <c r="K9" s="40" t="s">
        <v>96</v>
      </c>
      <c r="L9" s="41" t="s">
        <v>97</v>
      </c>
    </row>
    <row r="10" spans="1:12">
      <c r="A10" s="5">
        <v>14</v>
      </c>
      <c r="B10" s="1" t="s">
        <v>91</v>
      </c>
      <c r="C10" s="1">
        <v>102</v>
      </c>
      <c r="D10" s="1" t="str">
        <f t="shared" ref="D10:D17" si="2">VLOOKUP(C10,$A$3:$E$6,2,0)</f>
        <v>X商品</v>
      </c>
      <c r="E10" s="1">
        <v>11</v>
      </c>
      <c r="F10" s="11">
        <f t="shared" ref="F10:F17" si="3">VLOOKUP(C10,$A$3:$E$6,4,0)</f>
        <v>48300</v>
      </c>
      <c r="G10" s="11">
        <f t="shared" ref="G10:G17" si="4">VLOOKUP(C10,$A$3:$E$6,5,0)*(E10-10)</f>
        <v>5940</v>
      </c>
      <c r="H10" s="11">
        <f t="shared" ref="H10:H17" si="5">ROUNDUP((F10+G10)*3.2%,-1)</f>
        <v>1740</v>
      </c>
      <c r="I10" s="46">
        <f t="shared" ref="I10:I17" si="6">F10+G10+H10</f>
        <v>55980</v>
      </c>
      <c r="J10" s="47">
        <f t="shared" ref="J10:J17" si="7">IF(OR(E10&lt;11,I10&gt;=80000),6.8%,3.4%)</f>
        <v>3.4000000000000002E-2</v>
      </c>
      <c r="K10" s="11">
        <f t="shared" ref="K10:K17" si="8">INT(I10*J10)</f>
        <v>1903</v>
      </c>
      <c r="L10" s="48">
        <f t="shared" ref="L10:L17" si="9">I10-K10</f>
        <v>54077</v>
      </c>
    </row>
    <row r="11" spans="1:12">
      <c r="A11" s="5">
        <v>16</v>
      </c>
      <c r="B11" s="1" t="s">
        <v>93</v>
      </c>
      <c r="C11" s="1">
        <v>103</v>
      </c>
      <c r="D11" s="1" t="str">
        <f t="shared" si="2"/>
        <v>Y商品</v>
      </c>
      <c r="E11" s="1">
        <v>10</v>
      </c>
      <c r="F11" s="11">
        <f t="shared" si="3"/>
        <v>61200</v>
      </c>
      <c r="G11" s="11">
        <f t="shared" si="4"/>
        <v>0</v>
      </c>
      <c r="H11" s="11">
        <f t="shared" si="5"/>
        <v>1960</v>
      </c>
      <c r="I11" s="46">
        <f t="shared" si="6"/>
        <v>63160</v>
      </c>
      <c r="J11" s="47">
        <f t="shared" si="7"/>
        <v>6.8000000000000005E-2</v>
      </c>
      <c r="K11" s="11">
        <f t="shared" si="8"/>
        <v>4294</v>
      </c>
      <c r="L11" s="48">
        <f t="shared" si="9"/>
        <v>58866</v>
      </c>
    </row>
    <row r="12" spans="1:12">
      <c r="A12" s="5">
        <v>11</v>
      </c>
      <c r="B12" s="1" t="s">
        <v>88</v>
      </c>
      <c r="C12" s="1">
        <v>101</v>
      </c>
      <c r="D12" s="1" t="str">
        <f t="shared" si="2"/>
        <v>W商品</v>
      </c>
      <c r="E12" s="1">
        <v>10</v>
      </c>
      <c r="F12" s="11">
        <f t="shared" si="3"/>
        <v>67100</v>
      </c>
      <c r="G12" s="11">
        <f t="shared" si="4"/>
        <v>0</v>
      </c>
      <c r="H12" s="11">
        <f t="shared" si="5"/>
        <v>2150</v>
      </c>
      <c r="I12" s="46">
        <f t="shared" si="6"/>
        <v>69250</v>
      </c>
      <c r="J12" s="47">
        <f t="shared" si="7"/>
        <v>6.8000000000000005E-2</v>
      </c>
      <c r="K12" s="11">
        <f t="shared" si="8"/>
        <v>4709</v>
      </c>
      <c r="L12" s="48">
        <f t="shared" si="9"/>
        <v>64541</v>
      </c>
    </row>
    <row r="13" spans="1:12">
      <c r="A13" s="5">
        <v>12</v>
      </c>
      <c r="B13" s="1" t="s">
        <v>89</v>
      </c>
      <c r="C13" s="1">
        <v>104</v>
      </c>
      <c r="D13" s="1" t="str">
        <f t="shared" si="2"/>
        <v>Z商品</v>
      </c>
      <c r="E13" s="1">
        <v>12</v>
      </c>
      <c r="F13" s="11">
        <f t="shared" si="3"/>
        <v>56400</v>
      </c>
      <c r="G13" s="11">
        <f t="shared" si="4"/>
        <v>13860</v>
      </c>
      <c r="H13" s="11">
        <f t="shared" si="5"/>
        <v>2250</v>
      </c>
      <c r="I13" s="46">
        <f t="shared" si="6"/>
        <v>72510</v>
      </c>
      <c r="J13" s="47">
        <f t="shared" si="7"/>
        <v>3.4000000000000002E-2</v>
      </c>
      <c r="K13" s="11">
        <f t="shared" si="8"/>
        <v>2465</v>
      </c>
      <c r="L13" s="48">
        <f t="shared" si="9"/>
        <v>70045</v>
      </c>
    </row>
    <row r="14" spans="1:12">
      <c r="A14" s="5">
        <v>17</v>
      </c>
      <c r="B14" s="1" t="s">
        <v>94</v>
      </c>
      <c r="C14" s="1">
        <v>104</v>
      </c>
      <c r="D14" s="1" t="str">
        <f t="shared" si="2"/>
        <v>Z商品</v>
      </c>
      <c r="E14" s="1">
        <v>13</v>
      </c>
      <c r="F14" s="11">
        <f t="shared" si="3"/>
        <v>56400</v>
      </c>
      <c r="G14" s="11">
        <f t="shared" si="4"/>
        <v>20790</v>
      </c>
      <c r="H14" s="11">
        <f t="shared" si="5"/>
        <v>2480</v>
      </c>
      <c r="I14" s="46">
        <f t="shared" si="6"/>
        <v>79670</v>
      </c>
      <c r="J14" s="47">
        <f t="shared" si="7"/>
        <v>3.4000000000000002E-2</v>
      </c>
      <c r="K14" s="11">
        <f t="shared" si="8"/>
        <v>2708</v>
      </c>
      <c r="L14" s="48">
        <f t="shared" si="9"/>
        <v>76962</v>
      </c>
    </row>
    <row r="15" spans="1:12">
      <c r="A15" s="5">
        <v>18</v>
      </c>
      <c r="B15" s="1" t="s">
        <v>95</v>
      </c>
      <c r="C15" s="1">
        <v>102</v>
      </c>
      <c r="D15" s="1" t="str">
        <f t="shared" si="2"/>
        <v>X商品</v>
      </c>
      <c r="E15" s="1">
        <v>16</v>
      </c>
      <c r="F15" s="11">
        <f t="shared" si="3"/>
        <v>48300</v>
      </c>
      <c r="G15" s="11">
        <f t="shared" si="4"/>
        <v>35640</v>
      </c>
      <c r="H15" s="11">
        <f t="shared" si="5"/>
        <v>2690</v>
      </c>
      <c r="I15" s="46">
        <f t="shared" si="6"/>
        <v>86630</v>
      </c>
      <c r="J15" s="47">
        <f t="shared" si="7"/>
        <v>6.8000000000000005E-2</v>
      </c>
      <c r="K15" s="11">
        <f t="shared" si="8"/>
        <v>5890</v>
      </c>
      <c r="L15" s="48">
        <f t="shared" si="9"/>
        <v>80740</v>
      </c>
    </row>
    <row r="16" spans="1:12">
      <c r="A16" s="5">
        <v>13</v>
      </c>
      <c r="B16" s="1" t="s">
        <v>90</v>
      </c>
      <c r="C16" s="1">
        <v>103</v>
      </c>
      <c r="D16" s="1" t="str">
        <f t="shared" si="2"/>
        <v>Y商品</v>
      </c>
      <c r="E16" s="1">
        <v>15</v>
      </c>
      <c r="F16" s="11">
        <f t="shared" si="3"/>
        <v>61200</v>
      </c>
      <c r="G16" s="11">
        <f t="shared" si="4"/>
        <v>37600</v>
      </c>
      <c r="H16" s="11">
        <f t="shared" si="5"/>
        <v>3170</v>
      </c>
      <c r="I16" s="46">
        <f t="shared" si="6"/>
        <v>101970</v>
      </c>
      <c r="J16" s="47">
        <f t="shared" si="7"/>
        <v>6.8000000000000005E-2</v>
      </c>
      <c r="K16" s="11">
        <f t="shared" si="8"/>
        <v>6933</v>
      </c>
      <c r="L16" s="48">
        <f t="shared" si="9"/>
        <v>95037</v>
      </c>
    </row>
    <row r="17" spans="1:12">
      <c r="A17" s="5">
        <v>15</v>
      </c>
      <c r="B17" s="1" t="s">
        <v>92</v>
      </c>
      <c r="C17" s="1">
        <v>101</v>
      </c>
      <c r="D17" s="1" t="str">
        <f t="shared" si="2"/>
        <v>W商品</v>
      </c>
      <c r="E17" s="1">
        <v>17</v>
      </c>
      <c r="F17" s="11">
        <f t="shared" si="3"/>
        <v>67100</v>
      </c>
      <c r="G17" s="11">
        <f t="shared" si="4"/>
        <v>57750</v>
      </c>
      <c r="H17" s="11">
        <f t="shared" si="5"/>
        <v>4000</v>
      </c>
      <c r="I17" s="46">
        <f t="shared" si="6"/>
        <v>128850</v>
      </c>
      <c r="J17" s="47">
        <f t="shared" si="7"/>
        <v>6.8000000000000005E-2</v>
      </c>
      <c r="K17" s="11">
        <f t="shared" si="8"/>
        <v>8761</v>
      </c>
      <c r="L17" s="48">
        <f t="shared" si="9"/>
        <v>120089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7"/>
      <c r="B19" s="8" t="s">
        <v>31</v>
      </c>
      <c r="C19" s="9"/>
      <c r="D19" s="9"/>
      <c r="E19" s="13">
        <f>SUM(E10:E17)</f>
        <v>104</v>
      </c>
      <c r="F19" s="13">
        <f t="shared" ref="F19:L19" si="10">SUM(F10:F17)</f>
        <v>466000</v>
      </c>
      <c r="G19" s="13">
        <f t="shared" si="10"/>
        <v>171580</v>
      </c>
      <c r="H19" s="13">
        <f t="shared" si="10"/>
        <v>20440</v>
      </c>
      <c r="I19" s="13">
        <f t="shared" si="10"/>
        <v>658020</v>
      </c>
      <c r="J19" s="13"/>
      <c r="K19" s="13">
        <f t="shared" si="10"/>
        <v>37663</v>
      </c>
      <c r="L19" s="14">
        <f t="shared" si="10"/>
        <v>620357</v>
      </c>
    </row>
    <row r="21" spans="1:12" ht="19.5" thickBot="1"/>
    <row r="22" spans="1:12">
      <c r="A22" s="103" t="s">
        <v>98</v>
      </c>
      <c r="B22" s="104"/>
      <c r="C22" s="104"/>
      <c r="D22" s="104"/>
      <c r="E22" s="18">
        <f>DCOUNT(請求金額一覧表3,11,$G$22:$G$23)</f>
        <v>5</v>
      </c>
      <c r="G22" s="49" t="s">
        <v>100</v>
      </c>
    </row>
    <row r="23" spans="1:12" ht="19.5" thickBot="1">
      <c r="A23" s="101" t="s">
        <v>99</v>
      </c>
      <c r="B23" s="102"/>
      <c r="C23" s="102"/>
      <c r="D23" s="102"/>
      <c r="E23" s="14">
        <f>DSUM(請求金額一覧表3,9,G24:G25)</f>
        <v>525610</v>
      </c>
      <c r="G23" s="50" t="s">
        <v>101</v>
      </c>
    </row>
    <row r="24" spans="1:12">
      <c r="G24" s="50" t="s">
        <v>102</v>
      </c>
    </row>
    <row r="25" spans="1:12" ht="19.5" thickBot="1">
      <c r="G25" s="51" t="s">
        <v>103</v>
      </c>
    </row>
  </sheetData>
  <mergeCells count="4">
    <mergeCell ref="A1:E1"/>
    <mergeCell ref="A8:L8"/>
    <mergeCell ref="A22:D22"/>
    <mergeCell ref="A23:D23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5693-2FF9-4A87-8A86-8C1AF3B53B01}">
  <sheetPr>
    <pageSetUpPr fitToPage="1"/>
  </sheetPr>
  <dimension ref="A1:L23"/>
  <sheetViews>
    <sheetView zoomScaleNormal="100" workbookViewId="0">
      <selection activeCell="O11" sqref="O11"/>
    </sheetView>
  </sheetViews>
  <sheetFormatPr defaultRowHeight="18.75"/>
  <cols>
    <col min="1" max="1" width="7.125" bestFit="1" customWidth="1"/>
    <col min="2" max="2" width="11" bestFit="1" customWidth="1"/>
    <col min="3" max="3" width="7.125" bestFit="1" customWidth="1"/>
    <col min="4" max="4" width="9" bestFit="1" customWidth="1"/>
    <col min="5" max="5" width="7.125" bestFit="1" customWidth="1"/>
    <col min="6" max="7" width="9.5" bestFit="1" customWidth="1"/>
    <col min="9" max="9" width="8" bestFit="1" customWidth="1"/>
    <col min="10" max="10" width="9.5" bestFit="1" customWidth="1"/>
    <col min="11" max="11" width="8" bestFit="1" customWidth="1"/>
    <col min="12" max="12" width="5.25" bestFit="1" customWidth="1"/>
  </cols>
  <sheetData>
    <row r="1" spans="1:12" ht="19.5" thickBot="1">
      <c r="A1" s="109" t="s">
        <v>104</v>
      </c>
      <c r="B1" s="109"/>
      <c r="C1" s="109"/>
      <c r="D1" s="109"/>
      <c r="E1" s="109"/>
      <c r="F1" s="109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7" t="s">
        <v>134</v>
      </c>
      <c r="I2" s="97"/>
      <c r="K2" s="98" t="s">
        <v>135</v>
      </c>
      <c r="L2" s="98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7" t="s">
        <v>115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5" t="s">
        <v>143</v>
      </c>
      <c r="C22" s="106"/>
      <c r="D22" s="106"/>
      <c r="E22" s="106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7" t="s">
        <v>142</v>
      </c>
      <c r="C23" s="108"/>
      <c r="D23" s="108"/>
      <c r="E23" s="108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sortState ref="A10:L17">
    <sortCondition ref="J9"/>
  </sortState>
  <mergeCells count="6">
    <mergeCell ref="B22:E22"/>
    <mergeCell ref="B23:E23"/>
    <mergeCell ref="A1:F1"/>
    <mergeCell ref="A8:L8"/>
    <mergeCell ref="H2:I2"/>
    <mergeCell ref="K2:L2"/>
  </mergeCells>
  <phoneticPr fontId="2"/>
  <pageMargins left="0.25" right="0.25" top="0.75" bottom="0.75" header="0.3" footer="0.3"/>
  <pageSetup paperSize="9" scale="9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12CC-4EBB-461A-BA19-D045EFD70910}">
  <sheetPr>
    <pageSetUpPr fitToPage="1"/>
  </sheetPr>
  <dimension ref="A1:L23"/>
  <sheetViews>
    <sheetView showFormulas="1" zoomScaleNormal="100" workbookViewId="0">
      <selection activeCell="A2" sqref="A1:L1048576"/>
    </sheetView>
  </sheetViews>
  <sheetFormatPr defaultRowHeight="18.75"/>
  <cols>
    <col min="1" max="1" width="3.625" bestFit="1" customWidth="1"/>
    <col min="2" max="2" width="5.625" bestFit="1" customWidth="1"/>
    <col min="3" max="3" width="3.625" bestFit="1" customWidth="1"/>
    <col min="4" max="4" width="15.875" bestFit="1" customWidth="1"/>
    <col min="5" max="5" width="17.25" bestFit="1" customWidth="1"/>
    <col min="6" max="6" width="31.75" bestFit="1" customWidth="1"/>
    <col min="7" max="7" width="18.125" bestFit="1" customWidth="1"/>
    <col min="8" max="8" width="15" bestFit="1" customWidth="1"/>
    <col min="9" max="9" width="14.625" bestFit="1" customWidth="1"/>
    <col min="10" max="10" width="7.75" bestFit="1" customWidth="1"/>
    <col min="11" max="11" width="12" bestFit="1" customWidth="1"/>
    <col min="12" max="12" width="27.5" bestFit="1" customWidth="1"/>
  </cols>
  <sheetData>
    <row r="1" spans="1:12" ht="19.5" thickBot="1">
      <c r="A1" s="109" t="s">
        <v>104</v>
      </c>
      <c r="B1" s="109"/>
      <c r="C1" s="109"/>
      <c r="D1" s="109"/>
      <c r="E1" s="109"/>
      <c r="F1" s="109"/>
    </row>
    <row r="2" spans="1:12" ht="19.5" thickBot="1">
      <c r="A2" s="2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4" t="s">
        <v>110</v>
      </c>
      <c r="H2" s="97" t="s">
        <v>134</v>
      </c>
      <c r="I2" s="97"/>
      <c r="K2" s="98" t="s">
        <v>135</v>
      </c>
      <c r="L2" s="98"/>
    </row>
    <row r="3" spans="1:12">
      <c r="A3" s="5">
        <v>11</v>
      </c>
      <c r="B3" s="1" t="s">
        <v>111</v>
      </c>
      <c r="C3" s="11">
        <v>957</v>
      </c>
      <c r="D3" s="11">
        <v>8120</v>
      </c>
      <c r="E3" s="47">
        <f>VLOOKUP(D3,$H$4:$I$6,2,TRUE)</f>
        <v>0.11600000000000001</v>
      </c>
      <c r="F3" s="12">
        <f>INT(IF(C3&gt;=1000,D3*E3*0.94,D3*E3))</f>
        <v>941</v>
      </c>
      <c r="H3" s="63" t="s">
        <v>136</v>
      </c>
      <c r="I3" s="64" t="s">
        <v>137</v>
      </c>
      <c r="K3" s="63" t="s">
        <v>138</v>
      </c>
      <c r="L3" s="64" t="s">
        <v>137</v>
      </c>
    </row>
    <row r="4" spans="1:12">
      <c r="A4" s="5">
        <v>12</v>
      </c>
      <c r="B4" s="1" t="s">
        <v>112</v>
      </c>
      <c r="C4" s="11">
        <v>1020</v>
      </c>
      <c r="D4" s="11">
        <v>6590</v>
      </c>
      <c r="E4" s="47">
        <f t="shared" ref="E4:E6" si="0">VLOOKUP(D4,$H$4:$I$6,2,TRUE)</f>
        <v>0.125</v>
      </c>
      <c r="F4" s="12">
        <f t="shared" ref="F4:F6" si="1">INT(IF(C4&gt;=1000,D4*E4*0.94,D4*E4))</f>
        <v>774</v>
      </c>
      <c r="H4" s="67">
        <v>1</v>
      </c>
      <c r="I4" s="65">
        <v>0.13400000000000001</v>
      </c>
      <c r="K4" s="67">
        <v>1</v>
      </c>
      <c r="L4" s="6" t="s">
        <v>139</v>
      </c>
    </row>
    <row r="5" spans="1:12">
      <c r="A5" s="5">
        <v>13</v>
      </c>
      <c r="B5" s="1" t="s">
        <v>113</v>
      </c>
      <c r="C5" s="11">
        <v>926</v>
      </c>
      <c r="D5" s="11">
        <v>7230</v>
      </c>
      <c r="E5" s="47">
        <f t="shared" si="0"/>
        <v>0.125</v>
      </c>
      <c r="F5" s="12">
        <f t="shared" si="1"/>
        <v>903</v>
      </c>
      <c r="H5" s="67">
        <v>6500</v>
      </c>
      <c r="I5" s="65">
        <v>0.125</v>
      </c>
      <c r="K5" s="67">
        <v>440000</v>
      </c>
      <c r="L5" s="6" t="s">
        <v>140</v>
      </c>
    </row>
    <row r="6" spans="1:12" ht="19.5" thickBot="1">
      <c r="A6" s="53">
        <v>14</v>
      </c>
      <c r="B6" s="54" t="s">
        <v>114</v>
      </c>
      <c r="C6" s="13">
        <v>1035</v>
      </c>
      <c r="D6" s="13">
        <v>5980</v>
      </c>
      <c r="E6" s="52">
        <f t="shared" si="0"/>
        <v>0.13400000000000001</v>
      </c>
      <c r="F6" s="14">
        <f t="shared" si="1"/>
        <v>753</v>
      </c>
      <c r="H6" s="68">
        <v>8100</v>
      </c>
      <c r="I6" s="66">
        <v>0.11600000000000001</v>
      </c>
      <c r="K6" s="68">
        <v>470000</v>
      </c>
      <c r="L6" s="10" t="s">
        <v>141</v>
      </c>
    </row>
    <row r="8" spans="1:12" ht="19.5" thickBot="1">
      <c r="A8" s="97" t="s">
        <v>115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116</v>
      </c>
      <c r="B9" s="3" t="s">
        <v>117</v>
      </c>
      <c r="C9" s="3" t="s">
        <v>105</v>
      </c>
      <c r="D9" s="3" t="s">
        <v>106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3" t="s">
        <v>132</v>
      </c>
      <c r="K9" s="3" t="s">
        <v>123</v>
      </c>
      <c r="L9" s="4" t="s">
        <v>20</v>
      </c>
    </row>
    <row r="10" spans="1:12">
      <c r="A10" s="5">
        <v>101</v>
      </c>
      <c r="B10" s="1" t="s">
        <v>124</v>
      </c>
      <c r="C10" s="1">
        <v>12</v>
      </c>
      <c r="D10" s="1" t="str">
        <f t="shared" ref="D10:D17" si="2">VLOOKUP(C10,$A$3:$F$6,2,0)</f>
        <v>製品K</v>
      </c>
      <c r="E10" s="1">
        <v>478</v>
      </c>
      <c r="F10" s="1">
        <v>453</v>
      </c>
      <c r="G10" s="11">
        <f t="shared" ref="G10:G17" si="3">VLOOKUP(C10,$A$3:$F$6,6,0)*F10</f>
        <v>350622</v>
      </c>
      <c r="H10" s="11">
        <f t="shared" ref="H10:H17" si="4">IF(F10&gt;=460,90*F10,80*F10)</f>
        <v>36240</v>
      </c>
      <c r="I10" s="11">
        <f t="shared" ref="I10:I17" si="5">ROUND((G10+H10)*3.2%,0)</f>
        <v>12380</v>
      </c>
      <c r="J10" s="46">
        <f t="shared" ref="J10:J17" si="6">G10+H10+I10</f>
        <v>399242</v>
      </c>
      <c r="K10" s="47">
        <f t="shared" ref="K10:K17" si="7">ROUNDUP(F10/E10,3)</f>
        <v>0.94799999999999995</v>
      </c>
      <c r="L10" s="6" t="str">
        <f>IF(K10&gt;=94.5%,VLOOKUP(J10,$K$4:$L$6,2,TRUE),"*")</f>
        <v>*</v>
      </c>
    </row>
    <row r="11" spans="1:12">
      <c r="A11" s="5">
        <v>108</v>
      </c>
      <c r="B11" s="1" t="s">
        <v>131</v>
      </c>
      <c r="C11" s="1">
        <v>14</v>
      </c>
      <c r="D11" s="1" t="str">
        <f t="shared" si="2"/>
        <v>製品M</v>
      </c>
      <c r="E11" s="1">
        <v>488</v>
      </c>
      <c r="F11" s="1">
        <v>460</v>
      </c>
      <c r="G11" s="11">
        <f t="shared" si="3"/>
        <v>346380</v>
      </c>
      <c r="H11" s="11">
        <f t="shared" si="4"/>
        <v>41400</v>
      </c>
      <c r="I11" s="11">
        <f t="shared" si="5"/>
        <v>12409</v>
      </c>
      <c r="J11" s="46">
        <f t="shared" si="6"/>
        <v>400189</v>
      </c>
      <c r="K11" s="47">
        <f t="shared" si="7"/>
        <v>0.94299999999999995</v>
      </c>
      <c r="L11" s="6" t="str">
        <f t="shared" ref="L11:L17" si="8">IF(K11&gt;=94.5%,VLOOKUP(J11,$K$4:$L$6,2,TRUE),"*")</f>
        <v>*</v>
      </c>
    </row>
    <row r="12" spans="1:12">
      <c r="A12" s="5">
        <v>102</v>
      </c>
      <c r="B12" s="1" t="s">
        <v>125</v>
      </c>
      <c r="C12" s="1">
        <v>13</v>
      </c>
      <c r="D12" s="1" t="str">
        <f t="shared" si="2"/>
        <v>製品L</v>
      </c>
      <c r="E12" s="1">
        <v>451</v>
      </c>
      <c r="F12" s="1">
        <v>437</v>
      </c>
      <c r="G12" s="11">
        <f t="shared" si="3"/>
        <v>394611</v>
      </c>
      <c r="H12" s="11">
        <f t="shared" si="4"/>
        <v>34960</v>
      </c>
      <c r="I12" s="11">
        <f t="shared" si="5"/>
        <v>13746</v>
      </c>
      <c r="J12" s="46">
        <f t="shared" si="6"/>
        <v>443317</v>
      </c>
      <c r="K12" s="47">
        <f t="shared" si="7"/>
        <v>0.96899999999999997</v>
      </c>
      <c r="L12" s="6" t="str">
        <f t="shared" si="8"/>
        <v>**</v>
      </c>
    </row>
    <row r="13" spans="1:12">
      <c r="A13" s="5">
        <v>103</v>
      </c>
      <c r="B13" s="1" t="s">
        <v>126</v>
      </c>
      <c r="C13" s="1">
        <v>14</v>
      </c>
      <c r="D13" s="1" t="str">
        <f t="shared" si="2"/>
        <v>製品M</v>
      </c>
      <c r="E13" s="1">
        <v>547</v>
      </c>
      <c r="F13" s="1">
        <v>514</v>
      </c>
      <c r="G13" s="11">
        <f t="shared" si="3"/>
        <v>387042</v>
      </c>
      <c r="H13" s="11">
        <f t="shared" si="4"/>
        <v>46260</v>
      </c>
      <c r="I13" s="11">
        <f t="shared" si="5"/>
        <v>13866</v>
      </c>
      <c r="J13" s="46">
        <f t="shared" si="6"/>
        <v>447168</v>
      </c>
      <c r="K13" s="47">
        <f t="shared" si="7"/>
        <v>0.94</v>
      </c>
      <c r="L13" s="6" t="str">
        <f t="shared" si="8"/>
        <v>*</v>
      </c>
    </row>
    <row r="14" spans="1:12">
      <c r="A14" s="5">
        <v>107</v>
      </c>
      <c r="B14" s="1" t="s">
        <v>130</v>
      </c>
      <c r="C14" s="1">
        <v>11</v>
      </c>
      <c r="D14" s="1" t="str">
        <f t="shared" si="2"/>
        <v>製品J</v>
      </c>
      <c r="E14" s="1">
        <v>467</v>
      </c>
      <c r="F14" s="1">
        <v>439</v>
      </c>
      <c r="G14" s="11">
        <f t="shared" si="3"/>
        <v>413099</v>
      </c>
      <c r="H14" s="11">
        <f t="shared" si="4"/>
        <v>35120</v>
      </c>
      <c r="I14" s="11">
        <f t="shared" si="5"/>
        <v>14343</v>
      </c>
      <c r="J14" s="46">
        <f t="shared" si="6"/>
        <v>462562</v>
      </c>
      <c r="K14" s="47">
        <f t="shared" si="7"/>
        <v>0.94099999999999995</v>
      </c>
      <c r="L14" s="6" t="str">
        <f t="shared" si="8"/>
        <v>*</v>
      </c>
    </row>
    <row r="15" spans="1:12">
      <c r="A15" s="5">
        <v>105</v>
      </c>
      <c r="B15" s="1" t="s">
        <v>128</v>
      </c>
      <c r="C15" s="1">
        <v>12</v>
      </c>
      <c r="D15" s="1" t="str">
        <f t="shared" si="2"/>
        <v>製品K</v>
      </c>
      <c r="E15" s="1">
        <v>542</v>
      </c>
      <c r="F15" s="1">
        <v>519</v>
      </c>
      <c r="G15" s="11">
        <f t="shared" si="3"/>
        <v>401706</v>
      </c>
      <c r="H15" s="11">
        <f t="shared" si="4"/>
        <v>46710</v>
      </c>
      <c r="I15" s="11">
        <f t="shared" si="5"/>
        <v>14349</v>
      </c>
      <c r="J15" s="46">
        <f t="shared" si="6"/>
        <v>462765</v>
      </c>
      <c r="K15" s="47">
        <f t="shared" si="7"/>
        <v>0.95799999999999996</v>
      </c>
      <c r="L15" s="6" t="str">
        <f t="shared" si="8"/>
        <v>**</v>
      </c>
    </row>
    <row r="16" spans="1:12">
      <c r="A16" s="5">
        <v>106</v>
      </c>
      <c r="B16" s="1" t="s">
        <v>129</v>
      </c>
      <c r="C16" s="1">
        <v>13</v>
      </c>
      <c r="D16" s="1" t="str">
        <f t="shared" si="2"/>
        <v>製品L</v>
      </c>
      <c r="E16" s="1">
        <v>475</v>
      </c>
      <c r="F16" s="1">
        <v>462</v>
      </c>
      <c r="G16" s="11">
        <f t="shared" si="3"/>
        <v>417186</v>
      </c>
      <c r="H16" s="11">
        <f t="shared" si="4"/>
        <v>41580</v>
      </c>
      <c r="I16" s="11">
        <f t="shared" si="5"/>
        <v>14681</v>
      </c>
      <c r="J16" s="46">
        <f t="shared" si="6"/>
        <v>473447</v>
      </c>
      <c r="K16" s="47">
        <f t="shared" si="7"/>
        <v>0.97299999999999998</v>
      </c>
      <c r="L16" s="6" t="str">
        <f t="shared" si="8"/>
        <v>***</v>
      </c>
    </row>
    <row r="17" spans="1:12">
      <c r="A17" s="5">
        <v>104</v>
      </c>
      <c r="B17" s="1" t="s">
        <v>127</v>
      </c>
      <c r="C17" s="1">
        <v>11</v>
      </c>
      <c r="D17" s="1" t="str">
        <f t="shared" si="2"/>
        <v>製品J</v>
      </c>
      <c r="E17" s="1">
        <v>490</v>
      </c>
      <c r="F17" s="1">
        <v>463</v>
      </c>
      <c r="G17" s="11">
        <f t="shared" si="3"/>
        <v>435683</v>
      </c>
      <c r="H17" s="11">
        <f t="shared" si="4"/>
        <v>41670</v>
      </c>
      <c r="I17" s="11">
        <f t="shared" si="5"/>
        <v>15275</v>
      </c>
      <c r="J17" s="46">
        <f t="shared" si="6"/>
        <v>492628</v>
      </c>
      <c r="K17" s="47">
        <f t="shared" si="7"/>
        <v>0.94499999999999995</v>
      </c>
      <c r="L17" s="6" t="str">
        <f t="shared" si="8"/>
        <v>***</v>
      </c>
    </row>
    <row r="18" spans="1:1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6"/>
    </row>
    <row r="19" spans="1:12" ht="19.5" thickBot="1">
      <c r="A19" s="53"/>
      <c r="B19" s="8" t="s">
        <v>133</v>
      </c>
      <c r="C19" s="54"/>
      <c r="D19" s="54"/>
      <c r="E19" s="13">
        <f>SUM(E10:E17)</f>
        <v>3938</v>
      </c>
      <c r="F19" s="13">
        <f t="shared" ref="F19:J19" si="9">SUM(F10:F17)</f>
        <v>3747</v>
      </c>
      <c r="G19" s="13">
        <f t="shared" si="9"/>
        <v>3146329</v>
      </c>
      <c r="H19" s="13">
        <f t="shared" si="9"/>
        <v>323940</v>
      </c>
      <c r="I19" s="13">
        <f t="shared" si="9"/>
        <v>111049</v>
      </c>
      <c r="J19" s="13">
        <f t="shared" si="9"/>
        <v>3581318</v>
      </c>
      <c r="K19" s="54"/>
      <c r="L19" s="10"/>
    </row>
    <row r="21" spans="1:12" ht="19.5" thickBot="1"/>
    <row r="22" spans="1:12">
      <c r="B22" s="105" t="s">
        <v>143</v>
      </c>
      <c r="C22" s="106"/>
      <c r="D22" s="106"/>
      <c r="E22" s="106"/>
      <c r="F22" s="69">
        <f>DSUM(依頼先別加工賃一覧表4,G9,$I$22:$I$23)</f>
        <v>1921898</v>
      </c>
      <c r="I22" s="49" t="s">
        <v>144</v>
      </c>
      <c r="K22" s="49" t="s">
        <v>146</v>
      </c>
    </row>
    <row r="23" spans="1:12" ht="19.5" thickBot="1">
      <c r="B23" s="107" t="s">
        <v>142</v>
      </c>
      <c r="C23" s="108"/>
      <c r="D23" s="108"/>
      <c r="E23" s="108"/>
      <c r="F23" s="14">
        <f>ROUND(DAVERAGE(依頼先別加工賃一覧表4,J9,$K$22:$K$23),0)</f>
        <v>455239</v>
      </c>
      <c r="I23" s="51" t="s">
        <v>145</v>
      </c>
      <c r="K23" s="51" t="s">
        <v>147</v>
      </c>
    </row>
  </sheetData>
  <mergeCells count="6">
    <mergeCell ref="B23:E23"/>
    <mergeCell ref="A1:F1"/>
    <mergeCell ref="H2:I2"/>
    <mergeCell ref="K2:L2"/>
    <mergeCell ref="A8:L8"/>
    <mergeCell ref="B22:E22"/>
  </mergeCells>
  <phoneticPr fontId="2"/>
  <pageMargins left="0.25" right="0.25" top="0.75" bottom="0.75" header="0.3" footer="0.3"/>
  <pageSetup paperSize="9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94C4-F915-44C4-88A0-5D30158673FF}">
  <sheetPr>
    <pageSetUpPr fitToPage="1"/>
  </sheetPr>
  <dimension ref="A1:L31"/>
  <sheetViews>
    <sheetView topLeftCell="A29" workbookViewId="0">
      <selection activeCell="O37" sqref="O37"/>
    </sheetView>
  </sheetViews>
  <sheetFormatPr defaultRowHeight="18.75"/>
  <cols>
    <col min="1" max="1" width="7.125" bestFit="1" customWidth="1"/>
    <col min="2" max="2" width="11" bestFit="1" customWidth="1"/>
    <col min="5" max="5" width="5.5" bestFit="1" customWidth="1"/>
    <col min="8" max="8" width="7.125" bestFit="1" customWidth="1"/>
    <col min="9" max="9" width="11" bestFit="1" customWidth="1"/>
    <col min="10" max="10" width="7.125" bestFit="1" customWidth="1"/>
    <col min="11" max="11" width="9.5" bestFit="1" customWidth="1"/>
  </cols>
  <sheetData>
    <row r="1" spans="1:12" ht="19.5" thickBot="1">
      <c r="A1" s="97" t="s">
        <v>148</v>
      </c>
      <c r="B1" s="97"/>
      <c r="C1" s="97"/>
      <c r="D1" s="97"/>
      <c r="E1" s="97"/>
      <c r="F1" s="97"/>
      <c r="H1" s="98" t="s">
        <v>159</v>
      </c>
      <c r="I1" s="98"/>
      <c r="K1" s="98" t="s">
        <v>163</v>
      </c>
      <c r="L1" s="98"/>
    </row>
    <row r="2" spans="1:12">
      <c r="A2" s="2" t="s">
        <v>81</v>
      </c>
      <c r="B2" s="3" t="s">
        <v>14</v>
      </c>
      <c r="C2" s="3" t="s">
        <v>151</v>
      </c>
      <c r="D2" s="3" t="s">
        <v>152</v>
      </c>
      <c r="E2" s="3" t="s">
        <v>109</v>
      </c>
      <c r="F2" s="4" t="s">
        <v>153</v>
      </c>
      <c r="H2" s="2" t="s">
        <v>72</v>
      </c>
      <c r="I2" s="4" t="s">
        <v>162</v>
      </c>
      <c r="K2" s="2" t="s">
        <v>165</v>
      </c>
      <c r="L2" s="4" t="s">
        <v>166</v>
      </c>
    </row>
    <row r="3" spans="1:12">
      <c r="A3" s="5">
        <v>11</v>
      </c>
      <c r="B3" s="1" t="s">
        <v>154</v>
      </c>
      <c r="C3" s="11">
        <v>789300</v>
      </c>
      <c r="D3" s="1">
        <v>8</v>
      </c>
      <c r="E3" s="47">
        <f>IF(OR(C3&gt;=950000,D3&gt;=8),2.1%,1.9%)</f>
        <v>2.1000000000000001E-2</v>
      </c>
      <c r="F3" s="12">
        <f>ROUNDDOWN(C3*E3/D3,-1)</f>
        <v>2070</v>
      </c>
      <c r="H3" s="5">
        <v>101</v>
      </c>
      <c r="I3" s="6" t="s">
        <v>170</v>
      </c>
      <c r="K3" s="5" t="s">
        <v>167</v>
      </c>
      <c r="L3" s="70">
        <v>0.1</v>
      </c>
    </row>
    <row r="4" spans="1:12">
      <c r="A4" s="5">
        <v>12</v>
      </c>
      <c r="B4" s="1" t="s">
        <v>155</v>
      </c>
      <c r="C4" s="11">
        <v>715600</v>
      </c>
      <c r="D4" s="1">
        <v>5</v>
      </c>
      <c r="E4" s="47">
        <f t="shared" ref="E4:E6" si="0">IF(OR(C4&gt;=950000,D4&gt;=8),2.1%,1.9%)</f>
        <v>1.9E-2</v>
      </c>
      <c r="F4" s="12">
        <f t="shared" ref="F4:F6" si="1">ROUNDDOWN(C4*E4/D4,-1)</f>
        <v>2710</v>
      </c>
      <c r="H4" s="5">
        <v>102</v>
      </c>
      <c r="I4" s="6" t="s">
        <v>171</v>
      </c>
      <c r="K4" s="5" t="s">
        <v>168</v>
      </c>
      <c r="L4" s="70">
        <v>0.08</v>
      </c>
    </row>
    <row r="5" spans="1:12" ht="19.5" thickBot="1">
      <c r="A5" s="5">
        <v>13</v>
      </c>
      <c r="B5" s="1" t="s">
        <v>156</v>
      </c>
      <c r="C5" s="11">
        <v>842500</v>
      </c>
      <c r="D5" s="1">
        <v>6</v>
      </c>
      <c r="E5" s="47">
        <f t="shared" si="0"/>
        <v>1.9E-2</v>
      </c>
      <c r="F5" s="12">
        <f t="shared" si="1"/>
        <v>2660</v>
      </c>
      <c r="H5" s="5">
        <v>103</v>
      </c>
      <c r="I5" s="6" t="s">
        <v>172</v>
      </c>
      <c r="K5" s="53" t="s">
        <v>169</v>
      </c>
      <c r="L5" s="71">
        <v>0.06</v>
      </c>
    </row>
    <row r="6" spans="1:12" ht="19.5" thickBot="1">
      <c r="A6" s="53">
        <v>14</v>
      </c>
      <c r="B6" s="54" t="s">
        <v>157</v>
      </c>
      <c r="C6" s="13">
        <v>951200</v>
      </c>
      <c r="D6" s="54">
        <v>7</v>
      </c>
      <c r="E6" s="52">
        <f t="shared" si="0"/>
        <v>2.1000000000000001E-2</v>
      </c>
      <c r="F6" s="14">
        <f t="shared" si="1"/>
        <v>2850</v>
      </c>
      <c r="H6" s="53">
        <v>104</v>
      </c>
      <c r="I6" s="10" t="s">
        <v>173</v>
      </c>
    </row>
    <row r="8" spans="1:12" ht="19.5" thickBot="1">
      <c r="A8" s="97" t="s">
        <v>174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2">
      <c r="A9" s="2" t="s">
        <v>72</v>
      </c>
      <c r="B9" s="3" t="s">
        <v>161</v>
      </c>
      <c r="C9" s="3" t="s">
        <v>149</v>
      </c>
      <c r="D9" s="3" t="s">
        <v>182</v>
      </c>
      <c r="E9" s="3" t="s">
        <v>83</v>
      </c>
      <c r="F9" s="3" t="s">
        <v>176</v>
      </c>
      <c r="G9" s="3" t="s">
        <v>178</v>
      </c>
      <c r="H9" s="3" t="s">
        <v>164</v>
      </c>
      <c r="I9" s="3" t="s">
        <v>179</v>
      </c>
      <c r="J9" s="3" t="s">
        <v>85</v>
      </c>
      <c r="K9" s="3" t="s">
        <v>180</v>
      </c>
      <c r="L9" s="4" t="s">
        <v>20</v>
      </c>
    </row>
    <row r="10" spans="1:12">
      <c r="A10" s="5">
        <v>104</v>
      </c>
      <c r="B10" s="1" t="str">
        <f t="shared" ref="B10:B21" si="2">VLOOKUP(A10,$H$3:$I$6,2,0)</f>
        <v>アサヒ重機</v>
      </c>
      <c r="C10" s="1">
        <v>14</v>
      </c>
      <c r="D10" s="1" t="str">
        <f t="shared" ref="D10:D21" si="3">VLOOKUP(C10,$A$3:$F$6,2,0)</f>
        <v>商品V</v>
      </c>
      <c r="E10" s="1">
        <v>54</v>
      </c>
      <c r="F10" s="11">
        <f t="shared" ref="F10:F21" si="4">VLOOKUP(C10,$A$3:$F$6,6,0)*30</f>
        <v>85500</v>
      </c>
      <c r="G10" s="11">
        <f t="shared" ref="G10:G21" si="5">IF(E10&lt;=30, 0, (F10/30)*(E10-30)*0.5)</f>
        <v>34200</v>
      </c>
      <c r="H10" s="1" t="s">
        <v>167</v>
      </c>
      <c r="I10" s="11">
        <f t="shared" ref="I10:I21" si="6">F10*VLOOKUP(H10,$K$3:$L$5,2,0)</f>
        <v>8550</v>
      </c>
      <c r="J10" s="11">
        <f t="shared" ref="J10:J21" si="7">ROUNDUP((F10+G10)*2.9%,0)</f>
        <v>3472</v>
      </c>
      <c r="K10" s="46">
        <f t="shared" ref="K10:K21" si="8">F10+G10+I10+J10</f>
        <v>131722</v>
      </c>
      <c r="L10" s="6" t="str">
        <f t="shared" ref="L10:L21" si="9">IF(AND(G10&gt;=$G$24,K10&gt;=$K$24),"*","")</f>
        <v>*</v>
      </c>
    </row>
    <row r="11" spans="1:12">
      <c r="A11" s="5">
        <v>103</v>
      </c>
      <c r="B11" s="1" t="str">
        <f t="shared" si="2"/>
        <v>ＪＨＰ電機</v>
      </c>
      <c r="C11" s="1">
        <v>12</v>
      </c>
      <c r="D11" s="1" t="str">
        <f t="shared" si="3"/>
        <v>商品T</v>
      </c>
      <c r="E11" s="1">
        <v>51</v>
      </c>
      <c r="F11" s="11">
        <f t="shared" si="4"/>
        <v>81300</v>
      </c>
      <c r="G11" s="11">
        <f t="shared" si="5"/>
        <v>28455</v>
      </c>
      <c r="H11" s="1" t="s">
        <v>168</v>
      </c>
      <c r="I11" s="11">
        <f t="shared" si="6"/>
        <v>6504</v>
      </c>
      <c r="J11" s="11">
        <f t="shared" si="7"/>
        <v>3183</v>
      </c>
      <c r="K11" s="46">
        <f t="shared" si="8"/>
        <v>119442</v>
      </c>
      <c r="L11" s="6" t="str">
        <f t="shared" si="9"/>
        <v>*</v>
      </c>
    </row>
    <row r="12" spans="1:12">
      <c r="A12" s="5">
        <v>103</v>
      </c>
      <c r="B12" s="1" t="str">
        <f t="shared" si="2"/>
        <v>ＪＨＰ電機</v>
      </c>
      <c r="C12" s="1">
        <v>14</v>
      </c>
      <c r="D12" s="1" t="str">
        <f t="shared" si="3"/>
        <v>商品V</v>
      </c>
      <c r="E12" s="1">
        <v>40</v>
      </c>
      <c r="F12" s="11">
        <f t="shared" si="4"/>
        <v>85500</v>
      </c>
      <c r="G12" s="11">
        <f t="shared" si="5"/>
        <v>14250</v>
      </c>
      <c r="H12" s="1" t="s">
        <v>167</v>
      </c>
      <c r="I12" s="11">
        <f t="shared" si="6"/>
        <v>8550</v>
      </c>
      <c r="J12" s="11">
        <f t="shared" si="7"/>
        <v>2893</v>
      </c>
      <c r="K12" s="46">
        <f t="shared" si="8"/>
        <v>111193</v>
      </c>
      <c r="L12" s="6" t="str">
        <f t="shared" si="9"/>
        <v>*</v>
      </c>
    </row>
    <row r="13" spans="1:12">
      <c r="A13" s="5">
        <v>101</v>
      </c>
      <c r="B13" s="1" t="str">
        <f t="shared" si="2"/>
        <v>久保山建設</v>
      </c>
      <c r="C13" s="1">
        <v>12</v>
      </c>
      <c r="D13" s="1" t="str">
        <f t="shared" si="3"/>
        <v>商品T</v>
      </c>
      <c r="E13" s="1">
        <v>45</v>
      </c>
      <c r="F13" s="11">
        <f t="shared" si="4"/>
        <v>81300</v>
      </c>
      <c r="G13" s="11">
        <f t="shared" si="5"/>
        <v>20325</v>
      </c>
      <c r="H13" s="1" t="s">
        <v>168</v>
      </c>
      <c r="I13" s="11">
        <f t="shared" si="6"/>
        <v>6504</v>
      </c>
      <c r="J13" s="11">
        <f t="shared" si="7"/>
        <v>2948</v>
      </c>
      <c r="K13" s="46">
        <f t="shared" si="8"/>
        <v>111077</v>
      </c>
      <c r="L13" s="6" t="str">
        <f t="shared" si="9"/>
        <v>*</v>
      </c>
    </row>
    <row r="14" spans="1:12">
      <c r="A14" s="5">
        <v>102</v>
      </c>
      <c r="B14" s="1" t="str">
        <f t="shared" si="2"/>
        <v>スター工業</v>
      </c>
      <c r="C14" s="1">
        <v>14</v>
      </c>
      <c r="D14" s="1" t="str">
        <f t="shared" si="3"/>
        <v>商品V</v>
      </c>
      <c r="E14" s="1">
        <v>41</v>
      </c>
      <c r="F14" s="11">
        <f t="shared" si="4"/>
        <v>85500</v>
      </c>
      <c r="G14" s="11">
        <f t="shared" si="5"/>
        <v>15675</v>
      </c>
      <c r="H14" s="1" t="s">
        <v>169</v>
      </c>
      <c r="I14" s="11">
        <f t="shared" si="6"/>
        <v>5130</v>
      </c>
      <c r="J14" s="11">
        <f t="shared" si="7"/>
        <v>2935</v>
      </c>
      <c r="K14" s="46">
        <f t="shared" si="8"/>
        <v>109240</v>
      </c>
      <c r="L14" s="6" t="str">
        <f t="shared" si="9"/>
        <v>*</v>
      </c>
    </row>
    <row r="15" spans="1:12">
      <c r="A15" s="5">
        <v>102</v>
      </c>
      <c r="B15" s="1" t="str">
        <f t="shared" si="2"/>
        <v>スター工業</v>
      </c>
      <c r="C15" s="1">
        <v>12</v>
      </c>
      <c r="D15" s="1" t="str">
        <f t="shared" si="3"/>
        <v>商品T</v>
      </c>
      <c r="E15" s="1">
        <v>37</v>
      </c>
      <c r="F15" s="11">
        <f t="shared" si="4"/>
        <v>81300</v>
      </c>
      <c r="G15" s="11">
        <f t="shared" si="5"/>
        <v>9485</v>
      </c>
      <c r="H15" s="1" t="s">
        <v>167</v>
      </c>
      <c r="I15" s="11">
        <f t="shared" si="6"/>
        <v>8130</v>
      </c>
      <c r="J15" s="11">
        <f t="shared" si="7"/>
        <v>2633</v>
      </c>
      <c r="K15" s="46">
        <f t="shared" si="8"/>
        <v>101548</v>
      </c>
      <c r="L15" s="6" t="str">
        <f t="shared" si="9"/>
        <v/>
      </c>
    </row>
    <row r="16" spans="1:12">
      <c r="A16" s="5">
        <v>104</v>
      </c>
      <c r="B16" s="1" t="str">
        <f t="shared" si="2"/>
        <v>アサヒ重機</v>
      </c>
      <c r="C16" s="1">
        <v>13</v>
      </c>
      <c r="D16" s="1" t="str">
        <f t="shared" si="3"/>
        <v>商品U</v>
      </c>
      <c r="E16" s="1">
        <v>39</v>
      </c>
      <c r="F16" s="11">
        <f t="shared" si="4"/>
        <v>79800</v>
      </c>
      <c r="G16" s="11">
        <f t="shared" si="5"/>
        <v>11970</v>
      </c>
      <c r="H16" s="1" t="s">
        <v>168</v>
      </c>
      <c r="I16" s="11">
        <f t="shared" si="6"/>
        <v>6384</v>
      </c>
      <c r="J16" s="11">
        <f t="shared" si="7"/>
        <v>2662</v>
      </c>
      <c r="K16" s="46">
        <f t="shared" si="8"/>
        <v>100816</v>
      </c>
      <c r="L16" s="6" t="str">
        <f t="shared" si="9"/>
        <v/>
      </c>
    </row>
    <row r="17" spans="1:12">
      <c r="A17" s="5">
        <v>101</v>
      </c>
      <c r="B17" s="1" t="str">
        <f t="shared" si="2"/>
        <v>久保山建設</v>
      </c>
      <c r="C17" s="1">
        <v>13</v>
      </c>
      <c r="D17" s="1" t="str">
        <f t="shared" si="3"/>
        <v>商品U</v>
      </c>
      <c r="E17" s="1">
        <v>28</v>
      </c>
      <c r="F17" s="11">
        <f t="shared" si="4"/>
        <v>79800</v>
      </c>
      <c r="G17" s="11">
        <f t="shared" si="5"/>
        <v>0</v>
      </c>
      <c r="H17" s="1" t="s">
        <v>167</v>
      </c>
      <c r="I17" s="11">
        <f t="shared" si="6"/>
        <v>7980</v>
      </c>
      <c r="J17" s="11">
        <f t="shared" si="7"/>
        <v>2315</v>
      </c>
      <c r="K17" s="46">
        <f t="shared" si="8"/>
        <v>90095</v>
      </c>
      <c r="L17" s="6" t="str">
        <f t="shared" si="9"/>
        <v/>
      </c>
    </row>
    <row r="18" spans="1:12">
      <c r="A18" s="5">
        <v>102</v>
      </c>
      <c r="B18" s="1" t="str">
        <f t="shared" si="2"/>
        <v>スター工業</v>
      </c>
      <c r="C18" s="1">
        <v>13</v>
      </c>
      <c r="D18" s="1" t="str">
        <f t="shared" si="3"/>
        <v>商品U</v>
      </c>
      <c r="E18" s="1">
        <v>31</v>
      </c>
      <c r="F18" s="11">
        <f t="shared" si="4"/>
        <v>79800</v>
      </c>
      <c r="G18" s="11">
        <f t="shared" si="5"/>
        <v>1330</v>
      </c>
      <c r="H18" s="1" t="s">
        <v>168</v>
      </c>
      <c r="I18" s="11">
        <f t="shared" si="6"/>
        <v>6384</v>
      </c>
      <c r="J18" s="11">
        <f t="shared" si="7"/>
        <v>2353</v>
      </c>
      <c r="K18" s="46">
        <f t="shared" si="8"/>
        <v>89867</v>
      </c>
      <c r="L18" s="6" t="str">
        <f t="shared" si="9"/>
        <v/>
      </c>
    </row>
    <row r="19" spans="1:12">
      <c r="A19" s="5">
        <v>101</v>
      </c>
      <c r="B19" s="1" t="str">
        <f t="shared" si="2"/>
        <v>久保山建設</v>
      </c>
      <c r="C19" s="1">
        <v>11</v>
      </c>
      <c r="D19" s="1" t="str">
        <f t="shared" si="3"/>
        <v>商品S</v>
      </c>
      <c r="E19" s="1">
        <v>43</v>
      </c>
      <c r="F19" s="11">
        <f t="shared" si="4"/>
        <v>62100</v>
      </c>
      <c r="G19" s="11">
        <f t="shared" si="5"/>
        <v>13455</v>
      </c>
      <c r="H19" s="1" t="s">
        <v>169</v>
      </c>
      <c r="I19" s="11">
        <f t="shared" si="6"/>
        <v>3726</v>
      </c>
      <c r="J19" s="11">
        <f t="shared" si="7"/>
        <v>2192</v>
      </c>
      <c r="K19" s="46">
        <f t="shared" si="8"/>
        <v>81473</v>
      </c>
      <c r="L19" s="6" t="str">
        <f t="shared" si="9"/>
        <v/>
      </c>
    </row>
    <row r="20" spans="1:12">
      <c r="A20" s="5">
        <v>104</v>
      </c>
      <c r="B20" s="1" t="str">
        <f t="shared" si="2"/>
        <v>アサヒ重機</v>
      </c>
      <c r="C20" s="1">
        <v>11</v>
      </c>
      <c r="D20" s="1" t="str">
        <f t="shared" si="3"/>
        <v>商品S</v>
      </c>
      <c r="E20" s="1">
        <v>35</v>
      </c>
      <c r="F20" s="11">
        <f t="shared" si="4"/>
        <v>62100</v>
      </c>
      <c r="G20" s="11">
        <f t="shared" si="5"/>
        <v>5175</v>
      </c>
      <c r="H20" s="1" t="s">
        <v>169</v>
      </c>
      <c r="I20" s="11">
        <f t="shared" si="6"/>
        <v>3726</v>
      </c>
      <c r="J20" s="11">
        <f t="shared" si="7"/>
        <v>1951</v>
      </c>
      <c r="K20" s="46">
        <f t="shared" si="8"/>
        <v>72952</v>
      </c>
      <c r="L20" s="6" t="str">
        <f t="shared" si="9"/>
        <v/>
      </c>
    </row>
    <row r="21" spans="1:12">
      <c r="A21" s="5">
        <v>103</v>
      </c>
      <c r="B21" s="1" t="str">
        <f t="shared" si="2"/>
        <v>ＪＨＰ電機</v>
      </c>
      <c r="C21" s="1">
        <v>11</v>
      </c>
      <c r="D21" s="1" t="str">
        <f t="shared" si="3"/>
        <v>商品S</v>
      </c>
      <c r="E21" s="1">
        <v>29</v>
      </c>
      <c r="F21" s="11">
        <f t="shared" si="4"/>
        <v>62100</v>
      </c>
      <c r="G21" s="11">
        <f t="shared" si="5"/>
        <v>0</v>
      </c>
      <c r="H21" s="1" t="s">
        <v>169</v>
      </c>
      <c r="I21" s="11">
        <f t="shared" si="6"/>
        <v>3726</v>
      </c>
      <c r="J21" s="11">
        <f t="shared" si="7"/>
        <v>1801</v>
      </c>
      <c r="K21" s="46">
        <f t="shared" si="8"/>
        <v>67627</v>
      </c>
      <c r="L21" s="6" t="str">
        <f t="shared" si="9"/>
        <v/>
      </c>
    </row>
    <row r="22" spans="1:1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6"/>
    </row>
    <row r="23" spans="1:12">
      <c r="A23" s="5"/>
      <c r="B23" s="62" t="s">
        <v>31</v>
      </c>
      <c r="C23" s="1"/>
      <c r="D23" s="1"/>
      <c r="E23" s="11">
        <f>SUM(E10:E21)</f>
        <v>473</v>
      </c>
      <c r="F23" s="11">
        <f t="shared" ref="F23:K23" si="10">SUM(F10:F21)</f>
        <v>926100</v>
      </c>
      <c r="G23" s="11">
        <f t="shared" si="10"/>
        <v>154320</v>
      </c>
      <c r="H23" s="11"/>
      <c r="I23" s="11">
        <f t="shared" si="10"/>
        <v>75294</v>
      </c>
      <c r="J23" s="11">
        <f t="shared" si="10"/>
        <v>31338</v>
      </c>
      <c r="K23" s="11">
        <f t="shared" si="10"/>
        <v>1187052</v>
      </c>
      <c r="L23" s="6"/>
    </row>
    <row r="24" spans="1:12" ht="19.5" thickBot="1">
      <c r="A24" s="53"/>
      <c r="B24" s="8" t="s">
        <v>9</v>
      </c>
      <c r="C24" s="54"/>
      <c r="D24" s="54"/>
      <c r="E24" s="13">
        <f>ROUND(AVERAGE(E10:E21),0)</f>
        <v>39</v>
      </c>
      <c r="F24" s="13">
        <f t="shared" ref="F24:K24" si="11">ROUND(AVERAGE(F10:F21),0)</f>
        <v>77175</v>
      </c>
      <c r="G24" s="13">
        <f t="shared" si="11"/>
        <v>12860</v>
      </c>
      <c r="H24" s="13"/>
      <c r="I24" s="13">
        <f t="shared" si="11"/>
        <v>6275</v>
      </c>
      <c r="J24" s="13">
        <f t="shared" si="11"/>
        <v>2612</v>
      </c>
      <c r="K24" s="13">
        <f t="shared" si="11"/>
        <v>98921</v>
      </c>
      <c r="L24" s="10"/>
    </row>
    <row r="26" spans="1:12" ht="19.5" thickBot="1">
      <c r="A26" s="110" t="s">
        <v>181</v>
      </c>
      <c r="B26" s="110"/>
      <c r="C26" s="110"/>
    </row>
    <row r="27" spans="1:12">
      <c r="A27" s="2" t="s">
        <v>150</v>
      </c>
      <c r="B27" s="3" t="s">
        <v>175</v>
      </c>
      <c r="C27" s="4" t="s">
        <v>177</v>
      </c>
      <c r="G27" s="2" t="s">
        <v>150</v>
      </c>
      <c r="H27" s="3" t="s">
        <v>150</v>
      </c>
      <c r="I27" s="3" t="s">
        <v>150</v>
      </c>
      <c r="J27" s="4" t="s">
        <v>150</v>
      </c>
    </row>
    <row r="28" spans="1:12" ht="19.5" thickBot="1">
      <c r="A28" s="5" t="s">
        <v>154</v>
      </c>
      <c r="B28" s="11">
        <f>DSUM(リース先別料金合計一覧表5,F$9,$G$27:$G$28)</f>
        <v>186300</v>
      </c>
      <c r="C28" s="12">
        <f>DSUM(リース先別料金合計一覧表5,G$9,$G$27:$G$28)</f>
        <v>18630</v>
      </c>
      <c r="G28" s="53" t="s">
        <v>154</v>
      </c>
      <c r="H28" s="54" t="s">
        <v>155</v>
      </c>
      <c r="I28" s="54" t="s">
        <v>156</v>
      </c>
      <c r="J28" s="10" t="s">
        <v>157</v>
      </c>
    </row>
    <row r="29" spans="1:12">
      <c r="A29" s="5" t="s">
        <v>155</v>
      </c>
      <c r="B29" s="11">
        <f>DSUM(リース先別料金合計一覧表5,F$9,$H$27:$H$28)</f>
        <v>243900</v>
      </c>
      <c r="C29" s="12">
        <f>DSUM(リース先別料金合計一覧表5,G$9,$H$27:$H$28)</f>
        <v>58265</v>
      </c>
    </row>
    <row r="30" spans="1:12">
      <c r="A30" s="5" t="s">
        <v>156</v>
      </c>
      <c r="B30" s="11">
        <f>DSUM(リース先別料金合計一覧表5,F$9,$I$27:$I$28)</f>
        <v>239400</v>
      </c>
      <c r="C30" s="12">
        <f>DSUM(リース先別料金合計一覧表5,G$9,$I$27:$I$28)</f>
        <v>13300</v>
      </c>
    </row>
    <row r="31" spans="1:12" ht="19.5" thickBot="1">
      <c r="A31" s="53" t="s">
        <v>157</v>
      </c>
      <c r="B31" s="13">
        <f>DSUM(リース先別料金合計一覧表5,F$9,$J$27:$J$28)</f>
        <v>256500</v>
      </c>
      <c r="C31" s="14">
        <f>DSUM(リース先別料金合計一覧表5,G$9,$J$27:$J$28)</f>
        <v>64125</v>
      </c>
    </row>
  </sheetData>
  <sortState ref="A10:L21">
    <sortCondition descending="1" ref="K9"/>
  </sortState>
  <mergeCells count="5">
    <mergeCell ref="A1:F1"/>
    <mergeCell ref="H1:I1"/>
    <mergeCell ref="K1:L1"/>
    <mergeCell ref="A8:L8"/>
    <mergeCell ref="A26:C26"/>
  </mergeCells>
  <phoneticPr fontId="2"/>
  <pageMargins left="0.25" right="0.25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準1-1</vt:lpstr>
      <vt:lpstr>準1-1 (数式)</vt:lpstr>
      <vt:lpstr>準1-2</vt:lpstr>
      <vt:lpstr>準1-2 (数式)</vt:lpstr>
      <vt:lpstr>準1-3</vt:lpstr>
      <vt:lpstr>準1-3 (数式)</vt:lpstr>
      <vt:lpstr>準1-4</vt:lpstr>
      <vt:lpstr>準1-4 (数式)</vt:lpstr>
      <vt:lpstr>準1-5</vt:lpstr>
      <vt:lpstr>準1-5 (数式)</vt:lpstr>
      <vt:lpstr>準1-6</vt:lpstr>
      <vt:lpstr>準1-6 (数式)</vt:lpstr>
      <vt:lpstr>準1-7</vt:lpstr>
      <vt:lpstr>準1-7 (数式)</vt:lpstr>
      <vt:lpstr>準1-8</vt:lpstr>
      <vt:lpstr>準1-8 (数式)</vt:lpstr>
      <vt:lpstr>準1-9</vt:lpstr>
      <vt:lpstr>準1-9 (数式)</vt:lpstr>
      <vt:lpstr>準1-10</vt:lpstr>
      <vt:lpstr>準1-10 (数式)</vt:lpstr>
      <vt:lpstr>準1-11</vt:lpstr>
      <vt:lpstr>準1-11 (数式)</vt:lpstr>
      <vt:lpstr>準1-12</vt:lpstr>
      <vt:lpstr>準1-12 (数式)</vt:lpstr>
      <vt:lpstr>'準1-5 (数式)'!リース先別料金合計一覧表5</vt:lpstr>
      <vt:lpstr>リース先別料金合計一覧表5</vt:lpstr>
      <vt:lpstr>'準1-4 (数式)'!依頼先別加工賃一覧表4</vt:lpstr>
      <vt:lpstr>依頼先別加工賃一覧表4</vt:lpstr>
      <vt:lpstr>'準1-1 (数式)'!委託販売手数料一覧表1</vt:lpstr>
      <vt:lpstr>委託販売手数料一覧表1</vt:lpstr>
      <vt:lpstr>'準1-7 (数式)'!株式売却一覧表7</vt:lpstr>
      <vt:lpstr>株式売却一覧表7</vt:lpstr>
      <vt:lpstr>'準1-10 (数式)'!請求額一覧表10</vt:lpstr>
      <vt:lpstr>請求額一覧表10</vt:lpstr>
      <vt:lpstr>'準1-8 (数式)'!請求額一覧表8</vt:lpstr>
      <vt:lpstr>請求額一覧表8</vt:lpstr>
      <vt:lpstr>'準1-3 (数式)'!請求金額一覧表3</vt:lpstr>
      <vt:lpstr>請求金額一覧表3</vt:lpstr>
      <vt:lpstr>'準1-9 (数式)'!請求金額一覧表9</vt:lpstr>
      <vt:lpstr>請求金額一覧表9</vt:lpstr>
      <vt:lpstr>'準1-6 (数式)'!総支給額一覧表6</vt:lpstr>
      <vt:lpstr>総支給額一覧表6</vt:lpstr>
      <vt:lpstr>'準1-2 (数式)'!得意先別利益額一覧表2</vt:lpstr>
      <vt:lpstr>得意先別利益額一覧表2</vt:lpstr>
      <vt:lpstr>'準1-12 (数式)'!発注先別支払額一覧表12</vt:lpstr>
      <vt:lpstr>発注先別支払額一覧表12</vt:lpstr>
      <vt:lpstr>'準1-11 (数式)'!販売先別請求額一覧表11</vt:lpstr>
      <vt:lpstr>販売先別請求額一覧表11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2023-12-21T02:07:43Z</dcterms:modified>
</cp:coreProperties>
</file>