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excel\"/>
    </mc:Choice>
  </mc:AlternateContent>
  <xr:revisionPtr revIDLastSave="0" documentId="13_ncr:1_{A666CE54-B100-4B21-9EC3-4420A1734625}" xr6:coauthVersionLast="36" xr6:coauthVersionMax="36" xr10:uidLastSave="{00000000-0000-0000-0000-000000000000}"/>
  <bookViews>
    <workbookView xWindow="0" yWindow="0" windowWidth="28800" windowHeight="12285" activeTab="14" xr2:uid="{00000000-000D-0000-FFFF-FFFF00000000}"/>
  </bookViews>
  <sheets>
    <sheet name="1-1" sheetId="1" r:id="rId1"/>
    <sheet name="1-1 (数式)" sheetId="9" r:id="rId2"/>
    <sheet name="1-2" sheetId="2" r:id="rId3"/>
    <sheet name="1-2 (数式)" sheetId="10" r:id="rId4"/>
    <sheet name="1-3" sheetId="3" r:id="rId5"/>
    <sheet name="1-3 (数式)" sheetId="11" r:id="rId6"/>
    <sheet name="1-4" sheetId="4" r:id="rId7"/>
    <sheet name="1-4 (数式)" sheetId="12" r:id="rId8"/>
    <sheet name="1-5" sheetId="5" r:id="rId9"/>
    <sheet name="1-5 (数式)" sheetId="13" r:id="rId10"/>
    <sheet name="1-6" sheetId="7" r:id="rId11"/>
    <sheet name="1-6 (数式)" sheetId="14" r:id="rId12"/>
    <sheet name="1-7" sheetId="15" r:id="rId13"/>
    <sheet name="1-7 (数式)" sheetId="16" r:id="rId14"/>
    <sheet name="Sheet2" sheetId="17" r:id="rId15"/>
  </sheets>
  <definedNames>
    <definedName name="_xlnm._FilterDatabase" localSheetId="0" hidden="1">'1-1'!$A$2:$L$11</definedName>
    <definedName name="_xlnm._FilterDatabase" localSheetId="1" hidden="1">'1-1 (数式)'!$A$2:$L$11</definedName>
    <definedName name="_xlnm._FilterDatabase" localSheetId="2" hidden="1">'1-2'!$A$2:$L$18</definedName>
    <definedName name="_xlnm._FilterDatabase" localSheetId="3" hidden="1">'1-2 (数式)'!$A$2:$L$18</definedName>
    <definedName name="_xlnm._FilterDatabase" localSheetId="4" hidden="1">'1-3'!$A$2:$L$18</definedName>
    <definedName name="_xlnm._FilterDatabase" localSheetId="5" hidden="1">'1-3 (数式)'!$A$2:$L$18</definedName>
    <definedName name="_xlnm._FilterDatabase" localSheetId="6" hidden="1">'1-4'!$A$2:$M$18</definedName>
    <definedName name="_xlnm._FilterDatabase" localSheetId="7" hidden="1">'1-4 (数式)'!$A$2:$M$18</definedName>
    <definedName name="_xlnm._FilterDatabase" localSheetId="8" hidden="1">'1-5'!$A$2:$M$14</definedName>
    <definedName name="_xlnm._FilterDatabase" localSheetId="9" hidden="1">'1-5 (数式)'!$A$2:$M$14</definedName>
    <definedName name="_xlnm._FilterDatabase" localSheetId="10" hidden="1">'1-6'!$A$2:$L$14</definedName>
    <definedName name="_xlnm._FilterDatabase" localSheetId="11" hidden="1">'1-6 (数式)'!$A$2:$L$14</definedName>
    <definedName name="_xlnm._FilterDatabase" localSheetId="12" hidden="1">'1-7'!$A$2:$M$17</definedName>
    <definedName name="_xlnm._FilterDatabase" localSheetId="13" hidden="1">'1-7 (数式)'!$A$2:$M$17</definedName>
    <definedName name="_xlnm._FilterDatabase" localSheetId="14" hidden="1">Sheet2!$A$2:$M$18</definedName>
    <definedName name="委託販売一覧表2" localSheetId="3">'1-2 (数式)'!$A$2:$L$18</definedName>
    <definedName name="委託販売一覧表2">'1-2'!$A$2:$L$18</definedName>
    <definedName name="加工賃支払額一覧表6" localSheetId="11">'1-6 (数式)'!$A$2:$L$14</definedName>
    <definedName name="加工賃支払額一覧表6">'1-6'!$A$2:$L$14</definedName>
    <definedName name="株式損益額計算表7" localSheetId="13">'1-7 (数式)'!$A$2:$M$17</definedName>
    <definedName name="株式損益額計算表7">'1-7'!$A$2:$M$17</definedName>
    <definedName name="支店別販売一覧表4" localSheetId="7">'1-4 (数式)'!$A$2:$M$18</definedName>
    <definedName name="支店別販売一覧表4">'1-4'!$A$2:$M$18</definedName>
    <definedName name="社員別給料計算表5" localSheetId="9">'1-5 (数式)'!$A$2:$L$14</definedName>
    <definedName name="社員別給料計算表5">'1-5'!$A$2:$L$14</definedName>
    <definedName name="社員別賃金一覧表1" localSheetId="1">'1-1 (数式)'!$A$2:$L$11</definedName>
    <definedName name="社員別賃金一覧表1">'1-1'!$A$2:$L$11</definedName>
    <definedName name="請求額一覧表8">Sheet2!$A$2:$M$18</definedName>
    <definedName name="得意先別売上一覧表3" localSheetId="5">'1-3 (数式)'!$A$2:$L$18</definedName>
    <definedName name="得意先別売上一覧表3">'1-3'!$A$2:$L$18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7" l="1"/>
  <c r="D35" i="17"/>
  <c r="C36" i="17"/>
  <c r="D36" i="17"/>
  <c r="C37" i="17"/>
  <c r="D37" i="17"/>
  <c r="C38" i="17"/>
  <c r="D38" i="17"/>
  <c r="B38" i="17"/>
  <c r="B37" i="17"/>
  <c r="B36" i="17"/>
  <c r="B35" i="17"/>
  <c r="H31" i="17"/>
  <c r="J31" i="17"/>
  <c r="K31" i="17"/>
  <c r="L31" i="17"/>
  <c r="E31" i="17"/>
  <c r="E20" i="17"/>
  <c r="G12" i="17"/>
  <c r="H12" i="17" s="1"/>
  <c r="G16" i="17"/>
  <c r="H16" i="17" s="1"/>
  <c r="F4" i="17"/>
  <c r="G4" i="17" s="1"/>
  <c r="H4" i="17" s="1"/>
  <c r="F5" i="17"/>
  <c r="G5" i="17" s="1"/>
  <c r="H5" i="17" s="1"/>
  <c r="J5" i="17" s="1"/>
  <c r="F6" i="17"/>
  <c r="G6" i="17" s="1"/>
  <c r="H6" i="17" s="1"/>
  <c r="F7" i="17"/>
  <c r="G7" i="17" s="1"/>
  <c r="H7" i="17" s="1"/>
  <c r="F8" i="17"/>
  <c r="G8" i="17" s="1"/>
  <c r="H8" i="17" s="1"/>
  <c r="F9" i="17"/>
  <c r="G9" i="17" s="1"/>
  <c r="H9" i="17" s="1"/>
  <c r="J9" i="17" s="1"/>
  <c r="F10" i="17"/>
  <c r="G10" i="17" s="1"/>
  <c r="H10" i="17" s="1"/>
  <c r="F11" i="17"/>
  <c r="G11" i="17" s="1"/>
  <c r="H11" i="17" s="1"/>
  <c r="F12" i="17"/>
  <c r="F13" i="17"/>
  <c r="G13" i="17" s="1"/>
  <c r="H13" i="17" s="1"/>
  <c r="J13" i="17" s="1"/>
  <c r="F14" i="17"/>
  <c r="G14" i="17" s="1"/>
  <c r="H14" i="17" s="1"/>
  <c r="F15" i="17"/>
  <c r="G15" i="17" s="1"/>
  <c r="H15" i="17" s="1"/>
  <c r="F16" i="17"/>
  <c r="F17" i="17"/>
  <c r="G17" i="17" s="1"/>
  <c r="H17" i="17" s="1"/>
  <c r="J17" i="17" s="1"/>
  <c r="F18" i="17"/>
  <c r="G18" i="17" s="1"/>
  <c r="H18" i="17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F3" i="17"/>
  <c r="G3" i="17" s="1"/>
  <c r="H3" i="17" s="1"/>
  <c r="D3" i="17"/>
  <c r="B3" i="17"/>
  <c r="L28" i="16"/>
  <c r="K28" i="16"/>
  <c r="J28" i="16"/>
  <c r="H28" i="16"/>
  <c r="G28" i="16"/>
  <c r="E28" i="16"/>
  <c r="E19" i="16"/>
  <c r="J17" i="16"/>
  <c r="K17" i="16" s="1"/>
  <c r="G17" i="16"/>
  <c r="H17" i="16" s="1"/>
  <c r="D17" i="16"/>
  <c r="B17" i="16"/>
  <c r="J16" i="16"/>
  <c r="K16" i="16" s="1"/>
  <c r="G16" i="16"/>
  <c r="H16" i="16" s="1"/>
  <c r="D16" i="16"/>
  <c r="B16" i="16"/>
  <c r="J15" i="16"/>
  <c r="K15" i="16" s="1"/>
  <c r="G15" i="16"/>
  <c r="H15" i="16" s="1"/>
  <c r="D15" i="16"/>
  <c r="B15" i="16"/>
  <c r="J14" i="16"/>
  <c r="K14" i="16" s="1"/>
  <c r="G14" i="16"/>
  <c r="H14" i="16" s="1"/>
  <c r="D14" i="16"/>
  <c r="B14" i="16"/>
  <c r="J13" i="16"/>
  <c r="K13" i="16" s="1"/>
  <c r="G13" i="16"/>
  <c r="H13" i="16" s="1"/>
  <c r="D13" i="16"/>
  <c r="B13" i="16"/>
  <c r="J12" i="16"/>
  <c r="K12" i="16" s="1"/>
  <c r="G12" i="16"/>
  <c r="H12" i="16" s="1"/>
  <c r="D12" i="16"/>
  <c r="B12" i="16"/>
  <c r="J11" i="16"/>
  <c r="K11" i="16" s="1"/>
  <c r="G11" i="16"/>
  <c r="H11" i="16" s="1"/>
  <c r="D11" i="16"/>
  <c r="B11" i="16"/>
  <c r="J10" i="16"/>
  <c r="K10" i="16" s="1"/>
  <c r="G10" i="16"/>
  <c r="H10" i="16" s="1"/>
  <c r="D10" i="16"/>
  <c r="B10" i="16"/>
  <c r="J9" i="16"/>
  <c r="K9" i="16" s="1"/>
  <c r="G9" i="16"/>
  <c r="H9" i="16" s="1"/>
  <c r="B34" i="16" s="1"/>
  <c r="D9" i="16"/>
  <c r="B9" i="16"/>
  <c r="J8" i="16"/>
  <c r="K8" i="16" s="1"/>
  <c r="G8" i="16"/>
  <c r="H8" i="16" s="1"/>
  <c r="D8" i="16"/>
  <c r="B8" i="16"/>
  <c r="J7" i="16"/>
  <c r="K7" i="16" s="1"/>
  <c r="G7" i="16"/>
  <c r="H7" i="16" s="1"/>
  <c r="D7" i="16"/>
  <c r="B7" i="16"/>
  <c r="J6" i="16"/>
  <c r="K6" i="16" s="1"/>
  <c r="G6" i="16"/>
  <c r="H6" i="16" s="1"/>
  <c r="D6" i="16"/>
  <c r="B6" i="16"/>
  <c r="J5" i="16"/>
  <c r="K5" i="16" s="1"/>
  <c r="G5" i="16"/>
  <c r="H5" i="16" s="1"/>
  <c r="D5" i="16"/>
  <c r="B5" i="16"/>
  <c r="J4" i="16"/>
  <c r="K4" i="16" s="1"/>
  <c r="G4" i="16"/>
  <c r="H4" i="16" s="1"/>
  <c r="D4" i="16"/>
  <c r="B4" i="16"/>
  <c r="J3" i="16"/>
  <c r="K3" i="16" s="1"/>
  <c r="G3" i="16"/>
  <c r="G19" i="16" s="1"/>
  <c r="D3" i="16"/>
  <c r="B3" i="16"/>
  <c r="C36" i="16" s="1"/>
  <c r="F40" i="15"/>
  <c r="F39" i="15"/>
  <c r="F38" i="15"/>
  <c r="C32" i="15"/>
  <c r="D32" i="15"/>
  <c r="C33" i="15"/>
  <c r="D33" i="15"/>
  <c r="C34" i="15"/>
  <c r="D34" i="15"/>
  <c r="C35" i="15"/>
  <c r="D35" i="15"/>
  <c r="C36" i="15"/>
  <c r="D36" i="15"/>
  <c r="B36" i="15"/>
  <c r="B35" i="15"/>
  <c r="B34" i="15"/>
  <c r="B33" i="15"/>
  <c r="B32" i="15"/>
  <c r="G28" i="15"/>
  <c r="H28" i="15"/>
  <c r="J28" i="15"/>
  <c r="K28" i="15"/>
  <c r="L28" i="15"/>
  <c r="E28" i="15"/>
  <c r="E19" i="15"/>
  <c r="J4" i="15"/>
  <c r="K4" i="15" s="1"/>
  <c r="J5" i="15"/>
  <c r="K5" i="15" s="1"/>
  <c r="J6" i="15"/>
  <c r="K6" i="15" s="1"/>
  <c r="J7" i="15"/>
  <c r="K7" i="15" s="1"/>
  <c r="J8" i="15"/>
  <c r="K8" i="15" s="1"/>
  <c r="J9" i="15"/>
  <c r="K9" i="15" s="1"/>
  <c r="J10" i="15"/>
  <c r="K10" i="15" s="1"/>
  <c r="J11" i="15"/>
  <c r="K11" i="15" s="1"/>
  <c r="J12" i="15"/>
  <c r="K12" i="15" s="1"/>
  <c r="J13" i="15"/>
  <c r="K13" i="15" s="1"/>
  <c r="J14" i="15"/>
  <c r="K14" i="15" s="1"/>
  <c r="J15" i="15"/>
  <c r="K15" i="15" s="1"/>
  <c r="J16" i="15"/>
  <c r="K16" i="15" s="1"/>
  <c r="J17" i="15"/>
  <c r="K17" i="15" s="1"/>
  <c r="H17" i="15"/>
  <c r="G4" i="15"/>
  <c r="H4" i="15" s="1"/>
  <c r="G5" i="15"/>
  <c r="H5" i="15" s="1"/>
  <c r="G6" i="15"/>
  <c r="H6" i="15" s="1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J3" i="15"/>
  <c r="K3" i="15" s="1"/>
  <c r="G3" i="15"/>
  <c r="D3" i="15"/>
  <c r="B3" i="15"/>
  <c r="J12" i="17" l="1"/>
  <c r="K12" i="17" s="1"/>
  <c r="J8" i="17"/>
  <c r="K8" i="17" s="1"/>
  <c r="J4" i="17"/>
  <c r="K4" i="17" s="1"/>
  <c r="J16" i="17"/>
  <c r="K16" i="17" s="1"/>
  <c r="J11" i="17"/>
  <c r="K11" i="17" s="1"/>
  <c r="J6" i="17"/>
  <c r="K6" i="17" s="1"/>
  <c r="H20" i="17"/>
  <c r="J3" i="17"/>
  <c r="J10" i="17"/>
  <c r="K10" i="17" s="1"/>
  <c r="J14" i="17"/>
  <c r="K14" i="17"/>
  <c r="J15" i="17"/>
  <c r="K15" i="17" s="1"/>
  <c r="J7" i="17"/>
  <c r="K7" i="17" s="1"/>
  <c r="J18" i="17"/>
  <c r="K18" i="17" s="1"/>
  <c r="K17" i="17"/>
  <c r="K13" i="17"/>
  <c r="K9" i="17"/>
  <c r="K5" i="17"/>
  <c r="K19" i="16"/>
  <c r="L6" i="16"/>
  <c r="M6" i="16" s="1"/>
  <c r="L9" i="16"/>
  <c r="M9" i="16" s="1"/>
  <c r="L12" i="16"/>
  <c r="M12" i="16" s="1"/>
  <c r="C35" i="16"/>
  <c r="L14" i="16"/>
  <c r="M14" i="16"/>
  <c r="L17" i="16"/>
  <c r="M17" i="16" s="1"/>
  <c r="M4" i="16"/>
  <c r="L4" i="16"/>
  <c r="L5" i="16"/>
  <c r="M5" i="16" s="1"/>
  <c r="M7" i="16"/>
  <c r="L7" i="16"/>
  <c r="L8" i="16"/>
  <c r="M8" i="16" s="1"/>
  <c r="M10" i="16"/>
  <c r="L10" i="16"/>
  <c r="L11" i="16"/>
  <c r="M11" i="16" s="1"/>
  <c r="M13" i="16"/>
  <c r="L13" i="16"/>
  <c r="L15" i="16"/>
  <c r="M15" i="16" s="1"/>
  <c r="L16" i="16"/>
  <c r="M16" i="16" s="1"/>
  <c r="H3" i="16"/>
  <c r="B32" i="16" s="1"/>
  <c r="J19" i="16"/>
  <c r="B33" i="16"/>
  <c r="C34" i="16"/>
  <c r="C33" i="16"/>
  <c r="D34" i="16"/>
  <c r="B36" i="16"/>
  <c r="C32" i="16"/>
  <c r="D33" i="16"/>
  <c r="B35" i="16"/>
  <c r="L17" i="15"/>
  <c r="L9" i="15"/>
  <c r="L12" i="15"/>
  <c r="L4" i="15"/>
  <c r="M4" i="15" s="1"/>
  <c r="L13" i="15"/>
  <c r="M13" i="15" s="1"/>
  <c r="L16" i="15"/>
  <c r="M16" i="15" s="1"/>
  <c r="L8" i="15"/>
  <c r="G19" i="15"/>
  <c r="L15" i="15"/>
  <c r="M15" i="15" s="1"/>
  <c r="L11" i="15"/>
  <c r="M11" i="15" s="1"/>
  <c r="L7" i="15"/>
  <c r="M7" i="15" s="1"/>
  <c r="L14" i="15"/>
  <c r="M14" i="15" s="1"/>
  <c r="L10" i="15"/>
  <c r="M10" i="15" s="1"/>
  <c r="L6" i="15"/>
  <c r="M6" i="15" s="1"/>
  <c r="K19" i="15"/>
  <c r="M17" i="15"/>
  <c r="M12" i="15"/>
  <c r="M8" i="15"/>
  <c r="J19" i="15"/>
  <c r="M9" i="15"/>
  <c r="L5" i="15"/>
  <c r="M5" i="15" s="1"/>
  <c r="H3" i="15"/>
  <c r="H19" i="15" s="1"/>
  <c r="K27" i="14"/>
  <c r="J27" i="14"/>
  <c r="I27" i="14"/>
  <c r="H27" i="14"/>
  <c r="F27" i="14"/>
  <c r="E27" i="14"/>
  <c r="I16" i="14"/>
  <c r="F16" i="14"/>
  <c r="E16" i="14"/>
  <c r="L14" i="14"/>
  <c r="I14" i="14"/>
  <c r="H14" i="14"/>
  <c r="G14" i="14"/>
  <c r="D14" i="14"/>
  <c r="B14" i="14"/>
  <c r="L13" i="14"/>
  <c r="I13" i="14"/>
  <c r="H13" i="14"/>
  <c r="G13" i="14"/>
  <c r="D13" i="14"/>
  <c r="B13" i="14"/>
  <c r="L12" i="14"/>
  <c r="I12" i="14"/>
  <c r="H12" i="14"/>
  <c r="G12" i="14"/>
  <c r="D12" i="14"/>
  <c r="B12" i="14"/>
  <c r="L11" i="14"/>
  <c r="I11" i="14"/>
  <c r="H11" i="14"/>
  <c r="G11" i="14"/>
  <c r="D11" i="14"/>
  <c r="B11" i="14"/>
  <c r="L10" i="14"/>
  <c r="I10" i="14"/>
  <c r="H10" i="14"/>
  <c r="G10" i="14"/>
  <c r="D10" i="14"/>
  <c r="B10" i="14"/>
  <c r="L9" i="14"/>
  <c r="I9" i="14"/>
  <c r="H9" i="14"/>
  <c r="G9" i="14"/>
  <c r="D9" i="14"/>
  <c r="B9" i="14"/>
  <c r="L8" i="14"/>
  <c r="I8" i="14"/>
  <c r="H8" i="14"/>
  <c r="G8" i="14"/>
  <c r="D8" i="14"/>
  <c r="B8" i="14"/>
  <c r="L7" i="14"/>
  <c r="I7" i="14"/>
  <c r="H7" i="14"/>
  <c r="G7" i="14"/>
  <c r="D7" i="14"/>
  <c r="B7" i="14"/>
  <c r="L6" i="14"/>
  <c r="I6" i="14"/>
  <c r="H6" i="14"/>
  <c r="G6" i="14"/>
  <c r="D6" i="14"/>
  <c r="B6" i="14"/>
  <c r="L5" i="14"/>
  <c r="I5" i="14"/>
  <c r="H5" i="14"/>
  <c r="G5" i="14"/>
  <c r="D5" i="14"/>
  <c r="B5" i="14"/>
  <c r="L4" i="14"/>
  <c r="I4" i="14"/>
  <c r="H4" i="14"/>
  <c r="G4" i="14"/>
  <c r="D4" i="14"/>
  <c r="B4" i="14"/>
  <c r="L3" i="14"/>
  <c r="I3" i="14"/>
  <c r="H3" i="14"/>
  <c r="H16" i="14" s="1"/>
  <c r="G3" i="14"/>
  <c r="H38" i="14" s="1"/>
  <c r="D3" i="14"/>
  <c r="B3" i="14"/>
  <c r="H39" i="14" s="1"/>
  <c r="D34" i="13"/>
  <c r="C33" i="13"/>
  <c r="B32" i="13"/>
  <c r="L27" i="13"/>
  <c r="K27" i="13"/>
  <c r="J27" i="13"/>
  <c r="I27" i="13"/>
  <c r="G27" i="13"/>
  <c r="F27" i="13"/>
  <c r="E27" i="13"/>
  <c r="G16" i="13"/>
  <c r="F16" i="13"/>
  <c r="J14" i="13"/>
  <c r="I14" i="13"/>
  <c r="H14" i="13"/>
  <c r="E14" i="13"/>
  <c r="C14" i="13"/>
  <c r="J13" i="13"/>
  <c r="I13" i="13"/>
  <c r="H13" i="13"/>
  <c r="E13" i="13"/>
  <c r="K13" i="13" s="1"/>
  <c r="C13" i="13"/>
  <c r="J12" i="13"/>
  <c r="I12" i="13"/>
  <c r="H12" i="13"/>
  <c r="E12" i="13"/>
  <c r="C12" i="13"/>
  <c r="J11" i="13"/>
  <c r="I11" i="13"/>
  <c r="H11" i="13"/>
  <c r="E11" i="13"/>
  <c r="C11" i="13"/>
  <c r="J10" i="13"/>
  <c r="I10" i="13"/>
  <c r="H10" i="13"/>
  <c r="E10" i="13"/>
  <c r="C10" i="13"/>
  <c r="K9" i="13"/>
  <c r="J9" i="13"/>
  <c r="I9" i="13"/>
  <c r="H9" i="13"/>
  <c r="E9" i="13"/>
  <c r="L9" i="13" s="1"/>
  <c r="M9" i="13" s="1"/>
  <c r="C9" i="13"/>
  <c r="J8" i="13"/>
  <c r="I8" i="13"/>
  <c r="H8" i="13"/>
  <c r="E8" i="13"/>
  <c r="C8" i="13"/>
  <c r="J7" i="13"/>
  <c r="I7" i="13"/>
  <c r="H7" i="13"/>
  <c r="E7" i="13"/>
  <c r="C7" i="13"/>
  <c r="J6" i="13"/>
  <c r="I6" i="13"/>
  <c r="H6" i="13"/>
  <c r="E6" i="13"/>
  <c r="K6" i="13" s="1"/>
  <c r="C6" i="13"/>
  <c r="J5" i="13"/>
  <c r="I5" i="13"/>
  <c r="H5" i="13"/>
  <c r="E5" i="13"/>
  <c r="K5" i="13" s="1"/>
  <c r="C5" i="13"/>
  <c r="J4" i="13"/>
  <c r="I4" i="13"/>
  <c r="H4" i="13"/>
  <c r="E4" i="13"/>
  <c r="K4" i="13" s="1"/>
  <c r="C4" i="13"/>
  <c r="J3" i="13"/>
  <c r="J16" i="13" s="1"/>
  <c r="I3" i="13"/>
  <c r="E39" i="13" s="1"/>
  <c r="H3" i="13"/>
  <c r="E37" i="13" s="1"/>
  <c r="E3" i="13"/>
  <c r="E16" i="13" s="1"/>
  <c r="C3" i="13"/>
  <c r="C34" i="13" s="1"/>
  <c r="I30" i="12"/>
  <c r="G30" i="12"/>
  <c r="F30" i="12"/>
  <c r="G20" i="12"/>
  <c r="F20" i="12"/>
  <c r="L18" i="12"/>
  <c r="J18" i="12"/>
  <c r="H18" i="12"/>
  <c r="E18" i="12"/>
  <c r="I18" i="12" s="1"/>
  <c r="D18" i="12"/>
  <c r="B18" i="12"/>
  <c r="L17" i="12"/>
  <c r="J17" i="12"/>
  <c r="H17" i="12"/>
  <c r="E17" i="12"/>
  <c r="I17" i="12" s="1"/>
  <c r="D17" i="12"/>
  <c r="B17" i="12"/>
  <c r="L16" i="12"/>
  <c r="J16" i="12"/>
  <c r="H16" i="12"/>
  <c r="E16" i="12"/>
  <c r="I16" i="12" s="1"/>
  <c r="D16" i="12"/>
  <c r="B16" i="12"/>
  <c r="L15" i="12"/>
  <c r="J15" i="12"/>
  <c r="I15" i="12"/>
  <c r="K15" i="12" s="1"/>
  <c r="H15" i="12"/>
  <c r="E15" i="12"/>
  <c r="D15" i="12"/>
  <c r="B15" i="12"/>
  <c r="L14" i="12"/>
  <c r="J14" i="12"/>
  <c r="H14" i="12"/>
  <c r="E14" i="12"/>
  <c r="I14" i="12" s="1"/>
  <c r="D14" i="12"/>
  <c r="B14" i="12"/>
  <c r="L13" i="12"/>
  <c r="J13" i="12"/>
  <c r="H13" i="12"/>
  <c r="E13" i="12"/>
  <c r="I13" i="12" s="1"/>
  <c r="D13" i="12"/>
  <c r="B13" i="12"/>
  <c r="L12" i="12"/>
  <c r="J12" i="12"/>
  <c r="I12" i="12"/>
  <c r="K12" i="12" s="1"/>
  <c r="H12" i="12"/>
  <c r="E12" i="12"/>
  <c r="D12" i="12"/>
  <c r="B12" i="12"/>
  <c r="L11" i="12"/>
  <c r="J11" i="12"/>
  <c r="I11" i="12"/>
  <c r="K11" i="12" s="1"/>
  <c r="H11" i="12"/>
  <c r="E11" i="12"/>
  <c r="D11" i="12"/>
  <c r="B11" i="12"/>
  <c r="L10" i="12"/>
  <c r="J10" i="12"/>
  <c r="H10" i="12"/>
  <c r="E10" i="12"/>
  <c r="I10" i="12" s="1"/>
  <c r="D10" i="12"/>
  <c r="B10" i="12"/>
  <c r="L9" i="12"/>
  <c r="J9" i="12"/>
  <c r="H9" i="12"/>
  <c r="E9" i="12"/>
  <c r="I9" i="12" s="1"/>
  <c r="D9" i="12"/>
  <c r="B9" i="12"/>
  <c r="L8" i="12"/>
  <c r="J8" i="12"/>
  <c r="I8" i="12"/>
  <c r="K8" i="12" s="1"/>
  <c r="H8" i="12"/>
  <c r="E8" i="12"/>
  <c r="D8" i="12"/>
  <c r="B8" i="12"/>
  <c r="L7" i="12"/>
  <c r="J7" i="12"/>
  <c r="I7" i="12"/>
  <c r="K7" i="12" s="1"/>
  <c r="H7" i="12"/>
  <c r="E7" i="12"/>
  <c r="D7" i="12"/>
  <c r="B7" i="12"/>
  <c r="L6" i="12"/>
  <c r="J6" i="12"/>
  <c r="H6" i="12"/>
  <c r="E6" i="12"/>
  <c r="I6" i="12" s="1"/>
  <c r="D6" i="12"/>
  <c r="B6" i="12"/>
  <c r="L5" i="12"/>
  <c r="J5" i="12"/>
  <c r="H5" i="12"/>
  <c r="E5" i="12"/>
  <c r="I5" i="12" s="1"/>
  <c r="D5" i="12"/>
  <c r="B5" i="12"/>
  <c r="L4" i="12"/>
  <c r="J4" i="12"/>
  <c r="I4" i="12"/>
  <c r="K4" i="12" s="1"/>
  <c r="H4" i="12"/>
  <c r="E4" i="12"/>
  <c r="D4" i="12"/>
  <c r="B4" i="12"/>
  <c r="L3" i="12"/>
  <c r="J3" i="12"/>
  <c r="I3" i="12"/>
  <c r="K3" i="12" s="1"/>
  <c r="H3" i="12"/>
  <c r="E3" i="12"/>
  <c r="D3" i="12"/>
  <c r="B3" i="12"/>
  <c r="G41" i="12" s="1"/>
  <c r="K29" i="11"/>
  <c r="J29" i="11"/>
  <c r="I29" i="11"/>
  <c r="G29" i="11"/>
  <c r="F29" i="11"/>
  <c r="F20" i="11"/>
  <c r="H18" i="11"/>
  <c r="E18" i="11"/>
  <c r="K18" i="11" s="1"/>
  <c r="D18" i="11"/>
  <c r="B18" i="11"/>
  <c r="K17" i="11"/>
  <c r="H17" i="11"/>
  <c r="G17" i="11"/>
  <c r="E17" i="11"/>
  <c r="D17" i="11"/>
  <c r="B17" i="11"/>
  <c r="H16" i="11"/>
  <c r="E16" i="11"/>
  <c r="K16" i="11" s="1"/>
  <c r="D16" i="11"/>
  <c r="B16" i="11"/>
  <c r="H15" i="11"/>
  <c r="E15" i="11"/>
  <c r="K15" i="11" s="1"/>
  <c r="D15" i="11"/>
  <c r="B15" i="11"/>
  <c r="H14" i="11"/>
  <c r="E14" i="11"/>
  <c r="K14" i="11" s="1"/>
  <c r="D14" i="11"/>
  <c r="B14" i="11"/>
  <c r="K13" i="11"/>
  <c r="H13" i="11"/>
  <c r="G13" i="11"/>
  <c r="E13" i="11"/>
  <c r="D13" i="11"/>
  <c r="B13" i="11"/>
  <c r="H12" i="11"/>
  <c r="E12" i="11"/>
  <c r="K12" i="11" s="1"/>
  <c r="D12" i="11"/>
  <c r="B12" i="11"/>
  <c r="H11" i="11"/>
  <c r="E11" i="11"/>
  <c r="K11" i="11" s="1"/>
  <c r="D11" i="11"/>
  <c r="B11" i="11"/>
  <c r="H10" i="11"/>
  <c r="E10" i="11"/>
  <c r="K10" i="11" s="1"/>
  <c r="D10" i="11"/>
  <c r="B10" i="11"/>
  <c r="K9" i="11"/>
  <c r="H9" i="11"/>
  <c r="G9" i="11"/>
  <c r="E9" i="11"/>
  <c r="D9" i="11"/>
  <c r="B9" i="11"/>
  <c r="H8" i="11"/>
  <c r="E8" i="11"/>
  <c r="K8" i="11" s="1"/>
  <c r="D8" i="11"/>
  <c r="B8" i="11"/>
  <c r="H7" i="11"/>
  <c r="E7" i="11"/>
  <c r="K7" i="11" s="1"/>
  <c r="D7" i="11"/>
  <c r="B7" i="11"/>
  <c r="H6" i="11"/>
  <c r="E6" i="11"/>
  <c r="K6" i="11" s="1"/>
  <c r="D6" i="11"/>
  <c r="B6" i="11"/>
  <c r="K5" i="11"/>
  <c r="H5" i="11"/>
  <c r="G5" i="11"/>
  <c r="E5" i="11"/>
  <c r="D5" i="11"/>
  <c r="B5" i="11"/>
  <c r="H4" i="11"/>
  <c r="E4" i="11"/>
  <c r="K4" i="11" s="1"/>
  <c r="D4" i="11"/>
  <c r="B4" i="11"/>
  <c r="B34" i="11" s="1"/>
  <c r="H3" i="11"/>
  <c r="E3" i="11"/>
  <c r="K3" i="11" s="1"/>
  <c r="D3" i="11"/>
  <c r="B3" i="11"/>
  <c r="K30" i="10"/>
  <c r="J30" i="10"/>
  <c r="H30" i="10"/>
  <c r="G30" i="10"/>
  <c r="F30" i="10"/>
  <c r="G20" i="10"/>
  <c r="F20" i="10"/>
  <c r="I18" i="10"/>
  <c r="E18" i="10"/>
  <c r="H18" i="10" s="1"/>
  <c r="D18" i="10"/>
  <c r="B18" i="10"/>
  <c r="I17" i="10"/>
  <c r="E17" i="10"/>
  <c r="H17" i="10" s="1"/>
  <c r="D17" i="10"/>
  <c r="B17" i="10"/>
  <c r="I16" i="10"/>
  <c r="E16" i="10"/>
  <c r="H16" i="10" s="1"/>
  <c r="D16" i="10"/>
  <c r="B16" i="10"/>
  <c r="I15" i="10"/>
  <c r="E15" i="10"/>
  <c r="H15" i="10" s="1"/>
  <c r="D15" i="10"/>
  <c r="B15" i="10"/>
  <c r="I14" i="10"/>
  <c r="E14" i="10"/>
  <c r="H14" i="10" s="1"/>
  <c r="D14" i="10"/>
  <c r="B14" i="10"/>
  <c r="I13" i="10"/>
  <c r="E13" i="10"/>
  <c r="H13" i="10" s="1"/>
  <c r="D13" i="10"/>
  <c r="B13" i="10"/>
  <c r="I12" i="10"/>
  <c r="E12" i="10"/>
  <c r="H12" i="10" s="1"/>
  <c r="D12" i="10"/>
  <c r="B12" i="10"/>
  <c r="I11" i="10"/>
  <c r="E11" i="10"/>
  <c r="H11" i="10" s="1"/>
  <c r="D11" i="10"/>
  <c r="B11" i="10"/>
  <c r="I10" i="10"/>
  <c r="E10" i="10"/>
  <c r="H10" i="10" s="1"/>
  <c r="D10" i="10"/>
  <c r="B10" i="10"/>
  <c r="I9" i="10"/>
  <c r="E9" i="10"/>
  <c r="H9" i="10" s="1"/>
  <c r="D9" i="10"/>
  <c r="B9" i="10"/>
  <c r="I8" i="10"/>
  <c r="E8" i="10"/>
  <c r="H8" i="10" s="1"/>
  <c r="D8" i="10"/>
  <c r="B8" i="10"/>
  <c r="I7" i="10"/>
  <c r="E7" i="10"/>
  <c r="H7" i="10" s="1"/>
  <c r="D7" i="10"/>
  <c r="B7" i="10"/>
  <c r="I6" i="10"/>
  <c r="E6" i="10"/>
  <c r="H6" i="10" s="1"/>
  <c r="D6" i="10"/>
  <c r="B6" i="10"/>
  <c r="I5" i="10"/>
  <c r="E5" i="10"/>
  <c r="H5" i="10" s="1"/>
  <c r="D5" i="10"/>
  <c r="B5" i="10"/>
  <c r="I4" i="10"/>
  <c r="E4" i="10"/>
  <c r="H4" i="10" s="1"/>
  <c r="D4" i="10"/>
  <c r="B4" i="10"/>
  <c r="I3" i="10"/>
  <c r="E3" i="10"/>
  <c r="H3" i="10" s="1"/>
  <c r="D3" i="10"/>
  <c r="B3" i="10"/>
  <c r="K23" i="9"/>
  <c r="J23" i="9"/>
  <c r="I23" i="9"/>
  <c r="H23" i="9"/>
  <c r="G23" i="9"/>
  <c r="F23" i="9"/>
  <c r="E23" i="9"/>
  <c r="D23" i="9"/>
  <c r="E13" i="9"/>
  <c r="D13" i="9"/>
  <c r="G11" i="9"/>
  <c r="F11" i="9"/>
  <c r="H11" i="9" s="1"/>
  <c r="C11" i="9"/>
  <c r="G10" i="9"/>
  <c r="F10" i="9"/>
  <c r="H10" i="9" s="1"/>
  <c r="C10" i="9"/>
  <c r="G9" i="9"/>
  <c r="F9" i="9"/>
  <c r="H9" i="9" s="1"/>
  <c r="C9" i="9"/>
  <c r="G8" i="9"/>
  <c r="J8" i="9" s="1"/>
  <c r="F8" i="9"/>
  <c r="H8" i="9" s="1"/>
  <c r="C8" i="9"/>
  <c r="G7" i="9"/>
  <c r="F7" i="9"/>
  <c r="H7" i="9" s="1"/>
  <c r="C7" i="9"/>
  <c r="G6" i="9"/>
  <c r="F6" i="9"/>
  <c r="H6" i="9" s="1"/>
  <c r="C6" i="9"/>
  <c r="G5" i="9"/>
  <c r="F5" i="9"/>
  <c r="H5" i="9" s="1"/>
  <c r="C5" i="9"/>
  <c r="G4" i="9"/>
  <c r="J4" i="9" s="1"/>
  <c r="F4" i="9"/>
  <c r="H4" i="9" s="1"/>
  <c r="C4" i="9"/>
  <c r="G3" i="9"/>
  <c r="F3" i="9"/>
  <c r="C3" i="9"/>
  <c r="H39" i="7"/>
  <c r="H38" i="7"/>
  <c r="H37" i="7"/>
  <c r="F27" i="7"/>
  <c r="H27" i="7"/>
  <c r="I27" i="7"/>
  <c r="J27" i="7"/>
  <c r="K27" i="7"/>
  <c r="E27" i="7"/>
  <c r="F16" i="7"/>
  <c r="E16" i="7"/>
  <c r="L11" i="7"/>
  <c r="I4" i="7"/>
  <c r="I5" i="7"/>
  <c r="I6" i="7"/>
  <c r="I7" i="7"/>
  <c r="I8" i="7"/>
  <c r="I9" i="7"/>
  <c r="I10" i="7"/>
  <c r="I11" i="7"/>
  <c r="J11" i="7" s="1"/>
  <c r="I12" i="7"/>
  <c r="I13" i="7"/>
  <c r="I14" i="7"/>
  <c r="H4" i="7"/>
  <c r="H5" i="7"/>
  <c r="J5" i="7" s="1"/>
  <c r="H6" i="7"/>
  <c r="H7" i="7"/>
  <c r="H8" i="7"/>
  <c r="H9" i="7"/>
  <c r="J9" i="7" s="1"/>
  <c r="H10" i="7"/>
  <c r="H11" i="7"/>
  <c r="H12" i="7"/>
  <c r="H13" i="7"/>
  <c r="J13" i="7" s="1"/>
  <c r="H14" i="7"/>
  <c r="G4" i="7"/>
  <c r="L4" i="7" s="1"/>
  <c r="G5" i="7"/>
  <c r="L5" i="7" s="1"/>
  <c r="G6" i="7"/>
  <c r="L6" i="7" s="1"/>
  <c r="G7" i="7"/>
  <c r="L7" i="7" s="1"/>
  <c r="G8" i="7"/>
  <c r="L8" i="7" s="1"/>
  <c r="G9" i="7"/>
  <c r="L9" i="7" s="1"/>
  <c r="G10" i="7"/>
  <c r="L10" i="7" s="1"/>
  <c r="G11" i="7"/>
  <c r="G12" i="7"/>
  <c r="L12" i="7" s="1"/>
  <c r="G13" i="7"/>
  <c r="L13" i="7" s="1"/>
  <c r="G14" i="7"/>
  <c r="L14" i="7" s="1"/>
  <c r="D4" i="7"/>
  <c r="D5" i="7"/>
  <c r="D6" i="7"/>
  <c r="D7" i="7"/>
  <c r="D8" i="7"/>
  <c r="D9" i="7"/>
  <c r="D10" i="7"/>
  <c r="D11" i="7"/>
  <c r="D12" i="7"/>
  <c r="D13" i="7"/>
  <c r="D14" i="7"/>
  <c r="B4" i="7"/>
  <c r="B5" i="7"/>
  <c r="B6" i="7"/>
  <c r="B7" i="7"/>
  <c r="B8" i="7"/>
  <c r="B9" i="7"/>
  <c r="B10" i="7"/>
  <c r="B11" i="7"/>
  <c r="B12" i="7"/>
  <c r="B13" i="7"/>
  <c r="B14" i="7"/>
  <c r="I3" i="7"/>
  <c r="H3" i="7"/>
  <c r="J3" i="7" s="1"/>
  <c r="G3" i="7"/>
  <c r="L3" i="7" s="1"/>
  <c r="D3" i="7"/>
  <c r="B3" i="7"/>
  <c r="D33" i="7" s="1"/>
  <c r="E38" i="5"/>
  <c r="F27" i="5"/>
  <c r="G27" i="5"/>
  <c r="I27" i="5"/>
  <c r="J27" i="5"/>
  <c r="K27" i="5"/>
  <c r="L27" i="5"/>
  <c r="E27" i="5"/>
  <c r="E39" i="5"/>
  <c r="E37" i="5"/>
  <c r="L16" i="17" l="1"/>
  <c r="M16" i="17"/>
  <c r="L4" i="17"/>
  <c r="M4" i="17"/>
  <c r="M8" i="17"/>
  <c r="L8" i="17"/>
  <c r="M12" i="17"/>
  <c r="L12" i="17"/>
  <c r="M7" i="17"/>
  <c r="L7" i="17"/>
  <c r="L10" i="17"/>
  <c r="M10" i="17"/>
  <c r="M11" i="17"/>
  <c r="L11" i="17"/>
  <c r="M6" i="17"/>
  <c r="L6" i="17"/>
  <c r="M13" i="17"/>
  <c r="L13" i="17"/>
  <c r="J20" i="17"/>
  <c r="L17" i="17"/>
  <c r="M17" i="17"/>
  <c r="K3" i="17"/>
  <c r="M9" i="17"/>
  <c r="L9" i="17"/>
  <c r="M18" i="17"/>
  <c r="L18" i="17"/>
  <c r="M15" i="17"/>
  <c r="L15" i="17"/>
  <c r="M14" i="17"/>
  <c r="L14" i="17"/>
  <c r="M5" i="17"/>
  <c r="L5" i="17"/>
  <c r="D35" i="16"/>
  <c r="F39" i="16"/>
  <c r="H19" i="16"/>
  <c r="D36" i="16"/>
  <c r="L3" i="16"/>
  <c r="L3" i="15"/>
  <c r="K8" i="14"/>
  <c r="K11" i="14"/>
  <c r="B31" i="14"/>
  <c r="C32" i="14"/>
  <c r="B32" i="14"/>
  <c r="J3" i="14"/>
  <c r="J4" i="14"/>
  <c r="K4" i="14" s="1"/>
  <c r="J5" i="14"/>
  <c r="K5" i="14" s="1"/>
  <c r="J6" i="14"/>
  <c r="K6" i="14" s="1"/>
  <c r="D32" i="14" s="1"/>
  <c r="J7" i="14"/>
  <c r="K7" i="14" s="1"/>
  <c r="J8" i="14"/>
  <c r="J9" i="14"/>
  <c r="K9" i="14" s="1"/>
  <c r="J10" i="14"/>
  <c r="K10" i="14" s="1"/>
  <c r="J11" i="14"/>
  <c r="J12" i="14"/>
  <c r="K12" i="14" s="1"/>
  <c r="J13" i="14"/>
  <c r="K13" i="14" s="1"/>
  <c r="J14" i="14"/>
  <c r="K14" i="14" s="1"/>
  <c r="C31" i="14"/>
  <c r="B34" i="14"/>
  <c r="C33" i="14"/>
  <c r="K3" i="14"/>
  <c r="D31" i="14" s="1"/>
  <c r="B33" i="14"/>
  <c r="C34" i="14"/>
  <c r="L8" i="13"/>
  <c r="M8" i="13" s="1"/>
  <c r="K3" i="13"/>
  <c r="K7" i="13"/>
  <c r="L7" i="13" s="1"/>
  <c r="M7" i="13" s="1"/>
  <c r="K8" i="13"/>
  <c r="K10" i="13"/>
  <c r="L10" i="13" s="1"/>
  <c r="M10" i="13" s="1"/>
  <c r="K11" i="13"/>
  <c r="L11" i="13" s="1"/>
  <c r="M11" i="13" s="1"/>
  <c r="K12" i="13"/>
  <c r="L12" i="13" s="1"/>
  <c r="M12" i="13" s="1"/>
  <c r="K14" i="13"/>
  <c r="L14" i="13" s="1"/>
  <c r="M14" i="13" s="1"/>
  <c r="L3" i="13"/>
  <c r="L4" i="13"/>
  <c r="M4" i="13" s="1"/>
  <c r="L5" i="13"/>
  <c r="M5" i="13" s="1"/>
  <c r="L6" i="13"/>
  <c r="M6" i="13" s="1"/>
  <c r="L13" i="13"/>
  <c r="M13" i="13" s="1"/>
  <c r="B31" i="13"/>
  <c r="C32" i="13"/>
  <c r="D33" i="13"/>
  <c r="I16" i="13"/>
  <c r="C31" i="13"/>
  <c r="D32" i="13"/>
  <c r="B34" i="13"/>
  <c r="D31" i="13"/>
  <c r="B33" i="13"/>
  <c r="K5" i="12"/>
  <c r="M5" i="12" s="1"/>
  <c r="K10" i="12"/>
  <c r="M10" i="12" s="1"/>
  <c r="K13" i="12"/>
  <c r="M13" i="12"/>
  <c r="K17" i="12"/>
  <c r="M17" i="12" s="1"/>
  <c r="K14" i="12"/>
  <c r="M14" i="12" s="1"/>
  <c r="K6" i="12"/>
  <c r="G40" i="12" s="1"/>
  <c r="K9" i="12"/>
  <c r="M9" i="12" s="1"/>
  <c r="K16" i="12"/>
  <c r="M16" i="12"/>
  <c r="K18" i="12"/>
  <c r="M18" i="12" s="1"/>
  <c r="M3" i="12"/>
  <c r="M7" i="12"/>
  <c r="M11" i="12"/>
  <c r="M15" i="12"/>
  <c r="M4" i="12"/>
  <c r="M8" i="12"/>
  <c r="M12" i="12"/>
  <c r="B35" i="12"/>
  <c r="C36" i="12"/>
  <c r="D37" i="12"/>
  <c r="I20" i="12"/>
  <c r="B34" i="12"/>
  <c r="C35" i="12"/>
  <c r="D36" i="12"/>
  <c r="G39" i="12"/>
  <c r="C34" i="12"/>
  <c r="D35" i="12"/>
  <c r="B37" i="12"/>
  <c r="D34" i="12"/>
  <c r="B36" i="12"/>
  <c r="C37" i="12"/>
  <c r="K20" i="11"/>
  <c r="J13" i="11"/>
  <c r="L13" i="11" s="1"/>
  <c r="G6" i="11"/>
  <c r="G10" i="11"/>
  <c r="G14" i="11"/>
  <c r="G18" i="11"/>
  <c r="B33" i="11"/>
  <c r="D35" i="11"/>
  <c r="D36" i="11"/>
  <c r="G3" i="11"/>
  <c r="I5" i="11"/>
  <c r="J5" i="11" s="1"/>
  <c r="L5" i="11" s="1"/>
  <c r="G7" i="11"/>
  <c r="I9" i="11"/>
  <c r="J9" i="11" s="1"/>
  <c r="L9" i="11" s="1"/>
  <c r="G11" i="11"/>
  <c r="I13" i="11"/>
  <c r="G15" i="11"/>
  <c r="I17" i="11"/>
  <c r="J17" i="11" s="1"/>
  <c r="L17" i="11" s="1"/>
  <c r="D34" i="11"/>
  <c r="B36" i="11"/>
  <c r="G4" i="11"/>
  <c r="G8" i="11"/>
  <c r="G12" i="11"/>
  <c r="G16" i="11"/>
  <c r="D33" i="11"/>
  <c r="B35" i="11"/>
  <c r="J3" i="10"/>
  <c r="L3" i="10"/>
  <c r="K3" i="10"/>
  <c r="H20" i="10"/>
  <c r="K4" i="10"/>
  <c r="J4" i="10"/>
  <c r="H42" i="10" s="1"/>
  <c r="J5" i="10"/>
  <c r="L5" i="10" s="1"/>
  <c r="L6" i="10"/>
  <c r="J6" i="10"/>
  <c r="C37" i="10" s="1"/>
  <c r="L7" i="10"/>
  <c r="K7" i="10"/>
  <c r="J7" i="10"/>
  <c r="J8" i="10"/>
  <c r="K8" i="10" s="1"/>
  <c r="L9" i="10"/>
  <c r="J9" i="10"/>
  <c r="K9" i="10"/>
  <c r="L10" i="10"/>
  <c r="K10" i="10"/>
  <c r="J10" i="10"/>
  <c r="L11" i="10"/>
  <c r="J11" i="10"/>
  <c r="K11" i="10" s="1"/>
  <c r="D34" i="10" s="1"/>
  <c r="K12" i="10"/>
  <c r="J12" i="10"/>
  <c r="L12" i="10" s="1"/>
  <c r="L13" i="10"/>
  <c r="J13" i="10"/>
  <c r="K13" i="10"/>
  <c r="L14" i="10"/>
  <c r="K14" i="10"/>
  <c r="J14" i="10"/>
  <c r="L15" i="10"/>
  <c r="J15" i="10"/>
  <c r="K15" i="10" s="1"/>
  <c r="J16" i="10"/>
  <c r="K16" i="10" s="1"/>
  <c r="J17" i="10"/>
  <c r="L17" i="10" s="1"/>
  <c r="L18" i="10"/>
  <c r="J18" i="10"/>
  <c r="K18" i="10" s="1"/>
  <c r="C36" i="10"/>
  <c r="B34" i="10"/>
  <c r="C34" i="10"/>
  <c r="B37" i="10"/>
  <c r="B35" i="10"/>
  <c r="B36" i="10"/>
  <c r="I6" i="9"/>
  <c r="C28" i="9" s="1"/>
  <c r="J7" i="9"/>
  <c r="I10" i="9"/>
  <c r="K10" i="9" s="1"/>
  <c r="L10" i="9" s="1"/>
  <c r="J11" i="9"/>
  <c r="I5" i="9"/>
  <c r="J6" i="9"/>
  <c r="K9" i="9"/>
  <c r="L9" i="9" s="1"/>
  <c r="I9" i="9"/>
  <c r="J10" i="9"/>
  <c r="I7" i="9"/>
  <c r="K7" i="9" s="1"/>
  <c r="L7" i="9" s="1"/>
  <c r="I11" i="9"/>
  <c r="K11" i="9" s="1"/>
  <c r="L11" i="9" s="1"/>
  <c r="L28" i="9"/>
  <c r="K4" i="9"/>
  <c r="L4" i="9" s="1"/>
  <c r="I4" i="9"/>
  <c r="J5" i="9"/>
  <c r="K5" i="9" s="1"/>
  <c r="L5" i="9" s="1"/>
  <c r="I8" i="9"/>
  <c r="K8" i="9" s="1"/>
  <c r="L8" i="9" s="1"/>
  <c r="J9" i="9"/>
  <c r="B27" i="9"/>
  <c r="B29" i="9"/>
  <c r="J3" i="9"/>
  <c r="J13" i="9" s="1"/>
  <c r="C29" i="9"/>
  <c r="B28" i="9"/>
  <c r="F13" i="9"/>
  <c r="D28" i="9"/>
  <c r="D29" i="9"/>
  <c r="H3" i="9"/>
  <c r="G13" i="9"/>
  <c r="C34" i="7"/>
  <c r="B31" i="7"/>
  <c r="C31" i="7"/>
  <c r="D31" i="7"/>
  <c r="D34" i="7"/>
  <c r="B32" i="7"/>
  <c r="C32" i="7"/>
  <c r="D32" i="7"/>
  <c r="B34" i="7"/>
  <c r="B33" i="7"/>
  <c r="C33" i="7"/>
  <c r="I16" i="7"/>
  <c r="J8" i="7"/>
  <c r="K11" i="7"/>
  <c r="J14" i="7"/>
  <c r="K14" i="7" s="1"/>
  <c r="J10" i="7"/>
  <c r="K10" i="7" s="1"/>
  <c r="J6" i="7"/>
  <c r="K6" i="7" s="1"/>
  <c r="J7" i="7"/>
  <c r="K7" i="7" s="1"/>
  <c r="J12" i="7"/>
  <c r="K12" i="7" s="1"/>
  <c r="J4" i="7"/>
  <c r="J16" i="7" s="1"/>
  <c r="K3" i="7"/>
  <c r="K13" i="7"/>
  <c r="K9" i="7"/>
  <c r="K5" i="7"/>
  <c r="K8" i="7"/>
  <c r="K4" i="7"/>
  <c r="H16" i="7"/>
  <c r="C31" i="5"/>
  <c r="D31" i="5"/>
  <c r="C32" i="5"/>
  <c r="D32" i="5"/>
  <c r="C33" i="5"/>
  <c r="D33" i="5"/>
  <c r="C34" i="5"/>
  <c r="D34" i="5"/>
  <c r="B34" i="5"/>
  <c r="B33" i="5"/>
  <c r="B32" i="5"/>
  <c r="B31" i="5"/>
  <c r="F16" i="5"/>
  <c r="G16" i="5"/>
  <c r="J4" i="5"/>
  <c r="J5" i="5"/>
  <c r="J6" i="5"/>
  <c r="J7" i="5"/>
  <c r="J8" i="5"/>
  <c r="J9" i="5"/>
  <c r="J10" i="5"/>
  <c r="J11" i="5"/>
  <c r="J12" i="5"/>
  <c r="J13" i="5"/>
  <c r="J14" i="5"/>
  <c r="J3" i="5"/>
  <c r="I4" i="5"/>
  <c r="I5" i="5"/>
  <c r="I6" i="5"/>
  <c r="I7" i="5"/>
  <c r="I8" i="5"/>
  <c r="I9" i="5"/>
  <c r="I10" i="5"/>
  <c r="I11" i="5"/>
  <c r="I12" i="5"/>
  <c r="I13" i="5"/>
  <c r="I14" i="5"/>
  <c r="H4" i="5"/>
  <c r="H5" i="5"/>
  <c r="H6" i="5"/>
  <c r="H7" i="5"/>
  <c r="H8" i="5"/>
  <c r="H9" i="5"/>
  <c r="H10" i="5"/>
  <c r="H11" i="5"/>
  <c r="H12" i="5"/>
  <c r="H13" i="5"/>
  <c r="H14" i="5"/>
  <c r="C4" i="5"/>
  <c r="C5" i="5"/>
  <c r="C6" i="5"/>
  <c r="C7" i="5"/>
  <c r="C8" i="5"/>
  <c r="C9" i="5"/>
  <c r="C10" i="5"/>
  <c r="C11" i="5"/>
  <c r="C12" i="5"/>
  <c r="C13" i="5"/>
  <c r="C14" i="5"/>
  <c r="E4" i="5"/>
  <c r="E5" i="5"/>
  <c r="E6" i="5"/>
  <c r="E7" i="5"/>
  <c r="E8" i="5"/>
  <c r="E9" i="5"/>
  <c r="E10" i="5"/>
  <c r="E11" i="5"/>
  <c r="E12" i="5"/>
  <c r="E13" i="5"/>
  <c r="E14" i="5"/>
  <c r="K3" i="5"/>
  <c r="I3" i="5"/>
  <c r="I16" i="5" s="1"/>
  <c r="H3" i="5"/>
  <c r="E3" i="5"/>
  <c r="C3" i="5"/>
  <c r="G39" i="4"/>
  <c r="G41" i="4"/>
  <c r="G40" i="4"/>
  <c r="M3" i="17" l="1"/>
  <c r="L3" i="17"/>
  <c r="L20" i="17" s="1"/>
  <c r="K20" i="17"/>
  <c r="F40" i="16"/>
  <c r="L19" i="16"/>
  <c r="D32" i="16"/>
  <c r="M3" i="16"/>
  <c r="F38" i="16"/>
  <c r="L19" i="15"/>
  <c r="M3" i="15"/>
  <c r="D33" i="14"/>
  <c r="D34" i="14"/>
  <c r="K16" i="14"/>
  <c r="J16" i="14"/>
  <c r="H37" i="14"/>
  <c r="E38" i="13"/>
  <c r="K16" i="13"/>
  <c r="M3" i="13"/>
  <c r="L16" i="13"/>
  <c r="M6" i="12"/>
  <c r="I16" i="11"/>
  <c r="J16" i="11" s="1"/>
  <c r="L16" i="11" s="1"/>
  <c r="I15" i="11"/>
  <c r="J15" i="11" s="1"/>
  <c r="I7" i="11"/>
  <c r="J7" i="11"/>
  <c r="I14" i="11"/>
  <c r="J14" i="11" s="1"/>
  <c r="L14" i="11" s="1"/>
  <c r="I12" i="11"/>
  <c r="J12" i="11" s="1"/>
  <c r="L12" i="11" s="1"/>
  <c r="I10" i="11"/>
  <c r="J10" i="11" s="1"/>
  <c r="L10" i="11" s="1"/>
  <c r="I8" i="11"/>
  <c r="J8" i="11" s="1"/>
  <c r="L8" i="11" s="1"/>
  <c r="I11" i="11"/>
  <c r="J11" i="11" s="1"/>
  <c r="G20" i="11"/>
  <c r="I3" i="11"/>
  <c r="J3" i="11" s="1"/>
  <c r="I6" i="11"/>
  <c r="J6" i="11"/>
  <c r="L6" i="11" s="1"/>
  <c r="E39" i="11"/>
  <c r="J4" i="11"/>
  <c r="I4" i="11"/>
  <c r="I18" i="11"/>
  <c r="J18" i="11"/>
  <c r="L18" i="11" s="1"/>
  <c r="D35" i="10"/>
  <c r="K17" i="10"/>
  <c r="L16" i="10"/>
  <c r="L8" i="10"/>
  <c r="K6" i="10"/>
  <c r="D37" i="10" s="1"/>
  <c r="K5" i="10"/>
  <c r="D36" i="10" s="1"/>
  <c r="L4" i="10"/>
  <c r="H41" i="10"/>
  <c r="J20" i="10"/>
  <c r="C35" i="10"/>
  <c r="H40" i="10"/>
  <c r="K6" i="9"/>
  <c r="D27" i="9"/>
  <c r="H13" i="9"/>
  <c r="I3" i="9"/>
  <c r="K16" i="7"/>
  <c r="L3" i="5"/>
  <c r="M3" i="5" s="1"/>
  <c r="K14" i="5"/>
  <c r="L14" i="5" s="1"/>
  <c r="M14" i="5" s="1"/>
  <c r="K10" i="5"/>
  <c r="K6" i="5"/>
  <c r="L6" i="5" s="1"/>
  <c r="M6" i="5" s="1"/>
  <c r="K12" i="5"/>
  <c r="L12" i="5" s="1"/>
  <c r="M12" i="5" s="1"/>
  <c r="K8" i="5"/>
  <c r="L8" i="5" s="1"/>
  <c r="M8" i="5" s="1"/>
  <c r="K4" i="5"/>
  <c r="L4" i="5" s="1"/>
  <c r="M4" i="5" s="1"/>
  <c r="K11" i="5"/>
  <c r="L11" i="5" s="1"/>
  <c r="M11" i="5" s="1"/>
  <c r="K7" i="5"/>
  <c r="J16" i="5"/>
  <c r="L7" i="5"/>
  <c r="M7" i="5" s="1"/>
  <c r="E16" i="5"/>
  <c r="K5" i="5"/>
  <c r="L10" i="5"/>
  <c r="M10" i="5" s="1"/>
  <c r="K13" i="5"/>
  <c r="L13" i="5" s="1"/>
  <c r="M13" i="5" s="1"/>
  <c r="K9" i="5"/>
  <c r="L9" i="5" s="1"/>
  <c r="M9" i="5" s="1"/>
  <c r="G30" i="4"/>
  <c r="I30" i="4"/>
  <c r="F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E4" i="4"/>
  <c r="I4" i="4" s="1"/>
  <c r="E5" i="4"/>
  <c r="I5" i="4" s="1"/>
  <c r="E6" i="4"/>
  <c r="I6" i="4" s="1"/>
  <c r="K6" i="4" s="1"/>
  <c r="E7" i="4"/>
  <c r="I7" i="4" s="1"/>
  <c r="K7" i="4" s="1"/>
  <c r="E8" i="4"/>
  <c r="I8" i="4" s="1"/>
  <c r="E9" i="4"/>
  <c r="I9" i="4" s="1"/>
  <c r="E10" i="4"/>
  <c r="I10" i="4" s="1"/>
  <c r="K10" i="4" s="1"/>
  <c r="E11" i="4"/>
  <c r="I11" i="4" s="1"/>
  <c r="K11" i="4" s="1"/>
  <c r="E12" i="4"/>
  <c r="I12" i="4" s="1"/>
  <c r="E13" i="4"/>
  <c r="I13" i="4" s="1"/>
  <c r="E14" i="4"/>
  <c r="I14" i="4" s="1"/>
  <c r="K14" i="4" s="1"/>
  <c r="E15" i="4"/>
  <c r="I15" i="4" s="1"/>
  <c r="K15" i="4" s="1"/>
  <c r="E16" i="4"/>
  <c r="I16" i="4" s="1"/>
  <c r="E17" i="4"/>
  <c r="I17" i="4" s="1"/>
  <c r="E18" i="4"/>
  <c r="I18" i="4" s="1"/>
  <c r="K18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G20" i="4"/>
  <c r="F20" i="4"/>
  <c r="J3" i="4"/>
  <c r="L3" i="4"/>
  <c r="H3" i="4"/>
  <c r="E3" i="4"/>
  <c r="I3" i="4" s="1"/>
  <c r="D3" i="4"/>
  <c r="B3" i="4"/>
  <c r="L11" i="11" l="1"/>
  <c r="C35" i="11"/>
  <c r="L3" i="11"/>
  <c r="J20" i="11"/>
  <c r="C33" i="11"/>
  <c r="L15" i="11"/>
  <c r="C36" i="11"/>
  <c r="E38" i="11"/>
  <c r="L4" i="11"/>
  <c r="I20" i="11"/>
  <c r="E40" i="11"/>
  <c r="L7" i="11"/>
  <c r="C34" i="11"/>
  <c r="K20" i="10"/>
  <c r="I13" i="9"/>
  <c r="C27" i="9"/>
  <c r="L29" i="9"/>
  <c r="L6" i="9"/>
  <c r="L27" i="9"/>
  <c r="K3" i="9"/>
  <c r="K16" i="5"/>
  <c r="L5" i="5"/>
  <c r="M5" i="5" s="1"/>
  <c r="D35" i="4"/>
  <c r="C35" i="4"/>
  <c r="B36" i="4"/>
  <c r="C36" i="4"/>
  <c r="B35" i="4"/>
  <c r="C34" i="4"/>
  <c r="D36" i="4"/>
  <c r="B34" i="4"/>
  <c r="B37" i="4"/>
  <c r="D37" i="4"/>
  <c r="C37" i="4"/>
  <c r="D34" i="4"/>
  <c r="K16" i="4"/>
  <c r="M16" i="4" s="1"/>
  <c r="K12" i="4"/>
  <c r="M12" i="4" s="1"/>
  <c r="K8" i="4"/>
  <c r="M8" i="4" s="1"/>
  <c r="K4" i="4"/>
  <c r="M4" i="4" s="1"/>
  <c r="K3" i="4"/>
  <c r="M3" i="4" s="1"/>
  <c r="K17" i="4"/>
  <c r="M17" i="4" s="1"/>
  <c r="K13" i="4"/>
  <c r="M13" i="4" s="1"/>
  <c r="K9" i="4"/>
  <c r="M9" i="4" s="1"/>
  <c r="I20" i="4"/>
  <c r="K5" i="4"/>
  <c r="M5" i="4" s="1"/>
  <c r="M11" i="4"/>
  <c r="M18" i="4"/>
  <c r="M14" i="4"/>
  <c r="M10" i="4"/>
  <c r="M6" i="4"/>
  <c r="M7" i="4"/>
  <c r="M15" i="4"/>
  <c r="E40" i="3"/>
  <c r="E39" i="3"/>
  <c r="E38" i="3"/>
  <c r="C33" i="3"/>
  <c r="D33" i="3"/>
  <c r="C34" i="3"/>
  <c r="D34" i="3"/>
  <c r="C35" i="3"/>
  <c r="D35" i="3"/>
  <c r="C36" i="3"/>
  <c r="D36" i="3"/>
  <c r="B36" i="3"/>
  <c r="B35" i="3"/>
  <c r="B34" i="3"/>
  <c r="B33" i="3"/>
  <c r="G29" i="3"/>
  <c r="I29" i="3"/>
  <c r="J29" i="3"/>
  <c r="K29" i="3"/>
  <c r="F2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11" i="3"/>
  <c r="I11" i="3" s="1"/>
  <c r="G15" i="3"/>
  <c r="I15" i="3" s="1"/>
  <c r="E4" i="3"/>
  <c r="K4" i="3" s="1"/>
  <c r="E5" i="3"/>
  <c r="K5" i="3" s="1"/>
  <c r="E6" i="3"/>
  <c r="G6" i="3" s="1"/>
  <c r="E7" i="3"/>
  <c r="K7" i="3" s="1"/>
  <c r="E8" i="3"/>
  <c r="K8" i="3" s="1"/>
  <c r="E9" i="3"/>
  <c r="K9" i="3" s="1"/>
  <c r="E10" i="3"/>
  <c r="K10" i="3" s="1"/>
  <c r="E11" i="3"/>
  <c r="K11" i="3" s="1"/>
  <c r="E12" i="3"/>
  <c r="G12" i="3" s="1"/>
  <c r="E13" i="3"/>
  <c r="K13" i="3" s="1"/>
  <c r="E14" i="3"/>
  <c r="K14" i="3" s="1"/>
  <c r="E15" i="3"/>
  <c r="K15" i="3" s="1"/>
  <c r="E16" i="3"/>
  <c r="K16" i="3" s="1"/>
  <c r="E17" i="3"/>
  <c r="K17" i="3" s="1"/>
  <c r="E18" i="3"/>
  <c r="G18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F20" i="3"/>
  <c r="K3" i="3"/>
  <c r="H3" i="3"/>
  <c r="E3" i="3"/>
  <c r="G3" i="3" s="1"/>
  <c r="D3" i="3"/>
  <c r="B3" i="3"/>
  <c r="H42" i="2"/>
  <c r="H41" i="2"/>
  <c r="H40" i="2"/>
  <c r="D37" i="2"/>
  <c r="D36" i="2"/>
  <c r="D35" i="2"/>
  <c r="D34" i="2"/>
  <c r="C37" i="2"/>
  <c r="C36" i="2"/>
  <c r="C35" i="2"/>
  <c r="C34" i="2"/>
  <c r="B37" i="2"/>
  <c r="B36" i="2"/>
  <c r="B35" i="2"/>
  <c r="B34" i="2"/>
  <c r="K13" i="9" l="1"/>
  <c r="L3" i="9"/>
  <c r="L16" i="5"/>
  <c r="I12" i="3"/>
  <c r="G4" i="3"/>
  <c r="I4" i="3" s="1"/>
  <c r="J4" i="3" s="1"/>
  <c r="L4" i="3" s="1"/>
  <c r="K12" i="3"/>
  <c r="G16" i="3"/>
  <c r="I16" i="3" s="1"/>
  <c r="I18" i="3"/>
  <c r="J18" i="3" s="1"/>
  <c r="L18" i="3" s="1"/>
  <c r="I6" i="3"/>
  <c r="J6" i="3" s="1"/>
  <c r="L6" i="3" s="1"/>
  <c r="G10" i="3"/>
  <c r="K18" i="3"/>
  <c r="G14" i="3"/>
  <c r="G8" i="3"/>
  <c r="I8" i="3" s="1"/>
  <c r="G7" i="3"/>
  <c r="I7" i="3" s="1"/>
  <c r="K6" i="3"/>
  <c r="K20" i="3"/>
  <c r="J16" i="3"/>
  <c r="L16" i="3" s="1"/>
  <c r="J12" i="3"/>
  <c r="L12" i="3" s="1"/>
  <c r="J15" i="3"/>
  <c r="L15" i="3" s="1"/>
  <c r="J11" i="3"/>
  <c r="L11" i="3" s="1"/>
  <c r="J7" i="3"/>
  <c r="L7" i="3" s="1"/>
  <c r="I3" i="3"/>
  <c r="G17" i="3"/>
  <c r="G13" i="3"/>
  <c r="G9" i="3"/>
  <c r="G5" i="3"/>
  <c r="J30" i="2"/>
  <c r="G30" i="2"/>
  <c r="H30" i="2"/>
  <c r="K30" i="2"/>
  <c r="F30" i="2"/>
  <c r="G20" i="2"/>
  <c r="F20" i="2"/>
  <c r="I14" i="3" l="1"/>
  <c r="J14" i="3" s="1"/>
  <c r="L14" i="3" s="1"/>
  <c r="J8" i="3"/>
  <c r="L8" i="3" s="1"/>
  <c r="J10" i="3"/>
  <c r="L10" i="3" s="1"/>
  <c r="I10" i="3"/>
  <c r="I9" i="3"/>
  <c r="J9" i="3" s="1"/>
  <c r="L9" i="3" s="1"/>
  <c r="J3" i="3"/>
  <c r="I17" i="3"/>
  <c r="J17" i="3" s="1"/>
  <c r="L17" i="3" s="1"/>
  <c r="G20" i="3"/>
  <c r="I5" i="3"/>
  <c r="I13" i="3"/>
  <c r="J13" i="3" s="1"/>
  <c r="L1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J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3" i="2"/>
  <c r="H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D3" i="2"/>
  <c r="B3" i="2"/>
  <c r="I20" i="3" l="1"/>
  <c r="J5" i="3"/>
  <c r="L5" i="3" s="1"/>
  <c r="J20" i="3"/>
  <c r="L3" i="3"/>
  <c r="J15" i="2"/>
  <c r="J7" i="2"/>
  <c r="H20" i="2"/>
  <c r="J3" i="2"/>
  <c r="K3" i="2" s="1"/>
  <c r="J18" i="2"/>
  <c r="L18" i="2" s="1"/>
  <c r="J14" i="2"/>
  <c r="K14" i="2"/>
  <c r="L14" i="2"/>
  <c r="J10" i="2"/>
  <c r="K10" i="2" s="1"/>
  <c r="J6" i="2"/>
  <c r="K6" i="2" s="1"/>
  <c r="J17" i="2"/>
  <c r="L17" i="2" s="1"/>
  <c r="J13" i="2"/>
  <c r="K13" i="2" s="1"/>
  <c r="J9" i="2"/>
  <c r="K9" i="2" s="1"/>
  <c r="J5" i="2"/>
  <c r="L5" i="2" s="1"/>
  <c r="L12" i="2"/>
  <c r="L15" i="2"/>
  <c r="L11" i="2"/>
  <c r="L7" i="2"/>
  <c r="J16" i="2"/>
  <c r="L16" i="2" s="1"/>
  <c r="J12" i="2"/>
  <c r="K12" i="2" s="1"/>
  <c r="J8" i="2"/>
  <c r="L8" i="2" s="1"/>
  <c r="J4" i="2"/>
  <c r="L4" i="2" s="1"/>
  <c r="K15" i="2"/>
  <c r="K11" i="2"/>
  <c r="K7" i="2"/>
  <c r="C3" i="1"/>
  <c r="E23" i="1"/>
  <c r="F23" i="1"/>
  <c r="G23" i="1"/>
  <c r="H23" i="1"/>
  <c r="I23" i="1"/>
  <c r="J23" i="1"/>
  <c r="K23" i="1"/>
  <c r="D23" i="1"/>
  <c r="D13" i="1"/>
  <c r="E13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H11" i="1" s="1"/>
  <c r="C4" i="1"/>
  <c r="C5" i="1"/>
  <c r="C6" i="1"/>
  <c r="C7" i="1"/>
  <c r="C8" i="1"/>
  <c r="C9" i="1"/>
  <c r="C10" i="1"/>
  <c r="C11" i="1"/>
  <c r="G3" i="1"/>
  <c r="F3" i="1"/>
  <c r="K17" i="2" l="1"/>
  <c r="L13" i="2"/>
  <c r="K5" i="2"/>
  <c r="L10" i="2"/>
  <c r="K8" i="2"/>
  <c r="K4" i="2"/>
  <c r="K18" i="2"/>
  <c r="J20" i="2"/>
  <c r="L9" i="2"/>
  <c r="L6" i="2"/>
  <c r="L3" i="2"/>
  <c r="K16" i="2"/>
  <c r="K20" i="2" s="1"/>
  <c r="H7" i="1"/>
  <c r="H3" i="1"/>
  <c r="I3" i="1" s="1"/>
  <c r="B27" i="1"/>
  <c r="B28" i="1"/>
  <c r="B29" i="1"/>
  <c r="G13" i="1"/>
  <c r="J3" i="1"/>
  <c r="I9" i="1"/>
  <c r="I5" i="1"/>
  <c r="J9" i="1"/>
  <c r="J5" i="1"/>
  <c r="I8" i="1"/>
  <c r="I4" i="1"/>
  <c r="J8" i="1"/>
  <c r="J4" i="1"/>
  <c r="D27" i="1" s="1"/>
  <c r="I11" i="1"/>
  <c r="I7" i="1"/>
  <c r="J11" i="1"/>
  <c r="J7" i="1"/>
  <c r="I10" i="1"/>
  <c r="I6" i="1"/>
  <c r="J10" i="1"/>
  <c r="D29" i="1" s="1"/>
  <c r="J6" i="1"/>
  <c r="D28" i="1" s="1"/>
  <c r="F13" i="1"/>
  <c r="H13" i="1" l="1"/>
  <c r="L28" i="1"/>
  <c r="C29" i="1"/>
  <c r="C28" i="1"/>
  <c r="L29" i="1"/>
  <c r="K10" i="1"/>
  <c r="L10" i="1" s="1"/>
  <c r="K11" i="1"/>
  <c r="L11" i="1" s="1"/>
  <c r="K8" i="1"/>
  <c r="L8" i="1" s="1"/>
  <c r="C27" i="1"/>
  <c r="K9" i="1"/>
  <c r="L9" i="1" s="1"/>
  <c r="K3" i="1"/>
  <c r="L3" i="1" s="1"/>
  <c r="K6" i="1"/>
  <c r="K7" i="1"/>
  <c r="L7" i="1" s="1"/>
  <c r="K4" i="1"/>
  <c r="L4" i="1" s="1"/>
  <c r="K5" i="1"/>
  <c r="L5" i="1" s="1"/>
  <c r="J13" i="1"/>
  <c r="I13" i="1"/>
  <c r="L6" i="1" l="1"/>
  <c r="L27" i="1"/>
  <c r="K13" i="1"/>
</calcChain>
</file>

<file path=xl/sharedStrings.xml><?xml version="1.0" encoding="utf-8"?>
<sst xmlns="http://schemas.openxmlformats.org/spreadsheetml/2006/main" count="1661" uniqueCount="396">
  <si>
    <t>社員別賃金一覧表</t>
    <rPh sb="0" eb="2">
      <t>シャイン</t>
    </rPh>
    <rPh sb="2" eb="3">
      <t>ベツ</t>
    </rPh>
    <rPh sb="3" eb="4">
      <t>チン</t>
    </rPh>
    <rPh sb="4" eb="5">
      <t>キン</t>
    </rPh>
    <rPh sb="5" eb="7">
      <t>イチラン</t>
    </rPh>
    <rPh sb="7" eb="8">
      <t>ヒョウ</t>
    </rPh>
    <phoneticPr fontId="2"/>
  </si>
  <si>
    <t>ＣＯ</t>
    <phoneticPr fontId="2"/>
  </si>
  <si>
    <t>社員名</t>
    <rPh sb="0" eb="3">
      <t>シャインメイ</t>
    </rPh>
    <phoneticPr fontId="2"/>
  </si>
  <si>
    <t>チーム名</t>
  </si>
  <si>
    <t>チーム名</t>
    <rPh sb="3" eb="4">
      <t>メイ</t>
    </rPh>
    <phoneticPr fontId="2"/>
  </si>
  <si>
    <t>契約数</t>
  </si>
  <si>
    <t>契約数</t>
    <rPh sb="0" eb="2">
      <t>ケイヤク</t>
    </rPh>
    <rPh sb="2" eb="3">
      <t>スウ</t>
    </rPh>
    <phoneticPr fontId="2"/>
  </si>
  <si>
    <t>契約額(千)</t>
    <rPh sb="0" eb="3">
      <t>ケイヤクガク</t>
    </rPh>
    <rPh sb="4" eb="5">
      <t>セン</t>
    </rPh>
    <phoneticPr fontId="2"/>
  </si>
  <si>
    <t>査定A</t>
  </si>
  <si>
    <t>査定A</t>
    <rPh sb="0" eb="2">
      <t>サテイ</t>
    </rPh>
    <phoneticPr fontId="2"/>
  </si>
  <si>
    <t>査定B</t>
    <rPh sb="0" eb="2">
      <t>サテイ</t>
    </rPh>
    <phoneticPr fontId="2"/>
  </si>
  <si>
    <t>基本賃金</t>
    <rPh sb="0" eb="2">
      <t>キホン</t>
    </rPh>
    <rPh sb="2" eb="4">
      <t>チンギン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</si>
  <si>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</si>
  <si>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</si>
  <si>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評価</t>
    <rPh sb="0" eb="2">
      <t>ヒョウカ</t>
    </rPh>
    <phoneticPr fontId="2"/>
  </si>
  <si>
    <t>内藤　信也</t>
    <rPh sb="0" eb="2">
      <t>ナイトウ</t>
    </rPh>
    <rPh sb="3" eb="4">
      <t>シン</t>
    </rPh>
    <rPh sb="4" eb="5">
      <t>ナリ</t>
    </rPh>
    <phoneticPr fontId="2"/>
  </si>
  <si>
    <t>松島　清子</t>
    <rPh sb="0" eb="2">
      <t>マツシマ</t>
    </rPh>
    <rPh sb="3" eb="5">
      <t>セイゴ</t>
    </rPh>
    <phoneticPr fontId="2"/>
  </si>
  <si>
    <t>堀　さゆり</t>
    <rPh sb="0" eb="1">
      <t>ホリ</t>
    </rPh>
    <phoneticPr fontId="2"/>
  </si>
  <si>
    <t>渡辺　大地</t>
    <rPh sb="0" eb="2">
      <t>ワタナベ</t>
    </rPh>
    <rPh sb="3" eb="5">
      <t>ダイチ</t>
    </rPh>
    <phoneticPr fontId="2"/>
  </si>
  <si>
    <t>久保山　新</t>
    <rPh sb="0" eb="3">
      <t>クボヤマ</t>
    </rPh>
    <rPh sb="4" eb="5">
      <t>シン</t>
    </rPh>
    <phoneticPr fontId="2"/>
  </si>
  <si>
    <t>大石　ミサ</t>
    <rPh sb="0" eb="2">
      <t>オオセキ</t>
    </rPh>
    <phoneticPr fontId="2"/>
  </si>
  <si>
    <t>中村　一郎</t>
    <rPh sb="0" eb="2">
      <t>ナカムラ</t>
    </rPh>
    <rPh sb="3" eb="5">
      <t>イチロウ</t>
    </rPh>
    <phoneticPr fontId="2"/>
  </si>
  <si>
    <t>長山　英美</t>
    <rPh sb="0" eb="2">
      <t>ナガヤマ</t>
    </rPh>
    <rPh sb="3" eb="4">
      <t>エイ</t>
    </rPh>
    <rPh sb="4" eb="5">
      <t>ウツク</t>
    </rPh>
    <phoneticPr fontId="2"/>
  </si>
  <si>
    <t>小早川　哲</t>
    <rPh sb="0" eb="3">
      <t>コバヤカワ</t>
    </rPh>
    <rPh sb="4" eb="5">
      <t>テツ</t>
    </rPh>
    <phoneticPr fontId="2"/>
  </si>
  <si>
    <t>チーム</t>
    <phoneticPr fontId="2"/>
  </si>
  <si>
    <t>営業A</t>
    <rPh sb="0" eb="2">
      <t>エイギョウ</t>
    </rPh>
    <phoneticPr fontId="2"/>
  </si>
  <si>
    <t>営業B</t>
    <rPh sb="0" eb="2">
      <t>エイギョウ</t>
    </rPh>
    <phoneticPr fontId="2"/>
  </si>
  <si>
    <t>営業C</t>
    <rPh sb="0" eb="2">
      <t>エイギョウ</t>
    </rPh>
    <phoneticPr fontId="2"/>
  </si>
  <si>
    <t>目標数</t>
    <rPh sb="0" eb="3">
      <t>モクヒョウスウ</t>
    </rPh>
    <phoneticPr fontId="2"/>
  </si>
  <si>
    <t>目標額(千)</t>
    <rPh sb="0" eb="3">
      <t>モクヒョウガク</t>
    </rPh>
    <phoneticPr fontId="2"/>
  </si>
  <si>
    <t>単価X</t>
    <rPh sb="0" eb="2">
      <t>タンカ</t>
    </rPh>
    <phoneticPr fontId="2"/>
  </si>
  <si>
    <t>単価Y</t>
    <phoneticPr fontId="2"/>
  </si>
  <si>
    <t>合計</t>
    <rPh sb="0" eb="2">
      <t>ゴウケイ</t>
    </rPh>
    <phoneticPr fontId="2"/>
  </si>
  <si>
    <t>単価X表</t>
    <rPh sb="3" eb="4">
      <t>ヒョウ</t>
    </rPh>
    <phoneticPr fontId="2"/>
  </si>
  <si>
    <t>単価Y表</t>
    <rPh sb="3" eb="4">
      <t>ヒョウ</t>
    </rPh>
    <phoneticPr fontId="2"/>
  </si>
  <si>
    <t>営業Aチーム</t>
  </si>
  <si>
    <t/>
  </si>
  <si>
    <t>営業Bチーム</t>
  </si>
  <si>
    <t>*</t>
  </si>
  <si>
    <t>営業Cチーム</t>
  </si>
  <si>
    <t>社員別賃金一覧表（契約数370以上・総支給額20万円未満）</t>
    <rPh sb="15" eb="17">
      <t>イジョウ</t>
    </rPh>
    <rPh sb="18" eb="22">
      <t>ソウシキュウガク</t>
    </rPh>
    <rPh sb="24" eb="25">
      <t>マン</t>
    </rPh>
    <rPh sb="25" eb="26">
      <t>エン</t>
    </rPh>
    <rPh sb="26" eb="28">
      <t>ミマン</t>
    </rPh>
    <phoneticPr fontId="2"/>
  </si>
  <si>
    <t>チーム別集計表</t>
    <rPh sb="3" eb="4">
      <t>ベツ</t>
    </rPh>
    <rPh sb="4" eb="7">
      <t>シュウケイヒョウ</t>
    </rPh>
    <phoneticPr fontId="2"/>
  </si>
  <si>
    <t>勤勉手当</t>
  </si>
  <si>
    <t>勤勉手当</t>
    <rPh sb="0" eb="2">
      <t>キンベン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</si>
  <si>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</si>
  <si>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営業Aチーム</t>
    <phoneticPr fontId="2"/>
  </si>
  <si>
    <t>営業Bチーム</t>
    <phoneticPr fontId="2"/>
  </si>
  <si>
    <t>営業Cチーム</t>
    <phoneticPr fontId="2"/>
  </si>
  <si>
    <t>チーム名</t>
    <phoneticPr fontId="2"/>
  </si>
  <si>
    <t>査定Aが100より多く110より少ない総支給額の合計</t>
    <rPh sb="0" eb="2">
      <t>サテイ</t>
    </rPh>
    <rPh sb="9" eb="10">
      <t>オオ</t>
    </rPh>
    <rPh sb="16" eb="17">
      <t>スク</t>
    </rPh>
    <rPh sb="19" eb="23">
      <t>ソウシキュウガク</t>
    </rPh>
    <rPh sb="24" eb="26">
      <t>ゴウケイ</t>
    </rPh>
    <phoneticPr fontId="2"/>
  </si>
  <si>
    <t>営業Bチーム以外で基本賃金が14万円以上の件数</t>
    <rPh sb="6" eb="8">
      <t>イガイ</t>
    </rPh>
    <rPh sb="9" eb="13">
      <t>キホンチンギン</t>
    </rPh>
    <rPh sb="16" eb="18">
      <t>マンエン</t>
    </rPh>
    <rPh sb="18" eb="20">
      <t>イジョウ</t>
    </rPh>
    <rPh sb="21" eb="23">
      <t>ケンスウ</t>
    </rPh>
    <phoneticPr fontId="2"/>
  </si>
  <si>
    <t>査定Bが100以上の勤勉手当の最大</t>
    <rPh sb="0" eb="2">
      <t>サテイ</t>
    </rPh>
    <rPh sb="7" eb="9">
      <t>イジョウ</t>
    </rPh>
    <rPh sb="10" eb="12">
      <t>キンベン</t>
    </rPh>
    <rPh sb="12" eb="14">
      <t>テアテ</t>
    </rPh>
    <rPh sb="15" eb="17">
      <t>サイダイ</t>
    </rPh>
    <phoneticPr fontId="2"/>
  </si>
  <si>
    <t>&gt;100</t>
    <phoneticPr fontId="2"/>
  </si>
  <si>
    <t>&lt;110</t>
    <phoneticPr fontId="2"/>
  </si>
  <si>
    <t>&lt;&gt;営業Bチーム</t>
    <phoneticPr fontId="2"/>
  </si>
  <si>
    <t>基本賃金</t>
    <phoneticPr fontId="2"/>
  </si>
  <si>
    <t>&gt;=140000</t>
    <phoneticPr fontId="2"/>
  </si>
  <si>
    <t>査定B</t>
    <phoneticPr fontId="2"/>
  </si>
  <si>
    <t>&gt;=100</t>
    <phoneticPr fontId="2"/>
  </si>
  <si>
    <t>チーム表</t>
    <rPh sb="3" eb="4">
      <t>ヒョウ</t>
    </rPh>
    <phoneticPr fontId="2"/>
  </si>
  <si>
    <t>目標テーブル</t>
    <rPh sb="0" eb="2">
      <t>モクヒョウ</t>
    </rPh>
    <phoneticPr fontId="2"/>
  </si>
  <si>
    <t>営業手当の計算式</t>
    <rPh sb="5" eb="8">
      <t>ケイサンシキ</t>
    </rPh>
    <phoneticPr fontId="2"/>
  </si>
  <si>
    <t>委ＣＯ</t>
    <rPh sb="0" eb="1">
      <t>イ</t>
    </rPh>
    <phoneticPr fontId="2"/>
  </si>
  <si>
    <t>商ＣＯ</t>
    <rPh sb="0" eb="1">
      <t>ショウ</t>
    </rPh>
    <phoneticPr fontId="2"/>
  </si>
  <si>
    <t>委託先名</t>
    <rPh sb="0" eb="2">
      <t>イタク</t>
    </rPh>
    <rPh sb="2" eb="4">
      <t>サキメイ</t>
    </rPh>
    <phoneticPr fontId="2"/>
  </si>
  <si>
    <t>商品名</t>
    <rPh sb="0" eb="3">
      <t>ショウヒンメイ</t>
    </rPh>
    <phoneticPr fontId="2"/>
  </si>
  <si>
    <t>売価</t>
    <rPh sb="0" eb="2">
      <t>バイカ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</si>
  <si>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</si>
  <si>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</si>
  <si>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</si>
  <si>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乗率</t>
    <rPh sb="0" eb="2">
      <t>ジョウリツ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</si>
  <si>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</si>
  <si>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</si>
  <si>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判定</t>
    <rPh sb="0" eb="2">
      <t>ハンテイ</t>
    </rPh>
    <phoneticPr fontId="2"/>
  </si>
  <si>
    <t>委託販売一覧表</t>
    <rPh sb="0" eb="2">
      <t>イタク</t>
    </rPh>
    <rPh sb="2" eb="4">
      <t>ハンバイ</t>
    </rPh>
    <rPh sb="4" eb="7">
      <t>イチランヒョウ</t>
    </rPh>
    <phoneticPr fontId="2"/>
  </si>
  <si>
    <t>11Y</t>
    <phoneticPr fontId="2"/>
  </si>
  <si>
    <t>12Z</t>
    <phoneticPr fontId="2"/>
  </si>
  <si>
    <t>13X</t>
    <phoneticPr fontId="2"/>
  </si>
  <si>
    <t>14Y</t>
    <phoneticPr fontId="2"/>
  </si>
  <si>
    <t>委託先名</t>
    <phoneticPr fontId="2"/>
  </si>
  <si>
    <t>北陸商事</t>
    <rPh sb="0" eb="2">
      <t>キタリク</t>
    </rPh>
    <rPh sb="2" eb="4">
      <t>ショウジ</t>
    </rPh>
    <phoneticPr fontId="2"/>
  </si>
  <si>
    <t>大川電機</t>
    <rPh sb="0" eb="1">
      <t>ダイ</t>
    </rPh>
    <rPh sb="1" eb="2">
      <t>カワ</t>
    </rPh>
    <rPh sb="2" eb="4">
      <t>デンキ</t>
    </rPh>
    <phoneticPr fontId="2"/>
  </si>
  <si>
    <t>佐藤企画</t>
    <rPh sb="0" eb="2">
      <t>サトウ</t>
    </rPh>
    <rPh sb="2" eb="4">
      <t>キカク</t>
    </rPh>
    <phoneticPr fontId="2"/>
  </si>
  <si>
    <t>明光電化</t>
    <rPh sb="0" eb="2">
      <t>メイコウ</t>
    </rPh>
    <rPh sb="2" eb="4">
      <t>デンカ</t>
    </rPh>
    <phoneticPr fontId="2"/>
  </si>
  <si>
    <t>定価</t>
    <rPh sb="0" eb="2">
      <t>テイカ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</si>
  <si>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</si>
  <si>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</si>
  <si>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</si>
  <si>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</si>
  <si>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区分</t>
    <rPh sb="0" eb="2">
      <t>クフン</t>
    </rPh>
    <phoneticPr fontId="2"/>
  </si>
  <si>
    <t>X</t>
    <phoneticPr fontId="2"/>
  </si>
  <si>
    <t>Y</t>
    <phoneticPr fontId="2"/>
  </si>
  <si>
    <t>Z</t>
    <phoneticPr fontId="2"/>
  </si>
  <si>
    <t>大川電機</t>
  </si>
  <si>
    <t>商品D</t>
  </si>
  <si>
    <t>**</t>
  </si>
  <si>
    <t>佐藤企画</t>
  </si>
  <si>
    <t>商品B</t>
  </si>
  <si>
    <t>明光電化</t>
  </si>
  <si>
    <t>商品A</t>
  </si>
  <si>
    <t>委託販売一覧表（販売数190未満・奨励金6,500円以上）</t>
    <rPh sb="0" eb="2">
      <t>イタク</t>
    </rPh>
    <rPh sb="2" eb="4">
      <t>ハンバイ</t>
    </rPh>
    <rPh sb="4" eb="7">
      <t>イチランヒョウ</t>
    </rPh>
    <rPh sb="8" eb="11">
      <t>ハンバイスウ</t>
    </rPh>
    <rPh sb="14" eb="16">
      <t>ミマン</t>
    </rPh>
    <rPh sb="17" eb="20">
      <t>ショウレイキン</t>
    </rPh>
    <rPh sb="25" eb="26">
      <t>エン</t>
    </rPh>
    <rPh sb="26" eb="28">
      <t>イジョウ</t>
    </rPh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</si>
  <si>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</si>
  <si>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商品名</t>
  </si>
  <si>
    <t>商品名</t>
    <rPh sb="0" eb="3">
      <t>ショウヒンメイ</t>
    </rPh>
    <phoneticPr fontId="2"/>
  </si>
  <si>
    <t>販売数</t>
    <rPh sb="0" eb="3">
      <t>ハンバイスウ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</si>
  <si>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</si>
  <si>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</si>
  <si>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</si>
  <si>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</si>
  <si>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</si>
  <si>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</si>
  <si>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委託数が130より多く210より少ない奨励金の合計</t>
    <rPh sb="0" eb="3">
      <t>イタクスウ</t>
    </rPh>
    <rPh sb="9" eb="10">
      <t>オオ</t>
    </rPh>
    <rPh sb="16" eb="17">
      <t>スク</t>
    </rPh>
    <rPh sb="19" eb="22">
      <t>ショウレイキン</t>
    </rPh>
    <rPh sb="23" eb="25">
      <t>ゴウケイ</t>
    </rPh>
    <phoneticPr fontId="2"/>
  </si>
  <si>
    <t>販売数が210未満で手数料が55,000円以上の件数</t>
    <rPh sb="0" eb="3">
      <t>ハンバイスウ</t>
    </rPh>
    <rPh sb="7" eb="9">
      <t>ミマン</t>
    </rPh>
    <rPh sb="10" eb="13">
      <t>テスウリョウ</t>
    </rPh>
    <rPh sb="20" eb="23">
      <t>エンイジョウ</t>
    </rPh>
    <rPh sb="24" eb="26">
      <t>ケンスウ</t>
    </rPh>
    <phoneticPr fontId="2"/>
  </si>
  <si>
    <t>商ＣＯが103以外で販売額が40万円以上の手数料の平均</t>
    <rPh sb="0" eb="1">
      <t>ショウ</t>
    </rPh>
    <rPh sb="7" eb="9">
      <t>イガイ</t>
    </rPh>
    <rPh sb="10" eb="13">
      <t>ハンバイガク</t>
    </rPh>
    <rPh sb="16" eb="18">
      <t>マンエン</t>
    </rPh>
    <rPh sb="18" eb="20">
      <t>イジョウ</t>
    </rPh>
    <rPh sb="21" eb="24">
      <t>テスウリョウ</t>
    </rPh>
    <rPh sb="25" eb="27">
      <t>ヘイキン</t>
    </rPh>
    <phoneticPr fontId="2"/>
  </si>
  <si>
    <t>委託数</t>
    <rPh sb="0" eb="3">
      <t>イタクスウ</t>
    </rPh>
    <phoneticPr fontId="2"/>
  </si>
  <si>
    <t>&gt;130</t>
    <phoneticPr fontId="2"/>
  </si>
  <si>
    <t>&lt;210</t>
    <phoneticPr fontId="2"/>
  </si>
  <si>
    <t>&gt;=55000</t>
    <phoneticPr fontId="2"/>
  </si>
  <si>
    <t>商ＣＯ</t>
    <phoneticPr fontId="2"/>
  </si>
  <si>
    <t>&lt;&gt;103</t>
    <phoneticPr fontId="2"/>
  </si>
  <si>
    <t>販売額</t>
  </si>
  <si>
    <t>&gt;=400000</t>
    <phoneticPr fontId="2"/>
  </si>
  <si>
    <t>得意先別売上一覧表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phoneticPr fontId="2"/>
  </si>
  <si>
    <t>得ＣＯ</t>
    <rPh sb="0" eb="1">
      <t>トク</t>
    </rPh>
    <phoneticPr fontId="2"/>
  </si>
  <si>
    <t>得意先名</t>
    <rPh sb="0" eb="4">
      <t>トクイサキメイ</t>
    </rPh>
    <phoneticPr fontId="2"/>
  </si>
  <si>
    <t>売上額</t>
    <rPh sb="0" eb="2">
      <t>ウリアゲ</t>
    </rPh>
    <rPh sb="2" eb="3">
      <t>ガク</t>
    </rPh>
    <phoneticPr fontId="2"/>
  </si>
  <si>
    <t>金額</t>
    <rPh sb="0" eb="2">
      <t>キンガク</t>
    </rPh>
    <phoneticPr fontId="2"/>
  </si>
  <si>
    <t>値引額</t>
    <rPh sb="0" eb="3">
      <t>ネビキガク</t>
    </rPh>
    <phoneticPr fontId="2"/>
  </si>
  <si>
    <t>値引率</t>
    <rPh sb="0" eb="2">
      <t>ネビキ</t>
    </rPh>
    <rPh sb="2" eb="3">
      <t>リツ</t>
    </rPh>
    <phoneticPr fontId="2"/>
  </si>
  <si>
    <t>増量数</t>
  </si>
  <si>
    <t>増量数</t>
    <rPh sb="0" eb="3">
      <t>ゾウリョウスウ</t>
    </rPh>
    <phoneticPr fontId="2"/>
  </si>
  <si>
    <t>E11</t>
    <phoneticPr fontId="2"/>
  </si>
  <si>
    <t>E12</t>
    <phoneticPr fontId="2"/>
  </si>
  <si>
    <t>F11</t>
    <phoneticPr fontId="2"/>
  </si>
  <si>
    <t>F12</t>
    <phoneticPr fontId="2"/>
  </si>
  <si>
    <t>売上数</t>
  </si>
  <si>
    <t>売上数</t>
    <rPh sb="0" eb="2">
      <t>ウリアゲ</t>
    </rPh>
    <rPh sb="2" eb="3">
      <t>スウ</t>
    </rPh>
    <phoneticPr fontId="2"/>
  </si>
  <si>
    <t>ＪＫマート</t>
  </si>
  <si>
    <t>ＪＫマート</t>
    <phoneticPr fontId="2"/>
  </si>
  <si>
    <t>共栄百貨店</t>
  </si>
  <si>
    <t>共栄百貨店</t>
    <rPh sb="0" eb="2">
      <t>キョウエイ</t>
    </rPh>
    <rPh sb="2" eb="5">
      <t>ヒャッカテン</t>
    </rPh>
    <phoneticPr fontId="2"/>
  </si>
  <si>
    <t>長谷川商店</t>
  </si>
  <si>
    <t>長谷川商店</t>
    <rPh sb="0" eb="3">
      <t>ハセガワ</t>
    </rPh>
    <rPh sb="3" eb="5">
      <t>ショウテン</t>
    </rPh>
    <phoneticPr fontId="2"/>
  </si>
  <si>
    <t>新鮮ストア</t>
  </si>
  <si>
    <t>新鮮ストア</t>
    <rPh sb="0" eb="2">
      <t>シンセン</t>
    </rPh>
    <phoneticPr fontId="2"/>
  </si>
  <si>
    <t>原価</t>
    <rPh sb="0" eb="2">
      <t>ゲンカ</t>
    </rPh>
    <phoneticPr fontId="2"/>
  </si>
  <si>
    <t>P商品</t>
  </si>
  <si>
    <t>P商品</t>
    <phoneticPr fontId="2"/>
  </si>
  <si>
    <t>Q商品</t>
    <phoneticPr fontId="2"/>
  </si>
  <si>
    <t>R商品</t>
  </si>
  <si>
    <t>R商品</t>
    <phoneticPr fontId="2"/>
  </si>
  <si>
    <t>S商品</t>
    <phoneticPr fontId="2"/>
  </si>
  <si>
    <t>区分</t>
    <rPh sb="0" eb="2">
      <t>クブン</t>
    </rPh>
    <phoneticPr fontId="2"/>
  </si>
  <si>
    <t>E</t>
    <phoneticPr fontId="2"/>
  </si>
  <si>
    <t>F</t>
    <phoneticPr fontId="2"/>
  </si>
  <si>
    <t>***</t>
  </si>
  <si>
    <t>得意先別売上一覧表（売上数610未満・値引額50,000円以上）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rPh sb="16" eb="18">
      <t>ミマン</t>
    </rPh>
    <rPh sb="19" eb="22">
      <t>ネビキガク</t>
    </rPh>
    <rPh sb="28" eb="31">
      <t>エンイジョウ</t>
    </rPh>
    <phoneticPr fontId="2"/>
  </si>
  <si>
    <t>得意先別売上一覧表</t>
    <rPh sb="3" eb="4">
      <t>ベツ</t>
    </rPh>
    <rPh sb="4" eb="6">
      <t>ウリアゲ</t>
    </rPh>
    <rPh sb="6" eb="9">
      <t>イチランヒョウ</t>
    </rPh>
    <phoneticPr fontId="2"/>
  </si>
  <si>
    <t>売上数が570より多い売上額の平均</t>
    <rPh sb="0" eb="2">
      <t>ウリアゲ</t>
    </rPh>
    <rPh sb="2" eb="3">
      <t>スウ</t>
    </rPh>
    <rPh sb="9" eb="10">
      <t>オオ</t>
    </rPh>
    <rPh sb="11" eb="13">
      <t>ウリアゲ</t>
    </rPh>
    <rPh sb="13" eb="14">
      <t>ガク</t>
    </rPh>
    <rPh sb="15" eb="17">
      <t>ヘイキン</t>
    </rPh>
    <phoneticPr fontId="2"/>
  </si>
  <si>
    <t>R商品以外で金額が70万円未満の件数</t>
    <rPh sb="1" eb="3">
      <t>ショウヒン</t>
    </rPh>
    <rPh sb="3" eb="5">
      <t>イガイ</t>
    </rPh>
    <rPh sb="6" eb="8">
      <t>キンガク</t>
    </rPh>
    <rPh sb="11" eb="13">
      <t>マンエン</t>
    </rPh>
    <rPh sb="13" eb="15">
      <t>ミマン</t>
    </rPh>
    <rPh sb="16" eb="18">
      <t>ケンスウ</t>
    </rPh>
    <phoneticPr fontId="2"/>
  </si>
  <si>
    <t>増量数が19以上28未満の値引額の合計</t>
    <rPh sb="0" eb="3">
      <t>ゾウリョウスウ</t>
    </rPh>
    <rPh sb="6" eb="8">
      <t>イジョウ</t>
    </rPh>
    <rPh sb="10" eb="12">
      <t>ミマン</t>
    </rPh>
    <rPh sb="13" eb="16">
      <t>ネビキガク</t>
    </rPh>
    <rPh sb="17" eb="19">
      <t>ゴウケイ</t>
    </rPh>
    <phoneticPr fontId="2"/>
  </si>
  <si>
    <t>&gt;570</t>
    <phoneticPr fontId="2"/>
  </si>
  <si>
    <t>&lt;&gt;R商品</t>
    <phoneticPr fontId="2"/>
  </si>
  <si>
    <t>金額</t>
    <phoneticPr fontId="2"/>
  </si>
  <si>
    <t>&lt;700000</t>
    <phoneticPr fontId="2"/>
  </si>
  <si>
    <t>&gt;=19</t>
    <phoneticPr fontId="2"/>
  </si>
  <si>
    <t>&lt;28</t>
    <phoneticPr fontId="2"/>
  </si>
  <si>
    <t>支店別販売一覧表</t>
    <rPh sb="0" eb="3">
      <t>シテンベツ</t>
    </rPh>
    <rPh sb="3" eb="5">
      <t>ハンバイ</t>
    </rPh>
    <rPh sb="5" eb="8">
      <t>イチランヒョウ</t>
    </rPh>
    <phoneticPr fontId="2"/>
  </si>
  <si>
    <t>支ＣＯ</t>
    <rPh sb="0" eb="1">
      <t>シ</t>
    </rPh>
    <phoneticPr fontId="2"/>
  </si>
  <si>
    <t>支店名</t>
    <rPh sb="0" eb="3">
      <t>シテンメイ</t>
    </rPh>
    <phoneticPr fontId="2"/>
  </si>
  <si>
    <t>平均売価</t>
    <rPh sb="0" eb="2">
      <t>ヘイキン</t>
    </rPh>
    <rPh sb="2" eb="4">
      <t>バイカ</t>
    </rPh>
    <phoneticPr fontId="2"/>
  </si>
  <si>
    <t>利益額</t>
    <rPh sb="0" eb="3">
      <t>リエキガク</t>
    </rPh>
    <phoneticPr fontId="2"/>
  </si>
  <si>
    <t>達成率</t>
    <rPh sb="0" eb="2">
      <t>タッセイ</t>
    </rPh>
    <rPh sb="2" eb="3">
      <t>リツ</t>
    </rPh>
    <phoneticPr fontId="2"/>
  </si>
  <si>
    <t>利益率</t>
    <rPh sb="0" eb="3">
      <t>リエキリツ</t>
    </rPh>
    <phoneticPr fontId="2"/>
  </si>
  <si>
    <t>１人当販売額</t>
    <rPh sb="1" eb="2">
      <t>ニン</t>
    </rPh>
    <rPh sb="2" eb="3">
      <t>トウ</t>
    </rPh>
    <rPh sb="3" eb="5">
      <t>ハンバイ</t>
    </rPh>
    <rPh sb="5" eb="6">
      <t>ガク</t>
    </rPh>
    <phoneticPr fontId="2"/>
  </si>
  <si>
    <t>支店</t>
    <rPh sb="0" eb="2">
      <t>シテン</t>
    </rPh>
    <phoneticPr fontId="2"/>
  </si>
  <si>
    <t>社員数</t>
    <rPh sb="0" eb="3">
      <t>シャインスウ</t>
    </rPh>
    <phoneticPr fontId="2"/>
  </si>
  <si>
    <t>新宿</t>
    <rPh sb="0" eb="2">
      <t>シンジュク</t>
    </rPh>
    <phoneticPr fontId="2"/>
  </si>
  <si>
    <t>池袋</t>
    <rPh sb="0" eb="2">
      <t>イケブクロ</t>
    </rPh>
    <phoneticPr fontId="2"/>
  </si>
  <si>
    <t>銀座</t>
    <rPh sb="0" eb="2">
      <t>ギンザ</t>
    </rPh>
    <phoneticPr fontId="2"/>
  </si>
  <si>
    <t>渋谷</t>
    <rPh sb="0" eb="2">
      <t>シブヤ</t>
    </rPh>
    <phoneticPr fontId="2"/>
  </si>
  <si>
    <t>商品J</t>
    <phoneticPr fontId="2"/>
  </si>
  <si>
    <t>商品K</t>
  </si>
  <si>
    <t>商品K</t>
    <phoneticPr fontId="2"/>
  </si>
  <si>
    <t>商品L</t>
    <phoneticPr fontId="2"/>
  </si>
  <si>
    <t>商品M</t>
  </si>
  <si>
    <t>商品M</t>
    <phoneticPr fontId="2"/>
  </si>
  <si>
    <t>新宿支店</t>
  </si>
  <si>
    <t>池袋支店</t>
  </si>
  <si>
    <t>銀座支店</t>
  </si>
  <si>
    <t>順調</t>
  </si>
  <si>
    <t>支店別販売一覧表（平均売価2,400円以上・利益率18.0%以下）</t>
    <rPh sb="0" eb="3">
      <t>シテンベツ</t>
    </rPh>
    <rPh sb="3" eb="5">
      <t>ハンバイ</t>
    </rPh>
    <rPh sb="5" eb="8">
      <t>イチランヒョウ</t>
    </rPh>
    <rPh sb="9" eb="11">
      <t>ヘイキン</t>
    </rPh>
    <rPh sb="11" eb="13">
      <t>バイカ</t>
    </rPh>
    <rPh sb="18" eb="19">
      <t>エン</t>
    </rPh>
    <rPh sb="19" eb="21">
      <t>イジョウ</t>
    </rPh>
    <rPh sb="22" eb="25">
      <t>リエキリツ</t>
    </rPh>
    <rPh sb="30" eb="32">
      <t>イカ</t>
    </rPh>
    <phoneticPr fontId="2"/>
  </si>
  <si>
    <t>支店別集計表</t>
    <rPh sb="0" eb="2">
      <t>シテン</t>
    </rPh>
    <rPh sb="2" eb="3">
      <t>ベツ</t>
    </rPh>
    <rPh sb="3" eb="6">
      <t>シュウケイヒョウ</t>
    </rPh>
    <phoneticPr fontId="2"/>
  </si>
  <si>
    <t>新宿支店</t>
    <rPh sb="0" eb="2">
      <t>シンジュク</t>
    </rPh>
    <phoneticPr fontId="2"/>
  </si>
  <si>
    <t>池袋支店</t>
    <rPh sb="0" eb="2">
      <t>イケブクロ</t>
    </rPh>
    <phoneticPr fontId="2"/>
  </si>
  <si>
    <t>銀座支店</t>
    <rPh sb="0" eb="2">
      <t>ギンザ</t>
    </rPh>
    <phoneticPr fontId="2"/>
  </si>
  <si>
    <t>渋谷支店</t>
    <rPh sb="0" eb="2">
      <t>シブヤ</t>
    </rPh>
    <phoneticPr fontId="2"/>
  </si>
  <si>
    <t>販売数が220以上で販売額が53万円以上の利益額の合計</t>
    <rPh sb="0" eb="3">
      <t>ハンバイスウ</t>
    </rPh>
    <rPh sb="7" eb="9">
      <t>イジョウ</t>
    </rPh>
    <rPh sb="10" eb="13">
      <t>ハンバイガク</t>
    </rPh>
    <rPh sb="16" eb="18">
      <t>マンエン</t>
    </rPh>
    <rPh sb="18" eb="20">
      <t>イジョウ</t>
    </rPh>
    <rPh sb="21" eb="23">
      <t>リエキ</t>
    </rPh>
    <rPh sb="23" eb="24">
      <t>ガク</t>
    </rPh>
    <rPh sb="25" eb="27">
      <t>ゴウケイ</t>
    </rPh>
    <phoneticPr fontId="2"/>
  </si>
  <si>
    <t>販売額が55万円未満で利益率が19.0％以下の件数</t>
    <rPh sb="0" eb="3">
      <t>ハンバイガク</t>
    </rPh>
    <rPh sb="6" eb="8">
      <t>マンエン</t>
    </rPh>
    <rPh sb="8" eb="10">
      <t>ミマン</t>
    </rPh>
    <rPh sb="11" eb="14">
      <t>リエキリツ</t>
    </rPh>
    <rPh sb="20" eb="22">
      <t>イカ</t>
    </rPh>
    <rPh sb="23" eb="25">
      <t>ケンスウ</t>
    </rPh>
    <phoneticPr fontId="2"/>
  </si>
  <si>
    <t>渋谷支店以外で達成率が104.0％以上の平均売価の最小</t>
    <rPh sb="0" eb="2">
      <t>シブヤ</t>
    </rPh>
    <rPh sb="2" eb="4">
      <t>シテン</t>
    </rPh>
    <rPh sb="4" eb="6">
      <t>イガイ</t>
    </rPh>
    <rPh sb="7" eb="10">
      <t>タッセイリツ</t>
    </rPh>
    <rPh sb="17" eb="19">
      <t>イジョウ</t>
    </rPh>
    <rPh sb="20" eb="24">
      <t>ヘイキンバイカ</t>
    </rPh>
    <rPh sb="25" eb="27">
      <t>サイショウ</t>
    </rPh>
    <phoneticPr fontId="2"/>
  </si>
  <si>
    <t>&gt;=220</t>
    <phoneticPr fontId="2"/>
  </si>
  <si>
    <t>&gt;=530000</t>
    <phoneticPr fontId="2"/>
  </si>
  <si>
    <t>&lt;550000</t>
    <phoneticPr fontId="2"/>
  </si>
  <si>
    <t>&lt;=19.0%</t>
    <phoneticPr fontId="2"/>
  </si>
  <si>
    <t>&lt;&gt;渋谷支店</t>
    <phoneticPr fontId="2"/>
  </si>
  <si>
    <t>&gt;=104%</t>
    <phoneticPr fontId="2"/>
  </si>
  <si>
    <t>社員別給料計算表</t>
    <rPh sb="0" eb="2">
      <t>シャイン</t>
    </rPh>
    <rPh sb="2" eb="3">
      <t>ベツ</t>
    </rPh>
    <rPh sb="3" eb="5">
      <t>キュウリョウ</t>
    </rPh>
    <rPh sb="5" eb="8">
      <t>ケイサンヒョウ</t>
    </rPh>
    <phoneticPr fontId="2"/>
  </si>
  <si>
    <t>販売エリア名</t>
    <rPh sb="0" eb="2">
      <t>ハンバイ</t>
    </rPh>
    <rPh sb="5" eb="6">
      <t>メイ</t>
    </rPh>
    <phoneticPr fontId="2"/>
  </si>
  <si>
    <t>等級</t>
    <rPh sb="0" eb="2">
      <t>トウキュウ</t>
    </rPh>
    <phoneticPr fontId="2"/>
  </si>
  <si>
    <t>基本給</t>
    <rPh sb="0" eb="3">
      <t>キホンキュウ</t>
    </rPh>
    <phoneticPr fontId="2"/>
  </si>
  <si>
    <t>達成率</t>
    <rPh sb="0" eb="3">
      <t>タッセイリツ</t>
    </rPh>
    <phoneticPr fontId="2"/>
  </si>
  <si>
    <t>販売手当</t>
    <rPh sb="0" eb="2">
      <t>ハンバイ</t>
    </rPh>
    <rPh sb="2" eb="4">
      <t>テアテ</t>
    </rPh>
    <phoneticPr fontId="2"/>
  </si>
  <si>
    <t>支給総額</t>
    <rPh sb="0" eb="4">
      <t>シキュウソウガク</t>
    </rPh>
    <phoneticPr fontId="2"/>
  </si>
  <si>
    <t>小林　信夫</t>
    <rPh sb="0" eb="2">
      <t>コバヤシ</t>
    </rPh>
    <rPh sb="3" eb="5">
      <t>シノブ</t>
    </rPh>
    <phoneticPr fontId="2"/>
  </si>
  <si>
    <t>坂本　里美</t>
    <rPh sb="0" eb="2">
      <t>サカモト</t>
    </rPh>
    <rPh sb="3" eb="5">
      <t>サトミ</t>
    </rPh>
    <phoneticPr fontId="2"/>
  </si>
  <si>
    <t>南　ひろみ</t>
    <rPh sb="0" eb="1">
      <t>ミナミ</t>
    </rPh>
    <phoneticPr fontId="2"/>
  </si>
  <si>
    <t>大西　三郎</t>
    <rPh sb="0" eb="2">
      <t>オオニシ</t>
    </rPh>
    <rPh sb="3" eb="5">
      <t>サンロウ</t>
    </rPh>
    <phoneticPr fontId="2"/>
  </si>
  <si>
    <t>山田　洋子</t>
    <rPh sb="0" eb="2">
      <t>ヤマダ</t>
    </rPh>
    <rPh sb="3" eb="5">
      <t>ヨウコ</t>
    </rPh>
    <phoneticPr fontId="2"/>
  </si>
  <si>
    <t>長谷川　勇</t>
    <rPh sb="0" eb="3">
      <t>ナガタニカワ</t>
    </rPh>
    <rPh sb="4" eb="5">
      <t>ユウ</t>
    </rPh>
    <phoneticPr fontId="2"/>
  </si>
  <si>
    <t>中野　雄一</t>
    <rPh sb="0" eb="2">
      <t>ナカノ</t>
    </rPh>
    <rPh sb="3" eb="5">
      <t>ユウイチ</t>
    </rPh>
    <phoneticPr fontId="2"/>
  </si>
  <si>
    <t>水口　美鈴</t>
    <rPh sb="0" eb="2">
      <t>ミナグチ</t>
    </rPh>
    <rPh sb="3" eb="5">
      <t>メイリン</t>
    </rPh>
    <phoneticPr fontId="2"/>
  </si>
  <si>
    <t>荒木　輝政</t>
    <rPh sb="0" eb="2">
      <t>アラキ</t>
    </rPh>
    <rPh sb="3" eb="4">
      <t>カガヤ</t>
    </rPh>
    <rPh sb="4" eb="5">
      <t>セイ</t>
    </rPh>
    <phoneticPr fontId="2"/>
  </si>
  <si>
    <t>渡辺　明代</t>
    <rPh sb="0" eb="2">
      <t>ワタナベ</t>
    </rPh>
    <rPh sb="3" eb="5">
      <t>ミンダイ</t>
    </rPh>
    <phoneticPr fontId="2"/>
  </si>
  <si>
    <t>井上　公平</t>
    <rPh sb="0" eb="2">
      <t>イノウエ</t>
    </rPh>
    <rPh sb="3" eb="5">
      <t>コウヘイ</t>
    </rPh>
    <phoneticPr fontId="2"/>
  </si>
  <si>
    <t>森　麻衣子</t>
    <rPh sb="0" eb="1">
      <t>モリ</t>
    </rPh>
    <rPh sb="2" eb="5">
      <t>マイコ</t>
    </rPh>
    <phoneticPr fontId="2"/>
  </si>
  <si>
    <t>G</t>
    <phoneticPr fontId="2"/>
  </si>
  <si>
    <t>H</t>
    <phoneticPr fontId="2"/>
  </si>
  <si>
    <t>販売エリア</t>
    <rPh sb="0" eb="2">
      <t>ハンバイ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</si>
  <si>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</si>
  <si>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</si>
  <si>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</si>
  <si>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関西</t>
    <rPh sb="0" eb="2">
      <t>カンセイ</t>
    </rPh>
    <phoneticPr fontId="2"/>
  </si>
  <si>
    <t>販売手当単価</t>
    <rPh sb="0" eb="2">
      <t>ハンバイ</t>
    </rPh>
    <rPh sb="2" eb="4">
      <t>テアテ</t>
    </rPh>
    <rPh sb="4" eb="6">
      <t>タンカ</t>
    </rPh>
    <phoneticPr fontId="2"/>
  </si>
  <si>
    <t>勤勉手当単価</t>
    <rPh sb="0" eb="2">
      <t>キンベン</t>
    </rPh>
    <rPh sb="2" eb="4">
      <t>テアテ</t>
    </rPh>
    <rPh sb="4" eb="6">
      <t>タンカ</t>
    </rPh>
    <phoneticPr fontId="2"/>
  </si>
  <si>
    <t>100.0%未満</t>
    <rPh sb="6" eb="8">
      <t>ミマン</t>
    </rPh>
    <phoneticPr fontId="2"/>
  </si>
  <si>
    <t>100.0%以上</t>
    <rPh sb="6" eb="8">
      <t>イジョウ</t>
    </rPh>
    <phoneticPr fontId="2"/>
  </si>
  <si>
    <t>*</t>
    <phoneticPr fontId="2"/>
  </si>
  <si>
    <t>**</t>
    <phoneticPr fontId="2"/>
  </si>
  <si>
    <t>****</t>
  </si>
  <si>
    <t>****</t>
    <phoneticPr fontId="2"/>
  </si>
  <si>
    <t>***</t>
    <phoneticPr fontId="2"/>
  </si>
  <si>
    <t>東北エリア</t>
  </si>
  <si>
    <t>関東エリア</t>
  </si>
  <si>
    <t>中部エリア</t>
  </si>
  <si>
    <t>関西エリア</t>
  </si>
  <si>
    <t>社員別給料計算表（等級Ｇ以外・支給総額３０万円以上）</t>
    <rPh sb="0" eb="2">
      <t>シャイン</t>
    </rPh>
    <rPh sb="2" eb="3">
      <t>ベツ</t>
    </rPh>
    <rPh sb="3" eb="5">
      <t>キュウリョウ</t>
    </rPh>
    <rPh sb="5" eb="8">
      <t>ケイサンヒョウ</t>
    </rPh>
    <rPh sb="9" eb="11">
      <t>トウキュウ</t>
    </rPh>
    <rPh sb="12" eb="14">
      <t>イガイ</t>
    </rPh>
    <rPh sb="15" eb="19">
      <t>シキュウソウガク</t>
    </rPh>
    <rPh sb="21" eb="23">
      <t>マンエン</t>
    </rPh>
    <rPh sb="23" eb="25">
      <t>イジョウ</t>
    </rPh>
    <phoneticPr fontId="2"/>
  </si>
  <si>
    <t>販売エリア別集計表</t>
    <rPh sb="0" eb="2">
      <t>ハンバイ</t>
    </rPh>
    <rPh sb="5" eb="6">
      <t>ベツ</t>
    </rPh>
    <rPh sb="6" eb="9">
      <t>シュウケイヒョウ</t>
    </rPh>
    <phoneticPr fontId="2"/>
  </si>
  <si>
    <t>東北エリア</t>
    <rPh sb="0" eb="2">
      <t>トウホク</t>
    </rPh>
    <phoneticPr fontId="2"/>
  </si>
  <si>
    <t>関東エリア</t>
    <rPh sb="0" eb="2">
      <t>カントウ</t>
    </rPh>
    <phoneticPr fontId="2"/>
  </si>
  <si>
    <t>中部エリア</t>
    <rPh sb="0" eb="2">
      <t>チュウブ</t>
    </rPh>
    <phoneticPr fontId="2"/>
  </si>
  <si>
    <t>関西エリア</t>
    <rPh sb="0" eb="2">
      <t>カンセイ</t>
    </rPh>
    <phoneticPr fontId="2"/>
  </si>
  <si>
    <t>目標数が760以上で達成率100.0%以下の件数</t>
    <rPh sb="0" eb="3">
      <t>モクヒョウスウ</t>
    </rPh>
    <rPh sb="7" eb="9">
      <t>イジョウ</t>
    </rPh>
    <rPh sb="10" eb="13">
      <t>タッセイリツ</t>
    </rPh>
    <rPh sb="19" eb="21">
      <t>イカ</t>
    </rPh>
    <rPh sb="22" eb="24">
      <t>ケンスウ</t>
    </rPh>
    <phoneticPr fontId="2"/>
  </si>
  <si>
    <t>等級がFまたは目標数が820以上の奨励金の平均</t>
    <rPh sb="0" eb="2">
      <t>トウキュウ</t>
    </rPh>
    <rPh sb="7" eb="10">
      <t>モクヒョウスウ</t>
    </rPh>
    <rPh sb="14" eb="16">
      <t>イジョウ</t>
    </rPh>
    <rPh sb="17" eb="20">
      <t>ショウレイキン</t>
    </rPh>
    <rPh sb="21" eb="23">
      <t>ヘイキン</t>
    </rPh>
    <phoneticPr fontId="2"/>
  </si>
  <si>
    <t>販売数が790より多い販売手当の最小</t>
    <rPh sb="0" eb="3">
      <t>ハンバイスウ</t>
    </rPh>
    <rPh sb="9" eb="10">
      <t>オオ</t>
    </rPh>
    <rPh sb="11" eb="13">
      <t>ハンバイ</t>
    </rPh>
    <rPh sb="13" eb="15">
      <t>テアテ</t>
    </rPh>
    <rPh sb="16" eb="18">
      <t>サイショウ</t>
    </rPh>
    <phoneticPr fontId="2"/>
  </si>
  <si>
    <t>&gt;=760</t>
    <phoneticPr fontId="2"/>
  </si>
  <si>
    <t>&lt;=100.0%</t>
    <phoneticPr fontId="2"/>
  </si>
  <si>
    <t>F</t>
    <phoneticPr fontId="2"/>
  </si>
  <si>
    <t>&gt;=820</t>
    <phoneticPr fontId="2"/>
  </si>
  <si>
    <t>&gt;790</t>
    <phoneticPr fontId="2"/>
  </si>
  <si>
    <t>加工賃支払額一覧表</t>
    <rPh sb="0" eb="2">
      <t>カコウ</t>
    </rPh>
    <rPh sb="2" eb="3">
      <t>チン</t>
    </rPh>
    <rPh sb="3" eb="6">
      <t>シハライガク</t>
    </rPh>
    <rPh sb="6" eb="9">
      <t>イチランヒョウ</t>
    </rPh>
    <phoneticPr fontId="2"/>
  </si>
  <si>
    <t>発ＣＯ</t>
    <rPh sb="0" eb="1">
      <t>ハツ</t>
    </rPh>
    <phoneticPr fontId="2"/>
  </si>
  <si>
    <t>製ＣＯ</t>
    <rPh sb="0" eb="1">
      <t>セイ</t>
    </rPh>
    <phoneticPr fontId="2"/>
  </si>
  <si>
    <t>発注先名</t>
    <rPh sb="0" eb="3">
      <t>ハッチュウサキ</t>
    </rPh>
    <rPh sb="3" eb="4">
      <t>メイ</t>
    </rPh>
    <phoneticPr fontId="2"/>
  </si>
  <si>
    <t>製品名</t>
  </si>
  <si>
    <t>製品名</t>
    <rPh sb="0" eb="3">
      <t>セイヒンメイ</t>
    </rPh>
    <phoneticPr fontId="2"/>
  </si>
  <si>
    <t>発注数</t>
    <rPh sb="0" eb="2">
      <t>ハッチュウ</t>
    </rPh>
    <rPh sb="2" eb="3">
      <t>スウ</t>
    </rPh>
    <phoneticPr fontId="2"/>
  </si>
  <si>
    <t>完成数</t>
    <rPh sb="0" eb="3">
      <t>カンセイスウ</t>
    </rPh>
    <phoneticPr fontId="2"/>
  </si>
  <si>
    <t>完成指数</t>
    <rPh sb="0" eb="4">
      <t>カンセイシスウ</t>
    </rPh>
    <phoneticPr fontId="2"/>
  </si>
  <si>
    <t>加工賃</t>
    <rPh sb="0" eb="3">
      <t>カコウチン</t>
    </rPh>
    <phoneticPr fontId="2"/>
  </si>
  <si>
    <t>割増加工賃</t>
    <rPh sb="0" eb="2">
      <t>ワリマシ</t>
    </rPh>
    <rPh sb="2" eb="5">
      <t>カコウチン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</si>
  <si>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</si>
  <si>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</si>
  <si>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評価</t>
    <rPh sb="0" eb="2">
      <t>ヒョウカ</t>
    </rPh>
    <phoneticPr fontId="2"/>
  </si>
  <si>
    <t>101W</t>
    <phoneticPr fontId="2"/>
  </si>
  <si>
    <t>102X</t>
    <phoneticPr fontId="2"/>
  </si>
  <si>
    <t>103V</t>
    <phoneticPr fontId="2"/>
  </si>
  <si>
    <t>104X</t>
    <phoneticPr fontId="2"/>
  </si>
  <si>
    <t>製品</t>
    <rPh sb="0" eb="2">
      <t>セイヒン</t>
    </rPh>
    <phoneticPr fontId="2"/>
  </si>
  <si>
    <t>加工単価</t>
    <rPh sb="0" eb="2">
      <t>カコウ</t>
    </rPh>
    <rPh sb="2" eb="4">
      <t>タンカ</t>
    </rPh>
    <phoneticPr fontId="2"/>
  </si>
  <si>
    <t>割増単価</t>
    <rPh sb="0" eb="2">
      <t>ワリマシ</t>
    </rPh>
    <rPh sb="2" eb="4">
      <t>タンカ</t>
    </rPh>
    <phoneticPr fontId="2"/>
  </si>
  <si>
    <t>S</t>
    <phoneticPr fontId="2"/>
  </si>
  <si>
    <t>T</t>
    <phoneticPr fontId="2"/>
  </si>
  <si>
    <t>U</t>
    <phoneticPr fontId="2"/>
  </si>
  <si>
    <t>森山精密</t>
  </si>
  <si>
    <t>森山精密</t>
    <rPh sb="0" eb="2">
      <t>モリヤマ</t>
    </rPh>
    <rPh sb="2" eb="4">
      <t>セイミツ</t>
    </rPh>
    <phoneticPr fontId="2"/>
  </si>
  <si>
    <t>マノ電工</t>
  </si>
  <si>
    <t>マノ電工</t>
    <rPh sb="2" eb="4">
      <t>デンコウ</t>
    </rPh>
    <phoneticPr fontId="2"/>
  </si>
  <si>
    <t>関東工業</t>
  </si>
  <si>
    <t>関東工業</t>
    <rPh sb="0" eb="2">
      <t>カントウ</t>
    </rPh>
    <rPh sb="2" eb="4">
      <t>コウギョウ</t>
    </rPh>
    <phoneticPr fontId="2"/>
  </si>
  <si>
    <t>井上電機</t>
  </si>
  <si>
    <t>井上電機</t>
    <rPh sb="0" eb="2">
      <t>イノウエ</t>
    </rPh>
    <rPh sb="2" eb="4">
      <t>デンキ</t>
    </rPh>
    <phoneticPr fontId="2"/>
  </si>
  <si>
    <t>区分</t>
    <rPh sb="0" eb="2">
      <t>クブン</t>
    </rPh>
    <phoneticPr fontId="2"/>
  </si>
  <si>
    <t>乗率</t>
    <rPh sb="0" eb="2">
      <t>ジョウリツ</t>
    </rPh>
    <phoneticPr fontId="2"/>
  </si>
  <si>
    <t>V</t>
    <phoneticPr fontId="2"/>
  </si>
  <si>
    <t>W</t>
    <phoneticPr fontId="2"/>
  </si>
  <si>
    <t>X</t>
    <phoneticPr fontId="2"/>
  </si>
  <si>
    <t>合計</t>
    <rPh sb="0" eb="2">
      <t>ゴウケイ</t>
    </rPh>
    <phoneticPr fontId="2"/>
  </si>
  <si>
    <t>S製品</t>
  </si>
  <si>
    <t>T製品</t>
  </si>
  <si>
    <t>U製品</t>
  </si>
  <si>
    <t>加工賃支払額一覧表（発注数1,900以上2,300以下）</t>
    <rPh sb="0" eb="2">
      <t>カコウ</t>
    </rPh>
    <rPh sb="2" eb="3">
      <t>チン</t>
    </rPh>
    <rPh sb="3" eb="6">
      <t>シハライガク</t>
    </rPh>
    <rPh sb="6" eb="9">
      <t>イチランヒョウ</t>
    </rPh>
    <rPh sb="10" eb="13">
      <t>ハッチュウスウ</t>
    </rPh>
    <rPh sb="18" eb="20">
      <t>イジョウ</t>
    </rPh>
    <rPh sb="25" eb="27">
      <t>イカ</t>
    </rPh>
    <phoneticPr fontId="2"/>
  </si>
  <si>
    <t>発注先別集計表</t>
    <rPh sb="0" eb="2">
      <t>ハッチュウ</t>
    </rPh>
    <rPh sb="2" eb="3">
      <t>サキ</t>
    </rPh>
    <rPh sb="3" eb="4">
      <t>ベツ</t>
    </rPh>
    <rPh sb="4" eb="6">
      <t>シュウケイ</t>
    </rPh>
    <rPh sb="6" eb="7">
      <t>ヒョウ</t>
    </rPh>
    <phoneticPr fontId="2"/>
  </si>
  <si>
    <t>製品名がT製品以外の支払額の平均</t>
    <rPh sb="0" eb="3">
      <t>セイヒンメイ</t>
    </rPh>
    <rPh sb="5" eb="7">
      <t>セイヒン</t>
    </rPh>
    <rPh sb="7" eb="9">
      <t>イガイ</t>
    </rPh>
    <rPh sb="10" eb="13">
      <t>シハライガク</t>
    </rPh>
    <rPh sb="14" eb="16">
      <t>ヘイキン</t>
    </rPh>
    <phoneticPr fontId="2"/>
  </si>
  <si>
    <t>完成指数が98.0以上または割増加工賃が3,000円以上の件数</t>
    <rPh sb="0" eb="4">
      <t>カンセイシスウ</t>
    </rPh>
    <rPh sb="9" eb="11">
      <t>イジョウ</t>
    </rPh>
    <rPh sb="14" eb="16">
      <t>ワリマシ</t>
    </rPh>
    <rPh sb="16" eb="19">
      <t>カコウチン</t>
    </rPh>
    <rPh sb="25" eb="26">
      <t>エン</t>
    </rPh>
    <rPh sb="26" eb="28">
      <t>イジョウ</t>
    </rPh>
    <rPh sb="29" eb="31">
      <t>ケンスウ</t>
    </rPh>
    <phoneticPr fontId="2"/>
  </si>
  <si>
    <t>発注先名が森山精密で発注数が2,100以下の加工賃の合計</t>
    <rPh sb="0" eb="2">
      <t>ハッチュウ</t>
    </rPh>
    <rPh sb="2" eb="4">
      <t>サキメイ</t>
    </rPh>
    <rPh sb="10" eb="12">
      <t>ハッチュウ</t>
    </rPh>
    <rPh sb="12" eb="13">
      <t>スウ</t>
    </rPh>
    <rPh sb="19" eb="21">
      <t>イカ</t>
    </rPh>
    <rPh sb="22" eb="25">
      <t>カコウチン</t>
    </rPh>
    <rPh sb="26" eb="28">
      <t>ゴウケイ</t>
    </rPh>
    <phoneticPr fontId="2"/>
  </si>
  <si>
    <t>&lt;&gt;T製品</t>
    <phoneticPr fontId="2"/>
  </si>
  <si>
    <t>&gt;=98.0</t>
    <phoneticPr fontId="2"/>
  </si>
  <si>
    <t>&gt;=3000</t>
    <phoneticPr fontId="2"/>
  </si>
  <si>
    <t>&lt;=2100</t>
    <phoneticPr fontId="2"/>
  </si>
  <si>
    <t>株式損益額計算表</t>
    <rPh sb="0" eb="2">
      <t>カブシキ</t>
    </rPh>
    <rPh sb="2" eb="5">
      <t>ソンエキガク</t>
    </rPh>
    <rPh sb="5" eb="8">
      <t>ケイサンヒョウ</t>
    </rPh>
    <phoneticPr fontId="2"/>
  </si>
  <si>
    <t>顧ＣＯ</t>
    <rPh sb="0" eb="1">
      <t>コ</t>
    </rPh>
    <phoneticPr fontId="2"/>
  </si>
  <si>
    <t>銘ＣＯ</t>
    <rPh sb="0" eb="1">
      <t>メイ</t>
    </rPh>
    <phoneticPr fontId="2"/>
  </si>
  <si>
    <t>銘柄名</t>
    <rPh sb="0" eb="3">
      <t>メイガラメイ</t>
    </rPh>
    <phoneticPr fontId="2"/>
  </si>
  <si>
    <t>顧客名</t>
    <rPh sb="0" eb="2">
      <t>コキャク</t>
    </rPh>
    <rPh sb="2" eb="3">
      <t>メイ</t>
    </rPh>
    <phoneticPr fontId="2"/>
  </si>
  <si>
    <t>株数</t>
    <rPh sb="0" eb="2">
      <t>カブスウ</t>
    </rPh>
    <phoneticPr fontId="2"/>
  </si>
  <si>
    <t>買株価</t>
    <rPh sb="0" eb="1">
      <t>カ</t>
    </rPh>
    <rPh sb="1" eb="3">
      <t>カブカ</t>
    </rPh>
    <phoneticPr fontId="2"/>
  </si>
  <si>
    <t>買手数料</t>
    <rPh sb="0" eb="1">
      <t>バイ</t>
    </rPh>
    <rPh sb="1" eb="4">
      <t>テスウリョウ</t>
    </rPh>
    <phoneticPr fontId="2"/>
  </si>
  <si>
    <t>支払額</t>
    <rPh sb="0" eb="3">
      <t>シハライガク</t>
    </rPh>
    <phoneticPr fontId="2"/>
  </si>
  <si>
    <t>売株価</t>
    <rPh sb="0" eb="1">
      <t>バイ</t>
    </rPh>
    <rPh sb="1" eb="3">
      <t>カブカ</t>
    </rPh>
    <phoneticPr fontId="2"/>
  </si>
  <si>
    <t>売手数料</t>
    <rPh sb="0" eb="1">
      <t>バイ</t>
    </rPh>
    <rPh sb="1" eb="4">
      <t>テスウリョウ</t>
    </rPh>
    <phoneticPr fontId="2"/>
  </si>
  <si>
    <t>受取額</t>
    <rPh sb="0" eb="2">
      <t>ウケトリ</t>
    </rPh>
    <rPh sb="2" eb="3">
      <t>ガク</t>
    </rPh>
    <phoneticPr fontId="2"/>
  </si>
  <si>
    <t>損益額</t>
    <rPh sb="0" eb="3">
      <t>ソンエキガク</t>
    </rPh>
    <phoneticPr fontId="2"/>
  </si>
  <si>
    <t>判定</t>
    <rPh sb="0" eb="2">
      <t>ハンテイ</t>
    </rPh>
    <phoneticPr fontId="2"/>
  </si>
  <si>
    <t>101B</t>
    <phoneticPr fontId="2"/>
  </si>
  <si>
    <t>102C</t>
    <phoneticPr fontId="2"/>
  </si>
  <si>
    <t>103A</t>
    <phoneticPr fontId="2"/>
  </si>
  <si>
    <t>104C</t>
    <phoneticPr fontId="2"/>
  </si>
  <si>
    <t>105A</t>
    <phoneticPr fontId="2"/>
  </si>
  <si>
    <t>山田　一郎</t>
  </si>
  <si>
    <t>山田　一郎</t>
    <rPh sb="0" eb="2">
      <t>ヤマダ</t>
    </rPh>
    <rPh sb="3" eb="5">
      <t>イチロウ</t>
    </rPh>
    <phoneticPr fontId="2"/>
  </si>
  <si>
    <t>安藤　愛子</t>
    <rPh sb="0" eb="2">
      <t>アントウ</t>
    </rPh>
    <rPh sb="3" eb="5">
      <t>アイコ</t>
    </rPh>
    <phoneticPr fontId="2"/>
  </si>
  <si>
    <t>長谷川　誠</t>
    <rPh sb="0" eb="3">
      <t>ハセガワ</t>
    </rPh>
    <rPh sb="4" eb="5">
      <t>マコト</t>
    </rPh>
    <phoneticPr fontId="2"/>
  </si>
  <si>
    <t>林　ありさ</t>
  </si>
  <si>
    <t>林　ありさ</t>
    <rPh sb="0" eb="1">
      <t>ハヤシ</t>
    </rPh>
    <phoneticPr fontId="2"/>
  </si>
  <si>
    <t>中村　英明</t>
  </si>
  <si>
    <t>中村　英明</t>
    <rPh sb="0" eb="2">
      <t>ナカムラ</t>
    </rPh>
    <rPh sb="3" eb="5">
      <t>エイメイ</t>
    </rPh>
    <phoneticPr fontId="2"/>
  </si>
  <si>
    <t>朝日水産</t>
    <rPh sb="0" eb="2">
      <t>アサヒ</t>
    </rPh>
    <rPh sb="2" eb="4">
      <t>スイサン</t>
    </rPh>
    <phoneticPr fontId="2"/>
  </si>
  <si>
    <t>新栄製鉄</t>
    <rPh sb="0" eb="2">
      <t>シンエイ</t>
    </rPh>
    <rPh sb="2" eb="4">
      <t>セイテツ</t>
    </rPh>
    <phoneticPr fontId="2"/>
  </si>
  <si>
    <t>中央工業</t>
  </si>
  <si>
    <t>中央工業</t>
    <rPh sb="0" eb="2">
      <t>チュウオウ</t>
    </rPh>
    <rPh sb="2" eb="4">
      <t>コウギョウ</t>
    </rPh>
    <phoneticPr fontId="2"/>
  </si>
  <si>
    <t>東北商事</t>
    <rPh sb="0" eb="2">
      <t>トウホク</t>
    </rPh>
    <rPh sb="2" eb="4">
      <t>ショウジ</t>
    </rPh>
    <phoneticPr fontId="2"/>
  </si>
  <si>
    <t>大山銀行</t>
  </si>
  <si>
    <t>大山銀行</t>
    <rPh sb="0" eb="2">
      <t>オオヤマ</t>
    </rPh>
    <rPh sb="2" eb="4">
      <t>ギンコウ</t>
    </rPh>
    <phoneticPr fontId="2"/>
  </si>
  <si>
    <t>区別</t>
    <rPh sb="0" eb="2">
      <t>クベツ</t>
    </rPh>
    <phoneticPr fontId="2"/>
  </si>
  <si>
    <t>手数料率</t>
    <rPh sb="0" eb="4">
      <t>テスウリョウリツ</t>
    </rPh>
    <phoneticPr fontId="2"/>
  </si>
  <si>
    <t>A</t>
    <phoneticPr fontId="2"/>
  </si>
  <si>
    <t>B</t>
    <phoneticPr fontId="2"/>
  </si>
  <si>
    <t>C</t>
    <phoneticPr fontId="2"/>
  </si>
  <si>
    <t>合計</t>
    <rPh sb="0" eb="2">
      <t>ゴウケイ</t>
    </rPh>
    <phoneticPr fontId="2"/>
  </si>
  <si>
    <t>株式損益額計算表（朝日水産以外・受取額300万円以上）</t>
    <rPh sb="0" eb="2">
      <t>カブシキ</t>
    </rPh>
    <rPh sb="2" eb="5">
      <t>ソンエキガク</t>
    </rPh>
    <rPh sb="5" eb="8">
      <t>ケイサンヒョウ</t>
    </rPh>
    <rPh sb="13" eb="15">
      <t>イガイ</t>
    </rPh>
    <rPh sb="16" eb="19">
      <t>ウケトリガク</t>
    </rPh>
    <rPh sb="22" eb="24">
      <t>マンエン</t>
    </rPh>
    <rPh sb="24" eb="26">
      <t>イジョウ</t>
    </rPh>
    <phoneticPr fontId="2"/>
  </si>
  <si>
    <t>顧客別集計表</t>
    <rPh sb="2" eb="3">
      <t>ベツ</t>
    </rPh>
    <rPh sb="3" eb="6">
      <t>シュウケイヒョウ</t>
    </rPh>
    <phoneticPr fontId="2"/>
  </si>
  <si>
    <t>銘柄名が東北商事以外の損益額の合計</t>
    <rPh sb="0" eb="3">
      <t>メイガラメイ</t>
    </rPh>
    <rPh sb="8" eb="10">
      <t>イガイ</t>
    </rPh>
    <rPh sb="11" eb="14">
      <t>ソンエキガク</t>
    </rPh>
    <rPh sb="15" eb="17">
      <t>ゴウケイ</t>
    </rPh>
    <phoneticPr fontId="2"/>
  </si>
  <si>
    <t>株数が4,000より多く支払額が500万円以下の件数</t>
    <rPh sb="0" eb="2">
      <t>カブスウ</t>
    </rPh>
    <rPh sb="10" eb="11">
      <t>オオ</t>
    </rPh>
    <rPh sb="12" eb="15">
      <t>シハライガク</t>
    </rPh>
    <rPh sb="19" eb="21">
      <t>マンエン</t>
    </rPh>
    <rPh sb="21" eb="23">
      <t>イカ</t>
    </rPh>
    <rPh sb="24" eb="26">
      <t>ケンスウ</t>
    </rPh>
    <phoneticPr fontId="2"/>
  </si>
  <si>
    <t>損益額が30,000円以上65,000円以下の受取額平均</t>
    <rPh sb="0" eb="3">
      <t>ソンエキガク</t>
    </rPh>
    <rPh sb="10" eb="11">
      <t>エン</t>
    </rPh>
    <rPh sb="11" eb="13">
      <t>イジョウ</t>
    </rPh>
    <rPh sb="19" eb="22">
      <t>エンイカ</t>
    </rPh>
    <rPh sb="23" eb="26">
      <t>ウケトリガク</t>
    </rPh>
    <rPh sb="26" eb="28">
      <t>ヘイキン</t>
    </rPh>
    <phoneticPr fontId="2"/>
  </si>
  <si>
    <t>&lt;&gt;東北商事</t>
    <phoneticPr fontId="2"/>
  </si>
  <si>
    <t>&gt;4000</t>
    <phoneticPr fontId="2"/>
  </si>
  <si>
    <t>&lt;=5000000</t>
    <phoneticPr fontId="2"/>
  </si>
  <si>
    <t>&lt;=65000</t>
    <phoneticPr fontId="2"/>
  </si>
  <si>
    <t>&gt;=30000</t>
    <phoneticPr fontId="2"/>
  </si>
  <si>
    <t>請求額一覧表</t>
    <rPh sb="0" eb="3">
      <t>セイキュウガク</t>
    </rPh>
    <rPh sb="3" eb="6">
      <t>イチランヒョウ</t>
    </rPh>
    <phoneticPr fontId="2"/>
  </si>
  <si>
    <t>得意先名</t>
    <rPh sb="0" eb="2">
      <t>トクイ</t>
    </rPh>
    <rPh sb="2" eb="4">
      <t>サキメイ</t>
    </rPh>
    <phoneticPr fontId="2"/>
  </si>
  <si>
    <t>売上額</t>
    <rPh sb="0" eb="3">
      <t>ウリアゲガク</t>
    </rPh>
    <phoneticPr fontId="2"/>
  </si>
  <si>
    <t>年式</t>
    <rPh sb="0" eb="2">
      <t>ネンシキ</t>
    </rPh>
    <phoneticPr fontId="2"/>
  </si>
  <si>
    <t>値引額</t>
    <rPh sb="0" eb="2">
      <t>ネビ</t>
    </rPh>
    <rPh sb="2" eb="3">
      <t>ガク</t>
    </rPh>
    <phoneticPr fontId="2"/>
  </si>
  <si>
    <t>請求額</t>
    <rPh sb="0" eb="3">
      <t>セイキュウガク</t>
    </rPh>
    <phoneticPr fontId="2"/>
  </si>
  <si>
    <t>試供品数</t>
    <rPh sb="0" eb="3">
      <t>シキョウヒン</t>
    </rPh>
    <rPh sb="3" eb="4">
      <t>スウ</t>
    </rPh>
    <phoneticPr fontId="2"/>
  </si>
  <si>
    <t>安藤カメラ</t>
  </si>
  <si>
    <t>安藤カメラ</t>
    <rPh sb="0" eb="2">
      <t>アントウ</t>
    </rPh>
    <phoneticPr fontId="2"/>
  </si>
  <si>
    <t>電機の丸和</t>
  </si>
  <si>
    <t>電機の丸和</t>
    <rPh sb="0" eb="2">
      <t>デンキ</t>
    </rPh>
    <rPh sb="3" eb="5">
      <t>マルワ</t>
    </rPh>
    <phoneticPr fontId="2"/>
  </si>
  <si>
    <t>光ショップ</t>
    <rPh sb="0" eb="1">
      <t>ヒカリ</t>
    </rPh>
    <phoneticPr fontId="2"/>
  </si>
  <si>
    <t>令和電気堂</t>
  </si>
  <si>
    <t>令和電気堂</t>
    <rPh sb="0" eb="2">
      <t>レイワ</t>
    </rPh>
    <rPh sb="2" eb="4">
      <t>デンキ</t>
    </rPh>
    <rPh sb="4" eb="5">
      <t>ドウ</t>
    </rPh>
    <phoneticPr fontId="2"/>
  </si>
  <si>
    <t>商品E</t>
  </si>
  <si>
    <t>商品E</t>
    <phoneticPr fontId="2"/>
  </si>
  <si>
    <t>商品F</t>
  </si>
  <si>
    <t>商品F</t>
    <phoneticPr fontId="2"/>
  </si>
  <si>
    <t>商品G</t>
    <phoneticPr fontId="2"/>
  </si>
  <si>
    <t>値引率</t>
    <rPh sb="0" eb="2">
      <t>ネビ</t>
    </rPh>
    <rPh sb="2" eb="3">
      <t>リツ</t>
    </rPh>
    <phoneticPr fontId="2"/>
  </si>
  <si>
    <t>1~599</t>
    <phoneticPr fontId="2"/>
  </si>
  <si>
    <t>600~</t>
    <phoneticPr fontId="2"/>
  </si>
  <si>
    <t>#</t>
  </si>
  <si>
    <t>#</t>
    <phoneticPr fontId="2"/>
  </si>
  <si>
    <t>##</t>
  </si>
  <si>
    <t>##</t>
    <phoneticPr fontId="2"/>
  </si>
  <si>
    <t>####</t>
  </si>
  <si>
    <t>####</t>
    <phoneticPr fontId="2"/>
  </si>
  <si>
    <t>###</t>
    <phoneticPr fontId="2"/>
  </si>
  <si>
    <t>請求額一覧表（売上数560以上・値引額80000円未満）</t>
    <rPh sb="0" eb="3">
      <t>セイキュウガク</t>
    </rPh>
    <rPh sb="3" eb="6">
      <t>イチランヒョウ</t>
    </rPh>
    <rPh sb="13" eb="15">
      <t>イジョウ</t>
    </rPh>
    <rPh sb="24" eb="25">
      <t>エン</t>
    </rPh>
    <rPh sb="25" eb="27">
      <t>ミマン</t>
    </rPh>
    <phoneticPr fontId="2"/>
  </si>
  <si>
    <t>得意先別集計表</t>
    <rPh sb="3" eb="4">
      <t>ベツ</t>
    </rPh>
    <rPh sb="4" eb="7">
      <t>シュウケイヒョウ</t>
    </rPh>
    <phoneticPr fontId="2"/>
  </si>
  <si>
    <t>売上数が710未満で請求額が12万円以下の件数</t>
    <rPh sb="7" eb="9">
      <t>ミマン</t>
    </rPh>
    <rPh sb="10" eb="13">
      <t>セイキュウガク</t>
    </rPh>
    <rPh sb="16" eb="18">
      <t>マンエン</t>
    </rPh>
    <rPh sb="18" eb="20">
      <t>イカ</t>
    </rPh>
    <rPh sb="21" eb="23">
      <t>ケンスウ</t>
    </rPh>
    <phoneticPr fontId="2"/>
  </si>
  <si>
    <t>商品E以外で売上額が130万円以上の試供品数の合計</t>
    <rPh sb="0" eb="2">
      <t>ショウヒン</t>
    </rPh>
    <rPh sb="3" eb="5">
      <t>イガイ</t>
    </rPh>
    <rPh sb="6" eb="9">
      <t>ウリアゲガク</t>
    </rPh>
    <rPh sb="13" eb="15">
      <t>マンエン</t>
    </rPh>
    <rPh sb="15" eb="17">
      <t>イジョウ</t>
    </rPh>
    <rPh sb="23" eb="25">
      <t>ゴウケイ</t>
    </rPh>
    <phoneticPr fontId="2"/>
  </si>
  <si>
    <t>試供品数が20より多く30より少ない値引額の最大</t>
    <rPh sb="9" eb="10">
      <t>オオ</t>
    </rPh>
    <rPh sb="15" eb="16">
      <t>スク</t>
    </rPh>
    <rPh sb="18" eb="20">
      <t>ネビキ</t>
    </rPh>
    <rPh sb="20" eb="21">
      <t>ガク</t>
    </rPh>
    <rPh sb="22" eb="24">
      <t>サイダイ</t>
    </rPh>
    <phoneticPr fontId="2"/>
  </si>
  <si>
    <t>&lt;710</t>
    <phoneticPr fontId="2"/>
  </si>
  <si>
    <t>&lt;=120000</t>
    <phoneticPr fontId="2"/>
  </si>
  <si>
    <t>&lt;&gt;商品E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</si>
</sst>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0" fontId="0" fillId="0" borderId="9" xfId="0" applyBorder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0" fontId="0" fillId="0" borderId="0" xfId="0" applyAlignment="1">
      <alignment horizontal="center"/>
    </xf>
    <xf numFmtId="38" fontId="0" fillId="0" borderId="4" xfId="1" applyFont="1" applyBorder="1" applyAlignment="1"/>
    <xf numFmtId="0" fontId="0" fillId="0" borderId="2" xfId="0" applyBorder="1"/>
    <xf numFmtId="0" fontId="0" fillId="0" borderId="4" xfId="0" applyBorder="1"/>
    <xf numFmtId="10" fontId="0" fillId="0" borderId="6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1" xfId="2" applyNumberFormat="1" applyFont="1" applyBorder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/>
    <xf numFmtId="177" fontId="0" fillId="0" borderId="1" xfId="1" applyNumberFormat="1" applyFont="1" applyBorder="1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4" fillId="0" borderId="1" xfId="0" applyNumberFormat="1" applyFont="1" applyBorder="1"/>
    <xf numFmtId="38" fontId="4" fillId="0" borderId="1" xfId="1" applyFont="1" applyBorder="1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0" fillId="0" borderId="0" xfId="0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113-A0A3-C3493B34A638}"/>
            </c:ext>
          </c:extLst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8-4113-A0A3-C3493B34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 (数式)'!$C$30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0-430A-9DB3-35F6C9484F85}"/>
            </c:ext>
          </c:extLst>
        </c:ser>
        <c:ser>
          <c:idx val="1"/>
          <c:order val="1"/>
          <c:tx>
            <c:strRef>
              <c:f>'1-5 (数式)'!$D$30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0-430A-9DB3-35F6C948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184-B87D-4227CEDD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 (数式)'!$D$30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 (数式)'!$A$31:$A$34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 (数式)'!$D$31:$D$34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B-41B8-84B8-22AF0446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'1-7'!$A$32:$A$36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'1-7'!$D$32:$D$36</c:f>
              <c:numCache>
                <c:formatCode>#,##0_);[Red]\(#,##0\)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5B7-BFF0-92B1F533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 (数式)'!$D$31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'1-7 (数式)'!$A$32:$A$36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 (数式)'!$D$32:$D$36</c:f>
              <c:numCache>
                <c:formatCode>#,##0_);[Red]\(#,##0\)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3-4861-9603-FF93BDF2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 (数式)'!$C$26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E48-82FB-B1B7652B150F}"/>
            </c:ext>
          </c:extLst>
        </c:ser>
        <c:ser>
          <c:idx val="1"/>
          <c:order val="1"/>
          <c:tx>
            <c:strRef>
              <c:f>'1-1 (数式)'!$D$26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1-4E48-82FB-B1B7652B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AC7-8190-2EB7F62B74A1}"/>
            </c:ext>
          </c:extLst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8-4AC7-8190-2EB7F62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 (数式)'!$C$33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B-47B2-8354-FEE44E0681B4}"/>
            </c:ext>
          </c:extLst>
        </c:ser>
        <c:ser>
          <c:idx val="1"/>
          <c:order val="1"/>
          <c:tx>
            <c:strRef>
              <c:f>'1-2 (数式)'!$D$33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B-47B2-8354-FEE44E06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4238-8100-829C6EE5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 (数式)'!$C$32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 (数式)'!$A$33:$A$36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 (数式)'!$C$33:$C$36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ED1-8C98-30AC4BEC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4-43E0-A699-74825E474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4-43E0-A699-74825E474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4-43E0-A699-74825E474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D4-43E0-A699-74825E474185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189-B2AD-46C9D28E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 (数式)'!$D$33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4B-4087-9477-D93989719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B-4087-9477-D93989719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4B-4087-9477-D93989719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4B-4087-9477-D93989719976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 (数式)'!$A$34:$A$37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 (数式)'!$D$34:$D$37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4B-4087-9477-D939897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9-492F-B212-D6943121092F}"/>
            </c:ext>
          </c:extLst>
        </c:ser>
        <c:ser>
          <c:idx val="1"/>
          <c:order val="1"/>
          <c:tx>
            <c:strRef>
              <c:f>'1-5'!$D$30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9-492F-B212-D6943121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4E325C-8094-495C-9AA9-3DDC8F11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640862-9DA0-4E42-9F6F-1F790172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2A61C-27C0-4CFB-9B0D-615739101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2B485F-5AC2-4515-8F3D-DB214B6C3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7936FA-55A0-4A69-8CC1-44EFC5AA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9F6BFD-EEC5-449A-BC54-84460C03C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299ABE-E9B4-4AA9-AC97-65E834E49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B614C5-E758-44E2-82D0-6B770A31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23B0C-6E75-4974-9593-50CDCDA68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A59F-B62E-4602-9DA6-A4AF86D0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51DA32-5DBD-47D0-83D5-E636D7D5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589238-06AE-46E8-840D-3EFBF377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80B724-A2EC-47A1-8188-DB3282CE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3B503A-8ECB-4009-890B-051648C9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workbookViewId="0">
      <selection activeCell="C3" sqref="C3"/>
    </sheetView>
  </sheetViews>
  <sheetFormatPr defaultRowHeight="18.75"/>
  <cols>
    <col min="1" max="1" width="12.375" bestFit="1" customWidth="1"/>
    <col min="2" max="2" width="11" bestFit="1" customWidth="1"/>
    <col min="3" max="3" width="12.375" bestFit="1" customWidth="1"/>
    <col min="5" max="5" width="10.5" bestFit="1" customWidth="1"/>
    <col min="6" max="7" width="6.5" bestFit="1" customWidth="1"/>
    <col min="8" max="8" width="9.5" bestFit="1" customWidth="1"/>
    <col min="11" max="11" width="9.5" bestFit="1" customWidth="1"/>
    <col min="12" max="12" width="8" bestFit="1" customWidth="1"/>
    <col min="13" max="13" width="2.5" customWidth="1"/>
    <col min="14" max="14" width="15.375" bestFit="1" customWidth="1"/>
    <col min="15" max="15" width="10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61" t="s">
        <v>59</v>
      </c>
      <c r="O2" s="61"/>
    </row>
    <row r="3" spans="1:15">
      <c r="A3" s="7">
        <v>101</v>
      </c>
      <c r="B3" s="1" t="s">
        <v>15</v>
      </c>
      <c r="C3" s="1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7">
        <v>102</v>
      </c>
      <c r="B4" s="1" t="s">
        <v>16</v>
      </c>
      <c r="C4" s="1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7">
        <v>100</v>
      </c>
      <c r="O4" s="8" t="s">
        <v>25</v>
      </c>
    </row>
    <row r="5" spans="1:15">
      <c r="A5" s="7">
        <v>103</v>
      </c>
      <c r="B5" s="1" t="s">
        <v>17</v>
      </c>
      <c r="C5" s="1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7">
        <v>200</v>
      </c>
      <c r="O5" s="8" t="s">
        <v>26</v>
      </c>
    </row>
    <row r="6" spans="1:15" ht="19.5" thickBot="1">
      <c r="A6" s="7">
        <v>201</v>
      </c>
      <c r="B6" s="1" t="s">
        <v>18</v>
      </c>
      <c r="C6" s="1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9">
        <v>300</v>
      </c>
      <c r="O6" s="13" t="s">
        <v>27</v>
      </c>
    </row>
    <row r="7" spans="1:15">
      <c r="A7" s="7">
        <v>202</v>
      </c>
      <c r="B7" s="1" t="s">
        <v>19</v>
      </c>
      <c r="C7" s="1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7">
        <v>203</v>
      </c>
      <c r="B8" s="1" t="s">
        <v>20</v>
      </c>
      <c r="C8" s="1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61" t="s">
        <v>60</v>
      </c>
      <c r="O8" s="61"/>
    </row>
    <row r="9" spans="1:15">
      <c r="A9" s="7">
        <v>301</v>
      </c>
      <c r="B9" s="1" t="s">
        <v>21</v>
      </c>
      <c r="C9" s="1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19" t="s">
        <v>28</v>
      </c>
      <c r="O9" s="20">
        <v>375</v>
      </c>
    </row>
    <row r="10" spans="1:15" ht="19.5" thickBot="1">
      <c r="A10" s="7">
        <v>302</v>
      </c>
      <c r="B10" s="1" t="s">
        <v>22</v>
      </c>
      <c r="C10" s="1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9" t="s">
        <v>29</v>
      </c>
      <c r="O10" s="16">
        <v>5900</v>
      </c>
    </row>
    <row r="11" spans="1:15">
      <c r="A11" s="7">
        <v>303</v>
      </c>
      <c r="B11" s="1" t="s">
        <v>23</v>
      </c>
      <c r="C11" s="1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N12" s="61" t="s">
        <v>33</v>
      </c>
      <c r="O12" s="61"/>
    </row>
    <row r="13" spans="1:15" ht="19.5" thickBot="1">
      <c r="A13" s="9"/>
      <c r="B13" s="10" t="s">
        <v>32</v>
      </c>
      <c r="C13" s="11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7">
        <v>1</v>
      </c>
      <c r="O14" s="8">
        <v>760</v>
      </c>
    </row>
    <row r="15" spans="1:15" ht="19.5" thickBot="1">
      <c r="A15" s="54" t="s">
        <v>40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N15" s="7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9">
        <v>105</v>
      </c>
      <c r="O16" s="13">
        <v>820</v>
      </c>
    </row>
    <row r="17" spans="1:15">
      <c r="A17" s="7">
        <v>301</v>
      </c>
      <c r="B17" s="1" t="s">
        <v>21</v>
      </c>
      <c r="C17" s="1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7">
        <v>101</v>
      </c>
      <c r="B18" s="1" t="s">
        <v>15</v>
      </c>
      <c r="C18" s="1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61" t="s">
        <v>34</v>
      </c>
      <c r="O18" s="61"/>
    </row>
    <row r="19" spans="1:15">
      <c r="A19" s="7">
        <v>201</v>
      </c>
      <c r="B19" s="1" t="s">
        <v>18</v>
      </c>
      <c r="C19" s="1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7">
        <v>202</v>
      </c>
      <c r="B20" s="1" t="s">
        <v>19</v>
      </c>
      <c r="C20" s="1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7">
        <v>1</v>
      </c>
      <c r="O20" s="8">
        <v>650</v>
      </c>
    </row>
    <row r="21" spans="1:15">
      <c r="A21" s="7">
        <v>302</v>
      </c>
      <c r="B21" s="1" t="s">
        <v>22</v>
      </c>
      <c r="C21" s="1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7">
        <v>100</v>
      </c>
      <c r="O21" s="8">
        <v>680</v>
      </c>
    </row>
    <row r="22" spans="1:15" ht="19.5" thickBot="1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8"/>
      <c r="N22" s="9">
        <v>105</v>
      </c>
      <c r="O22" s="13">
        <v>710</v>
      </c>
    </row>
    <row r="23" spans="1:15" ht="19.5" thickBot="1">
      <c r="A23" s="9"/>
      <c r="B23" s="10" t="s">
        <v>32</v>
      </c>
      <c r="C23" s="11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61" t="s">
        <v>61</v>
      </c>
      <c r="O24" s="61"/>
    </row>
    <row r="25" spans="1:15" ht="19.5" thickBot="1">
      <c r="A25" s="53" t="s">
        <v>41</v>
      </c>
      <c r="B25" s="53"/>
      <c r="C25" s="53"/>
      <c r="D25" s="53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7">
        <v>1</v>
      </c>
      <c r="O26" s="21">
        <v>6.8000000000000005E-2</v>
      </c>
    </row>
    <row r="27" spans="1:15" ht="19.5" thickBot="1">
      <c r="A27" s="7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55" t="s">
        <v>49</v>
      </c>
      <c r="G27" s="56"/>
      <c r="H27" s="56"/>
      <c r="I27" s="56"/>
      <c r="J27" s="56"/>
      <c r="K27" s="56"/>
      <c r="L27" s="18">
        <f>DSUM(社員別賃金一覧表1,K16,N36:O37)</f>
        <v>562380</v>
      </c>
      <c r="N27" s="9">
        <v>103</v>
      </c>
      <c r="O27" s="22">
        <v>7.9000000000000001E-2</v>
      </c>
    </row>
    <row r="28" spans="1:15" ht="19.5" thickBot="1">
      <c r="A28" s="7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59" t="s">
        <v>50</v>
      </c>
      <c r="G28" s="60"/>
      <c r="H28" s="60"/>
      <c r="I28" s="60"/>
      <c r="J28" s="60"/>
      <c r="K28" s="60"/>
      <c r="L28" s="8">
        <f>DCOUNTA(社員別賃金一覧表1,C2,N39:O40)</f>
        <v>5</v>
      </c>
    </row>
    <row r="29" spans="1:15" ht="19.5" thickBot="1">
      <c r="A29" s="9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57" t="s">
        <v>51</v>
      </c>
      <c r="G29" s="58"/>
      <c r="H29" s="58"/>
      <c r="I29" s="58"/>
      <c r="J29" s="58"/>
      <c r="K29" s="58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19" t="s">
        <v>8</v>
      </c>
      <c r="O36" s="20" t="s">
        <v>8</v>
      </c>
    </row>
    <row r="37" spans="14:15" ht="19.5" thickBot="1">
      <c r="N37" s="9" t="s">
        <v>52</v>
      </c>
      <c r="O37" s="13" t="s">
        <v>53</v>
      </c>
    </row>
    <row r="38" spans="14:15" ht="19.5" thickBot="1"/>
    <row r="39" spans="14:15">
      <c r="N39" s="19" t="s">
        <v>3</v>
      </c>
      <c r="O39" s="20" t="s">
        <v>55</v>
      </c>
    </row>
    <row r="40" spans="14:15" ht="19.5" thickBot="1">
      <c r="N40" s="9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sortState ref="A17:L21">
    <sortCondition ref="K16"/>
  </sortState>
  <mergeCells count="11">
    <mergeCell ref="N2:O2"/>
    <mergeCell ref="N8:O8"/>
    <mergeCell ref="N12:O12"/>
    <mergeCell ref="N24:O24"/>
    <mergeCell ref="N18:O18"/>
    <mergeCell ref="A1:L1"/>
    <mergeCell ref="A15:L15"/>
    <mergeCell ref="A25:D25"/>
    <mergeCell ref="F27:K27"/>
    <mergeCell ref="F29:K29"/>
    <mergeCell ref="F28:K28"/>
  </mergeCells>
  <phoneticPr fontId="2"/>
  <pageMargins left="0.25" right="0.25" top="0.75" bottom="0.75" header="0.3" footer="0.3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81DC-2830-4E23-BECB-FD627373455F}">
  <sheetPr>
    <pageSetUpPr fitToPage="1"/>
  </sheetPr>
  <dimension ref="A1:Q39"/>
  <sheetViews>
    <sheetView showFormulas="1" topLeftCell="G1" workbookViewId="0">
      <selection activeCell="J12" sqref="J12"/>
    </sheetView>
  </sheetViews>
  <sheetFormatPr defaultRowHeight="18.75"/>
  <cols>
    <col min="1" max="1" width="6.625" bestFit="1" customWidth="1"/>
    <col min="2" max="4" width="23.5" bestFit="1" customWidth="1"/>
    <col min="5" max="5" width="24.375" bestFit="1" customWidth="1"/>
    <col min="6" max="6" width="8.125" bestFit="1" customWidth="1"/>
    <col min="7" max="7" width="8.375" bestFit="1" customWidth="1"/>
    <col min="8" max="8" width="13.875" bestFit="1" customWidth="1"/>
    <col min="9" max="9" width="13.75" bestFit="1" customWidth="1"/>
    <col min="10" max="10" width="15.5" bestFit="1" customWidth="1"/>
    <col min="11" max="11" width="20.75" bestFit="1" customWidth="1"/>
    <col min="12" max="12" width="9.875" bestFit="1" customWidth="1"/>
    <col min="13" max="13" width="25.125" bestFit="1" customWidth="1"/>
    <col min="14" max="14" width="5" customWidth="1"/>
    <col min="15" max="15" width="6.625" bestFit="1" customWidth="1"/>
    <col min="16" max="17" width="5.75" bestFit="1" customWidth="1"/>
  </cols>
  <sheetData>
    <row r="1" spans="1:16" ht="19.5" thickBot="1">
      <c r="A1" s="53" t="s">
        <v>206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41">
        <v>101</v>
      </c>
      <c r="B3" s="42" t="s">
        <v>213</v>
      </c>
      <c r="C3" s="42" t="str">
        <f>VLOOKUP(A3,$O$4:$P$7,2,1)&amp;"エリア"</f>
        <v>東北エリア</v>
      </c>
      <c r="D3" s="42" t="s">
        <v>225</v>
      </c>
      <c r="E3" s="2">
        <f>VLOOKUP(D3,$O$10:$P$13,2,0)</f>
        <v>198400</v>
      </c>
      <c r="F3" s="42">
        <v>841</v>
      </c>
      <c r="G3" s="42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43" t="s">
        <v>1</v>
      </c>
      <c r="P3" s="43" t="s">
        <v>227</v>
      </c>
    </row>
    <row r="4" spans="1:16">
      <c r="A4" s="41">
        <v>102</v>
      </c>
      <c r="B4" s="42" t="s">
        <v>214</v>
      </c>
      <c r="C4" s="42" t="str">
        <f t="shared" ref="C4:C14" si="0">VLOOKUP(A4,$O$4:$P$7,2,1)&amp;"エリア"</f>
        <v>東北エリア</v>
      </c>
      <c r="D4" s="42" t="s">
        <v>154</v>
      </c>
      <c r="E4" s="2">
        <f t="shared" ref="E4:E14" si="1">VLOOKUP(D4,$O$10:$P$13,2,0)</f>
        <v>209600</v>
      </c>
      <c r="F4" s="42">
        <v>845</v>
      </c>
      <c r="G4" s="42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42">
        <v>100</v>
      </c>
      <c r="P4" s="42" t="s">
        <v>228</v>
      </c>
    </row>
    <row r="5" spans="1:16">
      <c r="A5" s="41">
        <v>103</v>
      </c>
      <c r="B5" s="42" t="s">
        <v>215</v>
      </c>
      <c r="C5" s="42" t="str">
        <f t="shared" si="0"/>
        <v>東北エリア</v>
      </c>
      <c r="D5" s="42" t="s">
        <v>226</v>
      </c>
      <c r="E5" s="2">
        <f t="shared" si="1"/>
        <v>187300</v>
      </c>
      <c r="F5" s="42">
        <v>790</v>
      </c>
      <c r="G5" s="42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42">
        <v>200</v>
      </c>
      <c r="P5" s="42" t="s">
        <v>229</v>
      </c>
    </row>
    <row r="6" spans="1:16">
      <c r="A6" s="41">
        <v>201</v>
      </c>
      <c r="B6" s="42" t="s">
        <v>216</v>
      </c>
      <c r="C6" s="42" t="str">
        <f t="shared" si="0"/>
        <v>関東エリア</v>
      </c>
      <c r="D6" s="42" t="s">
        <v>153</v>
      </c>
      <c r="E6" s="2">
        <f t="shared" si="1"/>
        <v>220800</v>
      </c>
      <c r="F6" s="42">
        <v>820</v>
      </c>
      <c r="G6" s="42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42">
        <v>300</v>
      </c>
      <c r="P6" s="42" t="s">
        <v>230</v>
      </c>
    </row>
    <row r="7" spans="1:16">
      <c r="A7" s="41">
        <v>202</v>
      </c>
      <c r="B7" s="42" t="s">
        <v>217</v>
      </c>
      <c r="C7" s="42" t="str">
        <f t="shared" si="0"/>
        <v>関東エリア</v>
      </c>
      <c r="D7" s="42" t="s">
        <v>226</v>
      </c>
      <c r="E7" s="2">
        <f t="shared" si="1"/>
        <v>187300</v>
      </c>
      <c r="F7" s="42">
        <v>774</v>
      </c>
      <c r="G7" s="42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42">
        <v>400</v>
      </c>
      <c r="P7" s="42" t="s">
        <v>231</v>
      </c>
    </row>
    <row r="8" spans="1:16">
      <c r="A8" s="41">
        <v>203</v>
      </c>
      <c r="B8" s="42" t="s">
        <v>218</v>
      </c>
      <c r="C8" s="42" t="str">
        <f t="shared" si="0"/>
        <v>関東エリア</v>
      </c>
      <c r="D8" s="42" t="s">
        <v>154</v>
      </c>
      <c r="E8" s="2">
        <f t="shared" si="1"/>
        <v>209600</v>
      </c>
      <c r="F8" s="42">
        <v>801</v>
      </c>
      <c r="G8" s="42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41">
        <v>301</v>
      </c>
      <c r="B9" s="42" t="s">
        <v>219</v>
      </c>
      <c r="C9" s="42" t="str">
        <f t="shared" si="0"/>
        <v>中部エリア</v>
      </c>
      <c r="D9" s="42" t="s">
        <v>153</v>
      </c>
      <c r="E9" s="2">
        <f t="shared" si="1"/>
        <v>220800</v>
      </c>
      <c r="F9" s="42">
        <v>815</v>
      </c>
      <c r="G9" s="42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43" t="s">
        <v>208</v>
      </c>
      <c r="P9" s="43" t="s">
        <v>209</v>
      </c>
    </row>
    <row r="10" spans="1:16">
      <c r="A10" s="41">
        <v>302</v>
      </c>
      <c r="B10" s="42" t="s">
        <v>220</v>
      </c>
      <c r="C10" s="42" t="str">
        <f t="shared" si="0"/>
        <v>中部エリア</v>
      </c>
      <c r="D10" s="42" t="s">
        <v>225</v>
      </c>
      <c r="E10" s="2">
        <f t="shared" si="1"/>
        <v>198400</v>
      </c>
      <c r="F10" s="42">
        <v>770</v>
      </c>
      <c r="G10" s="42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42" t="s">
        <v>153</v>
      </c>
      <c r="P10" s="2">
        <v>220800</v>
      </c>
    </row>
    <row r="11" spans="1:16">
      <c r="A11" s="41">
        <v>303</v>
      </c>
      <c r="B11" s="42" t="s">
        <v>221</v>
      </c>
      <c r="C11" s="42" t="str">
        <f t="shared" si="0"/>
        <v>中部エリア</v>
      </c>
      <c r="D11" s="42" t="s">
        <v>154</v>
      </c>
      <c r="E11" s="2">
        <f t="shared" si="1"/>
        <v>209600</v>
      </c>
      <c r="F11" s="42">
        <v>749</v>
      </c>
      <c r="G11" s="42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42" t="s">
        <v>154</v>
      </c>
      <c r="P11" s="2">
        <v>209600</v>
      </c>
    </row>
    <row r="12" spans="1:16">
      <c r="A12" s="41">
        <v>401</v>
      </c>
      <c r="B12" s="42" t="s">
        <v>222</v>
      </c>
      <c r="C12" s="42" t="str">
        <f t="shared" si="0"/>
        <v>関西エリア</v>
      </c>
      <c r="D12" s="42" t="s">
        <v>225</v>
      </c>
      <c r="E12" s="2">
        <f t="shared" si="1"/>
        <v>198400</v>
      </c>
      <c r="F12" s="42">
        <v>772</v>
      </c>
      <c r="G12" s="42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42" t="s">
        <v>225</v>
      </c>
      <c r="P12" s="2">
        <v>198400</v>
      </c>
    </row>
    <row r="13" spans="1:16">
      <c r="A13" s="41">
        <v>402</v>
      </c>
      <c r="B13" s="42" t="s">
        <v>223</v>
      </c>
      <c r="C13" s="42" t="str">
        <f t="shared" si="0"/>
        <v>関西エリア</v>
      </c>
      <c r="D13" s="42" t="s">
        <v>153</v>
      </c>
      <c r="E13" s="2">
        <f t="shared" si="1"/>
        <v>220800</v>
      </c>
      <c r="F13" s="42">
        <v>839</v>
      </c>
      <c r="G13" s="42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42" t="s">
        <v>226</v>
      </c>
      <c r="P13" s="2">
        <v>187300</v>
      </c>
    </row>
    <row r="14" spans="1:16">
      <c r="A14" s="41">
        <v>403</v>
      </c>
      <c r="B14" s="42" t="s">
        <v>224</v>
      </c>
      <c r="C14" s="42" t="str">
        <f t="shared" si="0"/>
        <v>関西エリア</v>
      </c>
      <c r="D14" s="42" t="s">
        <v>226</v>
      </c>
      <c r="E14" s="2">
        <f t="shared" si="1"/>
        <v>187300</v>
      </c>
      <c r="F14" s="42">
        <v>690</v>
      </c>
      <c r="G14" s="42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8"/>
      <c r="O15" s="43" t="s">
        <v>232</v>
      </c>
      <c r="P15" s="36">
        <v>59.6</v>
      </c>
    </row>
    <row r="16" spans="1:16" ht="19.5" thickBot="1">
      <c r="A16" s="38"/>
      <c r="B16" s="10" t="s">
        <v>32</v>
      </c>
      <c r="C16" s="39"/>
      <c r="D16" s="39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43" t="s">
        <v>233</v>
      </c>
      <c r="P16" s="36">
        <v>45.2</v>
      </c>
    </row>
    <row r="18" spans="1:17" ht="19.5" thickBot="1">
      <c r="A18" s="53" t="s">
        <v>245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O18" s="70" t="s">
        <v>212</v>
      </c>
      <c r="P18" s="72" t="s">
        <v>210</v>
      </c>
      <c r="Q18" s="72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71"/>
      <c r="P19" s="50" t="s">
        <v>234</v>
      </c>
      <c r="Q19" s="51" t="s">
        <v>235</v>
      </c>
    </row>
    <row r="20" spans="1:17">
      <c r="A20" s="41">
        <v>402</v>
      </c>
      <c r="B20" s="42" t="s">
        <v>223</v>
      </c>
      <c r="C20" s="42" t="s">
        <v>244</v>
      </c>
      <c r="D20" s="42" t="s">
        <v>153</v>
      </c>
      <c r="E20" s="2">
        <v>220800</v>
      </c>
      <c r="F20" s="42">
        <v>839</v>
      </c>
      <c r="G20" s="42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50">
        <v>1</v>
      </c>
      <c r="P20" s="50" t="s">
        <v>236</v>
      </c>
      <c r="Q20" s="50" t="s">
        <v>237</v>
      </c>
    </row>
    <row r="21" spans="1:17">
      <c r="A21" s="41">
        <v>201</v>
      </c>
      <c r="B21" s="42" t="s">
        <v>216</v>
      </c>
      <c r="C21" s="42" t="s">
        <v>242</v>
      </c>
      <c r="D21" s="42" t="s">
        <v>153</v>
      </c>
      <c r="E21" s="2">
        <v>220800</v>
      </c>
      <c r="F21" s="42">
        <v>820</v>
      </c>
      <c r="G21" s="42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52">
        <v>300000</v>
      </c>
      <c r="P21" s="50" t="s">
        <v>240</v>
      </c>
      <c r="Q21" s="50" t="s">
        <v>239</v>
      </c>
    </row>
    <row r="22" spans="1:17">
      <c r="A22" s="41">
        <v>301</v>
      </c>
      <c r="B22" s="42" t="s">
        <v>219</v>
      </c>
      <c r="C22" s="42" t="s">
        <v>243</v>
      </c>
      <c r="D22" s="42" t="s">
        <v>153</v>
      </c>
      <c r="E22" s="2">
        <v>220800</v>
      </c>
      <c r="F22" s="42">
        <v>815</v>
      </c>
      <c r="G22" s="42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41">
        <v>102</v>
      </c>
      <c r="B23" s="42" t="s">
        <v>214</v>
      </c>
      <c r="C23" s="42" t="s">
        <v>241</v>
      </c>
      <c r="D23" s="42" t="s">
        <v>154</v>
      </c>
      <c r="E23" s="2">
        <v>209600</v>
      </c>
      <c r="F23" s="42">
        <v>845</v>
      </c>
      <c r="G23" s="42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41">
        <v>203</v>
      </c>
      <c r="B24" s="42" t="s">
        <v>218</v>
      </c>
      <c r="C24" s="42" t="s">
        <v>242</v>
      </c>
      <c r="D24" s="42" t="s">
        <v>154</v>
      </c>
      <c r="E24" s="2">
        <v>209600</v>
      </c>
      <c r="F24" s="42">
        <v>801</v>
      </c>
      <c r="G24" s="42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41">
        <v>303</v>
      </c>
      <c r="B25" s="42" t="s">
        <v>221</v>
      </c>
      <c r="C25" s="42" t="s">
        <v>243</v>
      </c>
      <c r="D25" s="42" t="s">
        <v>154</v>
      </c>
      <c r="E25" s="2">
        <v>209600</v>
      </c>
      <c r="F25" s="42">
        <v>749</v>
      </c>
      <c r="G25" s="42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8"/>
    </row>
    <row r="27" spans="1:17" ht="19.5" thickBot="1">
      <c r="A27" s="38"/>
      <c r="B27" s="10" t="s">
        <v>32</v>
      </c>
      <c r="C27" s="39"/>
      <c r="D27" s="39"/>
      <c r="E27" s="12">
        <f>SUM(E20:E25)</f>
        <v>1291200</v>
      </c>
      <c r="F27" s="12">
        <f t="shared" ref="F27:L27" si="9">SUM(F20:F25)</f>
        <v>4869</v>
      </c>
      <c r="G27" s="12">
        <f t="shared" si="9"/>
        <v>4873</v>
      </c>
      <c r="H27" s="12"/>
      <c r="I27" s="12">
        <f t="shared" si="9"/>
        <v>290500</v>
      </c>
      <c r="J27" s="12">
        <f t="shared" si="9"/>
        <v>220050</v>
      </c>
      <c r="K27" s="12">
        <f t="shared" si="9"/>
        <v>80635</v>
      </c>
      <c r="L27" s="12">
        <f t="shared" si="9"/>
        <v>1882385</v>
      </c>
      <c r="M27" s="13"/>
    </row>
    <row r="29" spans="1:17" ht="19.5" thickBot="1">
      <c r="A29" s="53" t="s">
        <v>246</v>
      </c>
      <c r="B29" s="53"/>
      <c r="C29" s="53"/>
      <c r="D29" s="53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42" t="s">
        <v>207</v>
      </c>
      <c r="G30" s="42" t="s">
        <v>207</v>
      </c>
      <c r="H30" s="42" t="s">
        <v>207</v>
      </c>
      <c r="I30" s="42" t="s">
        <v>207</v>
      </c>
    </row>
    <row r="31" spans="1:17">
      <c r="A31" s="41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42" t="s">
        <v>247</v>
      </c>
      <c r="G31" s="42" t="s">
        <v>248</v>
      </c>
      <c r="H31" s="42" t="s">
        <v>249</v>
      </c>
      <c r="I31" s="42" t="s">
        <v>250</v>
      </c>
    </row>
    <row r="32" spans="1:17">
      <c r="A32" s="41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11">
      <c r="A33" s="41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11" ht="19.5" thickBot="1">
      <c r="A34" s="38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  <row r="35" spans="1:11">
      <c r="G35" s="43" t="s">
        <v>28</v>
      </c>
      <c r="H35" s="43" t="s">
        <v>210</v>
      </c>
      <c r="J35" s="48" t="s">
        <v>208</v>
      </c>
      <c r="K35" s="49" t="s">
        <v>28</v>
      </c>
    </row>
    <row r="36" spans="1:11" ht="19.5" thickBot="1">
      <c r="G36" s="42" t="s">
        <v>254</v>
      </c>
      <c r="H36" s="42" t="s">
        <v>255</v>
      </c>
      <c r="J36" s="50" t="s">
        <v>256</v>
      </c>
      <c r="K36" s="50"/>
    </row>
    <row r="37" spans="1:11">
      <c r="A37" s="64" t="s">
        <v>251</v>
      </c>
      <c r="B37" s="65"/>
      <c r="C37" s="65"/>
      <c r="D37" s="65"/>
      <c r="E37" s="20">
        <f>DCOUNT(社員別給料計算表5,"目標数",G35:H36)</f>
        <v>5</v>
      </c>
      <c r="J37" s="50"/>
      <c r="K37" s="50" t="s">
        <v>257</v>
      </c>
    </row>
    <row r="38" spans="1:11">
      <c r="A38" s="66" t="s">
        <v>252</v>
      </c>
      <c r="B38" s="67"/>
      <c r="C38" s="67"/>
      <c r="D38" s="67"/>
      <c r="E38" s="14">
        <f>DAVERAGE(社員別給料計算表5,"奨励金",J35:K37)</f>
        <v>13446.571428571429</v>
      </c>
      <c r="G38" s="43" t="s">
        <v>68</v>
      </c>
    </row>
    <row r="39" spans="1:11" ht="19.5" thickBot="1">
      <c r="A39" s="62" t="s">
        <v>253</v>
      </c>
      <c r="B39" s="63"/>
      <c r="C39" s="63"/>
      <c r="D39" s="63"/>
      <c r="E39" s="16">
        <f>DMIN(社員別給料計算表5,"販売手当",G38:G39)</f>
        <v>47800</v>
      </c>
      <c r="G39" s="42" t="s">
        <v>258</v>
      </c>
    </row>
  </sheetData>
  <mergeCells count="8">
    <mergeCell ref="P18:Q18"/>
    <mergeCell ref="A29:D29"/>
    <mergeCell ref="A37:D37"/>
    <mergeCell ref="A38:D38"/>
    <mergeCell ref="A39:D39"/>
    <mergeCell ref="A1:M1"/>
    <mergeCell ref="A18:M18"/>
    <mergeCell ref="O18:O19"/>
  </mergeCells>
  <phoneticPr fontId="2"/>
  <pageMargins left="0.25" right="0.25" top="0.75" bottom="0.75" header="0.3" footer="0.3"/>
  <pageSetup paperSize="9" scale="2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4BBF-5636-473F-98CC-AF5E4C8BB3E1}">
  <sheetPr>
    <pageSetUpPr fitToPage="1"/>
  </sheetPr>
  <dimension ref="A1:Q39"/>
  <sheetViews>
    <sheetView topLeftCell="A23" workbookViewId="0">
      <selection activeCell="O32" sqref="O32"/>
    </sheetView>
  </sheetViews>
  <sheetFormatPr defaultRowHeight="18.75"/>
  <cols>
    <col min="1" max="1" width="9" bestFit="1" customWidth="1"/>
    <col min="3" max="4" width="8" bestFit="1" customWidth="1"/>
    <col min="5" max="6" width="7.125" bestFit="1" customWidth="1"/>
    <col min="7" max="7" width="9.125" bestFit="1" customWidth="1"/>
    <col min="8" max="8" width="9.5" bestFit="1" customWidth="1"/>
    <col min="9" max="9" width="11" bestFit="1" customWidth="1"/>
    <col min="10" max="10" width="9" bestFit="1" customWidth="1"/>
    <col min="11" max="11" width="9.5" bestFit="1" customWidth="1"/>
    <col min="12" max="12" width="5.25" bestFit="1" customWidth="1"/>
    <col min="14" max="14" width="7.125" bestFit="1" customWidth="1"/>
  </cols>
  <sheetData>
    <row r="1" spans="1:17" ht="19.5" thickBot="1">
      <c r="A1" s="53" t="s">
        <v>259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7">
      <c r="A2" s="4" t="s">
        <v>260</v>
      </c>
      <c r="B2" s="5" t="s">
        <v>262</v>
      </c>
      <c r="C2" s="5" t="s">
        <v>261</v>
      </c>
      <c r="D2" s="5" t="s">
        <v>264</v>
      </c>
      <c r="E2" s="5" t="s">
        <v>265</v>
      </c>
      <c r="F2" s="5" t="s">
        <v>266</v>
      </c>
      <c r="G2" s="5" t="s">
        <v>267</v>
      </c>
      <c r="H2" s="5" t="s">
        <v>268</v>
      </c>
      <c r="I2" s="5" t="s">
        <v>269</v>
      </c>
      <c r="J2" s="5" t="s">
        <v>270</v>
      </c>
      <c r="K2" s="5" t="s">
        <v>271</v>
      </c>
      <c r="L2" s="6" t="s">
        <v>272</v>
      </c>
      <c r="N2" s="43" t="s">
        <v>260</v>
      </c>
      <c r="O2" s="43" t="s">
        <v>262</v>
      </c>
    </row>
    <row r="3" spans="1:17">
      <c r="A3" s="41" t="s">
        <v>273</v>
      </c>
      <c r="B3" s="42" t="str">
        <f>VLOOKUP(A3,$N$3:$O$6,2,FALSE)</f>
        <v>森山精密</v>
      </c>
      <c r="C3" s="42">
        <v>11</v>
      </c>
      <c r="D3" s="42" t="str">
        <f>VLOOKUP(C3,$N$9:$Q$11,2,FALSE)&amp;"製品"</f>
        <v>S製品</v>
      </c>
      <c r="E3" s="2">
        <v>1973</v>
      </c>
      <c r="F3" s="2">
        <v>1941</v>
      </c>
      <c r="G3" s="42">
        <f>ROUNDUP(F3/E3*100,1)</f>
        <v>98.399999999999991</v>
      </c>
      <c r="H3" s="2">
        <f>ROUNDUP(VLOOKUP(C3,$N$9:$Q$11,3,0)*F3,-2)</f>
        <v>240700</v>
      </c>
      <c r="I3" s="2">
        <f>IF(F3&gt;=1900,VLOOKUP(C3,$N$9:$Q$11,4,0)*(F3-1900),0)</f>
        <v>574</v>
      </c>
      <c r="J3" s="2">
        <f>INT((H3+I3)*VLOOKUP(RIGHT(A3,1),$N$14:$O$16,2,0))</f>
        <v>12787</v>
      </c>
      <c r="K3" s="3">
        <f>H3+I3+J3</f>
        <v>254061</v>
      </c>
      <c r="L3" s="8" t="str">
        <f>IF(OR(F3&gt;=2000,G3&gt;=98),"**","*")</f>
        <v>**</v>
      </c>
      <c r="N3" s="42" t="s">
        <v>273</v>
      </c>
      <c r="O3" s="42" t="s">
        <v>284</v>
      </c>
    </row>
    <row r="4" spans="1:17">
      <c r="A4" s="41" t="s">
        <v>273</v>
      </c>
      <c r="B4" s="42" t="str">
        <f t="shared" ref="B4:B14" si="0">VLOOKUP(A4,$N$3:$O$6,2,FALSE)</f>
        <v>森山精密</v>
      </c>
      <c r="C4" s="42">
        <v>12</v>
      </c>
      <c r="D4" s="42" t="str">
        <f t="shared" ref="D4:D14" si="1">VLOOKUP(C4,$N$9:$Q$11,2,FALSE)&amp;"製品"</f>
        <v>T製品</v>
      </c>
      <c r="E4" s="2">
        <v>2482</v>
      </c>
      <c r="F4" s="2">
        <v>2431</v>
      </c>
      <c r="G4" s="42">
        <f t="shared" ref="G4:G14" si="2">ROUNDUP(F4/E4*100,1)</f>
        <v>98</v>
      </c>
      <c r="H4" s="2">
        <f t="shared" ref="H4:H14" si="3">ROUNDUP(VLOOKUP(C4,$N$9:$Q$11,3,0)*F4,-2)</f>
        <v>352500</v>
      </c>
      <c r="I4" s="2">
        <f t="shared" ref="I4:I14" si="4">IF(F4&gt;=1900,VLOOKUP(C4,$N$9:$Q$11,4,0)*(F4-1900),0)</f>
        <v>9027</v>
      </c>
      <c r="J4" s="2">
        <f t="shared" ref="J4:J14" si="5">INT((H4+I4)*VLOOKUP(RIGHT(A4,1),$N$14:$O$16,2,0))</f>
        <v>19160</v>
      </c>
      <c r="K4" s="3">
        <f t="shared" ref="K4:K14" si="6">H4+I4+J4</f>
        <v>380687</v>
      </c>
      <c r="L4" s="8" t="str">
        <f t="shared" ref="L4:L14" si="7">IF(OR(F4&gt;=2000,G4&gt;=98),"**","*")</f>
        <v>**</v>
      </c>
      <c r="N4" s="42" t="s">
        <v>274</v>
      </c>
      <c r="O4" s="42" t="s">
        <v>286</v>
      </c>
    </row>
    <row r="5" spans="1:17">
      <c r="A5" s="41" t="s">
        <v>273</v>
      </c>
      <c r="B5" s="42" t="str">
        <f t="shared" si="0"/>
        <v>森山精密</v>
      </c>
      <c r="C5" s="42">
        <v>13</v>
      </c>
      <c r="D5" s="42" t="str">
        <f t="shared" si="1"/>
        <v>U製品</v>
      </c>
      <c r="E5" s="2">
        <v>1816</v>
      </c>
      <c r="F5" s="2">
        <v>1752</v>
      </c>
      <c r="G5" s="42">
        <f t="shared" si="2"/>
        <v>96.5</v>
      </c>
      <c r="H5" s="2">
        <f t="shared" si="3"/>
        <v>240100</v>
      </c>
      <c r="I5" s="2">
        <f t="shared" si="4"/>
        <v>0</v>
      </c>
      <c r="J5" s="2">
        <f t="shared" si="5"/>
        <v>12725</v>
      </c>
      <c r="K5" s="3">
        <f t="shared" si="6"/>
        <v>252825</v>
      </c>
      <c r="L5" s="8" t="str">
        <f t="shared" si="7"/>
        <v>*</v>
      </c>
      <c r="N5" s="42" t="s">
        <v>275</v>
      </c>
      <c r="O5" s="42" t="s">
        <v>288</v>
      </c>
    </row>
    <row r="6" spans="1:17">
      <c r="A6" s="41" t="s">
        <v>274</v>
      </c>
      <c r="B6" s="42" t="str">
        <f t="shared" si="0"/>
        <v>マノ電工</v>
      </c>
      <c r="C6" s="42">
        <v>11</v>
      </c>
      <c r="D6" s="42" t="str">
        <f t="shared" si="1"/>
        <v>S製品</v>
      </c>
      <c r="E6" s="2">
        <v>2408</v>
      </c>
      <c r="F6" s="2">
        <v>2300</v>
      </c>
      <c r="G6" s="42">
        <f t="shared" si="2"/>
        <v>95.6</v>
      </c>
      <c r="H6" s="2">
        <f t="shared" si="3"/>
        <v>285200</v>
      </c>
      <c r="I6" s="2">
        <f t="shared" si="4"/>
        <v>5600</v>
      </c>
      <c r="J6" s="2">
        <f t="shared" si="5"/>
        <v>13086</v>
      </c>
      <c r="K6" s="3">
        <f t="shared" si="6"/>
        <v>303886</v>
      </c>
      <c r="L6" s="8" t="str">
        <f t="shared" si="7"/>
        <v>**</v>
      </c>
      <c r="N6" s="42" t="s">
        <v>276</v>
      </c>
      <c r="O6" s="42" t="s">
        <v>290</v>
      </c>
    </row>
    <row r="7" spans="1:17">
      <c r="A7" s="41" t="s">
        <v>274</v>
      </c>
      <c r="B7" s="42" t="str">
        <f t="shared" si="0"/>
        <v>マノ電工</v>
      </c>
      <c r="C7" s="42">
        <v>12</v>
      </c>
      <c r="D7" s="42" t="str">
        <f t="shared" si="1"/>
        <v>T製品</v>
      </c>
      <c r="E7" s="2">
        <v>1900</v>
      </c>
      <c r="F7" s="2">
        <v>1853</v>
      </c>
      <c r="G7" s="42">
        <f t="shared" si="2"/>
        <v>97.6</v>
      </c>
      <c r="H7" s="2">
        <f t="shared" si="3"/>
        <v>268700</v>
      </c>
      <c r="I7" s="2">
        <f t="shared" si="4"/>
        <v>0</v>
      </c>
      <c r="J7" s="2">
        <f t="shared" si="5"/>
        <v>12091</v>
      </c>
      <c r="K7" s="3">
        <f t="shared" si="6"/>
        <v>280791</v>
      </c>
      <c r="L7" s="8" t="str">
        <f t="shared" si="7"/>
        <v>*</v>
      </c>
    </row>
    <row r="8" spans="1:17">
      <c r="A8" s="41" t="s">
        <v>274</v>
      </c>
      <c r="B8" s="42" t="str">
        <f t="shared" si="0"/>
        <v>マノ電工</v>
      </c>
      <c r="C8" s="42">
        <v>13</v>
      </c>
      <c r="D8" s="42" t="str">
        <f t="shared" si="1"/>
        <v>U製品</v>
      </c>
      <c r="E8" s="2">
        <v>2269</v>
      </c>
      <c r="F8" s="2">
        <v>2238</v>
      </c>
      <c r="G8" s="42">
        <f t="shared" si="2"/>
        <v>98.699999999999989</v>
      </c>
      <c r="H8" s="2">
        <f t="shared" si="3"/>
        <v>306700</v>
      </c>
      <c r="I8" s="2">
        <f t="shared" si="4"/>
        <v>5408</v>
      </c>
      <c r="J8" s="2">
        <f t="shared" si="5"/>
        <v>14044</v>
      </c>
      <c r="K8" s="3">
        <f t="shared" si="6"/>
        <v>326152</v>
      </c>
      <c r="L8" s="8" t="str">
        <f t="shared" si="7"/>
        <v>**</v>
      </c>
      <c r="N8" s="43" t="s">
        <v>261</v>
      </c>
      <c r="O8" s="43" t="s">
        <v>277</v>
      </c>
      <c r="P8" s="43" t="s">
        <v>278</v>
      </c>
      <c r="Q8" s="43" t="s">
        <v>279</v>
      </c>
    </row>
    <row r="9" spans="1:17">
      <c r="A9" s="41" t="s">
        <v>275</v>
      </c>
      <c r="B9" s="42" t="str">
        <f t="shared" si="0"/>
        <v>関東工業</v>
      </c>
      <c r="C9" s="42">
        <v>11</v>
      </c>
      <c r="D9" s="42" t="str">
        <f t="shared" si="1"/>
        <v>S製品</v>
      </c>
      <c r="E9" s="2">
        <v>2141</v>
      </c>
      <c r="F9" s="2">
        <v>2067</v>
      </c>
      <c r="G9" s="42">
        <f t="shared" si="2"/>
        <v>96.6</v>
      </c>
      <c r="H9" s="2">
        <f t="shared" si="3"/>
        <v>256400</v>
      </c>
      <c r="I9" s="2">
        <f t="shared" si="4"/>
        <v>2338</v>
      </c>
      <c r="J9" s="2">
        <f t="shared" si="5"/>
        <v>17335</v>
      </c>
      <c r="K9" s="3">
        <f t="shared" si="6"/>
        <v>276073</v>
      </c>
      <c r="L9" s="8" t="str">
        <f t="shared" si="7"/>
        <v>**</v>
      </c>
      <c r="N9" s="42">
        <v>11</v>
      </c>
      <c r="O9" s="42" t="s">
        <v>280</v>
      </c>
      <c r="P9" s="42">
        <v>124</v>
      </c>
      <c r="Q9" s="42">
        <v>14</v>
      </c>
    </row>
    <row r="10" spans="1:17">
      <c r="A10" s="41" t="s">
        <v>275</v>
      </c>
      <c r="B10" s="42" t="str">
        <f t="shared" si="0"/>
        <v>関東工業</v>
      </c>
      <c r="C10" s="42">
        <v>12</v>
      </c>
      <c r="D10" s="42" t="str">
        <f t="shared" si="1"/>
        <v>T製品</v>
      </c>
      <c r="E10" s="2">
        <v>2300</v>
      </c>
      <c r="F10" s="2">
        <v>2258</v>
      </c>
      <c r="G10" s="42">
        <f t="shared" si="2"/>
        <v>98.199999999999989</v>
      </c>
      <c r="H10" s="2">
        <f t="shared" si="3"/>
        <v>327500</v>
      </c>
      <c r="I10" s="2">
        <f t="shared" si="4"/>
        <v>6086</v>
      </c>
      <c r="J10" s="2">
        <f t="shared" si="5"/>
        <v>22350</v>
      </c>
      <c r="K10" s="3">
        <f t="shared" si="6"/>
        <v>355936</v>
      </c>
      <c r="L10" s="8" t="str">
        <f t="shared" si="7"/>
        <v>**</v>
      </c>
      <c r="N10" s="42">
        <v>12</v>
      </c>
      <c r="O10" s="42" t="s">
        <v>281</v>
      </c>
      <c r="P10" s="42">
        <v>145</v>
      </c>
      <c r="Q10" s="42">
        <v>17</v>
      </c>
    </row>
    <row r="11" spans="1:17">
      <c r="A11" s="41" t="s">
        <v>275</v>
      </c>
      <c r="B11" s="42" t="str">
        <f t="shared" si="0"/>
        <v>関東工業</v>
      </c>
      <c r="C11" s="42">
        <v>13</v>
      </c>
      <c r="D11" s="42" t="str">
        <f t="shared" si="1"/>
        <v>U製品</v>
      </c>
      <c r="E11" s="2">
        <v>1647</v>
      </c>
      <c r="F11" s="2">
        <v>1580</v>
      </c>
      <c r="G11" s="42">
        <f t="shared" si="2"/>
        <v>96</v>
      </c>
      <c r="H11" s="2">
        <f t="shared" si="3"/>
        <v>216500</v>
      </c>
      <c r="I11" s="2">
        <f t="shared" si="4"/>
        <v>0</v>
      </c>
      <c r="J11" s="2">
        <f t="shared" si="5"/>
        <v>14505</v>
      </c>
      <c r="K11" s="3">
        <f t="shared" si="6"/>
        <v>231005</v>
      </c>
      <c r="L11" s="8" t="str">
        <f t="shared" si="7"/>
        <v>*</v>
      </c>
      <c r="N11" s="42">
        <v>13</v>
      </c>
      <c r="O11" s="42" t="s">
        <v>282</v>
      </c>
      <c r="P11" s="42">
        <v>137</v>
      </c>
      <c r="Q11" s="42">
        <v>16</v>
      </c>
    </row>
    <row r="12" spans="1:17">
      <c r="A12" s="41" t="s">
        <v>276</v>
      </c>
      <c r="B12" s="42" t="str">
        <f t="shared" si="0"/>
        <v>井上電機</v>
      </c>
      <c r="C12" s="42">
        <v>11</v>
      </c>
      <c r="D12" s="42" t="str">
        <f t="shared" si="1"/>
        <v>S製品</v>
      </c>
      <c r="E12" s="2">
        <v>1765</v>
      </c>
      <c r="F12" s="2">
        <v>1684</v>
      </c>
      <c r="G12" s="42">
        <f t="shared" si="2"/>
        <v>95.5</v>
      </c>
      <c r="H12" s="2">
        <f t="shared" si="3"/>
        <v>208900</v>
      </c>
      <c r="I12" s="2">
        <f t="shared" si="4"/>
        <v>0</v>
      </c>
      <c r="J12" s="2">
        <f t="shared" si="5"/>
        <v>9400</v>
      </c>
      <c r="K12" s="3">
        <f t="shared" si="6"/>
        <v>218300</v>
      </c>
      <c r="L12" s="8" t="str">
        <f t="shared" si="7"/>
        <v>*</v>
      </c>
    </row>
    <row r="13" spans="1:17">
      <c r="A13" s="41" t="s">
        <v>276</v>
      </c>
      <c r="B13" s="42" t="str">
        <f t="shared" si="0"/>
        <v>井上電機</v>
      </c>
      <c r="C13" s="42">
        <v>12</v>
      </c>
      <c r="D13" s="42" t="str">
        <f t="shared" si="1"/>
        <v>T製品</v>
      </c>
      <c r="E13" s="2">
        <v>1642</v>
      </c>
      <c r="F13" s="2">
        <v>1600</v>
      </c>
      <c r="G13" s="42">
        <f t="shared" si="2"/>
        <v>97.5</v>
      </c>
      <c r="H13" s="2">
        <f t="shared" si="3"/>
        <v>232000</v>
      </c>
      <c r="I13" s="2">
        <f t="shared" si="4"/>
        <v>0</v>
      </c>
      <c r="J13" s="2">
        <f t="shared" si="5"/>
        <v>10440</v>
      </c>
      <c r="K13" s="3">
        <f t="shared" si="6"/>
        <v>242440</v>
      </c>
      <c r="L13" s="8" t="str">
        <f t="shared" si="7"/>
        <v>*</v>
      </c>
      <c r="N13" s="42" t="s">
        <v>291</v>
      </c>
      <c r="O13" s="42" t="s">
        <v>292</v>
      </c>
    </row>
    <row r="14" spans="1:17">
      <c r="A14" s="41" t="s">
        <v>276</v>
      </c>
      <c r="B14" s="42" t="str">
        <f t="shared" si="0"/>
        <v>井上電機</v>
      </c>
      <c r="C14" s="42">
        <v>13</v>
      </c>
      <c r="D14" s="42" t="str">
        <f t="shared" si="1"/>
        <v>U製品</v>
      </c>
      <c r="E14" s="2">
        <v>2100</v>
      </c>
      <c r="F14" s="2">
        <v>2030</v>
      </c>
      <c r="G14" s="42">
        <f t="shared" si="2"/>
        <v>96.699999999999989</v>
      </c>
      <c r="H14" s="2">
        <f t="shared" si="3"/>
        <v>278200</v>
      </c>
      <c r="I14" s="2">
        <f t="shared" si="4"/>
        <v>2080</v>
      </c>
      <c r="J14" s="2">
        <f t="shared" si="5"/>
        <v>12612</v>
      </c>
      <c r="K14" s="3">
        <f t="shared" si="6"/>
        <v>292892</v>
      </c>
      <c r="L14" s="8" t="str">
        <f t="shared" si="7"/>
        <v>**</v>
      </c>
      <c r="N14" s="42" t="s">
        <v>293</v>
      </c>
      <c r="O14" s="26">
        <v>6.7000000000000004E-2</v>
      </c>
    </row>
    <row r="15" spans="1:17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8"/>
      <c r="N15" s="42" t="s">
        <v>294</v>
      </c>
      <c r="O15" s="26">
        <v>5.2999999999999999E-2</v>
      </c>
    </row>
    <row r="16" spans="1:17" ht="19.5" thickBot="1">
      <c r="A16" s="38"/>
      <c r="B16" s="10" t="s">
        <v>296</v>
      </c>
      <c r="C16" s="39"/>
      <c r="D16" s="39"/>
      <c r="E16" s="12">
        <f>SUM(E3:E14)</f>
        <v>24443</v>
      </c>
      <c r="F16" s="12">
        <f t="shared" ref="F16:K16" si="8">SUM(F3:F14)</f>
        <v>23734</v>
      </c>
      <c r="G16" s="12"/>
      <c r="H16" s="12">
        <f t="shared" si="8"/>
        <v>3213400</v>
      </c>
      <c r="I16" s="12">
        <f t="shared" si="8"/>
        <v>31113</v>
      </c>
      <c r="J16" s="12">
        <f t="shared" si="8"/>
        <v>170535</v>
      </c>
      <c r="K16" s="12">
        <f t="shared" si="8"/>
        <v>3415048</v>
      </c>
      <c r="L16" s="13"/>
      <c r="N16" s="42" t="s">
        <v>295</v>
      </c>
      <c r="O16" s="26">
        <v>4.4999999999999998E-2</v>
      </c>
    </row>
    <row r="18" spans="1:12" ht="19.5" thickBot="1">
      <c r="A18" s="53" t="s">
        <v>300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>
      <c r="A19" s="4" t="s">
        <v>260</v>
      </c>
      <c r="B19" s="5" t="s">
        <v>262</v>
      </c>
      <c r="C19" s="5" t="s">
        <v>261</v>
      </c>
      <c r="D19" s="5" t="s">
        <v>264</v>
      </c>
      <c r="E19" s="5" t="s">
        <v>265</v>
      </c>
      <c r="F19" s="5" t="s">
        <v>266</v>
      </c>
      <c r="G19" s="5" t="s">
        <v>267</v>
      </c>
      <c r="H19" s="5" t="s">
        <v>268</v>
      </c>
      <c r="I19" s="5" t="s">
        <v>269</v>
      </c>
      <c r="J19" s="5" t="s">
        <v>270</v>
      </c>
      <c r="K19" s="5" t="s">
        <v>271</v>
      </c>
      <c r="L19" s="6" t="s">
        <v>272</v>
      </c>
    </row>
    <row r="20" spans="1:12">
      <c r="A20" s="41" t="s">
        <v>275</v>
      </c>
      <c r="B20" s="42" t="s">
        <v>287</v>
      </c>
      <c r="C20" s="42">
        <v>11</v>
      </c>
      <c r="D20" s="42" t="s">
        <v>297</v>
      </c>
      <c r="E20" s="2">
        <v>2141</v>
      </c>
      <c r="F20" s="2">
        <v>2067</v>
      </c>
      <c r="G20" s="42">
        <v>96.6</v>
      </c>
      <c r="H20" s="2">
        <v>256400</v>
      </c>
      <c r="I20" s="2">
        <v>2338</v>
      </c>
      <c r="J20" s="2">
        <v>17335</v>
      </c>
      <c r="K20" s="3">
        <v>276073</v>
      </c>
      <c r="L20" s="8" t="s">
        <v>95</v>
      </c>
    </row>
    <row r="21" spans="1:12">
      <c r="A21" s="41" t="s">
        <v>273</v>
      </c>
      <c r="B21" s="42" t="s">
        <v>283</v>
      </c>
      <c r="C21" s="42">
        <v>11</v>
      </c>
      <c r="D21" s="42" t="s">
        <v>297</v>
      </c>
      <c r="E21" s="2">
        <v>1973</v>
      </c>
      <c r="F21" s="2">
        <v>1941</v>
      </c>
      <c r="G21" s="42">
        <v>98.399999999999991</v>
      </c>
      <c r="H21" s="2">
        <v>240700</v>
      </c>
      <c r="I21" s="2">
        <v>574</v>
      </c>
      <c r="J21" s="2">
        <v>12787</v>
      </c>
      <c r="K21" s="3">
        <v>254061</v>
      </c>
      <c r="L21" s="8" t="s">
        <v>95</v>
      </c>
    </row>
    <row r="22" spans="1:12">
      <c r="A22" s="41" t="s">
        <v>275</v>
      </c>
      <c r="B22" s="42" t="s">
        <v>287</v>
      </c>
      <c r="C22" s="42">
        <v>12</v>
      </c>
      <c r="D22" s="42" t="s">
        <v>298</v>
      </c>
      <c r="E22" s="2">
        <v>2300</v>
      </c>
      <c r="F22" s="2">
        <v>2258</v>
      </c>
      <c r="G22" s="42">
        <v>98.199999999999989</v>
      </c>
      <c r="H22" s="2">
        <v>327500</v>
      </c>
      <c r="I22" s="2">
        <v>6086</v>
      </c>
      <c r="J22" s="2">
        <v>22350</v>
      </c>
      <c r="K22" s="3">
        <v>355936</v>
      </c>
      <c r="L22" s="8" t="s">
        <v>95</v>
      </c>
    </row>
    <row r="23" spans="1:12">
      <c r="A23" s="41" t="s">
        <v>274</v>
      </c>
      <c r="B23" s="42" t="s">
        <v>285</v>
      </c>
      <c r="C23" s="42">
        <v>12</v>
      </c>
      <c r="D23" s="42" t="s">
        <v>298</v>
      </c>
      <c r="E23" s="2">
        <v>1900</v>
      </c>
      <c r="F23" s="2">
        <v>1853</v>
      </c>
      <c r="G23" s="42">
        <v>97.6</v>
      </c>
      <c r="H23" s="2">
        <v>268700</v>
      </c>
      <c r="I23" s="2">
        <v>0</v>
      </c>
      <c r="J23" s="2">
        <v>12091</v>
      </c>
      <c r="K23" s="3">
        <v>280791</v>
      </c>
      <c r="L23" s="8" t="s">
        <v>38</v>
      </c>
    </row>
    <row r="24" spans="1:12">
      <c r="A24" s="41" t="s">
        <v>274</v>
      </c>
      <c r="B24" s="42" t="s">
        <v>285</v>
      </c>
      <c r="C24" s="42">
        <v>13</v>
      </c>
      <c r="D24" s="42" t="s">
        <v>299</v>
      </c>
      <c r="E24" s="2">
        <v>2269</v>
      </c>
      <c r="F24" s="2">
        <v>2238</v>
      </c>
      <c r="G24" s="42">
        <v>98.699999999999989</v>
      </c>
      <c r="H24" s="2">
        <v>306700</v>
      </c>
      <c r="I24" s="2">
        <v>5408</v>
      </c>
      <c r="J24" s="2">
        <v>14044</v>
      </c>
      <c r="K24" s="3">
        <v>326152</v>
      </c>
      <c r="L24" s="8" t="s">
        <v>95</v>
      </c>
    </row>
    <row r="25" spans="1:12">
      <c r="A25" s="41" t="s">
        <v>276</v>
      </c>
      <c r="B25" s="42" t="s">
        <v>289</v>
      </c>
      <c r="C25" s="42">
        <v>13</v>
      </c>
      <c r="D25" s="42" t="s">
        <v>299</v>
      </c>
      <c r="E25" s="2">
        <v>2100</v>
      </c>
      <c r="F25" s="2">
        <v>2030</v>
      </c>
      <c r="G25" s="42">
        <v>96.699999999999989</v>
      </c>
      <c r="H25" s="2">
        <v>278200</v>
      </c>
      <c r="I25" s="2">
        <v>2080</v>
      </c>
      <c r="J25" s="2">
        <v>12612</v>
      </c>
      <c r="K25" s="3">
        <v>292892</v>
      </c>
      <c r="L25" s="8" t="s">
        <v>95</v>
      </c>
    </row>
    <row r="26" spans="1:12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8"/>
    </row>
    <row r="27" spans="1:12" ht="19.5" thickBot="1">
      <c r="A27" s="38"/>
      <c r="B27" s="10" t="s">
        <v>296</v>
      </c>
      <c r="C27" s="39"/>
      <c r="D27" s="39"/>
      <c r="E27" s="12">
        <f>SUM(E20:E25)</f>
        <v>12683</v>
      </c>
      <c r="F27" s="12">
        <f t="shared" ref="F27:K27" si="9">SUM(F20:F25)</f>
        <v>12387</v>
      </c>
      <c r="G27" s="12"/>
      <c r="H27" s="12">
        <f t="shared" si="9"/>
        <v>1678200</v>
      </c>
      <c r="I27" s="12">
        <f t="shared" si="9"/>
        <v>16486</v>
      </c>
      <c r="J27" s="12">
        <f t="shared" si="9"/>
        <v>91219</v>
      </c>
      <c r="K27" s="12">
        <f t="shared" si="9"/>
        <v>1785905</v>
      </c>
      <c r="L27" s="13"/>
    </row>
    <row r="29" spans="1:12" ht="19.5" thickBot="1">
      <c r="A29" s="53" t="s">
        <v>301</v>
      </c>
      <c r="B29" s="53"/>
      <c r="C29" s="53"/>
      <c r="D29" s="53"/>
    </row>
    <row r="30" spans="1:12">
      <c r="A30" s="4" t="s">
        <v>262</v>
      </c>
      <c r="B30" s="5" t="s">
        <v>266</v>
      </c>
      <c r="C30" s="5" t="s">
        <v>268</v>
      </c>
      <c r="D30" s="6" t="s">
        <v>271</v>
      </c>
      <c r="G30" s="43" t="s">
        <v>262</v>
      </c>
      <c r="H30" s="43" t="s">
        <v>262</v>
      </c>
      <c r="I30" s="43" t="s">
        <v>262</v>
      </c>
      <c r="J30" s="43" t="s">
        <v>262</v>
      </c>
    </row>
    <row r="31" spans="1:12">
      <c r="A31" s="41" t="s">
        <v>284</v>
      </c>
      <c r="B31" s="2">
        <f>DSUM(加工賃支払額一覧表6,"完成数",$G$30:$G$31)</f>
        <v>6124</v>
      </c>
      <c r="C31" s="2">
        <f>DSUM(加工賃支払額一覧表6,"加工賃",$G$30:$G$31)</f>
        <v>833300</v>
      </c>
      <c r="D31" s="14">
        <f>DSUM(加工賃支払額一覧表6,"支払額",$G$30:$G$31)</f>
        <v>887573</v>
      </c>
      <c r="G31" s="42" t="s">
        <v>284</v>
      </c>
      <c r="H31" s="42" t="s">
        <v>286</v>
      </c>
      <c r="I31" s="42" t="s">
        <v>288</v>
      </c>
      <c r="J31" s="42" t="s">
        <v>290</v>
      </c>
    </row>
    <row r="32" spans="1:12">
      <c r="A32" s="41" t="s">
        <v>286</v>
      </c>
      <c r="B32" s="2">
        <f>DSUM(加工賃支払額一覧表6,"完成数",$H$30:$H$31)</f>
        <v>6391</v>
      </c>
      <c r="C32" s="2">
        <f>DSUM(加工賃支払額一覧表6,"加工賃",$H$30:$H$31)</f>
        <v>860600</v>
      </c>
      <c r="D32" s="14">
        <f>DSUM(加工賃支払額一覧表6,"支払額",$H$30:$H$31)</f>
        <v>910829</v>
      </c>
    </row>
    <row r="33" spans="1:11">
      <c r="A33" s="41" t="s">
        <v>288</v>
      </c>
      <c r="B33" s="2">
        <f>DSUM(加工賃支払額一覧表6,"完成数",$I$30:$I$31)</f>
        <v>5905</v>
      </c>
      <c r="C33" s="2">
        <f>DSUM(加工賃支払額一覧表6,"加工賃",$I$30:$I$31)</f>
        <v>800400</v>
      </c>
      <c r="D33" s="14">
        <f>DSUM(加工賃支払額一覧表6,"支払額",$I$30:$I$31)</f>
        <v>863014</v>
      </c>
      <c r="G33" s="42" t="s">
        <v>263</v>
      </c>
      <c r="H33" s="43" t="s">
        <v>267</v>
      </c>
      <c r="I33" s="43" t="s">
        <v>269</v>
      </c>
      <c r="J33" s="43" t="s">
        <v>262</v>
      </c>
      <c r="K33" s="43" t="s">
        <v>265</v>
      </c>
    </row>
    <row r="34" spans="1:11" ht="19.5" thickBot="1">
      <c r="A34" s="38" t="s">
        <v>290</v>
      </c>
      <c r="B34" s="15">
        <f>DSUM(加工賃支払額一覧表6,"完成数",$J$30:$J$31)</f>
        <v>5314</v>
      </c>
      <c r="C34" s="15">
        <f>DSUM(加工賃支払額一覧表6,"加工賃",$J$30:$J$31)</f>
        <v>719100</v>
      </c>
      <c r="D34" s="16">
        <f>DSUM(加工賃支払額一覧表6,"支払額",$J$30:$J$31)</f>
        <v>753632</v>
      </c>
      <c r="G34" s="42" t="s">
        <v>305</v>
      </c>
      <c r="H34" s="42" t="s">
        <v>306</v>
      </c>
      <c r="I34" s="42"/>
      <c r="J34" s="42" t="s">
        <v>283</v>
      </c>
      <c r="K34" s="42" t="s">
        <v>308</v>
      </c>
    </row>
    <row r="35" spans="1:11">
      <c r="G35" s="42"/>
      <c r="H35" s="42"/>
      <c r="I35" s="42" t="s">
        <v>307</v>
      </c>
      <c r="J35" s="42"/>
      <c r="K35" s="42"/>
    </row>
    <row r="36" spans="1:11" ht="19.5" thickBot="1">
      <c r="G36" s="33"/>
      <c r="H36" s="33"/>
      <c r="I36" s="33"/>
      <c r="J36" s="33"/>
      <c r="K36" s="33"/>
    </row>
    <row r="37" spans="1:11">
      <c r="A37" s="68" t="s">
        <v>302</v>
      </c>
      <c r="B37" s="69"/>
      <c r="C37" s="69"/>
      <c r="D37" s="69"/>
      <c r="E37" s="69"/>
      <c r="F37" s="69"/>
      <c r="G37" s="69"/>
      <c r="H37" s="18">
        <f>ROUND(DAVERAGE(加工賃支払額一覧表6,"支払額",G33:G34),0)</f>
        <v>269399</v>
      </c>
    </row>
    <row r="38" spans="1:11">
      <c r="A38" s="59" t="s">
        <v>303</v>
      </c>
      <c r="B38" s="60"/>
      <c r="C38" s="60"/>
      <c r="D38" s="60"/>
      <c r="E38" s="60"/>
      <c r="F38" s="60"/>
      <c r="G38" s="60"/>
      <c r="H38" s="14">
        <f>DCOUNTA(加工賃支払額一覧表6,1,H33:I35)</f>
        <v>5</v>
      </c>
    </row>
    <row r="39" spans="1:11" ht="19.5" thickBot="1">
      <c r="A39" s="57" t="s">
        <v>304</v>
      </c>
      <c r="B39" s="58"/>
      <c r="C39" s="58"/>
      <c r="D39" s="58"/>
      <c r="E39" s="58"/>
      <c r="F39" s="58"/>
      <c r="G39" s="58"/>
      <c r="H39" s="16">
        <f>DSUM(加工賃支払額一覧表6,8,J33:K34)</f>
        <v>480800</v>
      </c>
    </row>
  </sheetData>
  <sortState ref="A20:L25">
    <sortCondition ref="C20:C25"/>
    <sortCondition descending="1" ref="K20:K25"/>
  </sortState>
  <mergeCells count="6">
    <mergeCell ref="A39:G39"/>
    <mergeCell ref="A1:L1"/>
    <mergeCell ref="A18:L18"/>
    <mergeCell ref="A29:D29"/>
    <mergeCell ref="A37:G37"/>
    <mergeCell ref="A38:G38"/>
  </mergeCells>
  <phoneticPr fontId="2"/>
  <pageMargins left="0.25" right="0.25" top="0.75" bottom="0.75" header="0.3" footer="0.3"/>
  <pageSetup paperSize="9" scale="6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D1BE-E091-4304-932E-57091E741515}">
  <sheetPr>
    <pageSetUpPr fitToPage="1"/>
  </sheetPr>
  <dimension ref="A1:Q39"/>
  <sheetViews>
    <sheetView showFormulas="1" topLeftCell="E1" workbookViewId="0">
      <selection activeCell="H31" sqref="H31"/>
    </sheetView>
  </sheetViews>
  <sheetFormatPr defaultRowHeight="18.75"/>
  <cols>
    <col min="1" max="1" width="4.625" bestFit="1" customWidth="1"/>
    <col min="2" max="4" width="26" bestFit="1" customWidth="1"/>
    <col min="5" max="6" width="8.125" bestFit="1" customWidth="1"/>
    <col min="7" max="7" width="14.125" bestFit="1" customWidth="1"/>
    <col min="8" max="8" width="31.25" bestFit="1" customWidth="1"/>
    <col min="9" max="9" width="30.75" bestFit="1" customWidth="1"/>
    <col min="10" max="10" width="29.875" bestFit="1" customWidth="1"/>
    <col min="11" max="11" width="8.25" bestFit="1" customWidth="1"/>
    <col min="12" max="12" width="19.125" bestFit="1" customWidth="1"/>
    <col min="14" max="14" width="3.625" bestFit="1" customWidth="1"/>
    <col min="15" max="17" width="4.625" bestFit="1" customWidth="1"/>
  </cols>
  <sheetData>
    <row r="1" spans="1:17" ht="19.5" thickBot="1">
      <c r="A1" s="53" t="s">
        <v>259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7">
      <c r="A2" s="4" t="s">
        <v>260</v>
      </c>
      <c r="B2" s="5" t="s">
        <v>262</v>
      </c>
      <c r="C2" s="5" t="s">
        <v>261</v>
      </c>
      <c r="D2" s="5" t="s">
        <v>264</v>
      </c>
      <c r="E2" s="5" t="s">
        <v>265</v>
      </c>
      <c r="F2" s="5" t="s">
        <v>266</v>
      </c>
      <c r="G2" s="5" t="s">
        <v>267</v>
      </c>
      <c r="H2" s="5" t="s">
        <v>268</v>
      </c>
      <c r="I2" s="5" t="s">
        <v>269</v>
      </c>
      <c r="J2" s="5" t="s">
        <v>270</v>
      </c>
      <c r="K2" s="5" t="s">
        <v>271</v>
      </c>
      <c r="L2" s="6" t="s">
        <v>272</v>
      </c>
      <c r="N2" s="43" t="s">
        <v>260</v>
      </c>
      <c r="O2" s="43" t="s">
        <v>262</v>
      </c>
    </row>
    <row r="3" spans="1:17">
      <c r="A3" s="41" t="s">
        <v>273</v>
      </c>
      <c r="B3" s="42" t="str">
        <f>VLOOKUP(A3,$N$3:$O$6,2,FALSE)</f>
        <v>森山精密</v>
      </c>
      <c r="C3" s="42">
        <v>11</v>
      </c>
      <c r="D3" s="42" t="str">
        <f>VLOOKUP(C3,$N$9:$Q$11,2,FALSE)&amp;"製品"</f>
        <v>S製品</v>
      </c>
      <c r="E3" s="2">
        <v>1973</v>
      </c>
      <c r="F3" s="2">
        <v>1941</v>
      </c>
      <c r="G3" s="42">
        <f>ROUNDUP(F3/E3*100,1)</f>
        <v>98.399999999999991</v>
      </c>
      <c r="H3" s="2">
        <f>ROUNDUP(VLOOKUP(C3,$N$9:$Q$11,3,0)*F3,-2)</f>
        <v>240700</v>
      </c>
      <c r="I3" s="2">
        <f>IF(F3&gt;=1900,VLOOKUP(C3,$N$9:$Q$11,4,0)*(F3-1900),0)</f>
        <v>574</v>
      </c>
      <c r="J3" s="2">
        <f>INT((H3+I3)*VLOOKUP(RIGHT(A3,1),$N$14:$O$16,2,0))</f>
        <v>12787</v>
      </c>
      <c r="K3" s="3">
        <f>H3+I3+J3</f>
        <v>254061</v>
      </c>
      <c r="L3" s="8" t="str">
        <f>IF(OR(F3&gt;=2000,G3&gt;=98),"**","*")</f>
        <v>**</v>
      </c>
      <c r="N3" s="42" t="s">
        <v>273</v>
      </c>
      <c r="O3" s="42" t="s">
        <v>284</v>
      </c>
    </row>
    <row r="4" spans="1:17">
      <c r="A4" s="41" t="s">
        <v>273</v>
      </c>
      <c r="B4" s="42" t="str">
        <f t="shared" ref="B4:B14" si="0">VLOOKUP(A4,$N$3:$O$6,2,FALSE)</f>
        <v>森山精密</v>
      </c>
      <c r="C4" s="42">
        <v>12</v>
      </c>
      <c r="D4" s="42" t="str">
        <f t="shared" ref="D4:D14" si="1">VLOOKUP(C4,$N$9:$Q$11,2,FALSE)&amp;"製品"</f>
        <v>T製品</v>
      </c>
      <c r="E4" s="2">
        <v>2482</v>
      </c>
      <c r="F4" s="2">
        <v>2431</v>
      </c>
      <c r="G4" s="42">
        <f t="shared" ref="G4:G14" si="2">ROUNDUP(F4/E4*100,1)</f>
        <v>98</v>
      </c>
      <c r="H4" s="2">
        <f t="shared" ref="H4:H14" si="3">ROUNDUP(VLOOKUP(C4,$N$9:$Q$11,3,0)*F4,-2)</f>
        <v>352500</v>
      </c>
      <c r="I4" s="2">
        <f t="shared" ref="I4:I14" si="4">IF(F4&gt;=1900,VLOOKUP(C4,$N$9:$Q$11,4,0)*(F4-1900),0)</f>
        <v>9027</v>
      </c>
      <c r="J4" s="2">
        <f t="shared" ref="J4:J14" si="5">INT((H4+I4)*VLOOKUP(RIGHT(A4,1),$N$14:$O$16,2,0))</f>
        <v>19160</v>
      </c>
      <c r="K4" s="3">
        <f t="shared" ref="K4:K14" si="6">H4+I4+J4</f>
        <v>380687</v>
      </c>
      <c r="L4" s="8" t="str">
        <f t="shared" ref="L4:L14" si="7">IF(OR(F4&gt;=2000,G4&gt;=98),"**","*")</f>
        <v>**</v>
      </c>
      <c r="N4" s="42" t="s">
        <v>274</v>
      </c>
      <c r="O4" s="42" t="s">
        <v>286</v>
      </c>
    </row>
    <row r="5" spans="1:17">
      <c r="A5" s="41" t="s">
        <v>273</v>
      </c>
      <c r="B5" s="42" t="str">
        <f t="shared" si="0"/>
        <v>森山精密</v>
      </c>
      <c r="C5" s="42">
        <v>13</v>
      </c>
      <c r="D5" s="42" t="str">
        <f t="shared" si="1"/>
        <v>U製品</v>
      </c>
      <c r="E5" s="2">
        <v>1816</v>
      </c>
      <c r="F5" s="2">
        <v>1752</v>
      </c>
      <c r="G5" s="42">
        <f t="shared" si="2"/>
        <v>96.5</v>
      </c>
      <c r="H5" s="2">
        <f t="shared" si="3"/>
        <v>240100</v>
      </c>
      <c r="I5" s="2">
        <f t="shared" si="4"/>
        <v>0</v>
      </c>
      <c r="J5" s="2">
        <f t="shared" si="5"/>
        <v>12725</v>
      </c>
      <c r="K5" s="3">
        <f t="shared" si="6"/>
        <v>252825</v>
      </c>
      <c r="L5" s="8" t="str">
        <f t="shared" si="7"/>
        <v>*</v>
      </c>
      <c r="N5" s="42" t="s">
        <v>275</v>
      </c>
      <c r="O5" s="42" t="s">
        <v>288</v>
      </c>
    </row>
    <row r="6" spans="1:17">
      <c r="A6" s="41" t="s">
        <v>274</v>
      </c>
      <c r="B6" s="42" t="str">
        <f t="shared" si="0"/>
        <v>マノ電工</v>
      </c>
      <c r="C6" s="42">
        <v>11</v>
      </c>
      <c r="D6" s="42" t="str">
        <f t="shared" si="1"/>
        <v>S製品</v>
      </c>
      <c r="E6" s="2">
        <v>2408</v>
      </c>
      <c r="F6" s="2">
        <v>2300</v>
      </c>
      <c r="G6" s="42">
        <f t="shared" si="2"/>
        <v>95.6</v>
      </c>
      <c r="H6" s="2">
        <f t="shared" si="3"/>
        <v>285200</v>
      </c>
      <c r="I6" s="2">
        <f t="shared" si="4"/>
        <v>5600</v>
      </c>
      <c r="J6" s="2">
        <f t="shared" si="5"/>
        <v>13086</v>
      </c>
      <c r="K6" s="3">
        <f t="shared" si="6"/>
        <v>303886</v>
      </c>
      <c r="L6" s="8" t="str">
        <f t="shared" si="7"/>
        <v>**</v>
      </c>
      <c r="N6" s="42" t="s">
        <v>276</v>
      </c>
      <c r="O6" s="42" t="s">
        <v>290</v>
      </c>
    </row>
    <row r="7" spans="1:17">
      <c r="A7" s="41" t="s">
        <v>274</v>
      </c>
      <c r="B7" s="42" t="str">
        <f t="shared" si="0"/>
        <v>マノ電工</v>
      </c>
      <c r="C7" s="42">
        <v>12</v>
      </c>
      <c r="D7" s="42" t="str">
        <f t="shared" si="1"/>
        <v>T製品</v>
      </c>
      <c r="E7" s="2">
        <v>1900</v>
      </c>
      <c r="F7" s="2">
        <v>1853</v>
      </c>
      <c r="G7" s="42">
        <f t="shared" si="2"/>
        <v>97.6</v>
      </c>
      <c r="H7" s="2">
        <f t="shared" si="3"/>
        <v>268700</v>
      </c>
      <c r="I7" s="2">
        <f t="shared" si="4"/>
        <v>0</v>
      </c>
      <c r="J7" s="2">
        <f t="shared" si="5"/>
        <v>12091</v>
      </c>
      <c r="K7" s="3">
        <f t="shared" si="6"/>
        <v>280791</v>
      </c>
      <c r="L7" s="8" t="str">
        <f t="shared" si="7"/>
        <v>*</v>
      </c>
    </row>
    <row r="8" spans="1:17">
      <c r="A8" s="41" t="s">
        <v>274</v>
      </c>
      <c r="B8" s="42" t="str">
        <f t="shared" si="0"/>
        <v>マノ電工</v>
      </c>
      <c r="C8" s="42">
        <v>13</v>
      </c>
      <c r="D8" s="42" t="str">
        <f t="shared" si="1"/>
        <v>U製品</v>
      </c>
      <c r="E8" s="2">
        <v>2269</v>
      </c>
      <c r="F8" s="2">
        <v>2238</v>
      </c>
      <c r="G8" s="42">
        <f t="shared" si="2"/>
        <v>98.699999999999989</v>
      </c>
      <c r="H8" s="2">
        <f t="shared" si="3"/>
        <v>306700</v>
      </c>
      <c r="I8" s="2">
        <f t="shared" si="4"/>
        <v>5408</v>
      </c>
      <c r="J8" s="2">
        <f t="shared" si="5"/>
        <v>14044</v>
      </c>
      <c r="K8" s="3">
        <f t="shared" si="6"/>
        <v>326152</v>
      </c>
      <c r="L8" s="8" t="str">
        <f t="shared" si="7"/>
        <v>**</v>
      </c>
      <c r="N8" s="43" t="s">
        <v>261</v>
      </c>
      <c r="O8" s="43" t="s">
        <v>277</v>
      </c>
      <c r="P8" s="43" t="s">
        <v>278</v>
      </c>
      <c r="Q8" s="43" t="s">
        <v>279</v>
      </c>
    </row>
    <row r="9" spans="1:17">
      <c r="A9" s="41" t="s">
        <v>275</v>
      </c>
      <c r="B9" s="42" t="str">
        <f t="shared" si="0"/>
        <v>関東工業</v>
      </c>
      <c r="C9" s="42">
        <v>11</v>
      </c>
      <c r="D9" s="42" t="str">
        <f t="shared" si="1"/>
        <v>S製品</v>
      </c>
      <c r="E9" s="2">
        <v>2141</v>
      </c>
      <c r="F9" s="2">
        <v>2067</v>
      </c>
      <c r="G9" s="42">
        <f t="shared" si="2"/>
        <v>96.6</v>
      </c>
      <c r="H9" s="2">
        <f t="shared" si="3"/>
        <v>256400</v>
      </c>
      <c r="I9" s="2">
        <f t="shared" si="4"/>
        <v>2338</v>
      </c>
      <c r="J9" s="2">
        <f t="shared" si="5"/>
        <v>17335</v>
      </c>
      <c r="K9" s="3">
        <f t="shared" si="6"/>
        <v>276073</v>
      </c>
      <c r="L9" s="8" t="str">
        <f t="shared" si="7"/>
        <v>**</v>
      </c>
      <c r="N9" s="42">
        <v>11</v>
      </c>
      <c r="O9" s="42" t="s">
        <v>280</v>
      </c>
      <c r="P9" s="42">
        <v>124</v>
      </c>
      <c r="Q9" s="42">
        <v>14</v>
      </c>
    </row>
    <row r="10" spans="1:17">
      <c r="A10" s="41" t="s">
        <v>275</v>
      </c>
      <c r="B10" s="42" t="str">
        <f t="shared" si="0"/>
        <v>関東工業</v>
      </c>
      <c r="C10" s="42">
        <v>12</v>
      </c>
      <c r="D10" s="42" t="str">
        <f t="shared" si="1"/>
        <v>T製品</v>
      </c>
      <c r="E10" s="2">
        <v>2300</v>
      </c>
      <c r="F10" s="2">
        <v>2258</v>
      </c>
      <c r="G10" s="42">
        <f t="shared" si="2"/>
        <v>98.199999999999989</v>
      </c>
      <c r="H10" s="2">
        <f t="shared" si="3"/>
        <v>327500</v>
      </c>
      <c r="I10" s="2">
        <f t="shared" si="4"/>
        <v>6086</v>
      </c>
      <c r="J10" s="2">
        <f t="shared" si="5"/>
        <v>22350</v>
      </c>
      <c r="K10" s="3">
        <f t="shared" si="6"/>
        <v>355936</v>
      </c>
      <c r="L10" s="8" t="str">
        <f t="shared" si="7"/>
        <v>**</v>
      </c>
      <c r="N10" s="42">
        <v>12</v>
      </c>
      <c r="O10" s="42" t="s">
        <v>281</v>
      </c>
      <c r="P10" s="42">
        <v>145</v>
      </c>
      <c r="Q10" s="42">
        <v>17</v>
      </c>
    </row>
    <row r="11" spans="1:17">
      <c r="A11" s="41" t="s">
        <v>275</v>
      </c>
      <c r="B11" s="42" t="str">
        <f t="shared" si="0"/>
        <v>関東工業</v>
      </c>
      <c r="C11" s="42">
        <v>13</v>
      </c>
      <c r="D11" s="42" t="str">
        <f t="shared" si="1"/>
        <v>U製品</v>
      </c>
      <c r="E11" s="2">
        <v>1647</v>
      </c>
      <c r="F11" s="2">
        <v>1580</v>
      </c>
      <c r="G11" s="42">
        <f t="shared" si="2"/>
        <v>96</v>
      </c>
      <c r="H11" s="2">
        <f t="shared" si="3"/>
        <v>216500</v>
      </c>
      <c r="I11" s="2">
        <f t="shared" si="4"/>
        <v>0</v>
      </c>
      <c r="J11" s="2">
        <f t="shared" si="5"/>
        <v>14505</v>
      </c>
      <c r="K11" s="3">
        <f t="shared" si="6"/>
        <v>231005</v>
      </c>
      <c r="L11" s="8" t="str">
        <f t="shared" si="7"/>
        <v>*</v>
      </c>
      <c r="N11" s="42">
        <v>13</v>
      </c>
      <c r="O11" s="42" t="s">
        <v>282</v>
      </c>
      <c r="P11" s="42">
        <v>137</v>
      </c>
      <c r="Q11" s="42">
        <v>16</v>
      </c>
    </row>
    <row r="12" spans="1:17">
      <c r="A12" s="41" t="s">
        <v>276</v>
      </c>
      <c r="B12" s="42" t="str">
        <f t="shared" si="0"/>
        <v>井上電機</v>
      </c>
      <c r="C12" s="42">
        <v>11</v>
      </c>
      <c r="D12" s="42" t="str">
        <f t="shared" si="1"/>
        <v>S製品</v>
      </c>
      <c r="E12" s="2">
        <v>1765</v>
      </c>
      <c r="F12" s="2">
        <v>1684</v>
      </c>
      <c r="G12" s="42">
        <f t="shared" si="2"/>
        <v>95.5</v>
      </c>
      <c r="H12" s="2">
        <f t="shared" si="3"/>
        <v>208900</v>
      </c>
      <c r="I12" s="2">
        <f t="shared" si="4"/>
        <v>0</v>
      </c>
      <c r="J12" s="2">
        <f t="shared" si="5"/>
        <v>9400</v>
      </c>
      <c r="K12" s="3">
        <f t="shared" si="6"/>
        <v>218300</v>
      </c>
      <c r="L12" s="8" t="str">
        <f t="shared" si="7"/>
        <v>*</v>
      </c>
    </row>
    <row r="13" spans="1:17">
      <c r="A13" s="41" t="s">
        <v>276</v>
      </c>
      <c r="B13" s="42" t="str">
        <f t="shared" si="0"/>
        <v>井上電機</v>
      </c>
      <c r="C13" s="42">
        <v>12</v>
      </c>
      <c r="D13" s="42" t="str">
        <f t="shared" si="1"/>
        <v>T製品</v>
      </c>
      <c r="E13" s="2">
        <v>1642</v>
      </c>
      <c r="F13" s="2">
        <v>1600</v>
      </c>
      <c r="G13" s="42">
        <f t="shared" si="2"/>
        <v>97.5</v>
      </c>
      <c r="H13" s="2">
        <f t="shared" si="3"/>
        <v>232000</v>
      </c>
      <c r="I13" s="2">
        <f t="shared" si="4"/>
        <v>0</v>
      </c>
      <c r="J13" s="2">
        <f t="shared" si="5"/>
        <v>10440</v>
      </c>
      <c r="K13" s="3">
        <f t="shared" si="6"/>
        <v>242440</v>
      </c>
      <c r="L13" s="8" t="str">
        <f t="shared" si="7"/>
        <v>*</v>
      </c>
      <c r="N13" s="42" t="s">
        <v>291</v>
      </c>
      <c r="O13" s="42" t="s">
        <v>292</v>
      </c>
    </row>
    <row r="14" spans="1:17">
      <c r="A14" s="41" t="s">
        <v>276</v>
      </c>
      <c r="B14" s="42" t="str">
        <f t="shared" si="0"/>
        <v>井上電機</v>
      </c>
      <c r="C14" s="42">
        <v>13</v>
      </c>
      <c r="D14" s="42" t="str">
        <f t="shared" si="1"/>
        <v>U製品</v>
      </c>
      <c r="E14" s="2">
        <v>2100</v>
      </c>
      <c r="F14" s="2">
        <v>2030</v>
      </c>
      <c r="G14" s="42">
        <f t="shared" si="2"/>
        <v>96.699999999999989</v>
      </c>
      <c r="H14" s="2">
        <f t="shared" si="3"/>
        <v>278200</v>
      </c>
      <c r="I14" s="2">
        <f t="shared" si="4"/>
        <v>2080</v>
      </c>
      <c r="J14" s="2">
        <f t="shared" si="5"/>
        <v>12612</v>
      </c>
      <c r="K14" s="3">
        <f t="shared" si="6"/>
        <v>292892</v>
      </c>
      <c r="L14" s="8" t="str">
        <f t="shared" si="7"/>
        <v>**</v>
      </c>
      <c r="N14" s="42" t="s">
        <v>293</v>
      </c>
      <c r="O14" s="26">
        <v>6.7000000000000004E-2</v>
      </c>
    </row>
    <row r="15" spans="1:17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8"/>
      <c r="N15" s="42" t="s">
        <v>294</v>
      </c>
      <c r="O15" s="26">
        <v>5.2999999999999999E-2</v>
      </c>
    </row>
    <row r="16" spans="1:17" ht="19.5" thickBot="1">
      <c r="A16" s="38"/>
      <c r="B16" s="10" t="s">
        <v>296</v>
      </c>
      <c r="C16" s="39"/>
      <c r="D16" s="39"/>
      <c r="E16" s="12">
        <f>SUM(E3:E14)</f>
        <v>24443</v>
      </c>
      <c r="F16" s="12">
        <f t="shared" ref="F16:K16" si="8">SUM(F3:F14)</f>
        <v>23734</v>
      </c>
      <c r="G16" s="12"/>
      <c r="H16" s="12">
        <f t="shared" si="8"/>
        <v>3213400</v>
      </c>
      <c r="I16" s="12">
        <f t="shared" si="8"/>
        <v>31113</v>
      </c>
      <c r="J16" s="12">
        <f t="shared" si="8"/>
        <v>170535</v>
      </c>
      <c r="K16" s="12">
        <f t="shared" si="8"/>
        <v>3415048</v>
      </c>
      <c r="L16" s="13"/>
      <c r="N16" s="42" t="s">
        <v>295</v>
      </c>
      <c r="O16" s="26">
        <v>4.4999999999999998E-2</v>
      </c>
    </row>
    <row r="18" spans="1:12" ht="19.5" thickBot="1">
      <c r="A18" s="53" t="s">
        <v>300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>
      <c r="A19" s="4" t="s">
        <v>260</v>
      </c>
      <c r="B19" s="5" t="s">
        <v>262</v>
      </c>
      <c r="C19" s="5" t="s">
        <v>261</v>
      </c>
      <c r="D19" s="5" t="s">
        <v>264</v>
      </c>
      <c r="E19" s="5" t="s">
        <v>265</v>
      </c>
      <c r="F19" s="5" t="s">
        <v>266</v>
      </c>
      <c r="G19" s="5" t="s">
        <v>267</v>
      </c>
      <c r="H19" s="5" t="s">
        <v>268</v>
      </c>
      <c r="I19" s="5" t="s">
        <v>269</v>
      </c>
      <c r="J19" s="5" t="s">
        <v>270</v>
      </c>
      <c r="K19" s="5" t="s">
        <v>271</v>
      </c>
      <c r="L19" s="6" t="s">
        <v>272</v>
      </c>
    </row>
    <row r="20" spans="1:12">
      <c r="A20" s="41" t="s">
        <v>275</v>
      </c>
      <c r="B20" s="42" t="s">
        <v>287</v>
      </c>
      <c r="C20" s="42">
        <v>11</v>
      </c>
      <c r="D20" s="42" t="s">
        <v>297</v>
      </c>
      <c r="E20" s="2">
        <v>2141</v>
      </c>
      <c r="F20" s="2">
        <v>2067</v>
      </c>
      <c r="G20" s="42">
        <v>96.6</v>
      </c>
      <c r="H20" s="2">
        <v>256400</v>
      </c>
      <c r="I20" s="2">
        <v>2338</v>
      </c>
      <c r="J20" s="2">
        <v>17335</v>
      </c>
      <c r="K20" s="3">
        <v>276073</v>
      </c>
      <c r="L20" s="8" t="s">
        <v>95</v>
      </c>
    </row>
    <row r="21" spans="1:12">
      <c r="A21" s="41" t="s">
        <v>273</v>
      </c>
      <c r="B21" s="42" t="s">
        <v>283</v>
      </c>
      <c r="C21" s="42">
        <v>11</v>
      </c>
      <c r="D21" s="42" t="s">
        <v>297</v>
      </c>
      <c r="E21" s="2">
        <v>1973</v>
      </c>
      <c r="F21" s="2">
        <v>1941</v>
      </c>
      <c r="G21" s="42">
        <v>98.399999999999991</v>
      </c>
      <c r="H21" s="2">
        <v>240700</v>
      </c>
      <c r="I21" s="2">
        <v>574</v>
      </c>
      <c r="J21" s="2">
        <v>12787</v>
      </c>
      <c r="K21" s="3">
        <v>254061</v>
      </c>
      <c r="L21" s="8" t="s">
        <v>95</v>
      </c>
    </row>
    <row r="22" spans="1:12">
      <c r="A22" s="41" t="s">
        <v>275</v>
      </c>
      <c r="B22" s="42" t="s">
        <v>287</v>
      </c>
      <c r="C22" s="42">
        <v>12</v>
      </c>
      <c r="D22" s="42" t="s">
        <v>298</v>
      </c>
      <c r="E22" s="2">
        <v>2300</v>
      </c>
      <c r="F22" s="2">
        <v>2258</v>
      </c>
      <c r="G22" s="42">
        <v>98.199999999999989</v>
      </c>
      <c r="H22" s="2">
        <v>327500</v>
      </c>
      <c r="I22" s="2">
        <v>6086</v>
      </c>
      <c r="J22" s="2">
        <v>22350</v>
      </c>
      <c r="K22" s="3">
        <v>355936</v>
      </c>
      <c r="L22" s="8" t="s">
        <v>95</v>
      </c>
    </row>
    <row r="23" spans="1:12">
      <c r="A23" s="41" t="s">
        <v>274</v>
      </c>
      <c r="B23" s="42" t="s">
        <v>285</v>
      </c>
      <c r="C23" s="42">
        <v>12</v>
      </c>
      <c r="D23" s="42" t="s">
        <v>298</v>
      </c>
      <c r="E23" s="2">
        <v>1900</v>
      </c>
      <c r="F23" s="2">
        <v>1853</v>
      </c>
      <c r="G23" s="42">
        <v>97.6</v>
      </c>
      <c r="H23" s="2">
        <v>268700</v>
      </c>
      <c r="I23" s="2">
        <v>0</v>
      </c>
      <c r="J23" s="2">
        <v>12091</v>
      </c>
      <c r="K23" s="3">
        <v>280791</v>
      </c>
      <c r="L23" s="8" t="s">
        <v>38</v>
      </c>
    </row>
    <row r="24" spans="1:12">
      <c r="A24" s="41" t="s">
        <v>274</v>
      </c>
      <c r="B24" s="42" t="s">
        <v>285</v>
      </c>
      <c r="C24" s="42">
        <v>13</v>
      </c>
      <c r="D24" s="42" t="s">
        <v>299</v>
      </c>
      <c r="E24" s="2">
        <v>2269</v>
      </c>
      <c r="F24" s="2">
        <v>2238</v>
      </c>
      <c r="G24" s="42">
        <v>98.699999999999989</v>
      </c>
      <c r="H24" s="2">
        <v>306700</v>
      </c>
      <c r="I24" s="2">
        <v>5408</v>
      </c>
      <c r="J24" s="2">
        <v>14044</v>
      </c>
      <c r="K24" s="3">
        <v>326152</v>
      </c>
      <c r="L24" s="8" t="s">
        <v>95</v>
      </c>
    </row>
    <row r="25" spans="1:12">
      <c r="A25" s="41" t="s">
        <v>276</v>
      </c>
      <c r="B25" s="42" t="s">
        <v>289</v>
      </c>
      <c r="C25" s="42">
        <v>13</v>
      </c>
      <c r="D25" s="42" t="s">
        <v>299</v>
      </c>
      <c r="E25" s="2">
        <v>2100</v>
      </c>
      <c r="F25" s="2">
        <v>2030</v>
      </c>
      <c r="G25" s="42">
        <v>96.699999999999989</v>
      </c>
      <c r="H25" s="2">
        <v>278200</v>
      </c>
      <c r="I25" s="2">
        <v>2080</v>
      </c>
      <c r="J25" s="2">
        <v>12612</v>
      </c>
      <c r="K25" s="3">
        <v>292892</v>
      </c>
      <c r="L25" s="8" t="s">
        <v>95</v>
      </c>
    </row>
    <row r="26" spans="1:12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8"/>
    </row>
    <row r="27" spans="1:12" ht="19.5" thickBot="1">
      <c r="A27" s="38"/>
      <c r="B27" s="10" t="s">
        <v>296</v>
      </c>
      <c r="C27" s="39"/>
      <c r="D27" s="39"/>
      <c r="E27" s="12">
        <f>SUM(E20:E25)</f>
        <v>12683</v>
      </c>
      <c r="F27" s="12">
        <f t="shared" ref="F27:K27" si="9">SUM(F20:F25)</f>
        <v>12387</v>
      </c>
      <c r="G27" s="12"/>
      <c r="H27" s="12">
        <f t="shared" si="9"/>
        <v>1678200</v>
      </c>
      <c r="I27" s="12">
        <f t="shared" si="9"/>
        <v>16486</v>
      </c>
      <c r="J27" s="12">
        <f t="shared" si="9"/>
        <v>91219</v>
      </c>
      <c r="K27" s="12">
        <f t="shared" si="9"/>
        <v>1785905</v>
      </c>
      <c r="L27" s="13"/>
    </row>
    <row r="29" spans="1:12" ht="19.5" thickBot="1">
      <c r="A29" s="53" t="s">
        <v>301</v>
      </c>
      <c r="B29" s="53"/>
      <c r="C29" s="53"/>
      <c r="D29" s="53"/>
    </row>
    <row r="30" spans="1:12">
      <c r="A30" s="4" t="s">
        <v>262</v>
      </c>
      <c r="B30" s="5" t="s">
        <v>266</v>
      </c>
      <c r="C30" s="5" t="s">
        <v>268</v>
      </c>
      <c r="D30" s="6" t="s">
        <v>271</v>
      </c>
      <c r="G30" s="43" t="s">
        <v>262</v>
      </c>
      <c r="H30" s="43" t="s">
        <v>262</v>
      </c>
      <c r="I30" s="43" t="s">
        <v>262</v>
      </c>
      <c r="J30" s="43" t="s">
        <v>262</v>
      </c>
    </row>
    <row r="31" spans="1:12">
      <c r="A31" s="41" t="s">
        <v>284</v>
      </c>
      <c r="B31" s="2">
        <f>DSUM(加工賃支払額一覧表6,"完成数",$G$30:$G$31)</f>
        <v>6124</v>
      </c>
      <c r="C31" s="2">
        <f>DSUM(加工賃支払額一覧表6,"加工賃",$G$30:$G$31)</f>
        <v>833300</v>
      </c>
      <c r="D31" s="14">
        <f>DSUM(加工賃支払額一覧表6,"支払額",$G$30:$G$31)</f>
        <v>887573</v>
      </c>
      <c r="G31" s="42" t="s">
        <v>284</v>
      </c>
      <c r="H31" s="42" t="s">
        <v>286</v>
      </c>
      <c r="I31" s="42" t="s">
        <v>288</v>
      </c>
      <c r="J31" s="42" t="s">
        <v>290</v>
      </c>
    </row>
    <row r="32" spans="1:12">
      <c r="A32" s="41" t="s">
        <v>286</v>
      </c>
      <c r="B32" s="2">
        <f>DSUM(加工賃支払額一覧表6,"完成数",$H$30:$H$31)</f>
        <v>6391</v>
      </c>
      <c r="C32" s="2">
        <f>DSUM(加工賃支払額一覧表6,"加工賃",$H$30:$H$31)</f>
        <v>860600</v>
      </c>
      <c r="D32" s="14">
        <f>DSUM(加工賃支払額一覧表6,"支払額",$H$30:$H$31)</f>
        <v>910829</v>
      </c>
    </row>
    <row r="33" spans="1:11">
      <c r="A33" s="41" t="s">
        <v>288</v>
      </c>
      <c r="B33" s="2">
        <f>DSUM(加工賃支払額一覧表6,"完成数",$I$30:$I$31)</f>
        <v>5905</v>
      </c>
      <c r="C33" s="2">
        <f>DSUM(加工賃支払額一覧表6,"加工賃",$I$30:$I$31)</f>
        <v>800400</v>
      </c>
      <c r="D33" s="14">
        <f>DSUM(加工賃支払額一覧表6,"支払額",$I$30:$I$31)</f>
        <v>863014</v>
      </c>
      <c r="G33" s="42" t="s">
        <v>263</v>
      </c>
      <c r="H33" s="43" t="s">
        <v>267</v>
      </c>
      <c r="I33" s="43" t="s">
        <v>269</v>
      </c>
      <c r="J33" s="43" t="s">
        <v>262</v>
      </c>
      <c r="K33" s="43" t="s">
        <v>265</v>
      </c>
    </row>
    <row r="34" spans="1:11" ht="19.5" thickBot="1">
      <c r="A34" s="38" t="s">
        <v>290</v>
      </c>
      <c r="B34" s="15">
        <f>DSUM(加工賃支払額一覧表6,"完成数",$J$30:$J$31)</f>
        <v>5314</v>
      </c>
      <c r="C34" s="15">
        <f>DSUM(加工賃支払額一覧表6,"加工賃",$J$30:$J$31)</f>
        <v>719100</v>
      </c>
      <c r="D34" s="16">
        <f>DSUM(加工賃支払額一覧表6,"支払額",$J$30:$J$31)</f>
        <v>753632</v>
      </c>
      <c r="G34" s="42" t="s">
        <v>305</v>
      </c>
      <c r="H34" s="42" t="s">
        <v>306</v>
      </c>
      <c r="I34" s="42"/>
      <c r="J34" s="42" t="s">
        <v>283</v>
      </c>
      <c r="K34" s="42" t="s">
        <v>308</v>
      </c>
    </row>
    <row r="35" spans="1:11">
      <c r="G35" s="42"/>
      <c r="H35" s="42"/>
      <c r="I35" s="42" t="s">
        <v>307</v>
      </c>
      <c r="J35" s="42"/>
      <c r="K35" s="42"/>
    </row>
    <row r="36" spans="1:11" ht="19.5" thickBot="1">
      <c r="G36" s="33"/>
      <c r="H36" s="33"/>
      <c r="I36" s="33"/>
      <c r="J36" s="33"/>
      <c r="K36" s="33"/>
    </row>
    <row r="37" spans="1:11">
      <c r="A37" s="68" t="s">
        <v>302</v>
      </c>
      <c r="B37" s="69"/>
      <c r="C37" s="69"/>
      <c r="D37" s="69"/>
      <c r="E37" s="69"/>
      <c r="F37" s="69"/>
      <c r="G37" s="69"/>
      <c r="H37" s="18">
        <f>ROUND(DAVERAGE(加工賃支払額一覧表6,"支払額",G33:G34),0)</f>
        <v>269399</v>
      </c>
    </row>
    <row r="38" spans="1:11">
      <c r="A38" s="59" t="s">
        <v>303</v>
      </c>
      <c r="B38" s="60"/>
      <c r="C38" s="60"/>
      <c r="D38" s="60"/>
      <c r="E38" s="60"/>
      <c r="F38" s="60"/>
      <c r="G38" s="60"/>
      <c r="H38" s="14">
        <f>DCOUNTA(加工賃支払額一覧表6,1,H33:I35)</f>
        <v>5</v>
      </c>
    </row>
    <row r="39" spans="1:11" ht="19.5" thickBot="1">
      <c r="A39" s="57" t="s">
        <v>304</v>
      </c>
      <c r="B39" s="58"/>
      <c r="C39" s="58"/>
      <c r="D39" s="58"/>
      <c r="E39" s="58"/>
      <c r="F39" s="58"/>
      <c r="G39" s="58"/>
      <c r="H39" s="16">
        <f>DSUM(加工賃支払額一覧表6,8,J33:K34)</f>
        <v>480800</v>
      </c>
    </row>
  </sheetData>
  <mergeCells count="6">
    <mergeCell ref="A39:G39"/>
    <mergeCell ref="A1:L1"/>
    <mergeCell ref="A18:L18"/>
    <mergeCell ref="A29:D29"/>
    <mergeCell ref="A37:G37"/>
    <mergeCell ref="A38:G38"/>
  </mergeCells>
  <phoneticPr fontId="2"/>
  <pageMargins left="0.25" right="0.25" top="0.75" bottom="0.75" header="0.3" footer="0.3"/>
  <pageSetup paperSize="9" scale="2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A162-FEB2-4112-B01A-3D6A7163218C}">
  <sheetPr>
    <pageSetUpPr fitToPage="1"/>
  </sheetPr>
  <dimension ref="A1:P40"/>
  <sheetViews>
    <sheetView topLeftCell="A23" workbookViewId="0">
      <selection activeCell="P35" sqref="P35"/>
    </sheetView>
  </sheetViews>
  <sheetFormatPr defaultRowHeight="18.75"/>
  <cols>
    <col min="1" max="2" width="11" bestFit="1" customWidth="1"/>
    <col min="3" max="3" width="10.5" bestFit="1" customWidth="1"/>
    <col min="4" max="4" width="9" bestFit="1" customWidth="1"/>
    <col min="5" max="5" width="7" bestFit="1" customWidth="1"/>
    <col min="6" max="7" width="11" bestFit="1" customWidth="1"/>
    <col min="8" max="8" width="11.875" bestFit="1" customWidth="1"/>
    <col min="9" max="9" width="11" bestFit="1" customWidth="1"/>
    <col min="10" max="10" width="11.375" bestFit="1" customWidth="1"/>
    <col min="11" max="11" width="10.5" bestFit="1" customWidth="1"/>
    <col min="12" max="12" width="9.25" bestFit="1" customWidth="1"/>
    <col min="13" max="13" width="5.25" bestFit="1" customWidth="1"/>
    <col min="15" max="15" width="7.125" bestFit="1" customWidth="1"/>
    <col min="16" max="16" width="11" bestFit="1" customWidth="1"/>
  </cols>
  <sheetData>
    <row r="1" spans="1:16" ht="19.5" thickBot="1">
      <c r="A1" s="53" t="s">
        <v>309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6">
      <c r="A2" s="4" t="s">
        <v>310</v>
      </c>
      <c r="B2" s="5" t="s">
        <v>313</v>
      </c>
      <c r="C2" s="5" t="s">
        <v>311</v>
      </c>
      <c r="D2" s="5" t="s">
        <v>312</v>
      </c>
      <c r="E2" s="5" t="s">
        <v>314</v>
      </c>
      <c r="F2" s="5" t="s">
        <v>315</v>
      </c>
      <c r="G2" s="5" t="s">
        <v>316</v>
      </c>
      <c r="H2" s="5" t="s">
        <v>317</v>
      </c>
      <c r="I2" s="5" t="s">
        <v>318</v>
      </c>
      <c r="J2" s="5" t="s">
        <v>319</v>
      </c>
      <c r="K2" s="5" t="s">
        <v>320</v>
      </c>
      <c r="L2" s="5" t="s">
        <v>321</v>
      </c>
      <c r="M2" s="6" t="s">
        <v>322</v>
      </c>
      <c r="O2" s="43" t="s">
        <v>310</v>
      </c>
      <c r="P2" s="43" t="s">
        <v>313</v>
      </c>
    </row>
    <row r="3" spans="1:16">
      <c r="A3" s="46" t="s">
        <v>323</v>
      </c>
      <c r="B3" s="47" t="str">
        <f>VLOOKUP(A3,$O$3:$P$7,2,)</f>
        <v>山田　一郎</v>
      </c>
      <c r="C3" s="47">
        <v>1001</v>
      </c>
      <c r="D3" s="47" t="str">
        <f>VLOOKUP(C3,$O$10:$P$14,2,0)</f>
        <v>朝日水産</v>
      </c>
      <c r="E3" s="2">
        <v>5000</v>
      </c>
      <c r="F3" s="2">
        <v>537</v>
      </c>
      <c r="G3" s="2">
        <f>INT(F3*E3*VLOOKUP(RIGHT(A3,1),$O$17:$P$19,2,0))</f>
        <v>4027</v>
      </c>
      <c r="H3" s="2">
        <f>F3*E3+G3</f>
        <v>2689027</v>
      </c>
      <c r="I3" s="2">
        <v>554</v>
      </c>
      <c r="J3" s="2">
        <f>INT(I3*E3*VLOOKUP(RIGHT(A3,1),$O$17:$P$19,2,0))</f>
        <v>4155</v>
      </c>
      <c r="K3" s="2">
        <f>I3*E3-J3</f>
        <v>2765845</v>
      </c>
      <c r="L3" s="3">
        <f>K3-H3</f>
        <v>76818</v>
      </c>
      <c r="M3" s="8" t="str">
        <f>IF(AND(K3&gt;=2500000,L3&gt;=50000),"**","*")</f>
        <v>**</v>
      </c>
      <c r="O3" s="47" t="s">
        <v>323</v>
      </c>
      <c r="P3" s="47" t="s">
        <v>329</v>
      </c>
    </row>
    <row r="4" spans="1:16">
      <c r="A4" s="46" t="s">
        <v>323</v>
      </c>
      <c r="B4" s="47" t="str">
        <f t="shared" ref="B4:B17" si="0">VLOOKUP(A4,$O$3:$P$7,2,)</f>
        <v>山田　一郎</v>
      </c>
      <c r="C4" s="47">
        <v>1005</v>
      </c>
      <c r="D4" s="47" t="str">
        <f t="shared" ref="D4:D17" si="1">VLOOKUP(C4,$O$10:$P$14,2,0)</f>
        <v>大山銀行</v>
      </c>
      <c r="E4" s="2">
        <v>6000</v>
      </c>
      <c r="F4" s="2">
        <v>852</v>
      </c>
      <c r="G4" s="2">
        <f t="shared" ref="G4:G17" si="2">INT(F4*E4*VLOOKUP(RIGHT(A4,1),$O$17:$P$19,2,0))</f>
        <v>7668</v>
      </c>
      <c r="H4" s="2">
        <f t="shared" ref="H4:H17" si="3">F4*E4+G4</f>
        <v>5119668</v>
      </c>
      <c r="I4" s="2">
        <v>866</v>
      </c>
      <c r="J4" s="2">
        <f t="shared" ref="J4:J17" si="4">INT(I4*E4*VLOOKUP(RIGHT(A4,1),$O$17:$P$19,2,0))</f>
        <v>7794</v>
      </c>
      <c r="K4" s="2">
        <f t="shared" ref="K4:K17" si="5">I4*E4-J4</f>
        <v>5188206</v>
      </c>
      <c r="L4" s="3">
        <f t="shared" ref="L4:L17" si="6">K4-H4</f>
        <v>68538</v>
      </c>
      <c r="M4" s="8" t="str">
        <f t="shared" ref="M4:M17" si="7">IF(AND(K4&gt;=2500000,L4&gt;=50000),"**","*")</f>
        <v>**</v>
      </c>
      <c r="O4" s="47" t="s">
        <v>324</v>
      </c>
      <c r="P4" s="47" t="s">
        <v>330</v>
      </c>
    </row>
    <row r="5" spans="1:16">
      <c r="A5" s="46" t="s">
        <v>323</v>
      </c>
      <c r="B5" s="47" t="str">
        <f t="shared" si="0"/>
        <v>山田　一郎</v>
      </c>
      <c r="C5" s="47">
        <v>1002</v>
      </c>
      <c r="D5" s="47" t="str">
        <f t="shared" si="1"/>
        <v>新栄製鉄</v>
      </c>
      <c r="E5" s="2">
        <v>900</v>
      </c>
      <c r="F5" s="2">
        <v>2405</v>
      </c>
      <c r="G5" s="2">
        <f t="shared" si="2"/>
        <v>3246</v>
      </c>
      <c r="H5" s="2">
        <f t="shared" si="3"/>
        <v>2167746</v>
      </c>
      <c r="I5" s="2">
        <v>2385</v>
      </c>
      <c r="J5" s="2">
        <f t="shared" si="4"/>
        <v>3219</v>
      </c>
      <c r="K5" s="2">
        <f t="shared" si="5"/>
        <v>2143281</v>
      </c>
      <c r="L5" s="3">
        <f t="shared" si="6"/>
        <v>-24465</v>
      </c>
      <c r="M5" s="8" t="str">
        <f t="shared" si="7"/>
        <v>*</v>
      </c>
      <c r="O5" s="47" t="s">
        <v>325</v>
      </c>
      <c r="P5" s="47" t="s">
        <v>331</v>
      </c>
    </row>
    <row r="6" spans="1:16">
      <c r="A6" s="46" t="s">
        <v>324</v>
      </c>
      <c r="B6" s="47" t="str">
        <f t="shared" si="0"/>
        <v>安藤　愛子</v>
      </c>
      <c r="C6" s="47">
        <v>1004</v>
      </c>
      <c r="D6" s="47" t="str">
        <f t="shared" si="1"/>
        <v>東北商事</v>
      </c>
      <c r="E6" s="2">
        <v>700</v>
      </c>
      <c r="F6" s="2">
        <v>3745</v>
      </c>
      <c r="G6" s="2">
        <f t="shared" si="2"/>
        <v>4718</v>
      </c>
      <c r="H6" s="2">
        <f t="shared" si="3"/>
        <v>2626218</v>
      </c>
      <c r="I6" s="2">
        <v>3814</v>
      </c>
      <c r="J6" s="2">
        <f t="shared" si="4"/>
        <v>4805</v>
      </c>
      <c r="K6" s="2">
        <f t="shared" si="5"/>
        <v>2664995</v>
      </c>
      <c r="L6" s="3">
        <f t="shared" si="6"/>
        <v>38777</v>
      </c>
      <c r="M6" s="8" t="str">
        <f t="shared" si="7"/>
        <v>*</v>
      </c>
      <c r="O6" s="47" t="s">
        <v>326</v>
      </c>
      <c r="P6" s="47" t="s">
        <v>333</v>
      </c>
    </row>
    <row r="7" spans="1:16">
      <c r="A7" s="46" t="s">
        <v>324</v>
      </c>
      <c r="B7" s="47" t="str">
        <f t="shared" si="0"/>
        <v>安藤　愛子</v>
      </c>
      <c r="C7" s="47">
        <v>1001</v>
      </c>
      <c r="D7" s="47" t="str">
        <f t="shared" si="1"/>
        <v>朝日水産</v>
      </c>
      <c r="E7" s="2">
        <v>3000</v>
      </c>
      <c r="F7" s="2">
        <v>519</v>
      </c>
      <c r="G7" s="2">
        <f t="shared" si="2"/>
        <v>2802</v>
      </c>
      <c r="H7" s="2">
        <f t="shared" si="3"/>
        <v>1559802</v>
      </c>
      <c r="I7" s="2">
        <v>515</v>
      </c>
      <c r="J7" s="2">
        <f t="shared" si="4"/>
        <v>2781</v>
      </c>
      <c r="K7" s="2">
        <f t="shared" si="5"/>
        <v>1542219</v>
      </c>
      <c r="L7" s="3">
        <f t="shared" si="6"/>
        <v>-17583</v>
      </c>
      <c r="M7" s="8" t="str">
        <f t="shared" si="7"/>
        <v>*</v>
      </c>
      <c r="O7" s="47" t="s">
        <v>327</v>
      </c>
      <c r="P7" s="47" t="s">
        <v>335</v>
      </c>
    </row>
    <row r="8" spans="1:16">
      <c r="A8" s="46" t="s">
        <v>324</v>
      </c>
      <c r="B8" s="47" t="str">
        <f t="shared" si="0"/>
        <v>安藤　愛子</v>
      </c>
      <c r="C8" s="47">
        <v>1002</v>
      </c>
      <c r="D8" s="47" t="str">
        <f t="shared" si="1"/>
        <v>新栄製鉄</v>
      </c>
      <c r="E8" s="2">
        <v>800</v>
      </c>
      <c r="F8" s="2">
        <v>2390</v>
      </c>
      <c r="G8" s="2">
        <f t="shared" si="2"/>
        <v>3441</v>
      </c>
      <c r="H8" s="2">
        <f t="shared" si="3"/>
        <v>1915441</v>
      </c>
      <c r="I8" s="2">
        <v>2509</v>
      </c>
      <c r="J8" s="2">
        <f t="shared" si="4"/>
        <v>3612</v>
      </c>
      <c r="K8" s="2">
        <f t="shared" si="5"/>
        <v>2003588</v>
      </c>
      <c r="L8" s="3">
        <f t="shared" si="6"/>
        <v>88147</v>
      </c>
      <c r="M8" s="8" t="str">
        <f t="shared" si="7"/>
        <v>*</v>
      </c>
    </row>
    <row r="9" spans="1:16">
      <c r="A9" s="46" t="s">
        <v>325</v>
      </c>
      <c r="B9" s="47" t="str">
        <f t="shared" si="0"/>
        <v>長谷川　誠</v>
      </c>
      <c r="C9" s="47">
        <v>1002</v>
      </c>
      <c r="D9" s="47" t="str">
        <f t="shared" si="1"/>
        <v>新栄製鉄</v>
      </c>
      <c r="E9" s="2">
        <v>600</v>
      </c>
      <c r="F9" s="2">
        <v>2416</v>
      </c>
      <c r="G9" s="2">
        <f t="shared" si="2"/>
        <v>1884</v>
      </c>
      <c r="H9" s="2">
        <f t="shared" si="3"/>
        <v>1451484</v>
      </c>
      <c r="I9" s="2">
        <v>2473</v>
      </c>
      <c r="J9" s="2">
        <f t="shared" si="4"/>
        <v>1928</v>
      </c>
      <c r="K9" s="2">
        <f t="shared" si="5"/>
        <v>1481872</v>
      </c>
      <c r="L9" s="3">
        <f t="shared" si="6"/>
        <v>30388</v>
      </c>
      <c r="M9" s="8" t="str">
        <f t="shared" si="7"/>
        <v>*</v>
      </c>
      <c r="O9" s="43" t="s">
        <v>311</v>
      </c>
      <c r="P9" s="43" t="s">
        <v>312</v>
      </c>
    </row>
    <row r="10" spans="1:16">
      <c r="A10" s="46" t="s">
        <v>325</v>
      </c>
      <c r="B10" s="47" t="str">
        <f t="shared" si="0"/>
        <v>長谷川　誠</v>
      </c>
      <c r="C10" s="47">
        <v>1004</v>
      </c>
      <c r="D10" s="47" t="str">
        <f t="shared" si="1"/>
        <v>東北商事</v>
      </c>
      <c r="E10" s="2">
        <v>500</v>
      </c>
      <c r="F10" s="2">
        <v>3813</v>
      </c>
      <c r="G10" s="2">
        <f t="shared" si="2"/>
        <v>2478</v>
      </c>
      <c r="H10" s="2">
        <f t="shared" si="3"/>
        <v>1908978</v>
      </c>
      <c r="I10" s="2">
        <v>3798</v>
      </c>
      <c r="J10" s="2">
        <f t="shared" si="4"/>
        <v>2468</v>
      </c>
      <c r="K10" s="2">
        <f t="shared" si="5"/>
        <v>1896532</v>
      </c>
      <c r="L10" s="3">
        <f t="shared" si="6"/>
        <v>-12446</v>
      </c>
      <c r="M10" s="8" t="str">
        <f t="shared" si="7"/>
        <v>*</v>
      </c>
      <c r="O10" s="47">
        <v>1001</v>
      </c>
      <c r="P10" s="47" t="s">
        <v>336</v>
      </c>
    </row>
    <row r="11" spans="1:16">
      <c r="A11" s="46" t="s">
        <v>325</v>
      </c>
      <c r="B11" s="47" t="str">
        <f t="shared" si="0"/>
        <v>長谷川　誠</v>
      </c>
      <c r="C11" s="47">
        <v>1003</v>
      </c>
      <c r="D11" s="47" t="str">
        <f t="shared" si="1"/>
        <v>中央工業</v>
      </c>
      <c r="E11" s="2">
        <v>4000</v>
      </c>
      <c r="F11" s="2">
        <v>617</v>
      </c>
      <c r="G11" s="2">
        <f t="shared" si="2"/>
        <v>3208</v>
      </c>
      <c r="H11" s="2">
        <f t="shared" si="3"/>
        <v>2471208</v>
      </c>
      <c r="I11" s="2">
        <v>627</v>
      </c>
      <c r="J11" s="2">
        <f t="shared" si="4"/>
        <v>3260</v>
      </c>
      <c r="K11" s="2">
        <f t="shared" si="5"/>
        <v>2504740</v>
      </c>
      <c r="L11" s="3">
        <f t="shared" si="6"/>
        <v>33532</v>
      </c>
      <c r="M11" s="8" t="str">
        <f t="shared" si="7"/>
        <v>*</v>
      </c>
      <c r="O11" s="47">
        <v>1002</v>
      </c>
      <c r="P11" s="47" t="s">
        <v>337</v>
      </c>
    </row>
    <row r="12" spans="1:16">
      <c r="A12" s="46" t="s">
        <v>326</v>
      </c>
      <c r="B12" s="47" t="str">
        <f t="shared" si="0"/>
        <v>林　ありさ</v>
      </c>
      <c r="C12" s="47">
        <v>1005</v>
      </c>
      <c r="D12" s="47" t="str">
        <f t="shared" si="1"/>
        <v>大山銀行</v>
      </c>
      <c r="E12" s="2">
        <v>6000</v>
      </c>
      <c r="F12" s="2">
        <v>863</v>
      </c>
      <c r="G12" s="2">
        <f t="shared" si="2"/>
        <v>9320</v>
      </c>
      <c r="H12" s="2">
        <f t="shared" si="3"/>
        <v>5187320</v>
      </c>
      <c r="I12" s="2">
        <v>877</v>
      </c>
      <c r="J12" s="2">
        <f t="shared" si="4"/>
        <v>9471</v>
      </c>
      <c r="K12" s="2">
        <f t="shared" si="5"/>
        <v>5252529</v>
      </c>
      <c r="L12" s="3">
        <f t="shared" si="6"/>
        <v>65209</v>
      </c>
      <c r="M12" s="8" t="str">
        <f t="shared" si="7"/>
        <v>**</v>
      </c>
      <c r="O12" s="47">
        <v>1003</v>
      </c>
      <c r="P12" s="47" t="s">
        <v>339</v>
      </c>
    </row>
    <row r="13" spans="1:16">
      <c r="A13" s="46" t="s">
        <v>326</v>
      </c>
      <c r="B13" s="47" t="str">
        <f t="shared" si="0"/>
        <v>林　ありさ</v>
      </c>
      <c r="C13" s="47">
        <v>1003</v>
      </c>
      <c r="D13" s="47" t="str">
        <f t="shared" si="1"/>
        <v>中央工業</v>
      </c>
      <c r="E13" s="2">
        <v>5000</v>
      </c>
      <c r="F13" s="2">
        <v>600</v>
      </c>
      <c r="G13" s="2">
        <f t="shared" si="2"/>
        <v>5400</v>
      </c>
      <c r="H13" s="2">
        <f t="shared" si="3"/>
        <v>3005400</v>
      </c>
      <c r="I13" s="2">
        <v>618</v>
      </c>
      <c r="J13" s="2">
        <f t="shared" si="4"/>
        <v>5562</v>
      </c>
      <c r="K13" s="2">
        <f t="shared" si="5"/>
        <v>3084438</v>
      </c>
      <c r="L13" s="3">
        <f t="shared" si="6"/>
        <v>79038</v>
      </c>
      <c r="M13" s="8" t="str">
        <f t="shared" si="7"/>
        <v>**</v>
      </c>
      <c r="O13" s="47">
        <v>1004</v>
      </c>
      <c r="P13" s="47" t="s">
        <v>340</v>
      </c>
    </row>
    <row r="14" spans="1:16">
      <c r="A14" s="46" t="s">
        <v>326</v>
      </c>
      <c r="B14" s="47" t="str">
        <f t="shared" si="0"/>
        <v>林　ありさ</v>
      </c>
      <c r="C14" s="47">
        <v>1004</v>
      </c>
      <c r="D14" s="47" t="str">
        <f t="shared" si="1"/>
        <v>東北商事</v>
      </c>
      <c r="E14" s="2">
        <v>400</v>
      </c>
      <c r="F14" s="2">
        <v>3922</v>
      </c>
      <c r="G14" s="2">
        <f t="shared" si="2"/>
        <v>2823</v>
      </c>
      <c r="H14" s="2">
        <f t="shared" si="3"/>
        <v>1571623</v>
      </c>
      <c r="I14" s="2">
        <v>4030</v>
      </c>
      <c r="J14" s="2">
        <f t="shared" si="4"/>
        <v>2901</v>
      </c>
      <c r="K14" s="2">
        <f t="shared" si="5"/>
        <v>1609099</v>
      </c>
      <c r="L14" s="3">
        <f t="shared" si="6"/>
        <v>37476</v>
      </c>
      <c r="M14" s="8" t="str">
        <f t="shared" si="7"/>
        <v>*</v>
      </c>
      <c r="O14" s="47">
        <v>1005</v>
      </c>
      <c r="P14" s="47" t="s">
        <v>342</v>
      </c>
    </row>
    <row r="15" spans="1:16">
      <c r="A15" s="46" t="s">
        <v>327</v>
      </c>
      <c r="B15" s="47" t="str">
        <f t="shared" si="0"/>
        <v>中村　英明</v>
      </c>
      <c r="C15" s="47">
        <v>1001</v>
      </c>
      <c r="D15" s="47" t="str">
        <f t="shared" si="1"/>
        <v>朝日水産</v>
      </c>
      <c r="E15" s="2">
        <v>6000</v>
      </c>
      <c r="F15" s="2">
        <v>511</v>
      </c>
      <c r="G15" s="2">
        <f t="shared" si="2"/>
        <v>3985</v>
      </c>
      <c r="H15" s="2">
        <f t="shared" si="3"/>
        <v>3069985</v>
      </c>
      <c r="I15" s="2">
        <v>524</v>
      </c>
      <c r="J15" s="2">
        <f t="shared" si="4"/>
        <v>4087</v>
      </c>
      <c r="K15" s="2">
        <f t="shared" si="5"/>
        <v>3139913</v>
      </c>
      <c r="L15" s="3">
        <f t="shared" si="6"/>
        <v>69928</v>
      </c>
      <c r="M15" s="8" t="str">
        <f t="shared" si="7"/>
        <v>**</v>
      </c>
    </row>
    <row r="16" spans="1:16">
      <c r="A16" s="46" t="s">
        <v>327</v>
      </c>
      <c r="B16" s="47" t="str">
        <f t="shared" si="0"/>
        <v>中村　英明</v>
      </c>
      <c r="C16" s="47">
        <v>1005</v>
      </c>
      <c r="D16" s="47" t="str">
        <f t="shared" si="1"/>
        <v>大山銀行</v>
      </c>
      <c r="E16" s="2">
        <v>3000</v>
      </c>
      <c r="F16" s="2">
        <v>871</v>
      </c>
      <c r="G16" s="2">
        <f t="shared" si="2"/>
        <v>3396</v>
      </c>
      <c r="H16" s="2">
        <f t="shared" si="3"/>
        <v>2616396</v>
      </c>
      <c r="I16" s="2">
        <v>891</v>
      </c>
      <c r="J16" s="2">
        <f t="shared" si="4"/>
        <v>3474</v>
      </c>
      <c r="K16" s="2">
        <f t="shared" si="5"/>
        <v>2669526</v>
      </c>
      <c r="L16" s="3">
        <f t="shared" si="6"/>
        <v>53130</v>
      </c>
      <c r="M16" s="8" t="str">
        <f t="shared" si="7"/>
        <v>**</v>
      </c>
      <c r="O16" s="43" t="s">
        <v>343</v>
      </c>
      <c r="P16" s="43" t="s">
        <v>344</v>
      </c>
    </row>
    <row r="17" spans="1:16">
      <c r="A17" s="46" t="s">
        <v>327</v>
      </c>
      <c r="B17" s="47" t="str">
        <f t="shared" si="0"/>
        <v>中村　英明</v>
      </c>
      <c r="C17" s="47">
        <v>1003</v>
      </c>
      <c r="D17" s="47" t="str">
        <f t="shared" si="1"/>
        <v>中央工業</v>
      </c>
      <c r="E17" s="2">
        <v>5000</v>
      </c>
      <c r="F17" s="2">
        <v>622</v>
      </c>
      <c r="G17" s="2">
        <f t="shared" si="2"/>
        <v>4043</v>
      </c>
      <c r="H17" s="2">
        <f t="shared" si="3"/>
        <v>3114043</v>
      </c>
      <c r="I17" s="2">
        <v>633</v>
      </c>
      <c r="J17" s="2">
        <f t="shared" si="4"/>
        <v>4114</v>
      </c>
      <c r="K17" s="2">
        <f t="shared" si="5"/>
        <v>3160886</v>
      </c>
      <c r="L17" s="3">
        <f t="shared" si="6"/>
        <v>46843</v>
      </c>
      <c r="M17" s="8" t="str">
        <f t="shared" si="7"/>
        <v>*</v>
      </c>
      <c r="O17" s="47" t="s">
        <v>345</v>
      </c>
      <c r="P17" s="35">
        <v>1.2999999999999999E-3</v>
      </c>
    </row>
    <row r="18" spans="1:16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8"/>
      <c r="O18" s="47" t="s">
        <v>346</v>
      </c>
      <c r="P18" s="35">
        <v>1.5E-3</v>
      </c>
    </row>
    <row r="19" spans="1:16" ht="19.5" thickBot="1">
      <c r="A19" s="44"/>
      <c r="B19" s="10" t="s">
        <v>348</v>
      </c>
      <c r="C19" s="45"/>
      <c r="D19" s="45"/>
      <c r="E19" s="12">
        <f>SUM(E3:E17)</f>
        <v>46900</v>
      </c>
      <c r="F19" s="12"/>
      <c r="G19" s="12">
        <f t="shared" ref="G19:L19" si="8">SUM(G3:G17)</f>
        <v>62439</v>
      </c>
      <c r="H19" s="12">
        <f t="shared" si="8"/>
        <v>40474339</v>
      </c>
      <c r="I19" s="12"/>
      <c r="J19" s="12">
        <f t="shared" si="8"/>
        <v>63631</v>
      </c>
      <c r="K19" s="12">
        <f t="shared" si="8"/>
        <v>41107669</v>
      </c>
      <c r="L19" s="12">
        <f t="shared" si="8"/>
        <v>633330</v>
      </c>
      <c r="M19" s="13"/>
      <c r="O19" s="47" t="s">
        <v>347</v>
      </c>
      <c r="P19" s="35">
        <v>1.8E-3</v>
      </c>
    </row>
    <row r="21" spans="1:16" ht="19.5" thickBot="1">
      <c r="A21" s="53" t="s">
        <v>349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</row>
    <row r="22" spans="1:16">
      <c r="A22" s="4" t="s">
        <v>310</v>
      </c>
      <c r="B22" s="5" t="s">
        <v>313</v>
      </c>
      <c r="C22" s="5" t="s">
        <v>311</v>
      </c>
      <c r="D22" s="5" t="s">
        <v>312</v>
      </c>
      <c r="E22" s="5" t="s">
        <v>314</v>
      </c>
      <c r="F22" s="5" t="s">
        <v>315</v>
      </c>
      <c r="G22" s="5" t="s">
        <v>316</v>
      </c>
      <c r="H22" s="5" t="s">
        <v>271</v>
      </c>
      <c r="I22" s="5" t="s">
        <v>318</v>
      </c>
      <c r="J22" s="5" t="s">
        <v>319</v>
      </c>
      <c r="K22" s="5" t="s">
        <v>320</v>
      </c>
      <c r="L22" s="5" t="s">
        <v>321</v>
      </c>
      <c r="M22" s="6" t="s">
        <v>322</v>
      </c>
    </row>
    <row r="23" spans="1:16">
      <c r="A23" s="46" t="s">
        <v>326</v>
      </c>
      <c r="B23" s="47" t="s">
        <v>332</v>
      </c>
      <c r="C23" s="47">
        <v>1005</v>
      </c>
      <c r="D23" s="47" t="s">
        <v>341</v>
      </c>
      <c r="E23" s="2">
        <v>6000</v>
      </c>
      <c r="F23" s="2">
        <v>863</v>
      </c>
      <c r="G23" s="2">
        <v>9320</v>
      </c>
      <c r="H23" s="2">
        <v>5187320</v>
      </c>
      <c r="I23" s="2">
        <v>877</v>
      </c>
      <c r="J23" s="2">
        <v>9471</v>
      </c>
      <c r="K23" s="2">
        <v>5252529</v>
      </c>
      <c r="L23" s="3">
        <v>65209</v>
      </c>
      <c r="M23" s="8" t="s">
        <v>95</v>
      </c>
    </row>
    <row r="24" spans="1:16">
      <c r="A24" s="46" t="s">
        <v>323</v>
      </c>
      <c r="B24" s="47" t="s">
        <v>328</v>
      </c>
      <c r="C24" s="47">
        <v>1005</v>
      </c>
      <c r="D24" s="47" t="s">
        <v>341</v>
      </c>
      <c r="E24" s="2">
        <v>6000</v>
      </c>
      <c r="F24" s="2">
        <v>852</v>
      </c>
      <c r="G24" s="2">
        <v>7668</v>
      </c>
      <c r="H24" s="2">
        <v>5119668</v>
      </c>
      <c r="I24" s="2">
        <v>866</v>
      </c>
      <c r="J24" s="2">
        <v>7794</v>
      </c>
      <c r="K24" s="2">
        <v>5188206</v>
      </c>
      <c r="L24" s="3">
        <v>68538</v>
      </c>
      <c r="M24" s="8" t="s">
        <v>95</v>
      </c>
    </row>
    <row r="25" spans="1:16">
      <c r="A25" s="46" t="s">
        <v>327</v>
      </c>
      <c r="B25" s="47" t="s">
        <v>334</v>
      </c>
      <c r="C25" s="47">
        <v>1003</v>
      </c>
      <c r="D25" s="47" t="s">
        <v>338</v>
      </c>
      <c r="E25" s="2">
        <v>5000</v>
      </c>
      <c r="F25" s="2">
        <v>622</v>
      </c>
      <c r="G25" s="2">
        <v>4043</v>
      </c>
      <c r="H25" s="2">
        <v>3114043</v>
      </c>
      <c r="I25" s="2">
        <v>633</v>
      </c>
      <c r="J25" s="2">
        <v>4114</v>
      </c>
      <c r="K25" s="2">
        <v>3160886</v>
      </c>
      <c r="L25" s="3">
        <v>46843</v>
      </c>
      <c r="M25" s="8" t="s">
        <v>38</v>
      </c>
    </row>
    <row r="26" spans="1:16">
      <c r="A26" s="46" t="s">
        <v>326</v>
      </c>
      <c r="B26" s="47" t="s">
        <v>332</v>
      </c>
      <c r="C26" s="47">
        <v>1003</v>
      </c>
      <c r="D26" s="47" t="s">
        <v>338</v>
      </c>
      <c r="E26" s="2">
        <v>5000</v>
      </c>
      <c r="F26" s="2">
        <v>600</v>
      </c>
      <c r="G26" s="2">
        <v>5400</v>
      </c>
      <c r="H26" s="2">
        <v>3005400</v>
      </c>
      <c r="I26" s="2">
        <v>618</v>
      </c>
      <c r="J26" s="2">
        <v>5562</v>
      </c>
      <c r="K26" s="2">
        <v>3084438</v>
      </c>
      <c r="L26" s="3">
        <v>79038</v>
      </c>
      <c r="M26" s="8" t="s">
        <v>95</v>
      </c>
    </row>
    <row r="27" spans="1:16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8"/>
    </row>
    <row r="28" spans="1:16" ht="19.5" thickBot="1">
      <c r="A28" s="44"/>
      <c r="B28" s="10" t="s">
        <v>348</v>
      </c>
      <c r="C28" s="45"/>
      <c r="D28" s="45"/>
      <c r="E28" s="12">
        <f>SUM(E23:E26)</f>
        <v>22000</v>
      </c>
      <c r="F28" s="12"/>
      <c r="G28" s="12">
        <f t="shared" ref="G28:L28" si="9">SUM(G23:G26)</f>
        <v>26431</v>
      </c>
      <c r="H28" s="12">
        <f t="shared" si="9"/>
        <v>16426431</v>
      </c>
      <c r="I28" s="12"/>
      <c r="J28" s="12">
        <f t="shared" si="9"/>
        <v>26941</v>
      </c>
      <c r="K28" s="12">
        <f t="shared" si="9"/>
        <v>16686059</v>
      </c>
      <c r="L28" s="12">
        <f t="shared" si="9"/>
        <v>259628</v>
      </c>
      <c r="M28" s="13"/>
    </row>
    <row r="30" spans="1:16" ht="19.5" thickBot="1">
      <c r="A30" s="53" t="s">
        <v>350</v>
      </c>
      <c r="B30" s="53"/>
      <c r="C30" s="53"/>
      <c r="D30" s="53"/>
    </row>
    <row r="31" spans="1:16">
      <c r="A31" s="4" t="s">
        <v>313</v>
      </c>
      <c r="B31" s="5" t="s">
        <v>271</v>
      </c>
      <c r="C31" s="5" t="s">
        <v>320</v>
      </c>
      <c r="D31" s="6" t="s">
        <v>321</v>
      </c>
      <c r="F31" s="43" t="s">
        <v>313</v>
      </c>
      <c r="G31" s="43" t="s">
        <v>313</v>
      </c>
      <c r="H31" s="43" t="s">
        <v>313</v>
      </c>
      <c r="I31" s="43" t="s">
        <v>313</v>
      </c>
      <c r="J31" s="43" t="s">
        <v>313</v>
      </c>
    </row>
    <row r="32" spans="1:16">
      <c r="A32" s="46" t="s">
        <v>329</v>
      </c>
      <c r="B32" s="2">
        <f>DSUM(株式損益額計算表7,B$31,$F$31:$F$32)</f>
        <v>9976441</v>
      </c>
      <c r="C32" s="2">
        <f>DSUM(株式損益額計算表7,C$31,$F$31:$F$32)</f>
        <v>10097332</v>
      </c>
      <c r="D32" s="14">
        <f>DSUM(株式損益額計算表7,D$31,$F$31:$F$32)</f>
        <v>120891</v>
      </c>
      <c r="F32" s="47" t="s">
        <v>329</v>
      </c>
      <c r="G32" s="47" t="s">
        <v>330</v>
      </c>
      <c r="H32" s="47" t="s">
        <v>331</v>
      </c>
      <c r="I32" s="47" t="s">
        <v>333</v>
      </c>
      <c r="J32" s="47" t="s">
        <v>335</v>
      </c>
    </row>
    <row r="33" spans="1:12">
      <c r="A33" s="46" t="s">
        <v>330</v>
      </c>
      <c r="B33" s="2">
        <f>DSUM(株式損益額計算表7,B$31,$G$31:$G$32)</f>
        <v>6101461</v>
      </c>
      <c r="C33" s="2">
        <f>DSUM(株式損益額計算表7,C$31,$G$31:$G$32)</f>
        <v>6210802</v>
      </c>
      <c r="D33" s="14">
        <f>DSUM(株式損益額計算表7,D$31,$G$31:$G$32)</f>
        <v>109341</v>
      </c>
    </row>
    <row r="34" spans="1:12">
      <c r="A34" s="46" t="s">
        <v>331</v>
      </c>
      <c r="B34" s="2">
        <f>DSUM(株式損益額計算表7,B$31,$H$31:$H$32)</f>
        <v>5831670</v>
      </c>
      <c r="C34" s="2">
        <f>DSUM(株式損益額計算表7,C$31,$H$31:$H$32)</f>
        <v>5883144</v>
      </c>
      <c r="D34" s="14">
        <f>DSUM(株式損益額計算表7,D$31,$H$31:$H$32)</f>
        <v>51474</v>
      </c>
    </row>
    <row r="35" spans="1:12">
      <c r="A35" s="46" t="s">
        <v>333</v>
      </c>
      <c r="B35" s="2">
        <f>DSUM(株式損益額計算表7,B$31,$I$31:$I$32)</f>
        <v>9764343</v>
      </c>
      <c r="C35" s="2">
        <f>DSUM(株式損益額計算表7,C$31,$I$31:$I$32)</f>
        <v>9946066</v>
      </c>
      <c r="D35" s="14">
        <f>DSUM(株式損益額計算表7,D$31,$I$31:$I$32)</f>
        <v>181723</v>
      </c>
    </row>
    <row r="36" spans="1:12" ht="19.5" thickBot="1">
      <c r="A36" s="44" t="s">
        <v>335</v>
      </c>
      <c r="B36" s="15">
        <f>DSUM(株式損益額計算表7,B$31,$J$31:$J$32)</f>
        <v>8800424</v>
      </c>
      <c r="C36" s="15">
        <f>DSUM(株式損益額計算表7,C$31,$J$31:$J$32)</f>
        <v>8970325</v>
      </c>
      <c r="D36" s="16">
        <f>DSUM(株式損益額計算表7,D$31,$J$31:$J$32)</f>
        <v>169901</v>
      </c>
    </row>
    <row r="37" spans="1:12" ht="19.5" thickBot="1">
      <c r="H37" s="43" t="s">
        <v>312</v>
      </c>
      <c r="I37" s="43" t="s">
        <v>314</v>
      </c>
      <c r="J37" s="43" t="s">
        <v>271</v>
      </c>
      <c r="K37" s="43" t="s">
        <v>321</v>
      </c>
      <c r="L37" s="43" t="s">
        <v>321</v>
      </c>
    </row>
    <row r="38" spans="1:12">
      <c r="A38" s="74" t="s">
        <v>351</v>
      </c>
      <c r="B38" s="75"/>
      <c r="C38" s="75"/>
      <c r="D38" s="75"/>
      <c r="E38" s="75"/>
      <c r="F38" s="18">
        <f>DSUM(株式損益額計算表7,L2,H37:H38)</f>
        <v>569523</v>
      </c>
      <c r="H38" s="47" t="s">
        <v>354</v>
      </c>
      <c r="I38" s="47" t="s">
        <v>355</v>
      </c>
      <c r="J38" s="47" t="s">
        <v>356</v>
      </c>
      <c r="K38" s="47" t="s">
        <v>358</v>
      </c>
      <c r="L38" s="47" t="s">
        <v>357</v>
      </c>
    </row>
    <row r="39" spans="1:12">
      <c r="A39" s="66" t="s">
        <v>352</v>
      </c>
      <c r="B39" s="67"/>
      <c r="C39" s="67"/>
      <c r="D39" s="67"/>
      <c r="E39" s="67"/>
      <c r="F39" s="8">
        <f>DCOUNT(株式損益額計算表7,,I37:J38)</f>
        <v>4</v>
      </c>
    </row>
    <row r="40" spans="1:12" ht="19.5" thickBot="1">
      <c r="A40" s="57" t="s">
        <v>353</v>
      </c>
      <c r="B40" s="58"/>
      <c r="C40" s="58"/>
      <c r="D40" s="58"/>
      <c r="E40" s="58"/>
      <c r="F40" s="16">
        <f>ROUND(DAVERAGE(株式損益額計算表7,K2,K37:L38),0)</f>
        <v>2348520</v>
      </c>
    </row>
  </sheetData>
  <sortState ref="A23:M26">
    <sortCondition descending="1" ref="K22"/>
  </sortState>
  <mergeCells count="6">
    <mergeCell ref="A1:M1"/>
    <mergeCell ref="A21:M21"/>
    <mergeCell ref="A30:D30"/>
    <mergeCell ref="A38:E38"/>
    <mergeCell ref="A39:E39"/>
    <mergeCell ref="A40:E40"/>
  </mergeCells>
  <phoneticPr fontId="2"/>
  <pageMargins left="0.25" right="0.25" top="0.75" bottom="0.75" header="0.3" footer="0.3"/>
  <pageSetup paperSize="9" scale="5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E3C3-7A86-426B-B7A5-2326180ADF3F}">
  <sheetPr>
    <pageSetUpPr fitToPage="1"/>
  </sheetPr>
  <dimension ref="A1:P40"/>
  <sheetViews>
    <sheetView topLeftCell="A23" workbookViewId="0">
      <selection activeCell="N46" sqref="N46"/>
    </sheetView>
  </sheetViews>
  <sheetFormatPr defaultRowHeight="18.75"/>
  <cols>
    <col min="1" max="2" width="11" bestFit="1" customWidth="1"/>
    <col min="3" max="3" width="10.5" bestFit="1" customWidth="1"/>
    <col min="4" max="4" width="9" bestFit="1" customWidth="1"/>
    <col min="5" max="5" width="7" bestFit="1" customWidth="1"/>
    <col min="6" max="7" width="11" bestFit="1" customWidth="1"/>
    <col min="8" max="8" width="11.875" bestFit="1" customWidth="1"/>
    <col min="9" max="9" width="11" bestFit="1" customWidth="1"/>
    <col min="10" max="10" width="11.375" bestFit="1" customWidth="1"/>
    <col min="11" max="11" width="10.5" bestFit="1" customWidth="1"/>
    <col min="12" max="12" width="9.25" bestFit="1" customWidth="1"/>
    <col min="13" max="13" width="5.25" bestFit="1" customWidth="1"/>
    <col min="15" max="15" width="7.125" bestFit="1" customWidth="1"/>
    <col min="16" max="16" width="11" bestFit="1" customWidth="1"/>
  </cols>
  <sheetData>
    <row r="1" spans="1:16" ht="19.5" thickBot="1">
      <c r="A1" s="53" t="s">
        <v>309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6">
      <c r="A2" s="4" t="s">
        <v>310</v>
      </c>
      <c r="B2" s="5" t="s">
        <v>313</v>
      </c>
      <c r="C2" s="5" t="s">
        <v>311</v>
      </c>
      <c r="D2" s="5" t="s">
        <v>312</v>
      </c>
      <c r="E2" s="5" t="s">
        <v>314</v>
      </c>
      <c r="F2" s="5" t="s">
        <v>315</v>
      </c>
      <c r="G2" s="5" t="s">
        <v>316</v>
      </c>
      <c r="H2" s="5" t="s">
        <v>271</v>
      </c>
      <c r="I2" s="5" t="s">
        <v>318</v>
      </c>
      <c r="J2" s="5" t="s">
        <v>319</v>
      </c>
      <c r="K2" s="5" t="s">
        <v>320</v>
      </c>
      <c r="L2" s="5" t="s">
        <v>321</v>
      </c>
      <c r="M2" s="6" t="s">
        <v>322</v>
      </c>
      <c r="O2" s="43" t="s">
        <v>310</v>
      </c>
      <c r="P2" s="43" t="s">
        <v>313</v>
      </c>
    </row>
    <row r="3" spans="1:16">
      <c r="A3" s="46" t="s">
        <v>323</v>
      </c>
      <c r="B3" s="47" t="str">
        <f>VLOOKUP(A3,$O$3:$P$7,2,)</f>
        <v>山田　一郎</v>
      </c>
      <c r="C3" s="47">
        <v>1001</v>
      </c>
      <c r="D3" s="47" t="str">
        <f>VLOOKUP(C3,$O$10:$P$14,2,0)</f>
        <v>朝日水産</v>
      </c>
      <c r="E3" s="2">
        <v>5000</v>
      </c>
      <c r="F3" s="2">
        <v>537</v>
      </c>
      <c r="G3" s="2">
        <f>INT(F3*E3*VLOOKUP(RIGHT(A3,1),$O$17:$P$19,2,0))</f>
        <v>4027</v>
      </c>
      <c r="H3" s="2">
        <f>F3*E3+G3</f>
        <v>2689027</v>
      </c>
      <c r="I3" s="2">
        <v>554</v>
      </c>
      <c r="J3" s="2">
        <f>INT(I3*E3*VLOOKUP(RIGHT(A3,1),$O$17:$P$19,2,0))</f>
        <v>4155</v>
      </c>
      <c r="K3" s="2">
        <f>I3*E3-J3</f>
        <v>2765845</v>
      </c>
      <c r="L3" s="3">
        <f>K3-H3</f>
        <v>76818</v>
      </c>
      <c r="M3" s="8" t="str">
        <f>IF(AND(K3&gt;=2500000,L3&gt;=50000),"**","*")</f>
        <v>**</v>
      </c>
      <c r="O3" s="47" t="s">
        <v>323</v>
      </c>
      <c r="P3" s="47" t="s">
        <v>329</v>
      </c>
    </row>
    <row r="4" spans="1:16">
      <c r="A4" s="46" t="s">
        <v>323</v>
      </c>
      <c r="B4" s="47" t="str">
        <f t="shared" ref="B4:B17" si="0">VLOOKUP(A4,$O$3:$P$7,2,)</f>
        <v>山田　一郎</v>
      </c>
      <c r="C4" s="47">
        <v>1005</v>
      </c>
      <c r="D4" s="47" t="str">
        <f t="shared" ref="D4:D17" si="1">VLOOKUP(C4,$O$10:$P$14,2,0)</f>
        <v>大山銀行</v>
      </c>
      <c r="E4" s="2">
        <v>6000</v>
      </c>
      <c r="F4" s="2">
        <v>852</v>
      </c>
      <c r="G4" s="2">
        <f t="shared" ref="G4:G17" si="2">INT(F4*E4*VLOOKUP(RIGHT(A4,1),$O$17:$P$19,2,0))</f>
        <v>7668</v>
      </c>
      <c r="H4" s="2">
        <f t="shared" ref="H4:H17" si="3">F4*E4+G4</f>
        <v>5119668</v>
      </c>
      <c r="I4" s="2">
        <v>866</v>
      </c>
      <c r="J4" s="2">
        <f t="shared" ref="J4:J17" si="4">INT(I4*E4*VLOOKUP(RIGHT(A4,1),$O$17:$P$19,2,0))</f>
        <v>7794</v>
      </c>
      <c r="K4" s="2">
        <f t="shared" ref="K4:K17" si="5">I4*E4-J4</f>
        <v>5188206</v>
      </c>
      <c r="L4" s="3">
        <f t="shared" ref="L4:L17" si="6">K4-H4</f>
        <v>68538</v>
      </c>
      <c r="M4" s="8" t="str">
        <f t="shared" ref="M4:M17" si="7">IF(AND(K4&gt;=2500000,L4&gt;=50000),"**","*")</f>
        <v>**</v>
      </c>
      <c r="O4" s="47" t="s">
        <v>324</v>
      </c>
      <c r="P4" s="47" t="s">
        <v>330</v>
      </c>
    </row>
    <row r="5" spans="1:16">
      <c r="A5" s="46" t="s">
        <v>323</v>
      </c>
      <c r="B5" s="47" t="str">
        <f t="shared" si="0"/>
        <v>山田　一郎</v>
      </c>
      <c r="C5" s="47">
        <v>1002</v>
      </c>
      <c r="D5" s="47" t="str">
        <f t="shared" si="1"/>
        <v>新栄製鉄</v>
      </c>
      <c r="E5" s="2">
        <v>900</v>
      </c>
      <c r="F5" s="2">
        <v>2405</v>
      </c>
      <c r="G5" s="2">
        <f t="shared" si="2"/>
        <v>3246</v>
      </c>
      <c r="H5" s="2">
        <f t="shared" si="3"/>
        <v>2167746</v>
      </c>
      <c r="I5" s="2">
        <v>2385</v>
      </c>
      <c r="J5" s="2">
        <f t="shared" si="4"/>
        <v>3219</v>
      </c>
      <c r="K5" s="2">
        <f t="shared" si="5"/>
        <v>2143281</v>
      </c>
      <c r="L5" s="3">
        <f t="shared" si="6"/>
        <v>-24465</v>
      </c>
      <c r="M5" s="8" t="str">
        <f t="shared" si="7"/>
        <v>*</v>
      </c>
      <c r="O5" s="47" t="s">
        <v>325</v>
      </c>
      <c r="P5" s="47" t="s">
        <v>331</v>
      </c>
    </row>
    <row r="6" spans="1:16">
      <c r="A6" s="46" t="s">
        <v>324</v>
      </c>
      <c r="B6" s="47" t="str">
        <f t="shared" si="0"/>
        <v>安藤　愛子</v>
      </c>
      <c r="C6" s="47">
        <v>1004</v>
      </c>
      <c r="D6" s="47" t="str">
        <f t="shared" si="1"/>
        <v>東北商事</v>
      </c>
      <c r="E6" s="2">
        <v>700</v>
      </c>
      <c r="F6" s="2">
        <v>3745</v>
      </c>
      <c r="G6" s="2">
        <f t="shared" si="2"/>
        <v>4718</v>
      </c>
      <c r="H6" s="2">
        <f t="shared" si="3"/>
        <v>2626218</v>
      </c>
      <c r="I6" s="2">
        <v>3814</v>
      </c>
      <c r="J6" s="2">
        <f t="shared" si="4"/>
        <v>4805</v>
      </c>
      <c r="K6" s="2">
        <f t="shared" si="5"/>
        <v>2664995</v>
      </c>
      <c r="L6" s="3">
        <f t="shared" si="6"/>
        <v>38777</v>
      </c>
      <c r="M6" s="8" t="str">
        <f t="shared" si="7"/>
        <v>*</v>
      </c>
      <c r="O6" s="47" t="s">
        <v>326</v>
      </c>
      <c r="P6" s="47" t="s">
        <v>333</v>
      </c>
    </row>
    <row r="7" spans="1:16">
      <c r="A7" s="46" t="s">
        <v>324</v>
      </c>
      <c r="B7" s="47" t="str">
        <f t="shared" si="0"/>
        <v>安藤　愛子</v>
      </c>
      <c r="C7" s="47">
        <v>1001</v>
      </c>
      <c r="D7" s="47" t="str">
        <f t="shared" si="1"/>
        <v>朝日水産</v>
      </c>
      <c r="E7" s="2">
        <v>3000</v>
      </c>
      <c r="F7" s="2">
        <v>519</v>
      </c>
      <c r="G7" s="2">
        <f t="shared" si="2"/>
        <v>2802</v>
      </c>
      <c r="H7" s="2">
        <f t="shared" si="3"/>
        <v>1559802</v>
      </c>
      <c r="I7" s="2">
        <v>515</v>
      </c>
      <c r="J7" s="2">
        <f t="shared" si="4"/>
        <v>2781</v>
      </c>
      <c r="K7" s="2">
        <f t="shared" si="5"/>
        <v>1542219</v>
      </c>
      <c r="L7" s="3">
        <f t="shared" si="6"/>
        <v>-17583</v>
      </c>
      <c r="M7" s="8" t="str">
        <f t="shared" si="7"/>
        <v>*</v>
      </c>
      <c r="O7" s="47" t="s">
        <v>327</v>
      </c>
      <c r="P7" s="47" t="s">
        <v>335</v>
      </c>
    </row>
    <row r="8" spans="1:16">
      <c r="A8" s="46" t="s">
        <v>324</v>
      </c>
      <c r="B8" s="47" t="str">
        <f t="shared" si="0"/>
        <v>安藤　愛子</v>
      </c>
      <c r="C8" s="47">
        <v>1002</v>
      </c>
      <c r="D8" s="47" t="str">
        <f t="shared" si="1"/>
        <v>新栄製鉄</v>
      </c>
      <c r="E8" s="2">
        <v>800</v>
      </c>
      <c r="F8" s="2">
        <v>2390</v>
      </c>
      <c r="G8" s="2">
        <f t="shared" si="2"/>
        <v>3441</v>
      </c>
      <c r="H8" s="2">
        <f t="shared" si="3"/>
        <v>1915441</v>
      </c>
      <c r="I8" s="2">
        <v>2509</v>
      </c>
      <c r="J8" s="2">
        <f t="shared" si="4"/>
        <v>3612</v>
      </c>
      <c r="K8" s="2">
        <f t="shared" si="5"/>
        <v>2003588</v>
      </c>
      <c r="L8" s="3">
        <f t="shared" si="6"/>
        <v>88147</v>
      </c>
      <c r="M8" s="8" t="str">
        <f t="shared" si="7"/>
        <v>*</v>
      </c>
    </row>
    <row r="9" spans="1:16">
      <c r="A9" s="46" t="s">
        <v>325</v>
      </c>
      <c r="B9" s="47" t="str">
        <f t="shared" si="0"/>
        <v>長谷川　誠</v>
      </c>
      <c r="C9" s="47">
        <v>1002</v>
      </c>
      <c r="D9" s="47" t="str">
        <f t="shared" si="1"/>
        <v>新栄製鉄</v>
      </c>
      <c r="E9" s="2">
        <v>600</v>
      </c>
      <c r="F9" s="2">
        <v>2416</v>
      </c>
      <c r="G9" s="2">
        <f t="shared" si="2"/>
        <v>1884</v>
      </c>
      <c r="H9" s="2">
        <f t="shared" si="3"/>
        <v>1451484</v>
      </c>
      <c r="I9" s="2">
        <v>2473</v>
      </c>
      <c r="J9" s="2">
        <f t="shared" si="4"/>
        <v>1928</v>
      </c>
      <c r="K9" s="2">
        <f t="shared" si="5"/>
        <v>1481872</v>
      </c>
      <c r="L9" s="3">
        <f t="shared" si="6"/>
        <v>30388</v>
      </c>
      <c r="M9" s="8" t="str">
        <f t="shared" si="7"/>
        <v>*</v>
      </c>
      <c r="O9" s="43" t="s">
        <v>311</v>
      </c>
      <c r="P9" s="43" t="s">
        <v>312</v>
      </c>
    </row>
    <row r="10" spans="1:16">
      <c r="A10" s="46" t="s">
        <v>325</v>
      </c>
      <c r="B10" s="47" t="str">
        <f t="shared" si="0"/>
        <v>長谷川　誠</v>
      </c>
      <c r="C10" s="47">
        <v>1004</v>
      </c>
      <c r="D10" s="47" t="str">
        <f t="shared" si="1"/>
        <v>東北商事</v>
      </c>
      <c r="E10" s="2">
        <v>500</v>
      </c>
      <c r="F10" s="2">
        <v>3813</v>
      </c>
      <c r="G10" s="2">
        <f t="shared" si="2"/>
        <v>2478</v>
      </c>
      <c r="H10" s="2">
        <f t="shared" si="3"/>
        <v>1908978</v>
      </c>
      <c r="I10" s="2">
        <v>3798</v>
      </c>
      <c r="J10" s="2">
        <f t="shared" si="4"/>
        <v>2468</v>
      </c>
      <c r="K10" s="2">
        <f t="shared" si="5"/>
        <v>1896532</v>
      </c>
      <c r="L10" s="3">
        <f t="shared" si="6"/>
        <v>-12446</v>
      </c>
      <c r="M10" s="8" t="str">
        <f t="shared" si="7"/>
        <v>*</v>
      </c>
      <c r="O10" s="47">
        <v>1001</v>
      </c>
      <c r="P10" s="47" t="s">
        <v>336</v>
      </c>
    </row>
    <row r="11" spans="1:16">
      <c r="A11" s="46" t="s">
        <v>325</v>
      </c>
      <c r="B11" s="47" t="str">
        <f t="shared" si="0"/>
        <v>長谷川　誠</v>
      </c>
      <c r="C11" s="47">
        <v>1003</v>
      </c>
      <c r="D11" s="47" t="str">
        <f t="shared" si="1"/>
        <v>中央工業</v>
      </c>
      <c r="E11" s="2">
        <v>4000</v>
      </c>
      <c r="F11" s="2">
        <v>617</v>
      </c>
      <c r="G11" s="2">
        <f t="shared" si="2"/>
        <v>3208</v>
      </c>
      <c r="H11" s="2">
        <f t="shared" si="3"/>
        <v>2471208</v>
      </c>
      <c r="I11" s="2">
        <v>627</v>
      </c>
      <c r="J11" s="2">
        <f t="shared" si="4"/>
        <v>3260</v>
      </c>
      <c r="K11" s="2">
        <f t="shared" si="5"/>
        <v>2504740</v>
      </c>
      <c r="L11" s="3">
        <f t="shared" si="6"/>
        <v>33532</v>
      </c>
      <c r="M11" s="8" t="str">
        <f t="shared" si="7"/>
        <v>*</v>
      </c>
      <c r="O11" s="47">
        <v>1002</v>
      </c>
      <c r="P11" s="47" t="s">
        <v>337</v>
      </c>
    </row>
    <row r="12" spans="1:16">
      <c r="A12" s="46" t="s">
        <v>326</v>
      </c>
      <c r="B12" s="47" t="str">
        <f t="shared" si="0"/>
        <v>林　ありさ</v>
      </c>
      <c r="C12" s="47">
        <v>1005</v>
      </c>
      <c r="D12" s="47" t="str">
        <f t="shared" si="1"/>
        <v>大山銀行</v>
      </c>
      <c r="E12" s="2">
        <v>6000</v>
      </c>
      <c r="F12" s="2">
        <v>863</v>
      </c>
      <c r="G12" s="2">
        <f t="shared" si="2"/>
        <v>9320</v>
      </c>
      <c r="H12" s="2">
        <f t="shared" si="3"/>
        <v>5187320</v>
      </c>
      <c r="I12" s="2">
        <v>877</v>
      </c>
      <c r="J12" s="2">
        <f t="shared" si="4"/>
        <v>9471</v>
      </c>
      <c r="K12" s="2">
        <f t="shared" si="5"/>
        <v>5252529</v>
      </c>
      <c r="L12" s="3">
        <f t="shared" si="6"/>
        <v>65209</v>
      </c>
      <c r="M12" s="8" t="str">
        <f t="shared" si="7"/>
        <v>**</v>
      </c>
      <c r="O12" s="47">
        <v>1003</v>
      </c>
      <c r="P12" s="47" t="s">
        <v>339</v>
      </c>
    </row>
    <row r="13" spans="1:16">
      <c r="A13" s="46" t="s">
        <v>326</v>
      </c>
      <c r="B13" s="47" t="str">
        <f t="shared" si="0"/>
        <v>林　ありさ</v>
      </c>
      <c r="C13" s="47">
        <v>1003</v>
      </c>
      <c r="D13" s="47" t="str">
        <f t="shared" si="1"/>
        <v>中央工業</v>
      </c>
      <c r="E13" s="2">
        <v>5000</v>
      </c>
      <c r="F13" s="2">
        <v>600</v>
      </c>
      <c r="G13" s="2">
        <f t="shared" si="2"/>
        <v>5400</v>
      </c>
      <c r="H13" s="2">
        <f t="shared" si="3"/>
        <v>3005400</v>
      </c>
      <c r="I13" s="2">
        <v>618</v>
      </c>
      <c r="J13" s="2">
        <f t="shared" si="4"/>
        <v>5562</v>
      </c>
      <c r="K13" s="2">
        <f t="shared" si="5"/>
        <v>3084438</v>
      </c>
      <c r="L13" s="3">
        <f t="shared" si="6"/>
        <v>79038</v>
      </c>
      <c r="M13" s="8" t="str">
        <f t="shared" si="7"/>
        <v>**</v>
      </c>
      <c r="O13" s="47">
        <v>1004</v>
      </c>
      <c r="P13" s="47" t="s">
        <v>340</v>
      </c>
    </row>
    <row r="14" spans="1:16">
      <c r="A14" s="46" t="s">
        <v>326</v>
      </c>
      <c r="B14" s="47" t="str">
        <f t="shared" si="0"/>
        <v>林　ありさ</v>
      </c>
      <c r="C14" s="47">
        <v>1004</v>
      </c>
      <c r="D14" s="47" t="str">
        <f t="shared" si="1"/>
        <v>東北商事</v>
      </c>
      <c r="E14" s="2">
        <v>400</v>
      </c>
      <c r="F14" s="2">
        <v>3922</v>
      </c>
      <c r="G14" s="2">
        <f t="shared" si="2"/>
        <v>2823</v>
      </c>
      <c r="H14" s="2">
        <f t="shared" si="3"/>
        <v>1571623</v>
      </c>
      <c r="I14" s="2">
        <v>4030</v>
      </c>
      <c r="J14" s="2">
        <f t="shared" si="4"/>
        <v>2901</v>
      </c>
      <c r="K14" s="2">
        <f t="shared" si="5"/>
        <v>1609099</v>
      </c>
      <c r="L14" s="3">
        <f t="shared" si="6"/>
        <v>37476</v>
      </c>
      <c r="M14" s="8" t="str">
        <f t="shared" si="7"/>
        <v>*</v>
      </c>
      <c r="O14" s="47">
        <v>1005</v>
      </c>
      <c r="P14" s="47" t="s">
        <v>342</v>
      </c>
    </row>
    <row r="15" spans="1:16">
      <c r="A15" s="46" t="s">
        <v>327</v>
      </c>
      <c r="B15" s="47" t="str">
        <f t="shared" si="0"/>
        <v>中村　英明</v>
      </c>
      <c r="C15" s="47">
        <v>1001</v>
      </c>
      <c r="D15" s="47" t="str">
        <f t="shared" si="1"/>
        <v>朝日水産</v>
      </c>
      <c r="E15" s="2">
        <v>6000</v>
      </c>
      <c r="F15" s="2">
        <v>511</v>
      </c>
      <c r="G15" s="2">
        <f t="shared" si="2"/>
        <v>3985</v>
      </c>
      <c r="H15" s="2">
        <f t="shared" si="3"/>
        <v>3069985</v>
      </c>
      <c r="I15" s="2">
        <v>524</v>
      </c>
      <c r="J15" s="2">
        <f t="shared" si="4"/>
        <v>4087</v>
      </c>
      <c r="K15" s="2">
        <f t="shared" si="5"/>
        <v>3139913</v>
      </c>
      <c r="L15" s="3">
        <f t="shared" si="6"/>
        <v>69928</v>
      </c>
      <c r="M15" s="8" t="str">
        <f t="shared" si="7"/>
        <v>**</v>
      </c>
    </row>
    <row r="16" spans="1:16">
      <c r="A16" s="46" t="s">
        <v>327</v>
      </c>
      <c r="B16" s="47" t="str">
        <f t="shared" si="0"/>
        <v>中村　英明</v>
      </c>
      <c r="C16" s="47">
        <v>1005</v>
      </c>
      <c r="D16" s="47" t="str">
        <f t="shared" si="1"/>
        <v>大山銀行</v>
      </c>
      <c r="E16" s="2">
        <v>3000</v>
      </c>
      <c r="F16" s="2">
        <v>871</v>
      </c>
      <c r="G16" s="2">
        <f t="shared" si="2"/>
        <v>3396</v>
      </c>
      <c r="H16" s="2">
        <f t="shared" si="3"/>
        <v>2616396</v>
      </c>
      <c r="I16" s="2">
        <v>891</v>
      </c>
      <c r="J16" s="2">
        <f t="shared" si="4"/>
        <v>3474</v>
      </c>
      <c r="K16" s="2">
        <f t="shared" si="5"/>
        <v>2669526</v>
      </c>
      <c r="L16" s="3">
        <f t="shared" si="6"/>
        <v>53130</v>
      </c>
      <c r="M16" s="8" t="str">
        <f t="shared" si="7"/>
        <v>**</v>
      </c>
      <c r="O16" s="43" t="s">
        <v>343</v>
      </c>
      <c r="P16" s="43" t="s">
        <v>344</v>
      </c>
    </row>
    <row r="17" spans="1:16">
      <c r="A17" s="46" t="s">
        <v>327</v>
      </c>
      <c r="B17" s="47" t="str">
        <f t="shared" si="0"/>
        <v>中村　英明</v>
      </c>
      <c r="C17" s="47">
        <v>1003</v>
      </c>
      <c r="D17" s="47" t="str">
        <f t="shared" si="1"/>
        <v>中央工業</v>
      </c>
      <c r="E17" s="2">
        <v>5000</v>
      </c>
      <c r="F17" s="2">
        <v>622</v>
      </c>
      <c r="G17" s="2">
        <f t="shared" si="2"/>
        <v>4043</v>
      </c>
      <c r="H17" s="2">
        <f t="shared" si="3"/>
        <v>3114043</v>
      </c>
      <c r="I17" s="2">
        <v>633</v>
      </c>
      <c r="J17" s="2">
        <f t="shared" si="4"/>
        <v>4114</v>
      </c>
      <c r="K17" s="2">
        <f t="shared" si="5"/>
        <v>3160886</v>
      </c>
      <c r="L17" s="3">
        <f t="shared" si="6"/>
        <v>46843</v>
      </c>
      <c r="M17" s="8" t="str">
        <f t="shared" si="7"/>
        <v>*</v>
      </c>
      <c r="O17" s="47" t="s">
        <v>345</v>
      </c>
      <c r="P17" s="35">
        <v>1.2999999999999999E-3</v>
      </c>
    </row>
    <row r="18" spans="1:16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8"/>
      <c r="O18" s="47" t="s">
        <v>346</v>
      </c>
      <c r="P18" s="35">
        <v>1.5E-3</v>
      </c>
    </row>
    <row r="19" spans="1:16" ht="19.5" thickBot="1">
      <c r="A19" s="44"/>
      <c r="B19" s="10" t="s">
        <v>348</v>
      </c>
      <c r="C19" s="45"/>
      <c r="D19" s="45"/>
      <c r="E19" s="12">
        <f>SUM(E3:E17)</f>
        <v>46900</v>
      </c>
      <c r="F19" s="12"/>
      <c r="G19" s="12">
        <f t="shared" ref="G19:L19" si="8">SUM(G3:G17)</f>
        <v>62439</v>
      </c>
      <c r="H19" s="12">
        <f t="shared" si="8"/>
        <v>40474339</v>
      </c>
      <c r="I19" s="12"/>
      <c r="J19" s="12">
        <f t="shared" si="8"/>
        <v>63631</v>
      </c>
      <c r="K19" s="12">
        <f t="shared" si="8"/>
        <v>41107669</v>
      </c>
      <c r="L19" s="12">
        <f t="shared" si="8"/>
        <v>633330</v>
      </c>
      <c r="M19" s="13"/>
      <c r="O19" s="47" t="s">
        <v>347</v>
      </c>
      <c r="P19" s="35">
        <v>1.8E-3</v>
      </c>
    </row>
    <row r="21" spans="1:16" ht="19.5" thickBot="1">
      <c r="A21" s="53" t="s">
        <v>349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</row>
    <row r="22" spans="1:16">
      <c r="A22" s="4" t="s">
        <v>310</v>
      </c>
      <c r="B22" s="5" t="s">
        <v>313</v>
      </c>
      <c r="C22" s="5" t="s">
        <v>311</v>
      </c>
      <c r="D22" s="5" t="s">
        <v>312</v>
      </c>
      <c r="E22" s="5" t="s">
        <v>314</v>
      </c>
      <c r="F22" s="5" t="s">
        <v>315</v>
      </c>
      <c r="G22" s="5" t="s">
        <v>316</v>
      </c>
      <c r="H22" s="5" t="s">
        <v>271</v>
      </c>
      <c r="I22" s="5" t="s">
        <v>318</v>
      </c>
      <c r="J22" s="5" t="s">
        <v>319</v>
      </c>
      <c r="K22" s="5" t="s">
        <v>320</v>
      </c>
      <c r="L22" s="5" t="s">
        <v>321</v>
      </c>
      <c r="M22" s="6" t="s">
        <v>322</v>
      </c>
    </row>
    <row r="23" spans="1:16">
      <c r="A23" s="46" t="s">
        <v>326</v>
      </c>
      <c r="B23" s="47" t="s">
        <v>332</v>
      </c>
      <c r="C23" s="47">
        <v>1005</v>
      </c>
      <c r="D23" s="47" t="s">
        <v>341</v>
      </c>
      <c r="E23" s="2">
        <v>6000</v>
      </c>
      <c r="F23" s="2">
        <v>863</v>
      </c>
      <c r="G23" s="2">
        <v>9320</v>
      </c>
      <c r="H23" s="2">
        <v>5187320</v>
      </c>
      <c r="I23" s="2">
        <v>877</v>
      </c>
      <c r="J23" s="2">
        <v>9471</v>
      </c>
      <c r="K23" s="2">
        <v>5252529</v>
      </c>
      <c r="L23" s="3">
        <v>65209</v>
      </c>
      <c r="M23" s="8" t="s">
        <v>95</v>
      </c>
    </row>
    <row r="24" spans="1:16">
      <c r="A24" s="46" t="s">
        <v>323</v>
      </c>
      <c r="B24" s="47" t="s">
        <v>328</v>
      </c>
      <c r="C24" s="47">
        <v>1005</v>
      </c>
      <c r="D24" s="47" t="s">
        <v>341</v>
      </c>
      <c r="E24" s="2">
        <v>6000</v>
      </c>
      <c r="F24" s="2">
        <v>852</v>
      </c>
      <c r="G24" s="2">
        <v>7668</v>
      </c>
      <c r="H24" s="2">
        <v>5119668</v>
      </c>
      <c r="I24" s="2">
        <v>866</v>
      </c>
      <c r="J24" s="2">
        <v>7794</v>
      </c>
      <c r="K24" s="2">
        <v>5188206</v>
      </c>
      <c r="L24" s="3">
        <v>68538</v>
      </c>
      <c r="M24" s="8" t="s">
        <v>95</v>
      </c>
    </row>
    <row r="25" spans="1:16">
      <c r="A25" s="46" t="s">
        <v>327</v>
      </c>
      <c r="B25" s="47" t="s">
        <v>334</v>
      </c>
      <c r="C25" s="47">
        <v>1003</v>
      </c>
      <c r="D25" s="47" t="s">
        <v>338</v>
      </c>
      <c r="E25" s="2">
        <v>5000</v>
      </c>
      <c r="F25" s="2">
        <v>622</v>
      </c>
      <c r="G25" s="2">
        <v>4043</v>
      </c>
      <c r="H25" s="2">
        <v>3114043</v>
      </c>
      <c r="I25" s="2">
        <v>633</v>
      </c>
      <c r="J25" s="2">
        <v>4114</v>
      </c>
      <c r="K25" s="2">
        <v>3160886</v>
      </c>
      <c r="L25" s="3">
        <v>46843</v>
      </c>
      <c r="M25" s="8" t="s">
        <v>38</v>
      </c>
    </row>
    <row r="26" spans="1:16">
      <c r="A26" s="46" t="s">
        <v>326</v>
      </c>
      <c r="B26" s="47" t="s">
        <v>332</v>
      </c>
      <c r="C26" s="47">
        <v>1003</v>
      </c>
      <c r="D26" s="47" t="s">
        <v>338</v>
      </c>
      <c r="E26" s="2">
        <v>5000</v>
      </c>
      <c r="F26" s="2">
        <v>600</v>
      </c>
      <c r="G26" s="2">
        <v>5400</v>
      </c>
      <c r="H26" s="2">
        <v>3005400</v>
      </c>
      <c r="I26" s="2">
        <v>618</v>
      </c>
      <c r="J26" s="2">
        <v>5562</v>
      </c>
      <c r="K26" s="2">
        <v>3084438</v>
      </c>
      <c r="L26" s="3">
        <v>79038</v>
      </c>
      <c r="M26" s="8" t="s">
        <v>95</v>
      </c>
    </row>
    <row r="27" spans="1:16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8"/>
    </row>
    <row r="28" spans="1:16" ht="19.5" thickBot="1">
      <c r="A28" s="44"/>
      <c r="B28" s="10" t="s">
        <v>348</v>
      </c>
      <c r="C28" s="45"/>
      <c r="D28" s="45"/>
      <c r="E28" s="12">
        <f>SUM(E23:E26)</f>
        <v>22000</v>
      </c>
      <c r="F28" s="12"/>
      <c r="G28" s="12">
        <f t="shared" ref="G28:L28" si="9">SUM(G23:G26)</f>
        <v>26431</v>
      </c>
      <c r="H28" s="12">
        <f t="shared" si="9"/>
        <v>16426431</v>
      </c>
      <c r="I28" s="12"/>
      <c r="J28" s="12">
        <f t="shared" si="9"/>
        <v>26941</v>
      </c>
      <c r="K28" s="12">
        <f t="shared" si="9"/>
        <v>16686059</v>
      </c>
      <c r="L28" s="12">
        <f t="shared" si="9"/>
        <v>259628</v>
      </c>
      <c r="M28" s="13"/>
    </row>
    <row r="30" spans="1:16" ht="19.5" thickBot="1">
      <c r="A30" s="53" t="s">
        <v>350</v>
      </c>
      <c r="B30" s="53"/>
      <c r="C30" s="53"/>
      <c r="D30" s="53"/>
    </row>
    <row r="31" spans="1:16">
      <c r="A31" s="4" t="s">
        <v>313</v>
      </c>
      <c r="B31" s="5" t="s">
        <v>271</v>
      </c>
      <c r="C31" s="5" t="s">
        <v>320</v>
      </c>
      <c r="D31" s="6" t="s">
        <v>321</v>
      </c>
      <c r="F31" s="43" t="s">
        <v>313</v>
      </c>
      <c r="G31" s="43" t="s">
        <v>313</v>
      </c>
      <c r="H31" s="43" t="s">
        <v>313</v>
      </c>
      <c r="I31" s="43" t="s">
        <v>313</v>
      </c>
      <c r="J31" s="43" t="s">
        <v>313</v>
      </c>
    </row>
    <row r="32" spans="1:16">
      <c r="A32" s="46" t="s">
        <v>329</v>
      </c>
      <c r="B32" s="2">
        <f>DSUM(株式損益額計算表7,B$31,$F$31:$F$32)</f>
        <v>9976441</v>
      </c>
      <c r="C32" s="2">
        <f>DSUM(株式損益額計算表7,C$31,$F$31:$F$32)</f>
        <v>10097332</v>
      </c>
      <c r="D32" s="14">
        <f>DSUM(株式損益額計算表7,D$31,$F$31:$F$32)</f>
        <v>120891</v>
      </c>
      <c r="F32" s="47" t="s">
        <v>329</v>
      </c>
      <c r="G32" s="47" t="s">
        <v>330</v>
      </c>
      <c r="H32" s="47" t="s">
        <v>331</v>
      </c>
      <c r="I32" s="47" t="s">
        <v>333</v>
      </c>
      <c r="J32" s="47" t="s">
        <v>335</v>
      </c>
    </row>
    <row r="33" spans="1:10">
      <c r="A33" s="46" t="s">
        <v>330</v>
      </c>
      <c r="B33" s="2">
        <f>DSUM(株式損益額計算表7,B$31,$G$31:$G$32)</f>
        <v>6101461</v>
      </c>
      <c r="C33" s="2">
        <f>DSUM(株式損益額計算表7,C$31,$G$31:$G$32)</f>
        <v>6210802</v>
      </c>
      <c r="D33" s="14">
        <f>DSUM(株式損益額計算表7,D$31,$G$31:$G$32)</f>
        <v>109341</v>
      </c>
    </row>
    <row r="34" spans="1:10">
      <c r="A34" s="46" t="s">
        <v>331</v>
      </c>
      <c r="B34" s="2">
        <f>DSUM(株式損益額計算表7,B$31,$H$31:$H$32)</f>
        <v>5831670</v>
      </c>
      <c r="C34" s="2">
        <f>DSUM(株式損益額計算表7,C$31,$H$31:$H$32)</f>
        <v>5883144</v>
      </c>
      <c r="D34" s="14">
        <f>DSUM(株式損益額計算表7,D$31,$H$31:$H$32)</f>
        <v>51474</v>
      </c>
    </row>
    <row r="35" spans="1:10">
      <c r="A35" s="46" t="s">
        <v>333</v>
      </c>
      <c r="B35" s="2">
        <f>DSUM(株式損益額計算表7,B$31,$I$31:$I$32)</f>
        <v>9764343</v>
      </c>
      <c r="C35" s="2">
        <f>DSUM(株式損益額計算表7,C$31,$I$31:$I$32)</f>
        <v>9946066</v>
      </c>
      <c r="D35" s="14">
        <f>DSUM(株式損益額計算表7,D$31,$I$31:$I$32)</f>
        <v>181723</v>
      </c>
      <c r="I35" s="43" t="s">
        <v>312</v>
      </c>
    </row>
    <row r="36" spans="1:10" ht="19.5" thickBot="1">
      <c r="A36" s="44" t="s">
        <v>335</v>
      </c>
      <c r="B36" s="15">
        <f>DSUM(株式損益額計算表7,B$31,$J$31:$J$32)</f>
        <v>8800424</v>
      </c>
      <c r="C36" s="15">
        <f>DSUM(株式損益額計算表7,C$31,$J$31:$J$32)</f>
        <v>8970325</v>
      </c>
      <c r="D36" s="16">
        <f>DSUM(株式損益額計算表7,D$31,$J$31:$J$32)</f>
        <v>169901</v>
      </c>
      <c r="I36" s="47" t="s">
        <v>354</v>
      </c>
    </row>
    <row r="37" spans="1:10" ht="19.5" thickBot="1">
      <c r="I37" s="43" t="s">
        <v>314</v>
      </c>
      <c r="J37" s="43" t="s">
        <v>271</v>
      </c>
    </row>
    <row r="38" spans="1:10">
      <c r="A38" s="74" t="s">
        <v>351</v>
      </c>
      <c r="B38" s="75"/>
      <c r="C38" s="75"/>
      <c r="D38" s="75"/>
      <c r="E38" s="75"/>
      <c r="F38" s="18">
        <f>DSUM(株式損益額計算表7,L2,I35:I36)</f>
        <v>569523</v>
      </c>
      <c r="I38" s="47" t="s">
        <v>355</v>
      </c>
      <c r="J38" s="47" t="s">
        <v>356</v>
      </c>
    </row>
    <row r="39" spans="1:10">
      <c r="A39" s="66" t="s">
        <v>352</v>
      </c>
      <c r="B39" s="67"/>
      <c r="C39" s="67"/>
      <c r="D39" s="67"/>
      <c r="E39" s="67"/>
      <c r="F39" s="8">
        <f>DCOUNT(株式損益額計算表7,,I37:J38)</f>
        <v>4</v>
      </c>
      <c r="I39" s="43" t="s">
        <v>321</v>
      </c>
      <c r="J39" s="43" t="s">
        <v>321</v>
      </c>
    </row>
    <row r="40" spans="1:10" ht="19.5" thickBot="1">
      <c r="A40" s="57" t="s">
        <v>353</v>
      </c>
      <c r="B40" s="58"/>
      <c r="C40" s="58"/>
      <c r="D40" s="58"/>
      <c r="E40" s="58"/>
      <c r="F40" s="16">
        <f>ROUND(DAVERAGE(株式損益額計算表7,K2,I39:J40),0)</f>
        <v>2348520</v>
      </c>
      <c r="I40" s="47" t="s">
        <v>358</v>
      </c>
      <c r="J40" s="47" t="s">
        <v>357</v>
      </c>
    </row>
  </sheetData>
  <mergeCells count="6">
    <mergeCell ref="A1:M1"/>
    <mergeCell ref="A21:M21"/>
    <mergeCell ref="A30:D30"/>
    <mergeCell ref="A38:E38"/>
    <mergeCell ref="A39:E39"/>
    <mergeCell ref="A40:E40"/>
  </mergeCells>
  <phoneticPr fontId="2"/>
  <pageMargins left="0.25" right="0.25" top="0.75" bottom="0.75" header="0.3" footer="0.3"/>
  <pageSetup paperSize="9" scale="5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7EA5-2D58-4ABD-8957-45B62EC4A274}">
  <dimension ref="A1:Q42"/>
  <sheetViews>
    <sheetView tabSelected="1" topLeftCell="A23" workbookViewId="0">
      <selection activeCell="J42" sqref="J42"/>
    </sheetView>
  </sheetViews>
  <sheetFormatPr defaultRowHeight="18.75"/>
  <cols>
    <col min="1" max="1" width="7.125" bestFit="1" customWidth="1"/>
    <col min="2" max="2" width="11.125" bestFit="1" customWidth="1"/>
    <col min="3" max="4" width="9.5" bestFit="1" customWidth="1"/>
    <col min="5" max="5" width="7.125" bestFit="1" customWidth="1"/>
    <col min="6" max="7" width="6" bestFit="1" customWidth="1"/>
    <col min="8" max="8" width="10.5" bestFit="1" customWidth="1"/>
    <col min="9" max="9" width="5.25" bestFit="1" customWidth="1"/>
    <col min="10" max="10" width="9.5" bestFit="1" customWidth="1"/>
    <col min="11" max="11" width="10.5" bestFit="1" customWidth="1"/>
    <col min="13" max="13" width="6" bestFit="1" customWidth="1"/>
    <col min="15" max="15" width="8.5" bestFit="1" customWidth="1"/>
    <col min="16" max="16" width="11" bestFit="1" customWidth="1"/>
    <col min="17" max="17" width="6" bestFit="1" customWidth="1"/>
  </cols>
  <sheetData>
    <row r="1" spans="1:17" ht="19.5" thickBot="1">
      <c r="A1" s="53" t="s">
        <v>359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7">
      <c r="A2" s="4" t="s">
        <v>123</v>
      </c>
      <c r="B2" s="5" t="s">
        <v>360</v>
      </c>
      <c r="C2" s="5" t="s">
        <v>63</v>
      </c>
      <c r="D2" s="5" t="s">
        <v>65</v>
      </c>
      <c r="E2" s="5" t="s">
        <v>136</v>
      </c>
      <c r="F2" s="5" t="s">
        <v>84</v>
      </c>
      <c r="G2" s="5" t="s">
        <v>66</v>
      </c>
      <c r="H2" s="5" t="s">
        <v>361</v>
      </c>
      <c r="I2" s="5" t="s">
        <v>362</v>
      </c>
      <c r="J2" s="5" t="s">
        <v>363</v>
      </c>
      <c r="K2" s="5" t="s">
        <v>364</v>
      </c>
      <c r="L2" s="5" t="s">
        <v>365</v>
      </c>
      <c r="M2" s="6" t="s">
        <v>14</v>
      </c>
      <c r="O2" s="43" t="s">
        <v>123</v>
      </c>
      <c r="P2" s="43" t="s">
        <v>360</v>
      </c>
    </row>
    <row r="3" spans="1:17">
      <c r="A3" s="46">
        <v>101</v>
      </c>
      <c r="B3" s="47" t="str">
        <f>VLOOKUP(A3,$O$3:$P$6,2,0)</f>
        <v>安藤カメラ</v>
      </c>
      <c r="C3" s="47">
        <v>11</v>
      </c>
      <c r="D3" s="47" t="str">
        <f>VLOOKUP(C3,$O$9:$Q$12,2,0)</f>
        <v>商品D</v>
      </c>
      <c r="E3" s="47">
        <v>527</v>
      </c>
      <c r="F3" s="2">
        <f>VLOOKUP(C3,$O$9:$Q$12,3,0)</f>
        <v>2180</v>
      </c>
      <c r="G3" s="2">
        <f>IF(E3&gt;=600,F3*0.85,F3*0.9)</f>
        <v>1962</v>
      </c>
      <c r="H3" s="2">
        <f>G3*E3</f>
        <v>1033974</v>
      </c>
      <c r="I3" s="47">
        <v>21</v>
      </c>
      <c r="J3" s="2">
        <f>ROUND(H3*VLOOKUP(I3,$O$15:$P$17,2,FALSE),-1)</f>
        <v>61000</v>
      </c>
      <c r="K3" s="3">
        <f>H3-J3</f>
        <v>972974</v>
      </c>
      <c r="L3" s="47">
        <f>INT(IF(OR(E3&gt;=710,K3&gt;=1200000),E3*5.8%,E3*4.9%))</f>
        <v>25</v>
      </c>
      <c r="M3" s="8" t="str">
        <f>VLOOKUP(K3,$O$21:$Q$22,IF(E3&lt;=599,2,3),1)</f>
        <v>#</v>
      </c>
      <c r="O3" s="47">
        <v>101</v>
      </c>
      <c r="P3" s="47" t="s">
        <v>367</v>
      </c>
    </row>
    <row r="4" spans="1:17">
      <c r="A4" s="46">
        <v>102</v>
      </c>
      <c r="B4" s="47" t="str">
        <f t="shared" ref="B4:B18" si="0">VLOOKUP(A4,$O$3:$P$6,2,0)</f>
        <v>電機の丸和</v>
      </c>
      <c r="C4" s="47">
        <v>11</v>
      </c>
      <c r="D4" s="47" t="str">
        <f t="shared" ref="D4:D18" si="1">VLOOKUP(C4,$O$9:$Q$12,2,0)</f>
        <v>商品D</v>
      </c>
      <c r="E4" s="47">
        <v>328</v>
      </c>
      <c r="F4" s="2">
        <f t="shared" ref="F4:F18" si="2">VLOOKUP(C4,$O$9:$Q$12,3,0)</f>
        <v>2180</v>
      </c>
      <c r="G4" s="2">
        <f t="shared" ref="G4:G18" si="3">IF(E4&gt;=600,F4*0.85,F4*0.9)</f>
        <v>1962</v>
      </c>
      <c r="H4" s="2">
        <f t="shared" ref="H4:H18" si="4">G4*E4</f>
        <v>643536</v>
      </c>
      <c r="I4" s="47">
        <v>21</v>
      </c>
      <c r="J4" s="2">
        <f t="shared" ref="J4:J18" si="5">ROUND(H4*VLOOKUP(I4,$O$15:$P$17,2,FALSE),-1)</f>
        <v>37970</v>
      </c>
      <c r="K4" s="3">
        <f t="shared" ref="K4:K18" si="6">H4-J4</f>
        <v>605566</v>
      </c>
      <c r="L4" s="47">
        <f t="shared" ref="L4:L18" si="7">INT(IF(OR(E4&gt;=710,K4&gt;=1200000),E4*5.8%,E4*4.9%))</f>
        <v>16</v>
      </c>
      <c r="M4" s="8" t="str">
        <f t="shared" ref="M4:M18" si="8">VLOOKUP(K4,$O$21:$Q$22,IF(E4&lt;=599,2,3),1)</f>
        <v>#</v>
      </c>
      <c r="O4" s="47">
        <v>102</v>
      </c>
      <c r="P4" s="47" t="s">
        <v>369</v>
      </c>
    </row>
    <row r="5" spans="1:17">
      <c r="A5" s="46">
        <v>103</v>
      </c>
      <c r="B5" s="47" t="str">
        <f t="shared" si="0"/>
        <v>光ショップ</v>
      </c>
      <c r="C5" s="47">
        <v>11</v>
      </c>
      <c r="D5" s="47" t="str">
        <f t="shared" si="1"/>
        <v>商品D</v>
      </c>
      <c r="E5" s="47">
        <v>809</v>
      </c>
      <c r="F5" s="2">
        <f t="shared" si="2"/>
        <v>2180</v>
      </c>
      <c r="G5" s="2">
        <f t="shared" si="3"/>
        <v>1853</v>
      </c>
      <c r="H5" s="2">
        <f t="shared" si="4"/>
        <v>1499077</v>
      </c>
      <c r="I5" s="47">
        <v>22</v>
      </c>
      <c r="J5" s="2">
        <f t="shared" si="5"/>
        <v>80950</v>
      </c>
      <c r="K5" s="3">
        <f t="shared" si="6"/>
        <v>1418127</v>
      </c>
      <c r="L5" s="47">
        <f t="shared" si="7"/>
        <v>46</v>
      </c>
      <c r="M5" s="8" t="str">
        <f t="shared" si="8"/>
        <v>####</v>
      </c>
      <c r="O5" s="47">
        <v>103</v>
      </c>
      <c r="P5" s="47" t="s">
        <v>370</v>
      </c>
    </row>
    <row r="6" spans="1:17">
      <c r="A6" s="46">
        <v>104</v>
      </c>
      <c r="B6" s="47" t="str">
        <f t="shared" si="0"/>
        <v>令和電気堂</v>
      </c>
      <c r="C6" s="47">
        <v>11</v>
      </c>
      <c r="D6" s="47" t="str">
        <f t="shared" si="1"/>
        <v>商品D</v>
      </c>
      <c r="E6" s="47">
        <v>617</v>
      </c>
      <c r="F6" s="2">
        <f t="shared" si="2"/>
        <v>2180</v>
      </c>
      <c r="G6" s="2">
        <f t="shared" si="3"/>
        <v>1853</v>
      </c>
      <c r="H6" s="2">
        <f t="shared" si="4"/>
        <v>1143301</v>
      </c>
      <c r="I6" s="47">
        <v>23</v>
      </c>
      <c r="J6" s="2">
        <f t="shared" si="5"/>
        <v>54880</v>
      </c>
      <c r="K6" s="3">
        <f t="shared" si="6"/>
        <v>1088421</v>
      </c>
      <c r="L6" s="47">
        <f t="shared" si="7"/>
        <v>30</v>
      </c>
      <c r="M6" s="8" t="str">
        <f t="shared" si="8"/>
        <v>##</v>
      </c>
      <c r="O6" s="47">
        <v>104</v>
      </c>
      <c r="P6" s="47" t="s">
        <v>372</v>
      </c>
    </row>
    <row r="7" spans="1:17">
      <c r="A7" s="46">
        <v>101</v>
      </c>
      <c r="B7" s="47" t="str">
        <f t="shared" si="0"/>
        <v>安藤カメラ</v>
      </c>
      <c r="C7" s="47">
        <v>12</v>
      </c>
      <c r="D7" s="47" t="str">
        <f t="shared" si="1"/>
        <v>商品E</v>
      </c>
      <c r="E7" s="47">
        <v>600</v>
      </c>
      <c r="F7" s="2">
        <f t="shared" si="2"/>
        <v>1820</v>
      </c>
      <c r="G7" s="2">
        <f t="shared" si="3"/>
        <v>1547</v>
      </c>
      <c r="H7" s="2">
        <f t="shared" si="4"/>
        <v>928200</v>
      </c>
      <c r="I7" s="47">
        <v>22</v>
      </c>
      <c r="J7" s="2">
        <f t="shared" si="5"/>
        <v>50120</v>
      </c>
      <c r="K7" s="3">
        <f t="shared" si="6"/>
        <v>878080</v>
      </c>
      <c r="L7" s="47">
        <f t="shared" si="7"/>
        <v>29</v>
      </c>
      <c r="M7" s="8" t="str">
        <f t="shared" si="8"/>
        <v>##</v>
      </c>
    </row>
    <row r="8" spans="1:17">
      <c r="A8" s="46">
        <v>102</v>
      </c>
      <c r="B8" s="47" t="str">
        <f t="shared" si="0"/>
        <v>電機の丸和</v>
      </c>
      <c r="C8" s="47">
        <v>12</v>
      </c>
      <c r="D8" s="47" t="str">
        <f t="shared" si="1"/>
        <v>商品E</v>
      </c>
      <c r="E8" s="47">
        <v>560</v>
      </c>
      <c r="F8" s="2">
        <f t="shared" si="2"/>
        <v>1820</v>
      </c>
      <c r="G8" s="2">
        <f t="shared" si="3"/>
        <v>1638</v>
      </c>
      <c r="H8" s="2">
        <f t="shared" si="4"/>
        <v>917280</v>
      </c>
      <c r="I8" s="47">
        <v>23</v>
      </c>
      <c r="J8" s="2">
        <f t="shared" si="5"/>
        <v>44030</v>
      </c>
      <c r="K8" s="3">
        <f t="shared" si="6"/>
        <v>873250</v>
      </c>
      <c r="L8" s="47">
        <f t="shared" si="7"/>
        <v>27</v>
      </c>
      <c r="M8" s="8" t="str">
        <f t="shared" si="8"/>
        <v>#</v>
      </c>
      <c r="O8" s="43" t="s">
        <v>63</v>
      </c>
      <c r="P8" s="43" t="s">
        <v>65</v>
      </c>
      <c r="Q8" s="43" t="s">
        <v>84</v>
      </c>
    </row>
    <row r="9" spans="1:17">
      <c r="A9" s="46">
        <v>103</v>
      </c>
      <c r="B9" s="47" t="str">
        <f t="shared" si="0"/>
        <v>光ショップ</v>
      </c>
      <c r="C9" s="47">
        <v>12</v>
      </c>
      <c r="D9" s="47" t="str">
        <f t="shared" si="1"/>
        <v>商品E</v>
      </c>
      <c r="E9" s="47">
        <v>499</v>
      </c>
      <c r="F9" s="2">
        <f t="shared" si="2"/>
        <v>1820</v>
      </c>
      <c r="G9" s="2">
        <f t="shared" si="3"/>
        <v>1638</v>
      </c>
      <c r="H9" s="2">
        <f t="shared" si="4"/>
        <v>817362</v>
      </c>
      <c r="I9" s="47">
        <v>23</v>
      </c>
      <c r="J9" s="2">
        <f t="shared" si="5"/>
        <v>39230</v>
      </c>
      <c r="K9" s="3">
        <f t="shared" si="6"/>
        <v>778132</v>
      </c>
      <c r="L9" s="47">
        <f t="shared" si="7"/>
        <v>24</v>
      </c>
      <c r="M9" s="8" t="str">
        <f t="shared" si="8"/>
        <v>#</v>
      </c>
      <c r="O9" s="47">
        <v>11</v>
      </c>
      <c r="P9" s="47" t="s">
        <v>88</v>
      </c>
      <c r="Q9" s="2">
        <v>2180</v>
      </c>
    </row>
    <row r="10" spans="1:17">
      <c r="A10" s="46">
        <v>104</v>
      </c>
      <c r="B10" s="47" t="str">
        <f t="shared" si="0"/>
        <v>令和電気堂</v>
      </c>
      <c r="C10" s="47">
        <v>12</v>
      </c>
      <c r="D10" s="47" t="str">
        <f t="shared" si="1"/>
        <v>商品E</v>
      </c>
      <c r="E10" s="47">
        <v>762</v>
      </c>
      <c r="F10" s="2">
        <f t="shared" si="2"/>
        <v>1820</v>
      </c>
      <c r="G10" s="2">
        <f t="shared" si="3"/>
        <v>1547</v>
      </c>
      <c r="H10" s="2">
        <f t="shared" si="4"/>
        <v>1178814</v>
      </c>
      <c r="I10" s="47">
        <v>21</v>
      </c>
      <c r="J10" s="2">
        <f t="shared" si="5"/>
        <v>69550</v>
      </c>
      <c r="K10" s="3">
        <f t="shared" si="6"/>
        <v>1109264</v>
      </c>
      <c r="L10" s="47">
        <f t="shared" si="7"/>
        <v>44</v>
      </c>
      <c r="M10" s="8" t="str">
        <f t="shared" si="8"/>
        <v>##</v>
      </c>
      <c r="O10" s="47">
        <v>12</v>
      </c>
      <c r="P10" s="47" t="s">
        <v>374</v>
      </c>
      <c r="Q10" s="2">
        <v>1820</v>
      </c>
    </row>
    <row r="11" spans="1:17">
      <c r="A11" s="46">
        <v>101</v>
      </c>
      <c r="B11" s="47" t="str">
        <f t="shared" si="0"/>
        <v>安藤カメラ</v>
      </c>
      <c r="C11" s="47">
        <v>13</v>
      </c>
      <c r="D11" s="47" t="str">
        <f t="shared" si="1"/>
        <v>商品F</v>
      </c>
      <c r="E11" s="47">
        <v>674</v>
      </c>
      <c r="F11" s="2">
        <f t="shared" si="2"/>
        <v>2560</v>
      </c>
      <c r="G11" s="2">
        <f t="shared" si="3"/>
        <v>2176</v>
      </c>
      <c r="H11" s="2">
        <f t="shared" si="4"/>
        <v>1466624</v>
      </c>
      <c r="I11" s="47">
        <v>22</v>
      </c>
      <c r="J11" s="2">
        <f t="shared" si="5"/>
        <v>79200</v>
      </c>
      <c r="K11" s="3">
        <f t="shared" si="6"/>
        <v>1387424</v>
      </c>
      <c r="L11" s="47">
        <f t="shared" si="7"/>
        <v>39</v>
      </c>
      <c r="M11" s="8" t="str">
        <f t="shared" si="8"/>
        <v>####</v>
      </c>
      <c r="O11" s="47">
        <v>13</v>
      </c>
      <c r="P11" s="47" t="s">
        <v>376</v>
      </c>
      <c r="Q11" s="2">
        <v>2560</v>
      </c>
    </row>
    <row r="12" spans="1:17">
      <c r="A12" s="46">
        <v>102</v>
      </c>
      <c r="B12" s="47" t="str">
        <f t="shared" si="0"/>
        <v>電機の丸和</v>
      </c>
      <c r="C12" s="47">
        <v>13</v>
      </c>
      <c r="D12" s="47" t="str">
        <f t="shared" si="1"/>
        <v>商品F</v>
      </c>
      <c r="E12" s="47">
        <v>658</v>
      </c>
      <c r="F12" s="2">
        <f t="shared" si="2"/>
        <v>2560</v>
      </c>
      <c r="G12" s="2">
        <f t="shared" si="3"/>
        <v>2176</v>
      </c>
      <c r="H12" s="2">
        <f t="shared" si="4"/>
        <v>1431808</v>
      </c>
      <c r="I12" s="47">
        <v>23</v>
      </c>
      <c r="J12" s="2">
        <f t="shared" si="5"/>
        <v>68730</v>
      </c>
      <c r="K12" s="3">
        <f t="shared" si="6"/>
        <v>1363078</v>
      </c>
      <c r="L12" s="47">
        <f t="shared" si="7"/>
        <v>38</v>
      </c>
      <c r="M12" s="8" t="str">
        <f t="shared" si="8"/>
        <v>####</v>
      </c>
      <c r="O12" s="47">
        <v>14</v>
      </c>
      <c r="P12" s="47" t="s">
        <v>377</v>
      </c>
      <c r="Q12" s="2">
        <v>3240</v>
      </c>
    </row>
    <row r="13" spans="1:17">
      <c r="A13" s="46">
        <v>103</v>
      </c>
      <c r="B13" s="47" t="str">
        <f t="shared" si="0"/>
        <v>光ショップ</v>
      </c>
      <c r="C13" s="47">
        <v>13</v>
      </c>
      <c r="D13" s="47" t="str">
        <f t="shared" si="1"/>
        <v>商品F</v>
      </c>
      <c r="E13" s="47">
        <v>710</v>
      </c>
      <c r="F13" s="2">
        <f t="shared" si="2"/>
        <v>2560</v>
      </c>
      <c r="G13" s="2">
        <f t="shared" si="3"/>
        <v>2176</v>
      </c>
      <c r="H13" s="2">
        <f t="shared" si="4"/>
        <v>1544960</v>
      </c>
      <c r="I13" s="47">
        <v>21</v>
      </c>
      <c r="J13" s="2">
        <f t="shared" si="5"/>
        <v>91150</v>
      </c>
      <c r="K13" s="3">
        <f t="shared" si="6"/>
        <v>1453810</v>
      </c>
      <c r="L13" s="47">
        <f t="shared" si="7"/>
        <v>41</v>
      </c>
      <c r="M13" s="8" t="str">
        <f t="shared" si="8"/>
        <v>####</v>
      </c>
    </row>
    <row r="14" spans="1:17">
      <c r="A14" s="46">
        <v>104</v>
      </c>
      <c r="B14" s="47" t="str">
        <f t="shared" si="0"/>
        <v>令和電気堂</v>
      </c>
      <c r="C14" s="47">
        <v>13</v>
      </c>
      <c r="D14" s="47" t="str">
        <f t="shared" si="1"/>
        <v>商品F</v>
      </c>
      <c r="E14" s="47">
        <v>551</v>
      </c>
      <c r="F14" s="2">
        <f t="shared" si="2"/>
        <v>2560</v>
      </c>
      <c r="G14" s="2">
        <f t="shared" si="3"/>
        <v>2304</v>
      </c>
      <c r="H14" s="2">
        <f t="shared" si="4"/>
        <v>1269504</v>
      </c>
      <c r="I14" s="47">
        <v>22</v>
      </c>
      <c r="J14" s="2">
        <f t="shared" si="5"/>
        <v>68550</v>
      </c>
      <c r="K14" s="3">
        <f t="shared" si="6"/>
        <v>1200954</v>
      </c>
      <c r="L14" s="47">
        <f t="shared" si="7"/>
        <v>31</v>
      </c>
      <c r="M14" s="8" t="str">
        <f t="shared" si="8"/>
        <v>###</v>
      </c>
      <c r="O14" s="43" t="s">
        <v>362</v>
      </c>
      <c r="P14" s="43" t="s">
        <v>378</v>
      </c>
    </row>
    <row r="15" spans="1:17">
      <c r="A15" s="46">
        <v>101</v>
      </c>
      <c r="B15" s="47" t="str">
        <f t="shared" si="0"/>
        <v>安藤カメラ</v>
      </c>
      <c r="C15" s="47">
        <v>14</v>
      </c>
      <c r="D15" s="47" t="str">
        <f t="shared" si="1"/>
        <v>商品G</v>
      </c>
      <c r="E15" s="47">
        <v>587</v>
      </c>
      <c r="F15" s="2">
        <f t="shared" si="2"/>
        <v>3240</v>
      </c>
      <c r="G15" s="2">
        <f t="shared" si="3"/>
        <v>2916</v>
      </c>
      <c r="H15" s="2">
        <f t="shared" si="4"/>
        <v>1711692</v>
      </c>
      <c r="I15" s="47">
        <v>21</v>
      </c>
      <c r="J15" s="2">
        <f t="shared" si="5"/>
        <v>100990</v>
      </c>
      <c r="K15" s="3">
        <f t="shared" si="6"/>
        <v>1610702</v>
      </c>
      <c r="L15" s="47">
        <f t="shared" si="7"/>
        <v>34</v>
      </c>
      <c r="M15" s="8" t="str">
        <f t="shared" si="8"/>
        <v>###</v>
      </c>
      <c r="O15" s="47">
        <v>21</v>
      </c>
      <c r="P15" s="26">
        <v>5.8999999999999997E-2</v>
      </c>
    </row>
    <row r="16" spans="1:17">
      <c r="A16" s="46">
        <v>102</v>
      </c>
      <c r="B16" s="47" t="str">
        <f t="shared" si="0"/>
        <v>電機の丸和</v>
      </c>
      <c r="C16" s="47">
        <v>14</v>
      </c>
      <c r="D16" s="47" t="str">
        <f t="shared" si="1"/>
        <v>商品G</v>
      </c>
      <c r="E16" s="47">
        <v>415</v>
      </c>
      <c r="F16" s="2">
        <f t="shared" si="2"/>
        <v>3240</v>
      </c>
      <c r="G16" s="2">
        <f t="shared" si="3"/>
        <v>2916</v>
      </c>
      <c r="H16" s="2">
        <f t="shared" si="4"/>
        <v>1210140</v>
      </c>
      <c r="I16" s="47">
        <v>21</v>
      </c>
      <c r="J16" s="2">
        <f t="shared" si="5"/>
        <v>71400</v>
      </c>
      <c r="K16" s="3">
        <f t="shared" si="6"/>
        <v>1138740</v>
      </c>
      <c r="L16" s="47">
        <f t="shared" si="7"/>
        <v>20</v>
      </c>
      <c r="M16" s="8" t="str">
        <f t="shared" si="8"/>
        <v>#</v>
      </c>
      <c r="O16" s="47">
        <v>22</v>
      </c>
      <c r="P16" s="26">
        <v>5.3999999999999999E-2</v>
      </c>
    </row>
    <row r="17" spans="1:17">
      <c r="A17" s="46">
        <v>103</v>
      </c>
      <c r="B17" s="47" t="str">
        <f t="shared" si="0"/>
        <v>光ショップ</v>
      </c>
      <c r="C17" s="47">
        <v>14</v>
      </c>
      <c r="D17" s="47" t="str">
        <f t="shared" si="1"/>
        <v>商品G</v>
      </c>
      <c r="E17" s="47">
        <v>582</v>
      </c>
      <c r="F17" s="2">
        <f t="shared" si="2"/>
        <v>3240</v>
      </c>
      <c r="G17" s="2">
        <f t="shared" si="3"/>
        <v>2916</v>
      </c>
      <c r="H17" s="2">
        <f t="shared" si="4"/>
        <v>1697112</v>
      </c>
      <c r="I17" s="47">
        <v>22</v>
      </c>
      <c r="J17" s="2">
        <f t="shared" si="5"/>
        <v>91640</v>
      </c>
      <c r="K17" s="3">
        <f t="shared" si="6"/>
        <v>1605472</v>
      </c>
      <c r="L17" s="47">
        <f t="shared" si="7"/>
        <v>33</v>
      </c>
      <c r="M17" s="8" t="str">
        <f t="shared" si="8"/>
        <v>###</v>
      </c>
      <c r="O17" s="47">
        <v>23</v>
      </c>
      <c r="P17" s="26">
        <v>4.8000000000000001E-2</v>
      </c>
    </row>
    <row r="18" spans="1:17">
      <c r="A18" s="46">
        <v>104</v>
      </c>
      <c r="B18" s="47" t="str">
        <f t="shared" si="0"/>
        <v>令和電気堂</v>
      </c>
      <c r="C18" s="47">
        <v>14</v>
      </c>
      <c r="D18" s="47" t="str">
        <f t="shared" si="1"/>
        <v>商品G</v>
      </c>
      <c r="E18" s="47">
        <v>485</v>
      </c>
      <c r="F18" s="2">
        <f t="shared" si="2"/>
        <v>3240</v>
      </c>
      <c r="G18" s="2">
        <f t="shared" si="3"/>
        <v>2916</v>
      </c>
      <c r="H18" s="2">
        <f t="shared" si="4"/>
        <v>1414260</v>
      </c>
      <c r="I18" s="47">
        <v>23</v>
      </c>
      <c r="J18" s="2">
        <f t="shared" si="5"/>
        <v>67880</v>
      </c>
      <c r="K18" s="3">
        <f t="shared" si="6"/>
        <v>1346380</v>
      </c>
      <c r="L18" s="47">
        <f t="shared" si="7"/>
        <v>28</v>
      </c>
      <c r="M18" s="8" t="str">
        <f t="shared" si="8"/>
        <v>###</v>
      </c>
    </row>
    <row r="19" spans="1:17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8"/>
      <c r="O19" s="76" t="s">
        <v>364</v>
      </c>
      <c r="P19" s="53" t="s">
        <v>136</v>
      </c>
      <c r="Q19" s="53"/>
    </row>
    <row r="20" spans="1:17" ht="19.5" thickBot="1">
      <c r="A20" s="44"/>
      <c r="B20" s="10" t="s">
        <v>32</v>
      </c>
      <c r="C20" s="45"/>
      <c r="D20" s="45"/>
      <c r="E20" s="15">
        <f>SUM(E3:E18)</f>
        <v>9364</v>
      </c>
      <c r="F20" s="15"/>
      <c r="G20" s="15"/>
      <c r="H20" s="15">
        <f t="shared" ref="F20:L20" si="9">SUM(H3:H18)</f>
        <v>19907644</v>
      </c>
      <c r="I20" s="15"/>
      <c r="J20" s="15">
        <f t="shared" si="9"/>
        <v>1077270</v>
      </c>
      <c r="K20" s="15">
        <f t="shared" si="9"/>
        <v>18830374</v>
      </c>
      <c r="L20" s="15">
        <f t="shared" si="9"/>
        <v>505</v>
      </c>
      <c r="M20" s="13"/>
      <c r="O20" s="76"/>
      <c r="P20" t="s">
        <v>379</v>
      </c>
      <c r="Q20" t="s">
        <v>380</v>
      </c>
    </row>
    <row r="21" spans="1:17">
      <c r="O21">
        <v>1</v>
      </c>
      <c r="P21" t="s">
        <v>382</v>
      </c>
      <c r="Q21" t="s">
        <v>384</v>
      </c>
    </row>
    <row r="22" spans="1:17" ht="19.5" thickBot="1">
      <c r="A22" s="53" t="s">
        <v>388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O22">
        <v>1200000</v>
      </c>
      <c r="P22" t="s">
        <v>387</v>
      </c>
      <c r="Q22" t="s">
        <v>386</v>
      </c>
    </row>
    <row r="23" spans="1:17">
      <c r="A23" s="4" t="s">
        <v>123</v>
      </c>
      <c r="B23" s="5" t="s">
        <v>360</v>
      </c>
      <c r="C23" s="5" t="s">
        <v>63</v>
      </c>
      <c r="D23" s="5" t="s">
        <v>65</v>
      </c>
      <c r="E23" s="5" t="s">
        <v>136</v>
      </c>
      <c r="F23" s="5" t="s">
        <v>84</v>
      </c>
      <c r="G23" s="5" t="s">
        <v>66</v>
      </c>
      <c r="H23" s="5" t="s">
        <v>361</v>
      </c>
      <c r="I23" s="5" t="s">
        <v>362</v>
      </c>
      <c r="J23" s="5" t="s">
        <v>363</v>
      </c>
      <c r="K23" s="5" t="s">
        <v>364</v>
      </c>
      <c r="L23" s="5" t="s">
        <v>365</v>
      </c>
      <c r="M23" s="6" t="s">
        <v>14</v>
      </c>
    </row>
    <row r="24" spans="1:17">
      <c r="A24" s="46">
        <v>104</v>
      </c>
      <c r="B24" s="47" t="s">
        <v>371</v>
      </c>
      <c r="C24" s="47">
        <v>11</v>
      </c>
      <c r="D24" s="47" t="s">
        <v>94</v>
      </c>
      <c r="E24" s="47">
        <v>617</v>
      </c>
      <c r="F24" s="2">
        <v>2180</v>
      </c>
      <c r="G24" s="2">
        <v>1853</v>
      </c>
      <c r="H24" s="2">
        <v>1143301</v>
      </c>
      <c r="I24" s="47">
        <v>23</v>
      </c>
      <c r="J24" s="2">
        <v>54880</v>
      </c>
      <c r="K24" s="3">
        <v>1088421</v>
      </c>
      <c r="L24" s="47">
        <v>30</v>
      </c>
      <c r="M24" s="8" t="s">
        <v>383</v>
      </c>
    </row>
    <row r="25" spans="1:17">
      <c r="A25" s="46">
        <v>101</v>
      </c>
      <c r="B25" s="47" t="s">
        <v>366</v>
      </c>
      <c r="C25" s="47">
        <v>12</v>
      </c>
      <c r="D25" s="47" t="s">
        <v>373</v>
      </c>
      <c r="E25" s="47">
        <v>600</v>
      </c>
      <c r="F25" s="2">
        <v>1820</v>
      </c>
      <c r="G25" s="2">
        <v>1547</v>
      </c>
      <c r="H25" s="2">
        <v>928200</v>
      </c>
      <c r="I25" s="47">
        <v>22</v>
      </c>
      <c r="J25" s="2">
        <v>50120</v>
      </c>
      <c r="K25" s="3">
        <v>878080</v>
      </c>
      <c r="L25" s="47">
        <v>29</v>
      </c>
      <c r="M25" s="8" t="s">
        <v>383</v>
      </c>
    </row>
    <row r="26" spans="1:17">
      <c r="A26" s="46">
        <v>102</v>
      </c>
      <c r="B26" s="47" t="s">
        <v>368</v>
      </c>
      <c r="C26" s="47">
        <v>12</v>
      </c>
      <c r="D26" s="47" t="s">
        <v>373</v>
      </c>
      <c r="E26" s="47">
        <v>560</v>
      </c>
      <c r="F26" s="2">
        <v>1820</v>
      </c>
      <c r="G26" s="2">
        <v>1638</v>
      </c>
      <c r="H26" s="2">
        <v>917280</v>
      </c>
      <c r="I26" s="47">
        <v>23</v>
      </c>
      <c r="J26" s="2">
        <v>44030</v>
      </c>
      <c r="K26" s="3">
        <v>873250</v>
      </c>
      <c r="L26" s="47">
        <v>27</v>
      </c>
      <c r="M26" s="8" t="s">
        <v>381</v>
      </c>
    </row>
    <row r="27" spans="1:17">
      <c r="A27" s="46">
        <v>104</v>
      </c>
      <c r="B27" s="47" t="s">
        <v>371</v>
      </c>
      <c r="C27" s="47">
        <v>12</v>
      </c>
      <c r="D27" s="47" t="s">
        <v>373</v>
      </c>
      <c r="E27" s="47">
        <v>762</v>
      </c>
      <c r="F27" s="2">
        <v>1820</v>
      </c>
      <c r="G27" s="2">
        <v>1547</v>
      </c>
      <c r="H27" s="2">
        <v>1178814</v>
      </c>
      <c r="I27" s="47">
        <v>21</v>
      </c>
      <c r="J27" s="2">
        <v>69550</v>
      </c>
      <c r="K27" s="3">
        <v>1109264</v>
      </c>
      <c r="L27" s="47">
        <v>44</v>
      </c>
      <c r="M27" s="8" t="s">
        <v>383</v>
      </c>
    </row>
    <row r="28" spans="1:17">
      <c r="A28" s="46">
        <v>101</v>
      </c>
      <c r="B28" s="47" t="s">
        <v>366</v>
      </c>
      <c r="C28" s="47">
        <v>13</v>
      </c>
      <c r="D28" s="47" t="s">
        <v>375</v>
      </c>
      <c r="E28" s="47">
        <v>674</v>
      </c>
      <c r="F28" s="2">
        <v>2560</v>
      </c>
      <c r="G28" s="2">
        <v>2176</v>
      </c>
      <c r="H28" s="2">
        <v>1466624</v>
      </c>
      <c r="I28" s="47">
        <v>22</v>
      </c>
      <c r="J28" s="2">
        <v>79200</v>
      </c>
      <c r="K28" s="3">
        <v>1387424</v>
      </c>
      <c r="L28" s="47">
        <v>39</v>
      </c>
      <c r="M28" s="8" t="s">
        <v>385</v>
      </c>
    </row>
    <row r="29" spans="1:17">
      <c r="A29" s="46">
        <v>102</v>
      </c>
      <c r="B29" s="47" t="s">
        <v>368</v>
      </c>
      <c r="C29" s="47">
        <v>13</v>
      </c>
      <c r="D29" s="47" t="s">
        <v>375</v>
      </c>
      <c r="E29" s="47">
        <v>658</v>
      </c>
      <c r="F29" s="2">
        <v>2560</v>
      </c>
      <c r="G29" s="2">
        <v>2176</v>
      </c>
      <c r="H29" s="2">
        <v>1431808</v>
      </c>
      <c r="I29" s="47">
        <v>23</v>
      </c>
      <c r="J29" s="2">
        <v>68730</v>
      </c>
      <c r="K29" s="3">
        <v>1363078</v>
      </c>
      <c r="L29" s="47">
        <v>38</v>
      </c>
      <c r="M29" s="8" t="s">
        <v>385</v>
      </c>
    </row>
    <row r="30" spans="1:17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8"/>
    </row>
    <row r="31" spans="1:17" ht="19.5" thickBot="1">
      <c r="A31" s="44"/>
      <c r="B31" s="10" t="s">
        <v>32</v>
      </c>
      <c r="C31" s="45"/>
      <c r="D31" s="45"/>
      <c r="E31" s="15">
        <f>SUM(E24:E29)</f>
        <v>3871</v>
      </c>
      <c r="F31" s="15"/>
      <c r="G31" s="15"/>
      <c r="H31" s="15">
        <f t="shared" ref="F31:L31" si="10">SUM(H24:H29)</f>
        <v>7066027</v>
      </c>
      <c r="I31" s="15"/>
      <c r="J31" s="15">
        <f t="shared" si="10"/>
        <v>366510</v>
      </c>
      <c r="K31" s="15">
        <f t="shared" si="10"/>
        <v>6699517</v>
      </c>
      <c r="L31" s="15">
        <f t="shared" si="10"/>
        <v>207</v>
      </c>
      <c r="M31" s="13"/>
    </row>
    <row r="33" spans="1:11" ht="19.5" thickBot="1">
      <c r="A33" s="53" t="s">
        <v>389</v>
      </c>
      <c r="B33" s="53"/>
      <c r="C33" s="53"/>
      <c r="D33" s="53"/>
    </row>
    <row r="34" spans="1:11">
      <c r="A34" s="4" t="s">
        <v>360</v>
      </c>
      <c r="B34" s="5" t="s">
        <v>136</v>
      </c>
      <c r="C34" s="5" t="s">
        <v>361</v>
      </c>
      <c r="D34" s="6" t="s">
        <v>364</v>
      </c>
      <c r="G34" s="43" t="s">
        <v>360</v>
      </c>
      <c r="H34" s="43" t="s">
        <v>360</v>
      </c>
      <c r="I34" s="43" t="s">
        <v>360</v>
      </c>
      <c r="J34" s="43" t="s">
        <v>360</v>
      </c>
    </row>
    <row r="35" spans="1:11">
      <c r="A35" s="46" t="s">
        <v>367</v>
      </c>
      <c r="B35" s="2">
        <f>DSUM(請求額一覧表8,B$34,$G$34:$G$35)</f>
        <v>2388</v>
      </c>
      <c r="C35" s="2">
        <f>DSUM(請求額一覧表8,C$34,$G$34:$G$35)</f>
        <v>5140490</v>
      </c>
      <c r="D35" s="14">
        <f>DSUM(請求額一覧表8,D$34,$G$34:$G$35)</f>
        <v>4849180</v>
      </c>
      <c r="G35" s="47" t="s">
        <v>367</v>
      </c>
      <c r="H35" s="47" t="s">
        <v>369</v>
      </c>
      <c r="I35" s="47" t="s">
        <v>370</v>
      </c>
      <c r="J35" s="47" t="s">
        <v>372</v>
      </c>
    </row>
    <row r="36" spans="1:11">
      <c r="A36" s="46" t="s">
        <v>369</v>
      </c>
      <c r="B36" s="2">
        <f>DSUM(請求額一覧表8,B$34,$H$34:$H$35)</f>
        <v>1961</v>
      </c>
      <c r="C36" s="2">
        <f>DSUM(請求額一覧表8,C$34,$H$34:$H$35)</f>
        <v>4202764</v>
      </c>
      <c r="D36" s="14">
        <f>DSUM(請求額一覧表8,D$34,$H$34:$H$35)</f>
        <v>3980634</v>
      </c>
    </row>
    <row r="37" spans="1:11" ht="19.5" thickBot="1">
      <c r="A37" s="46" t="s">
        <v>370</v>
      </c>
      <c r="B37" s="2">
        <f>DSUM(請求額一覧表8,B$34,$I$34:$I$35)</f>
        <v>2600</v>
      </c>
      <c r="C37" s="2">
        <f>DSUM(請求額一覧表8,C$34,$I$34:$I$35)</f>
        <v>5558511</v>
      </c>
      <c r="D37" s="14">
        <f>DSUM(請求額一覧表8,D$34,$I$34:$I$35)</f>
        <v>5255541</v>
      </c>
    </row>
    <row r="38" spans="1:11" ht="19.5" thickBot="1">
      <c r="A38" s="44" t="s">
        <v>372</v>
      </c>
      <c r="B38" s="15">
        <f>DSUM(請求額一覧表8,B$34,$J$34:$J$35)</f>
        <v>2415</v>
      </c>
      <c r="C38" s="15">
        <f>DSUM(請求額一覧表8,C$34,$J$34:$J$35)</f>
        <v>5005879</v>
      </c>
      <c r="D38" s="16">
        <f>DSUM(請求額一覧表8,D$34,$J$34:$J$35)</f>
        <v>4745019</v>
      </c>
      <c r="J38" s="5" t="s">
        <v>136</v>
      </c>
      <c r="K38" s="5" t="s">
        <v>364</v>
      </c>
    </row>
    <row r="39" spans="1:11" ht="19.5" thickBot="1">
      <c r="J39" t="s">
        <v>393</v>
      </c>
      <c r="K39" t="s">
        <v>394</v>
      </c>
    </row>
    <row r="40" spans="1:11">
      <c r="A40" s="73" t="s">
        <v>390</v>
      </c>
      <c r="B40" s="73"/>
      <c r="C40" s="73"/>
      <c r="D40" s="73"/>
      <c r="E40" s="73"/>
      <c r="J40" s="5" t="s">
        <v>65</v>
      </c>
    </row>
    <row r="41" spans="1:11">
      <c r="A41" s="73" t="s">
        <v>391</v>
      </c>
      <c r="B41" s="73"/>
      <c r="C41" s="73"/>
      <c r="D41" s="73"/>
      <c r="E41" s="73"/>
      <c r="J41" s="47" t="s">
        <v>395</v>
      </c>
    </row>
    <row r="42" spans="1:11">
      <c r="A42" s="73" t="s">
        <v>392</v>
      </c>
      <c r="B42" s="73"/>
      <c r="C42" s="73"/>
      <c r="D42" s="73"/>
      <c r="E42" s="73"/>
    </row>
  </sheetData>
  <mergeCells count="8">
    <mergeCell ref="A41:E41"/>
    <mergeCell ref="A42:E42"/>
    <mergeCell ref="O19:O20"/>
    <mergeCell ref="P19:Q19"/>
    <mergeCell ref="A1:M1"/>
    <mergeCell ref="A22:M22"/>
    <mergeCell ref="A33:D33"/>
    <mergeCell ref="A40:E40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B476-5222-412F-A03B-7EDB55E20797}">
  <sheetPr>
    <pageSetUpPr fitToPage="1"/>
  </sheetPr>
  <dimension ref="A1:O43"/>
  <sheetViews>
    <sheetView showFormulas="1" topLeftCell="D1" workbookViewId="0">
      <selection activeCell="E14" sqref="E14"/>
    </sheetView>
  </sheetViews>
  <sheetFormatPr defaultRowHeight="18.75"/>
  <cols>
    <col min="1" max="1" width="6.25" bestFit="1" customWidth="1"/>
    <col min="2" max="4" width="23.5" bestFit="1" customWidth="1"/>
    <col min="5" max="5" width="8.125" bestFit="1" customWidth="1"/>
    <col min="6" max="6" width="15.125" bestFit="1" customWidth="1"/>
    <col min="7" max="7" width="15.5" bestFit="1" customWidth="1"/>
    <col min="8" max="8" width="38.625" bestFit="1" customWidth="1"/>
    <col min="9" max="9" width="18" bestFit="1" customWidth="1"/>
    <col min="10" max="10" width="28.75" bestFit="1" customWidth="1"/>
    <col min="11" max="11" width="8.25" bestFit="1" customWidth="1"/>
    <col min="12" max="12" width="21.625" bestFit="1" customWidth="1"/>
    <col min="13" max="13" width="2.5" customWidth="1"/>
    <col min="14" max="14" width="7.75" bestFit="1" customWidth="1"/>
    <col min="15" max="15" width="5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61" t="s">
        <v>59</v>
      </c>
      <c r="O2" s="61"/>
    </row>
    <row r="3" spans="1:15">
      <c r="A3" s="41">
        <v>101</v>
      </c>
      <c r="B3" s="42" t="s">
        <v>15</v>
      </c>
      <c r="C3" s="42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41">
        <v>102</v>
      </c>
      <c r="B4" s="42" t="s">
        <v>16</v>
      </c>
      <c r="C4" s="42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41">
        <v>100</v>
      </c>
      <c r="O4" s="8" t="s">
        <v>25</v>
      </c>
    </row>
    <row r="5" spans="1:15">
      <c r="A5" s="41">
        <v>103</v>
      </c>
      <c r="B5" s="42" t="s">
        <v>17</v>
      </c>
      <c r="C5" s="42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41">
        <v>200</v>
      </c>
      <c r="O5" s="8" t="s">
        <v>26</v>
      </c>
    </row>
    <row r="6" spans="1:15" ht="19.5" thickBot="1">
      <c r="A6" s="41">
        <v>201</v>
      </c>
      <c r="B6" s="42" t="s">
        <v>18</v>
      </c>
      <c r="C6" s="42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38">
        <v>300</v>
      </c>
      <c r="O6" s="13" t="s">
        <v>27</v>
      </c>
    </row>
    <row r="7" spans="1:15">
      <c r="A7" s="41">
        <v>202</v>
      </c>
      <c r="B7" s="42" t="s">
        <v>19</v>
      </c>
      <c r="C7" s="42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41">
        <v>203</v>
      </c>
      <c r="B8" s="42" t="s">
        <v>20</v>
      </c>
      <c r="C8" s="42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61" t="s">
        <v>60</v>
      </c>
      <c r="O8" s="61"/>
    </row>
    <row r="9" spans="1:15">
      <c r="A9" s="41">
        <v>301</v>
      </c>
      <c r="B9" s="42" t="s">
        <v>21</v>
      </c>
      <c r="C9" s="42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40" t="s">
        <v>28</v>
      </c>
      <c r="O9" s="20">
        <v>375</v>
      </c>
    </row>
    <row r="10" spans="1:15" ht="19.5" thickBot="1">
      <c r="A10" s="41">
        <v>302</v>
      </c>
      <c r="B10" s="42" t="s">
        <v>22</v>
      </c>
      <c r="C10" s="42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38" t="s">
        <v>29</v>
      </c>
      <c r="O10" s="16">
        <v>5900</v>
      </c>
    </row>
    <row r="11" spans="1:15">
      <c r="A11" s="41">
        <v>303</v>
      </c>
      <c r="B11" s="42" t="s">
        <v>23</v>
      </c>
      <c r="C11" s="42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8"/>
      <c r="N12" s="61" t="s">
        <v>33</v>
      </c>
      <c r="O12" s="61"/>
    </row>
    <row r="13" spans="1:15" ht="19.5" thickBot="1">
      <c r="A13" s="38"/>
      <c r="B13" s="10" t="s">
        <v>32</v>
      </c>
      <c r="C13" s="39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41">
        <v>1</v>
      </c>
      <c r="O14" s="8">
        <v>760</v>
      </c>
    </row>
    <row r="15" spans="1:15" ht="19.5" thickBot="1">
      <c r="A15" s="54" t="s">
        <v>40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N15" s="41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38">
        <v>105</v>
      </c>
      <c r="O16" s="13">
        <v>820</v>
      </c>
    </row>
    <row r="17" spans="1:15">
      <c r="A17" s="41">
        <v>301</v>
      </c>
      <c r="B17" s="42" t="s">
        <v>21</v>
      </c>
      <c r="C17" s="42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41">
        <v>101</v>
      </c>
      <c r="B18" s="42" t="s">
        <v>15</v>
      </c>
      <c r="C18" s="42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61" t="s">
        <v>34</v>
      </c>
      <c r="O18" s="61"/>
    </row>
    <row r="19" spans="1:15">
      <c r="A19" s="41">
        <v>201</v>
      </c>
      <c r="B19" s="42" t="s">
        <v>18</v>
      </c>
      <c r="C19" s="42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41">
        <v>202</v>
      </c>
      <c r="B20" s="42" t="s">
        <v>19</v>
      </c>
      <c r="C20" s="42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41">
        <v>1</v>
      </c>
      <c r="O20" s="8">
        <v>650</v>
      </c>
    </row>
    <row r="21" spans="1:15">
      <c r="A21" s="41">
        <v>302</v>
      </c>
      <c r="B21" s="42" t="s">
        <v>22</v>
      </c>
      <c r="C21" s="42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41">
        <v>100</v>
      </c>
      <c r="O21" s="8">
        <v>680</v>
      </c>
    </row>
    <row r="22" spans="1:15" ht="19.5" thickBo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8"/>
      <c r="N22" s="38">
        <v>105</v>
      </c>
      <c r="O22" s="13">
        <v>710</v>
      </c>
    </row>
    <row r="23" spans="1:15" ht="19.5" thickBot="1">
      <c r="A23" s="38"/>
      <c r="B23" s="10" t="s">
        <v>32</v>
      </c>
      <c r="C23" s="39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61" t="s">
        <v>61</v>
      </c>
      <c r="O24" s="61"/>
    </row>
    <row r="25" spans="1:15" ht="19.5" thickBot="1">
      <c r="A25" s="53" t="s">
        <v>41</v>
      </c>
      <c r="B25" s="53"/>
      <c r="C25" s="53"/>
      <c r="D25" s="53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41">
        <v>1</v>
      </c>
      <c r="O26" s="21">
        <v>6.8000000000000005E-2</v>
      </c>
    </row>
    <row r="27" spans="1:15" ht="19.5" thickBot="1">
      <c r="A27" s="41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55" t="s">
        <v>49</v>
      </c>
      <c r="G27" s="56"/>
      <c r="H27" s="56"/>
      <c r="I27" s="56"/>
      <c r="J27" s="56"/>
      <c r="K27" s="56"/>
      <c r="L27" s="18">
        <f>DSUM(社員別賃金一覧表1,K16,N36:O37)</f>
        <v>562380</v>
      </c>
      <c r="N27" s="38">
        <v>103</v>
      </c>
      <c r="O27" s="22">
        <v>7.9000000000000001E-2</v>
      </c>
    </row>
    <row r="28" spans="1:15" ht="19.5" thickBot="1">
      <c r="A28" s="41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59" t="s">
        <v>50</v>
      </c>
      <c r="G28" s="60"/>
      <c r="H28" s="60"/>
      <c r="I28" s="60"/>
      <c r="J28" s="60"/>
      <c r="K28" s="60"/>
      <c r="L28" s="8">
        <f>DCOUNTA(社員別賃金一覧表1,C2,N39:O40)</f>
        <v>5</v>
      </c>
    </row>
    <row r="29" spans="1:15" ht="19.5" thickBot="1">
      <c r="A29" s="38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57" t="s">
        <v>51</v>
      </c>
      <c r="G29" s="58"/>
      <c r="H29" s="58"/>
      <c r="I29" s="58"/>
      <c r="J29" s="58"/>
      <c r="K29" s="58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40" t="s">
        <v>8</v>
      </c>
      <c r="O36" s="20" t="s">
        <v>8</v>
      </c>
    </row>
    <row r="37" spans="14:15" ht="19.5" thickBot="1">
      <c r="N37" s="38" t="s">
        <v>52</v>
      </c>
      <c r="O37" s="13" t="s">
        <v>53</v>
      </c>
    </row>
    <row r="38" spans="14:15" ht="19.5" thickBot="1"/>
    <row r="39" spans="14:15">
      <c r="N39" s="40" t="s">
        <v>3</v>
      </c>
      <c r="O39" s="20" t="s">
        <v>55</v>
      </c>
    </row>
    <row r="40" spans="14:15" ht="19.5" thickBot="1">
      <c r="N40" s="38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mergeCells count="11">
    <mergeCell ref="N18:O18"/>
    <mergeCell ref="A1:L1"/>
    <mergeCell ref="N2:O2"/>
    <mergeCell ref="N8:O8"/>
    <mergeCell ref="N12:O12"/>
    <mergeCell ref="A15:L15"/>
    <mergeCell ref="N24:O24"/>
    <mergeCell ref="A25:D25"/>
    <mergeCell ref="F27:K27"/>
    <mergeCell ref="F28:K28"/>
    <mergeCell ref="F29:K29"/>
  </mergeCells>
  <phoneticPr fontId="2"/>
  <pageMargins left="0.25" right="0.25" top="0.75" bottom="0.75" header="0.3" footer="0.3"/>
  <pageSetup paperSize="9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729-7866-4081-9473-E891E5D7C08E}">
  <sheetPr>
    <pageSetUpPr fitToPage="1"/>
  </sheetPr>
  <dimension ref="A1:P42"/>
  <sheetViews>
    <sheetView topLeftCell="A29" workbookViewId="0">
      <selection activeCell="V15" sqref="V15"/>
    </sheetView>
  </sheetViews>
  <sheetFormatPr defaultRowHeight="18.75"/>
  <cols>
    <col min="1" max="1" width="7.125" bestFit="1" customWidth="1"/>
    <col min="3" max="3" width="8" bestFit="1" customWidth="1"/>
    <col min="4" max="4" width="7.125" bestFit="1" customWidth="1"/>
    <col min="5" max="5" width="6" bestFit="1" customWidth="1"/>
    <col min="6" max="7" width="7.125" bestFit="1" customWidth="1"/>
    <col min="8" max="8" width="9.5" bestFit="1" customWidth="1"/>
    <col min="9" max="9" width="7.125" bestFit="1" customWidth="1"/>
    <col min="10" max="10" width="8" bestFit="1" customWidth="1"/>
    <col min="11" max="11" width="7.125" bestFit="1" customWidth="1"/>
    <col min="12" max="12" width="5.25" bestFit="1" customWidth="1"/>
    <col min="13" max="13" width="3.625" customWidth="1"/>
    <col min="14" max="14" width="7.25" bestFit="1" customWidth="1"/>
    <col min="15" max="15" width="10.25" bestFit="1" customWidth="1"/>
    <col min="16" max="16" width="6" bestFit="1" customWidth="1"/>
  </cols>
  <sheetData>
    <row r="1" spans="1:16" ht="19.5" thickBot="1">
      <c r="A1" s="53" t="s">
        <v>74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1" t="s">
        <v>62</v>
      </c>
      <c r="O2" s="1" t="s">
        <v>79</v>
      </c>
    </row>
    <row r="3" spans="1:16">
      <c r="A3" s="7" t="s">
        <v>75</v>
      </c>
      <c r="B3" s="1" t="str">
        <f>VLOOKUP(A3,$N$3:$O$6,2,0)</f>
        <v>北陸商事</v>
      </c>
      <c r="C3" s="1">
        <v>101</v>
      </c>
      <c r="D3" s="1" t="str">
        <f>VLOOKUP(C3,$N$9:$P$12,2,0)</f>
        <v>商品A</v>
      </c>
      <c r="E3" s="2">
        <f>ROUNDUP(VLOOKUP(C3,$N$9:$P$12,3,0)*0.9,-1)</f>
        <v>2590</v>
      </c>
      <c r="F3" s="1">
        <v>130</v>
      </c>
      <c r="G3" s="1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1" t="s">
        <v>75</v>
      </c>
      <c r="O3" s="1" t="s">
        <v>80</v>
      </c>
    </row>
    <row r="4" spans="1:16">
      <c r="A4" s="7" t="s">
        <v>75</v>
      </c>
      <c r="B4" s="1" t="str">
        <f t="shared" ref="B4:B18" si="0">VLOOKUP(A4,$N$3:$O$6,2,0)</f>
        <v>北陸商事</v>
      </c>
      <c r="C4" s="1">
        <v>102</v>
      </c>
      <c r="D4" s="1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1">
        <v>210</v>
      </c>
      <c r="G4" s="1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1" t="s">
        <v>76</v>
      </c>
      <c r="O4" s="1" t="s">
        <v>81</v>
      </c>
    </row>
    <row r="5" spans="1:16">
      <c r="A5" s="7" t="s">
        <v>75</v>
      </c>
      <c r="B5" s="1" t="str">
        <f t="shared" si="0"/>
        <v>北陸商事</v>
      </c>
      <c r="C5" s="1">
        <v>103</v>
      </c>
      <c r="D5" s="1" t="str">
        <f t="shared" si="1"/>
        <v>商品C</v>
      </c>
      <c r="E5" s="2">
        <f t="shared" si="2"/>
        <v>2430</v>
      </c>
      <c r="F5" s="1">
        <v>226</v>
      </c>
      <c r="G5" s="1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1" t="s">
        <v>77</v>
      </c>
      <c r="O5" s="1" t="s">
        <v>82</v>
      </c>
    </row>
    <row r="6" spans="1:16">
      <c r="A6" s="7" t="s">
        <v>75</v>
      </c>
      <c r="B6" s="1" t="str">
        <f t="shared" si="0"/>
        <v>北陸商事</v>
      </c>
      <c r="C6" s="1">
        <v>104</v>
      </c>
      <c r="D6" s="1" t="str">
        <f t="shared" si="1"/>
        <v>商品D</v>
      </c>
      <c r="E6" s="2">
        <f t="shared" si="2"/>
        <v>3160</v>
      </c>
      <c r="F6" s="1">
        <v>117</v>
      </c>
      <c r="G6" s="1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1" t="s">
        <v>78</v>
      </c>
      <c r="O6" s="1" t="s">
        <v>83</v>
      </c>
    </row>
    <row r="7" spans="1:16">
      <c r="A7" s="7" t="s">
        <v>76</v>
      </c>
      <c r="B7" s="1" t="str">
        <f t="shared" si="0"/>
        <v>大川電機</v>
      </c>
      <c r="C7" s="1">
        <v>101</v>
      </c>
      <c r="D7" s="1" t="str">
        <f t="shared" si="1"/>
        <v>商品A</v>
      </c>
      <c r="E7" s="2">
        <f t="shared" si="2"/>
        <v>2590</v>
      </c>
      <c r="F7" s="1">
        <v>208</v>
      </c>
      <c r="G7" s="1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7" t="s">
        <v>76</v>
      </c>
      <c r="B8" s="1" t="str">
        <f t="shared" si="0"/>
        <v>大川電機</v>
      </c>
      <c r="C8" s="1">
        <v>102</v>
      </c>
      <c r="D8" s="1" t="str">
        <f t="shared" si="1"/>
        <v>商品B</v>
      </c>
      <c r="E8" s="2">
        <f t="shared" si="2"/>
        <v>2760</v>
      </c>
      <c r="F8" s="1">
        <v>146</v>
      </c>
      <c r="G8" s="1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1" t="s">
        <v>63</v>
      </c>
      <c r="O8" s="1" t="s">
        <v>65</v>
      </c>
      <c r="P8" s="1" t="s">
        <v>84</v>
      </c>
    </row>
    <row r="9" spans="1:16">
      <c r="A9" s="7" t="s">
        <v>76</v>
      </c>
      <c r="B9" s="1" t="str">
        <f t="shared" si="0"/>
        <v>大川電機</v>
      </c>
      <c r="C9" s="1">
        <v>103</v>
      </c>
      <c r="D9" s="1" t="str">
        <f t="shared" si="1"/>
        <v>商品C</v>
      </c>
      <c r="E9" s="2">
        <f t="shared" si="2"/>
        <v>2430</v>
      </c>
      <c r="F9" s="1">
        <v>116</v>
      </c>
      <c r="G9" s="1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1">
        <v>101</v>
      </c>
      <c r="O9" s="1" t="s">
        <v>85</v>
      </c>
      <c r="P9" s="2">
        <v>2870</v>
      </c>
    </row>
    <row r="10" spans="1:16">
      <c r="A10" s="7" t="s">
        <v>76</v>
      </c>
      <c r="B10" s="1" t="str">
        <f t="shared" si="0"/>
        <v>大川電機</v>
      </c>
      <c r="C10" s="1">
        <v>104</v>
      </c>
      <c r="D10" s="1" t="str">
        <f t="shared" si="1"/>
        <v>商品D</v>
      </c>
      <c r="E10" s="2">
        <f t="shared" si="2"/>
        <v>3160</v>
      </c>
      <c r="F10" s="1">
        <v>193</v>
      </c>
      <c r="G10" s="1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1">
        <v>102</v>
      </c>
      <c r="O10" s="1" t="s">
        <v>86</v>
      </c>
      <c r="P10" s="2">
        <v>3060</v>
      </c>
    </row>
    <row r="11" spans="1:16">
      <c r="A11" s="7" t="s">
        <v>77</v>
      </c>
      <c r="B11" s="1" t="str">
        <f t="shared" si="0"/>
        <v>佐藤企画</v>
      </c>
      <c r="C11" s="1">
        <v>101</v>
      </c>
      <c r="D11" s="1" t="str">
        <f t="shared" si="1"/>
        <v>商品A</v>
      </c>
      <c r="E11" s="2">
        <f t="shared" si="2"/>
        <v>2590</v>
      </c>
      <c r="F11" s="1">
        <v>143</v>
      </c>
      <c r="G11" s="1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1">
        <v>103</v>
      </c>
      <c r="O11" s="1" t="s">
        <v>87</v>
      </c>
      <c r="P11" s="2">
        <v>2690</v>
      </c>
    </row>
    <row r="12" spans="1:16">
      <c r="A12" s="7" t="s">
        <v>77</v>
      </c>
      <c r="B12" s="1" t="str">
        <f t="shared" si="0"/>
        <v>佐藤企画</v>
      </c>
      <c r="C12" s="1">
        <v>102</v>
      </c>
      <c r="D12" s="1" t="str">
        <f t="shared" si="1"/>
        <v>商品B</v>
      </c>
      <c r="E12" s="2">
        <f t="shared" si="2"/>
        <v>2760</v>
      </c>
      <c r="F12" s="1">
        <v>203</v>
      </c>
      <c r="G12" s="1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1">
        <v>104</v>
      </c>
      <c r="O12" s="1" t="s">
        <v>88</v>
      </c>
      <c r="P12" s="2">
        <v>3510</v>
      </c>
    </row>
    <row r="13" spans="1:16">
      <c r="A13" s="7" t="s">
        <v>77</v>
      </c>
      <c r="B13" s="1" t="str">
        <f t="shared" si="0"/>
        <v>佐藤企画</v>
      </c>
      <c r="C13" s="1">
        <v>103</v>
      </c>
      <c r="D13" s="1" t="str">
        <f t="shared" si="1"/>
        <v>商品C</v>
      </c>
      <c r="E13" s="2">
        <f t="shared" si="2"/>
        <v>2430</v>
      </c>
      <c r="F13" s="1">
        <v>105</v>
      </c>
      <c r="G13" s="1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7" t="s">
        <v>77</v>
      </c>
      <c r="B14" s="1" t="str">
        <f t="shared" si="0"/>
        <v>佐藤企画</v>
      </c>
      <c r="C14" s="1">
        <v>104</v>
      </c>
      <c r="D14" s="1" t="str">
        <f t="shared" si="1"/>
        <v>商品D</v>
      </c>
      <c r="E14" s="2">
        <f t="shared" si="2"/>
        <v>3160</v>
      </c>
      <c r="F14" s="1">
        <v>196</v>
      </c>
      <c r="G14" s="1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1" t="s">
        <v>89</v>
      </c>
      <c r="O14" s="1" t="s">
        <v>70</v>
      </c>
    </row>
    <row r="15" spans="1:16">
      <c r="A15" s="7" t="s">
        <v>78</v>
      </c>
      <c r="B15" s="1" t="str">
        <f t="shared" si="0"/>
        <v>明光電化</v>
      </c>
      <c r="C15" s="1">
        <v>101</v>
      </c>
      <c r="D15" s="1" t="str">
        <f t="shared" si="1"/>
        <v>商品A</v>
      </c>
      <c r="E15" s="2">
        <f t="shared" si="2"/>
        <v>2590</v>
      </c>
      <c r="F15" s="1">
        <v>200</v>
      </c>
      <c r="G15" s="1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1" t="s">
        <v>90</v>
      </c>
      <c r="O15" s="26">
        <v>0.108</v>
      </c>
    </row>
    <row r="16" spans="1:16">
      <c r="A16" s="7" t="s">
        <v>78</v>
      </c>
      <c r="B16" s="1" t="str">
        <f t="shared" si="0"/>
        <v>明光電化</v>
      </c>
      <c r="C16" s="1">
        <v>102</v>
      </c>
      <c r="D16" s="1" t="str">
        <f t="shared" si="1"/>
        <v>商品B</v>
      </c>
      <c r="E16" s="2">
        <f t="shared" si="2"/>
        <v>2760</v>
      </c>
      <c r="F16" s="1">
        <v>121</v>
      </c>
      <c r="G16" s="1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1" t="s">
        <v>91</v>
      </c>
      <c r="O16" s="26">
        <v>0.11700000000000001</v>
      </c>
    </row>
    <row r="17" spans="1:15">
      <c r="A17" s="7" t="s">
        <v>78</v>
      </c>
      <c r="B17" s="1" t="str">
        <f t="shared" si="0"/>
        <v>明光電化</v>
      </c>
      <c r="C17" s="1">
        <v>103</v>
      </c>
      <c r="D17" s="1" t="str">
        <f t="shared" si="1"/>
        <v>商品C</v>
      </c>
      <c r="E17" s="2">
        <f t="shared" si="2"/>
        <v>2430</v>
      </c>
      <c r="F17" s="1">
        <v>227</v>
      </c>
      <c r="G17" s="1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1" t="s">
        <v>92</v>
      </c>
      <c r="O17" s="26">
        <v>0.126</v>
      </c>
    </row>
    <row r="18" spans="1:15">
      <c r="A18" s="7" t="s">
        <v>78</v>
      </c>
      <c r="B18" s="1" t="str">
        <f t="shared" si="0"/>
        <v>明光電化</v>
      </c>
      <c r="C18" s="1">
        <v>104</v>
      </c>
      <c r="D18" s="1" t="str">
        <f t="shared" si="1"/>
        <v>商品D</v>
      </c>
      <c r="E18" s="2">
        <f t="shared" si="2"/>
        <v>3160</v>
      </c>
      <c r="F18" s="1">
        <v>183</v>
      </c>
      <c r="G18" s="1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5" ht="19.5" thickBot="1">
      <c r="A20" s="9"/>
      <c r="B20" s="10" t="s">
        <v>32</v>
      </c>
      <c r="C20" s="11"/>
      <c r="D20" s="11"/>
      <c r="E20" s="11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53" t="s">
        <v>100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7" t="s">
        <v>76</v>
      </c>
      <c r="B24" s="1" t="s">
        <v>93</v>
      </c>
      <c r="C24" s="1">
        <v>104</v>
      </c>
      <c r="D24" s="1" t="s">
        <v>94</v>
      </c>
      <c r="E24" s="2">
        <v>3160</v>
      </c>
      <c r="F24" s="1">
        <v>193</v>
      </c>
      <c r="G24" s="1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7" t="s">
        <v>77</v>
      </c>
      <c r="B25" s="1" t="s">
        <v>96</v>
      </c>
      <c r="C25" s="1">
        <v>104</v>
      </c>
      <c r="D25" s="1" t="s">
        <v>94</v>
      </c>
      <c r="E25" s="2">
        <v>3160</v>
      </c>
      <c r="F25" s="1">
        <v>196</v>
      </c>
      <c r="G25" s="1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7" t="s">
        <v>78</v>
      </c>
      <c r="B26" s="1" t="s">
        <v>98</v>
      </c>
      <c r="C26" s="1">
        <v>104</v>
      </c>
      <c r="D26" s="1" t="s">
        <v>94</v>
      </c>
      <c r="E26" s="2">
        <v>3160</v>
      </c>
      <c r="F26" s="1">
        <v>183</v>
      </c>
      <c r="G26" s="1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7" t="s">
        <v>77</v>
      </c>
      <c r="B27" s="1" t="s">
        <v>96</v>
      </c>
      <c r="C27" s="1">
        <v>102</v>
      </c>
      <c r="D27" s="1" t="s">
        <v>97</v>
      </c>
      <c r="E27" s="2">
        <v>2760</v>
      </c>
      <c r="F27" s="1">
        <v>203</v>
      </c>
      <c r="G27" s="1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17"/>
    </row>
    <row r="28" spans="1:15">
      <c r="A28" s="7" t="s">
        <v>78</v>
      </c>
      <c r="B28" s="1" t="s">
        <v>98</v>
      </c>
      <c r="C28" s="1">
        <v>101</v>
      </c>
      <c r="D28" s="1" t="s">
        <v>99</v>
      </c>
      <c r="E28" s="2">
        <v>2590</v>
      </c>
      <c r="F28" s="1">
        <v>200</v>
      </c>
      <c r="G28" s="1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</row>
    <row r="30" spans="1:15" ht="19.5" thickBot="1">
      <c r="A30" s="9"/>
      <c r="B30" s="10" t="s">
        <v>32</v>
      </c>
      <c r="C30" s="11"/>
      <c r="D30" s="11"/>
      <c r="E30" s="11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53" t="s">
        <v>101</v>
      </c>
      <c r="B32" s="53"/>
      <c r="C32" s="53"/>
      <c r="D32" s="53"/>
    </row>
    <row r="33" spans="1:15">
      <c r="A33" s="4" t="s">
        <v>103</v>
      </c>
      <c r="B33" s="5" t="s">
        <v>104</v>
      </c>
      <c r="C33" s="5" t="s">
        <v>105</v>
      </c>
      <c r="D33" s="6" t="s">
        <v>106</v>
      </c>
      <c r="F33" s="27" t="s">
        <v>103</v>
      </c>
      <c r="G33" s="27" t="s">
        <v>103</v>
      </c>
      <c r="H33" s="27" t="s">
        <v>103</v>
      </c>
      <c r="I33" s="27" t="s">
        <v>103</v>
      </c>
    </row>
    <row r="34" spans="1:15">
      <c r="A34" s="7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1" t="s">
        <v>107</v>
      </c>
      <c r="G34" s="1" t="s">
        <v>108</v>
      </c>
      <c r="H34" s="1" t="s">
        <v>109</v>
      </c>
      <c r="I34" s="1" t="s">
        <v>110</v>
      </c>
    </row>
    <row r="35" spans="1:15">
      <c r="A35" s="7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27" t="s">
        <v>114</v>
      </c>
      <c r="O35" s="27" t="s">
        <v>114</v>
      </c>
    </row>
    <row r="36" spans="1:15">
      <c r="A36" s="7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1" t="s">
        <v>115</v>
      </c>
      <c r="O36" s="1" t="s">
        <v>116</v>
      </c>
    </row>
    <row r="37" spans="1:15" ht="19.5" thickBot="1">
      <c r="A37" s="9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27" t="s">
        <v>104</v>
      </c>
      <c r="O38" s="27" t="s">
        <v>105</v>
      </c>
    </row>
    <row r="39" spans="1:15" ht="19.5" thickBot="1">
      <c r="N39" s="1" t="s">
        <v>116</v>
      </c>
      <c r="O39" s="1" t="s">
        <v>117</v>
      </c>
    </row>
    <row r="40" spans="1:15">
      <c r="A40" s="55" t="s">
        <v>111</v>
      </c>
      <c r="B40" s="56"/>
      <c r="C40" s="56"/>
      <c r="D40" s="56"/>
      <c r="E40" s="56"/>
      <c r="F40" s="56"/>
      <c r="G40" s="56"/>
      <c r="H40" s="18">
        <f>DSUM(委託販売一覧表2,K2,N35:O36)</f>
        <v>55660</v>
      </c>
    </row>
    <row r="41" spans="1:15">
      <c r="A41" s="59" t="s">
        <v>112</v>
      </c>
      <c r="B41" s="60"/>
      <c r="C41" s="60"/>
      <c r="D41" s="60"/>
      <c r="E41" s="60"/>
      <c r="F41" s="60"/>
      <c r="G41" s="60"/>
      <c r="H41" s="8">
        <f>DCOUNTA(委託販売一覧表2,A2,N38:O39)</f>
        <v>7</v>
      </c>
      <c r="N41" s="27" t="s">
        <v>118</v>
      </c>
      <c r="O41" s="27" t="s">
        <v>120</v>
      </c>
    </row>
    <row r="42" spans="1:15" ht="19.5" thickBot="1">
      <c r="A42" s="57" t="s">
        <v>113</v>
      </c>
      <c r="B42" s="58"/>
      <c r="C42" s="58"/>
      <c r="D42" s="58"/>
      <c r="E42" s="58"/>
      <c r="F42" s="58"/>
      <c r="G42" s="58"/>
      <c r="H42" s="13">
        <f>ROUND(DAVERAGE(委託販売一覧表2,J2,N41:O42),0)</f>
        <v>61407</v>
      </c>
      <c r="N42" s="1" t="s">
        <v>119</v>
      </c>
      <c r="O42" s="1" t="s">
        <v>121</v>
      </c>
    </row>
  </sheetData>
  <sortState ref="A24:L28">
    <sortCondition descending="1" ref="K23"/>
  </sortState>
  <mergeCells count="6">
    <mergeCell ref="A40:G40"/>
    <mergeCell ref="A41:G41"/>
    <mergeCell ref="A42:G42"/>
    <mergeCell ref="A1:L1"/>
    <mergeCell ref="A22:L22"/>
    <mergeCell ref="A32:D32"/>
  </mergeCells>
  <phoneticPr fontId="2"/>
  <pageMargins left="0.25" right="0.25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58D3-400B-4712-A0B5-AA2FC03B43BC}">
  <sheetPr>
    <pageSetUpPr fitToPage="1"/>
  </sheetPr>
  <dimension ref="A1:P42"/>
  <sheetViews>
    <sheetView showFormulas="1" topLeftCell="I1" workbookViewId="0">
      <selection activeCell="A2" sqref="A1:P1048576"/>
    </sheetView>
  </sheetViews>
  <sheetFormatPr defaultRowHeight="18.75"/>
  <cols>
    <col min="1" max="1" width="3.625" bestFit="1" customWidth="1"/>
    <col min="2" max="3" width="22.375" bestFit="1" customWidth="1"/>
    <col min="4" max="4" width="22.5" bestFit="1" customWidth="1"/>
    <col min="5" max="5" width="25.875" bestFit="1" customWidth="1"/>
    <col min="6" max="6" width="8.125" bestFit="1" customWidth="1"/>
    <col min="7" max="7" width="8.375" bestFit="1" customWidth="1"/>
    <col min="8" max="8" width="26.25" bestFit="1" customWidth="1"/>
    <col min="9" max="9" width="22" bestFit="1" customWidth="1"/>
    <col min="10" max="10" width="10.75" bestFit="1" customWidth="1"/>
    <col min="11" max="11" width="34.5" bestFit="1" customWidth="1"/>
    <col min="12" max="12" width="22.75" bestFit="1" customWidth="1"/>
    <col min="13" max="13" width="3.625" customWidth="1"/>
    <col min="14" max="14" width="3.75" bestFit="1" customWidth="1"/>
    <col min="15" max="15" width="5.25" bestFit="1" customWidth="1"/>
    <col min="16" max="16" width="2.875" bestFit="1" customWidth="1"/>
  </cols>
  <sheetData>
    <row r="1" spans="1:16" ht="19.5" thickBot="1">
      <c r="A1" s="53" t="s">
        <v>74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42" t="s">
        <v>62</v>
      </c>
      <c r="O2" s="42" t="s">
        <v>79</v>
      </c>
    </row>
    <row r="3" spans="1:16">
      <c r="A3" s="41" t="s">
        <v>75</v>
      </c>
      <c r="B3" s="42" t="str">
        <f>VLOOKUP(A3,$N$3:$O$6,2,0)</f>
        <v>北陸商事</v>
      </c>
      <c r="C3" s="42">
        <v>101</v>
      </c>
      <c r="D3" s="42" t="str">
        <f>VLOOKUP(C3,$N$9:$P$12,2,0)</f>
        <v>商品A</v>
      </c>
      <c r="E3" s="2">
        <f>ROUNDUP(VLOOKUP(C3,$N$9:$P$12,3,0)*0.9,-1)</f>
        <v>2590</v>
      </c>
      <c r="F3" s="42">
        <v>130</v>
      </c>
      <c r="G3" s="42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42" t="s">
        <v>75</v>
      </c>
      <c r="O3" s="42" t="s">
        <v>80</v>
      </c>
    </row>
    <row r="4" spans="1:16">
      <c r="A4" s="41" t="s">
        <v>75</v>
      </c>
      <c r="B4" s="42" t="str">
        <f t="shared" ref="B4:B18" si="0">VLOOKUP(A4,$N$3:$O$6,2,0)</f>
        <v>北陸商事</v>
      </c>
      <c r="C4" s="42">
        <v>102</v>
      </c>
      <c r="D4" s="42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42">
        <v>210</v>
      </c>
      <c r="G4" s="42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42" t="s">
        <v>76</v>
      </c>
      <c r="O4" s="42" t="s">
        <v>81</v>
      </c>
    </row>
    <row r="5" spans="1:16">
      <c r="A5" s="41" t="s">
        <v>75</v>
      </c>
      <c r="B5" s="42" t="str">
        <f t="shared" si="0"/>
        <v>北陸商事</v>
      </c>
      <c r="C5" s="42">
        <v>103</v>
      </c>
      <c r="D5" s="42" t="str">
        <f t="shared" si="1"/>
        <v>商品C</v>
      </c>
      <c r="E5" s="2">
        <f t="shared" si="2"/>
        <v>2430</v>
      </c>
      <c r="F5" s="42">
        <v>226</v>
      </c>
      <c r="G5" s="42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42" t="s">
        <v>77</v>
      </c>
      <c r="O5" s="42" t="s">
        <v>82</v>
      </c>
    </row>
    <row r="6" spans="1:16">
      <c r="A6" s="41" t="s">
        <v>75</v>
      </c>
      <c r="B6" s="42" t="str">
        <f t="shared" si="0"/>
        <v>北陸商事</v>
      </c>
      <c r="C6" s="42">
        <v>104</v>
      </c>
      <c r="D6" s="42" t="str">
        <f t="shared" si="1"/>
        <v>商品D</v>
      </c>
      <c r="E6" s="2">
        <f t="shared" si="2"/>
        <v>3160</v>
      </c>
      <c r="F6" s="42">
        <v>117</v>
      </c>
      <c r="G6" s="42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42" t="s">
        <v>78</v>
      </c>
      <c r="O6" s="42" t="s">
        <v>83</v>
      </c>
    </row>
    <row r="7" spans="1:16">
      <c r="A7" s="41" t="s">
        <v>76</v>
      </c>
      <c r="B7" s="42" t="str">
        <f t="shared" si="0"/>
        <v>大川電機</v>
      </c>
      <c r="C7" s="42">
        <v>101</v>
      </c>
      <c r="D7" s="42" t="str">
        <f t="shared" si="1"/>
        <v>商品A</v>
      </c>
      <c r="E7" s="2">
        <f t="shared" si="2"/>
        <v>2590</v>
      </c>
      <c r="F7" s="42">
        <v>208</v>
      </c>
      <c r="G7" s="42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41" t="s">
        <v>76</v>
      </c>
      <c r="B8" s="42" t="str">
        <f t="shared" si="0"/>
        <v>大川電機</v>
      </c>
      <c r="C8" s="42">
        <v>102</v>
      </c>
      <c r="D8" s="42" t="str">
        <f t="shared" si="1"/>
        <v>商品B</v>
      </c>
      <c r="E8" s="2">
        <f t="shared" si="2"/>
        <v>2760</v>
      </c>
      <c r="F8" s="42">
        <v>146</v>
      </c>
      <c r="G8" s="42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42" t="s">
        <v>63</v>
      </c>
      <c r="O8" s="42" t="s">
        <v>65</v>
      </c>
      <c r="P8" s="42" t="s">
        <v>84</v>
      </c>
    </row>
    <row r="9" spans="1:16">
      <c r="A9" s="41" t="s">
        <v>76</v>
      </c>
      <c r="B9" s="42" t="str">
        <f t="shared" si="0"/>
        <v>大川電機</v>
      </c>
      <c r="C9" s="42">
        <v>103</v>
      </c>
      <c r="D9" s="42" t="str">
        <f t="shared" si="1"/>
        <v>商品C</v>
      </c>
      <c r="E9" s="2">
        <f t="shared" si="2"/>
        <v>2430</v>
      </c>
      <c r="F9" s="42">
        <v>116</v>
      </c>
      <c r="G9" s="42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42">
        <v>101</v>
      </c>
      <c r="O9" s="42" t="s">
        <v>85</v>
      </c>
      <c r="P9" s="2">
        <v>2870</v>
      </c>
    </row>
    <row r="10" spans="1:16">
      <c r="A10" s="41" t="s">
        <v>76</v>
      </c>
      <c r="B10" s="42" t="str">
        <f t="shared" si="0"/>
        <v>大川電機</v>
      </c>
      <c r="C10" s="42">
        <v>104</v>
      </c>
      <c r="D10" s="42" t="str">
        <f t="shared" si="1"/>
        <v>商品D</v>
      </c>
      <c r="E10" s="2">
        <f t="shared" si="2"/>
        <v>3160</v>
      </c>
      <c r="F10" s="42">
        <v>193</v>
      </c>
      <c r="G10" s="42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42">
        <v>102</v>
      </c>
      <c r="O10" s="42" t="s">
        <v>86</v>
      </c>
      <c r="P10" s="2">
        <v>3060</v>
      </c>
    </row>
    <row r="11" spans="1:16">
      <c r="A11" s="41" t="s">
        <v>77</v>
      </c>
      <c r="B11" s="42" t="str">
        <f t="shared" si="0"/>
        <v>佐藤企画</v>
      </c>
      <c r="C11" s="42">
        <v>101</v>
      </c>
      <c r="D11" s="42" t="str">
        <f t="shared" si="1"/>
        <v>商品A</v>
      </c>
      <c r="E11" s="2">
        <f t="shared" si="2"/>
        <v>2590</v>
      </c>
      <c r="F11" s="42">
        <v>143</v>
      </c>
      <c r="G11" s="42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42">
        <v>103</v>
      </c>
      <c r="O11" s="42" t="s">
        <v>87</v>
      </c>
      <c r="P11" s="2">
        <v>2690</v>
      </c>
    </row>
    <row r="12" spans="1:16">
      <c r="A12" s="41" t="s">
        <v>77</v>
      </c>
      <c r="B12" s="42" t="str">
        <f t="shared" si="0"/>
        <v>佐藤企画</v>
      </c>
      <c r="C12" s="42">
        <v>102</v>
      </c>
      <c r="D12" s="42" t="str">
        <f t="shared" si="1"/>
        <v>商品B</v>
      </c>
      <c r="E12" s="2">
        <f t="shared" si="2"/>
        <v>2760</v>
      </c>
      <c r="F12" s="42">
        <v>203</v>
      </c>
      <c r="G12" s="42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42">
        <v>104</v>
      </c>
      <c r="O12" s="42" t="s">
        <v>88</v>
      </c>
      <c r="P12" s="2">
        <v>3510</v>
      </c>
    </row>
    <row r="13" spans="1:16">
      <c r="A13" s="41" t="s">
        <v>77</v>
      </c>
      <c r="B13" s="42" t="str">
        <f t="shared" si="0"/>
        <v>佐藤企画</v>
      </c>
      <c r="C13" s="42">
        <v>103</v>
      </c>
      <c r="D13" s="42" t="str">
        <f t="shared" si="1"/>
        <v>商品C</v>
      </c>
      <c r="E13" s="2">
        <f t="shared" si="2"/>
        <v>2430</v>
      </c>
      <c r="F13" s="42">
        <v>105</v>
      </c>
      <c r="G13" s="42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41" t="s">
        <v>77</v>
      </c>
      <c r="B14" s="42" t="str">
        <f t="shared" si="0"/>
        <v>佐藤企画</v>
      </c>
      <c r="C14" s="42">
        <v>104</v>
      </c>
      <c r="D14" s="42" t="str">
        <f t="shared" si="1"/>
        <v>商品D</v>
      </c>
      <c r="E14" s="2">
        <f t="shared" si="2"/>
        <v>3160</v>
      </c>
      <c r="F14" s="42">
        <v>196</v>
      </c>
      <c r="G14" s="42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42" t="s">
        <v>89</v>
      </c>
      <c r="O14" s="42" t="s">
        <v>70</v>
      </c>
    </row>
    <row r="15" spans="1:16">
      <c r="A15" s="41" t="s">
        <v>78</v>
      </c>
      <c r="B15" s="42" t="str">
        <f t="shared" si="0"/>
        <v>明光電化</v>
      </c>
      <c r="C15" s="42">
        <v>101</v>
      </c>
      <c r="D15" s="42" t="str">
        <f t="shared" si="1"/>
        <v>商品A</v>
      </c>
      <c r="E15" s="2">
        <f t="shared" si="2"/>
        <v>2590</v>
      </c>
      <c r="F15" s="42">
        <v>200</v>
      </c>
      <c r="G15" s="42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42" t="s">
        <v>90</v>
      </c>
      <c r="O15" s="26">
        <v>0.108</v>
      </c>
    </row>
    <row r="16" spans="1:16">
      <c r="A16" s="41" t="s">
        <v>78</v>
      </c>
      <c r="B16" s="42" t="str">
        <f t="shared" si="0"/>
        <v>明光電化</v>
      </c>
      <c r="C16" s="42">
        <v>102</v>
      </c>
      <c r="D16" s="42" t="str">
        <f t="shared" si="1"/>
        <v>商品B</v>
      </c>
      <c r="E16" s="2">
        <f t="shared" si="2"/>
        <v>2760</v>
      </c>
      <c r="F16" s="42">
        <v>121</v>
      </c>
      <c r="G16" s="42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42" t="s">
        <v>91</v>
      </c>
      <c r="O16" s="26">
        <v>0.11700000000000001</v>
      </c>
    </row>
    <row r="17" spans="1:15">
      <c r="A17" s="41" t="s">
        <v>78</v>
      </c>
      <c r="B17" s="42" t="str">
        <f t="shared" si="0"/>
        <v>明光電化</v>
      </c>
      <c r="C17" s="42">
        <v>103</v>
      </c>
      <c r="D17" s="42" t="str">
        <f t="shared" si="1"/>
        <v>商品C</v>
      </c>
      <c r="E17" s="2">
        <f t="shared" si="2"/>
        <v>2430</v>
      </c>
      <c r="F17" s="42">
        <v>227</v>
      </c>
      <c r="G17" s="42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42" t="s">
        <v>92</v>
      </c>
      <c r="O17" s="26">
        <v>0.126</v>
      </c>
    </row>
    <row r="18" spans="1:15">
      <c r="A18" s="41" t="s">
        <v>78</v>
      </c>
      <c r="B18" s="42" t="str">
        <f t="shared" si="0"/>
        <v>明光電化</v>
      </c>
      <c r="C18" s="42">
        <v>104</v>
      </c>
      <c r="D18" s="42" t="str">
        <f t="shared" si="1"/>
        <v>商品D</v>
      </c>
      <c r="E18" s="2">
        <f t="shared" si="2"/>
        <v>3160</v>
      </c>
      <c r="F18" s="42">
        <v>183</v>
      </c>
      <c r="G18" s="42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8"/>
    </row>
    <row r="20" spans="1:15" ht="19.5" thickBot="1">
      <c r="A20" s="38"/>
      <c r="B20" s="10" t="s">
        <v>32</v>
      </c>
      <c r="C20" s="39"/>
      <c r="D20" s="39"/>
      <c r="E20" s="39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53" t="s">
        <v>100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41" t="s">
        <v>76</v>
      </c>
      <c r="B24" s="42" t="s">
        <v>93</v>
      </c>
      <c r="C24" s="42">
        <v>104</v>
      </c>
      <c r="D24" s="42" t="s">
        <v>94</v>
      </c>
      <c r="E24" s="2">
        <v>3160</v>
      </c>
      <c r="F24" s="42">
        <v>193</v>
      </c>
      <c r="G24" s="42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41" t="s">
        <v>77</v>
      </c>
      <c r="B25" s="42" t="s">
        <v>96</v>
      </c>
      <c r="C25" s="42">
        <v>104</v>
      </c>
      <c r="D25" s="42" t="s">
        <v>94</v>
      </c>
      <c r="E25" s="2">
        <v>3160</v>
      </c>
      <c r="F25" s="42">
        <v>196</v>
      </c>
      <c r="G25" s="42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41" t="s">
        <v>78</v>
      </c>
      <c r="B26" s="42" t="s">
        <v>98</v>
      </c>
      <c r="C26" s="42">
        <v>104</v>
      </c>
      <c r="D26" s="42" t="s">
        <v>94</v>
      </c>
      <c r="E26" s="2">
        <v>3160</v>
      </c>
      <c r="F26" s="42">
        <v>183</v>
      </c>
      <c r="G26" s="42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41" t="s">
        <v>77</v>
      </c>
      <c r="B27" s="42" t="s">
        <v>96</v>
      </c>
      <c r="C27" s="42">
        <v>102</v>
      </c>
      <c r="D27" s="42" t="s">
        <v>97</v>
      </c>
      <c r="E27" s="2">
        <v>2760</v>
      </c>
      <c r="F27" s="42">
        <v>203</v>
      </c>
      <c r="G27" s="42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37"/>
    </row>
    <row r="28" spans="1:15">
      <c r="A28" s="41" t="s">
        <v>78</v>
      </c>
      <c r="B28" s="42" t="s">
        <v>98</v>
      </c>
      <c r="C28" s="42">
        <v>101</v>
      </c>
      <c r="D28" s="42" t="s">
        <v>99</v>
      </c>
      <c r="E28" s="2">
        <v>2590</v>
      </c>
      <c r="F28" s="42">
        <v>200</v>
      </c>
      <c r="G28" s="42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8"/>
    </row>
    <row r="30" spans="1:15" ht="19.5" thickBot="1">
      <c r="A30" s="38"/>
      <c r="B30" s="10" t="s">
        <v>32</v>
      </c>
      <c r="C30" s="39"/>
      <c r="D30" s="39"/>
      <c r="E30" s="39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53" t="s">
        <v>101</v>
      </c>
      <c r="B32" s="53"/>
      <c r="C32" s="53"/>
      <c r="D32" s="53"/>
    </row>
    <row r="33" spans="1:15">
      <c r="A33" s="4" t="s">
        <v>65</v>
      </c>
      <c r="B33" s="5" t="s">
        <v>68</v>
      </c>
      <c r="C33" s="5" t="s">
        <v>71</v>
      </c>
      <c r="D33" s="6" t="s">
        <v>72</v>
      </c>
      <c r="F33" s="43" t="s">
        <v>65</v>
      </c>
      <c r="G33" s="43" t="s">
        <v>65</v>
      </c>
      <c r="H33" s="43" t="s">
        <v>65</v>
      </c>
      <c r="I33" s="43" t="s">
        <v>65</v>
      </c>
    </row>
    <row r="34" spans="1:15">
      <c r="A34" s="41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42" t="s">
        <v>107</v>
      </c>
      <c r="G34" s="42" t="s">
        <v>108</v>
      </c>
      <c r="H34" s="42" t="s">
        <v>109</v>
      </c>
      <c r="I34" s="42" t="s">
        <v>110</v>
      </c>
    </row>
    <row r="35" spans="1:15">
      <c r="A35" s="41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43" t="s">
        <v>114</v>
      </c>
      <c r="O35" s="43" t="s">
        <v>114</v>
      </c>
    </row>
    <row r="36" spans="1:15">
      <c r="A36" s="41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42" t="s">
        <v>115</v>
      </c>
      <c r="O36" s="42" t="s">
        <v>116</v>
      </c>
    </row>
    <row r="37" spans="1:15" ht="19.5" thickBot="1">
      <c r="A37" s="38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43" t="s">
        <v>68</v>
      </c>
      <c r="O38" s="43" t="s">
        <v>71</v>
      </c>
    </row>
    <row r="39" spans="1:15" ht="19.5" thickBot="1">
      <c r="N39" s="42" t="s">
        <v>116</v>
      </c>
      <c r="O39" s="42" t="s">
        <v>117</v>
      </c>
    </row>
    <row r="40" spans="1:15">
      <c r="A40" s="55" t="s">
        <v>111</v>
      </c>
      <c r="B40" s="56"/>
      <c r="C40" s="56"/>
      <c r="D40" s="56"/>
      <c r="E40" s="56"/>
      <c r="F40" s="56"/>
      <c r="G40" s="56"/>
      <c r="H40" s="18">
        <f>DSUM(委託販売一覧表2,K2,N35:O36)</f>
        <v>55660</v>
      </c>
    </row>
    <row r="41" spans="1:15">
      <c r="A41" s="59" t="s">
        <v>112</v>
      </c>
      <c r="B41" s="60"/>
      <c r="C41" s="60"/>
      <c r="D41" s="60"/>
      <c r="E41" s="60"/>
      <c r="F41" s="60"/>
      <c r="G41" s="60"/>
      <c r="H41" s="8">
        <f>DCOUNTA(委託販売一覧表2,A2,N38:O39)</f>
        <v>7</v>
      </c>
      <c r="N41" s="43" t="s">
        <v>118</v>
      </c>
      <c r="O41" s="43" t="s">
        <v>120</v>
      </c>
    </row>
    <row r="42" spans="1:15" ht="19.5" thickBot="1">
      <c r="A42" s="57" t="s">
        <v>113</v>
      </c>
      <c r="B42" s="58"/>
      <c r="C42" s="58"/>
      <c r="D42" s="58"/>
      <c r="E42" s="58"/>
      <c r="F42" s="58"/>
      <c r="G42" s="58"/>
      <c r="H42" s="13">
        <f>ROUND(DAVERAGE(委託販売一覧表2,J2,N41:O42),0)</f>
        <v>61407</v>
      </c>
      <c r="N42" s="42" t="s">
        <v>119</v>
      </c>
      <c r="O42" s="42" t="s">
        <v>121</v>
      </c>
    </row>
  </sheetData>
  <mergeCells count="6">
    <mergeCell ref="A42:G42"/>
    <mergeCell ref="A1:L1"/>
    <mergeCell ref="A22:L22"/>
    <mergeCell ref="A32:D32"/>
    <mergeCell ref="A40:G40"/>
    <mergeCell ref="A41:G41"/>
  </mergeCells>
  <phoneticPr fontId="2"/>
  <pageMargins left="0.25" right="0.25" top="0.75" bottom="0.75" header="0.3" footer="0.3"/>
  <pageSetup paperSize="9" scale="2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13D5-8B34-4109-97F2-42A8295F1D6C}">
  <sheetPr>
    <pageSetUpPr fitToPage="1"/>
  </sheetPr>
  <dimension ref="A1:P40"/>
  <sheetViews>
    <sheetView topLeftCell="A29" workbookViewId="0">
      <selection activeCell="E39" sqref="E39"/>
    </sheetView>
  </sheetViews>
  <sheetFormatPr defaultRowHeight="18.75"/>
  <cols>
    <col min="1" max="2" width="11" bestFit="1" customWidth="1"/>
    <col min="3" max="3" width="9.5" bestFit="1" customWidth="1"/>
    <col min="4" max="4" width="7.125" bestFit="1" customWidth="1"/>
    <col min="5" max="5" width="8" bestFit="1" customWidth="1"/>
    <col min="6" max="6" width="7.125" bestFit="1" customWidth="1"/>
    <col min="7" max="10" width="11" bestFit="1" customWidth="1"/>
    <col min="11" max="11" width="7.125" bestFit="1" customWidth="1"/>
    <col min="12" max="12" width="5.25" bestFit="1" customWidth="1"/>
    <col min="13" max="13" width="2.875" customWidth="1"/>
    <col min="14" max="14" width="9.25" bestFit="1" customWidth="1"/>
    <col min="15" max="15" width="11" bestFit="1" customWidth="1"/>
    <col min="16" max="16" width="6" bestFit="1" customWidth="1"/>
  </cols>
  <sheetData>
    <row r="1" spans="1:16" ht="19.5" thickBot="1">
      <c r="A1" s="53" t="s">
        <v>122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27" t="s">
        <v>123</v>
      </c>
      <c r="O2" s="27" t="s">
        <v>124</v>
      </c>
    </row>
    <row r="3" spans="1:16">
      <c r="A3" s="7" t="s">
        <v>131</v>
      </c>
      <c r="B3" s="1" t="str">
        <f>VLOOKUP(A3,$N$3:$O$6,2,0)</f>
        <v>ＪＫマート</v>
      </c>
      <c r="C3" s="1">
        <v>101</v>
      </c>
      <c r="D3" s="1" t="str">
        <f>VLOOKUP(C3,$N$9:$P$12,2,0)</f>
        <v>P商品</v>
      </c>
      <c r="E3" s="2">
        <f>ROUND(VLOOKUP(C3,$N$9:$P$12,3,FALSE)*1.24,-1)</f>
        <v>1590</v>
      </c>
      <c r="F3" s="1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1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1" t="s">
        <v>131</v>
      </c>
      <c r="O3" s="1" t="s">
        <v>138</v>
      </c>
    </row>
    <row r="4" spans="1:16">
      <c r="A4" s="7" t="s">
        <v>131</v>
      </c>
      <c r="B4" s="1" t="str">
        <f t="shared" ref="B4:B18" si="0">VLOOKUP(A4,$N$3:$O$6,2,0)</f>
        <v>ＪＫマート</v>
      </c>
      <c r="C4" s="1">
        <v>102</v>
      </c>
      <c r="D4" s="1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1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1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1" t="s">
        <v>132</v>
      </c>
      <c r="O4" s="1" t="s">
        <v>140</v>
      </c>
    </row>
    <row r="5" spans="1:16">
      <c r="A5" s="7" t="s">
        <v>131</v>
      </c>
      <c r="B5" s="1" t="str">
        <f t="shared" si="0"/>
        <v>ＪＫマート</v>
      </c>
      <c r="C5" s="1">
        <v>103</v>
      </c>
      <c r="D5" s="1" t="str">
        <f t="shared" si="1"/>
        <v>R商品</v>
      </c>
      <c r="E5" s="2">
        <f t="shared" si="2"/>
        <v>1430</v>
      </c>
      <c r="F5" s="1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1">
        <f t="shared" si="7"/>
        <v>17</v>
      </c>
      <c r="L5" s="8" t="str">
        <f t="shared" si="8"/>
        <v>**</v>
      </c>
      <c r="N5" s="1" t="s">
        <v>133</v>
      </c>
      <c r="O5" s="1" t="s">
        <v>142</v>
      </c>
    </row>
    <row r="6" spans="1:16">
      <c r="A6" s="7" t="s">
        <v>131</v>
      </c>
      <c r="B6" s="1" t="str">
        <f t="shared" si="0"/>
        <v>ＪＫマート</v>
      </c>
      <c r="C6" s="1">
        <v>104</v>
      </c>
      <c r="D6" s="1" t="str">
        <f t="shared" si="1"/>
        <v>S商品</v>
      </c>
      <c r="E6" s="2">
        <f t="shared" si="2"/>
        <v>1040</v>
      </c>
      <c r="F6" s="1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1">
        <f t="shared" si="7"/>
        <v>18</v>
      </c>
      <c r="L6" s="8" t="str">
        <f t="shared" si="8"/>
        <v>*</v>
      </c>
      <c r="N6" s="1" t="s">
        <v>134</v>
      </c>
      <c r="O6" s="1" t="s">
        <v>144</v>
      </c>
    </row>
    <row r="7" spans="1:16">
      <c r="A7" s="7" t="s">
        <v>132</v>
      </c>
      <c r="B7" s="1" t="str">
        <f t="shared" si="0"/>
        <v>共栄百貨店</v>
      </c>
      <c r="C7" s="1">
        <v>101</v>
      </c>
      <c r="D7" s="1" t="str">
        <f t="shared" si="1"/>
        <v>P商品</v>
      </c>
      <c r="E7" s="2">
        <f t="shared" si="2"/>
        <v>1590</v>
      </c>
      <c r="F7" s="1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1">
        <f t="shared" si="7"/>
        <v>18</v>
      </c>
      <c r="L7" s="8" t="str">
        <f t="shared" si="8"/>
        <v>**</v>
      </c>
    </row>
    <row r="8" spans="1:16">
      <c r="A8" s="7" t="s">
        <v>132</v>
      </c>
      <c r="B8" s="1" t="str">
        <f t="shared" si="0"/>
        <v>共栄百貨店</v>
      </c>
      <c r="C8" s="1">
        <v>102</v>
      </c>
      <c r="D8" s="1" t="str">
        <f t="shared" si="1"/>
        <v>Q商品</v>
      </c>
      <c r="E8" s="2">
        <f t="shared" si="2"/>
        <v>890</v>
      </c>
      <c r="F8" s="1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1">
        <f t="shared" si="7"/>
        <v>31</v>
      </c>
      <c r="L8" s="8" t="str">
        <f t="shared" si="8"/>
        <v>*</v>
      </c>
      <c r="N8" s="1" t="s">
        <v>63</v>
      </c>
      <c r="O8" s="27" t="s">
        <v>65</v>
      </c>
      <c r="P8" s="27" t="s">
        <v>145</v>
      </c>
    </row>
    <row r="9" spans="1:16">
      <c r="A9" s="7" t="s">
        <v>132</v>
      </c>
      <c r="B9" s="1" t="str">
        <f t="shared" si="0"/>
        <v>共栄百貨店</v>
      </c>
      <c r="C9" s="1">
        <v>103</v>
      </c>
      <c r="D9" s="1" t="str">
        <f t="shared" si="1"/>
        <v>R商品</v>
      </c>
      <c r="E9" s="2">
        <f t="shared" si="2"/>
        <v>1430</v>
      </c>
      <c r="F9" s="1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1">
        <f t="shared" si="7"/>
        <v>21</v>
      </c>
      <c r="L9" s="8" t="str">
        <f t="shared" si="8"/>
        <v>***</v>
      </c>
      <c r="N9" s="1">
        <v>101</v>
      </c>
      <c r="O9" s="1" t="s">
        <v>147</v>
      </c>
      <c r="P9" s="2">
        <v>1283</v>
      </c>
    </row>
    <row r="10" spans="1:16">
      <c r="A10" s="7" t="s">
        <v>132</v>
      </c>
      <c r="B10" s="1" t="str">
        <f t="shared" si="0"/>
        <v>共栄百貨店</v>
      </c>
      <c r="C10" s="1">
        <v>104</v>
      </c>
      <c r="D10" s="1" t="str">
        <f t="shared" si="1"/>
        <v>S商品</v>
      </c>
      <c r="E10" s="2">
        <f t="shared" si="2"/>
        <v>1040</v>
      </c>
      <c r="F10" s="1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1">
        <f t="shared" si="7"/>
        <v>22</v>
      </c>
      <c r="L10" s="8" t="str">
        <f t="shared" si="8"/>
        <v>**</v>
      </c>
      <c r="N10" s="1">
        <v>102</v>
      </c>
      <c r="O10" s="1" t="s">
        <v>148</v>
      </c>
      <c r="P10" s="2">
        <v>716</v>
      </c>
    </row>
    <row r="11" spans="1:16">
      <c r="A11" s="7" t="s">
        <v>133</v>
      </c>
      <c r="B11" s="1" t="str">
        <f t="shared" si="0"/>
        <v>長谷川商店</v>
      </c>
      <c r="C11" s="1">
        <v>101</v>
      </c>
      <c r="D11" s="1" t="str">
        <f t="shared" si="1"/>
        <v>P商品</v>
      </c>
      <c r="E11" s="2">
        <f t="shared" si="2"/>
        <v>1590</v>
      </c>
      <c r="F11" s="1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1">
        <f t="shared" si="7"/>
        <v>19</v>
      </c>
      <c r="L11" s="8" t="str">
        <f t="shared" si="8"/>
        <v>**</v>
      </c>
      <c r="N11" s="1">
        <v>103</v>
      </c>
      <c r="O11" s="1" t="s">
        <v>150</v>
      </c>
      <c r="P11" s="2">
        <v>1154</v>
      </c>
    </row>
    <row r="12" spans="1:16">
      <c r="A12" s="7" t="s">
        <v>133</v>
      </c>
      <c r="B12" s="1" t="str">
        <f t="shared" si="0"/>
        <v>長谷川商店</v>
      </c>
      <c r="C12" s="1">
        <v>102</v>
      </c>
      <c r="D12" s="1" t="str">
        <f t="shared" si="1"/>
        <v>Q商品</v>
      </c>
      <c r="E12" s="2">
        <f t="shared" si="2"/>
        <v>890</v>
      </c>
      <c r="F12" s="1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1">
        <f t="shared" si="7"/>
        <v>32</v>
      </c>
      <c r="L12" s="8" t="str">
        <f t="shared" si="8"/>
        <v>*</v>
      </c>
      <c r="N12" s="1">
        <v>104</v>
      </c>
      <c r="O12" s="1" t="s">
        <v>151</v>
      </c>
      <c r="P12" s="2">
        <v>839</v>
      </c>
    </row>
    <row r="13" spans="1:16">
      <c r="A13" s="7" t="s">
        <v>133</v>
      </c>
      <c r="B13" s="1" t="str">
        <f t="shared" si="0"/>
        <v>長谷川商店</v>
      </c>
      <c r="C13" s="1">
        <v>103</v>
      </c>
      <c r="D13" s="1" t="str">
        <f t="shared" si="1"/>
        <v>R商品</v>
      </c>
      <c r="E13" s="2">
        <f t="shared" si="2"/>
        <v>1430</v>
      </c>
      <c r="F13" s="1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1">
        <f t="shared" si="7"/>
        <v>23</v>
      </c>
      <c r="L13" s="8" t="str">
        <f t="shared" si="8"/>
        <v>***</v>
      </c>
    </row>
    <row r="14" spans="1:16">
      <c r="A14" s="7" t="s">
        <v>133</v>
      </c>
      <c r="B14" s="1" t="str">
        <f t="shared" si="0"/>
        <v>長谷川商店</v>
      </c>
      <c r="C14" s="1">
        <v>104</v>
      </c>
      <c r="D14" s="1" t="str">
        <f t="shared" si="1"/>
        <v>S商品</v>
      </c>
      <c r="E14" s="2">
        <f t="shared" si="2"/>
        <v>1040</v>
      </c>
      <c r="F14" s="1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1">
        <f t="shared" si="7"/>
        <v>20</v>
      </c>
      <c r="L14" s="8" t="str">
        <f t="shared" si="8"/>
        <v>**</v>
      </c>
      <c r="N14" s="27" t="s">
        <v>152</v>
      </c>
      <c r="O14" s="27" t="s">
        <v>128</v>
      </c>
    </row>
    <row r="15" spans="1:16">
      <c r="A15" s="7" t="s">
        <v>134</v>
      </c>
      <c r="B15" s="1" t="str">
        <f t="shared" si="0"/>
        <v>新鮮ストア</v>
      </c>
      <c r="C15" s="1">
        <v>101</v>
      </c>
      <c r="D15" s="1" t="str">
        <f t="shared" si="1"/>
        <v>P商品</v>
      </c>
      <c r="E15" s="2">
        <f t="shared" si="2"/>
        <v>1590</v>
      </c>
      <c r="F15" s="1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1">
        <f t="shared" si="7"/>
        <v>28</v>
      </c>
      <c r="L15" s="8" t="str">
        <f t="shared" si="8"/>
        <v>***</v>
      </c>
      <c r="N15" s="1" t="s">
        <v>153</v>
      </c>
      <c r="O15" s="26">
        <v>7.4999999999999997E-2</v>
      </c>
    </row>
    <row r="16" spans="1:16">
      <c r="A16" s="7" t="s">
        <v>134</v>
      </c>
      <c r="B16" s="1" t="str">
        <f t="shared" si="0"/>
        <v>新鮮ストア</v>
      </c>
      <c r="C16" s="1">
        <v>102</v>
      </c>
      <c r="D16" s="1" t="str">
        <f t="shared" si="1"/>
        <v>Q商品</v>
      </c>
      <c r="E16" s="2">
        <f t="shared" si="2"/>
        <v>890</v>
      </c>
      <c r="F16" s="1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1">
        <f t="shared" si="7"/>
        <v>34</v>
      </c>
      <c r="L16" s="8" t="str">
        <f t="shared" si="8"/>
        <v>*</v>
      </c>
      <c r="N16" s="1" t="s">
        <v>154</v>
      </c>
      <c r="O16" s="26">
        <v>6.4000000000000001E-2</v>
      </c>
    </row>
    <row r="17" spans="1:12">
      <c r="A17" s="7" t="s">
        <v>134</v>
      </c>
      <c r="B17" s="1" t="str">
        <f t="shared" si="0"/>
        <v>新鮮ストア</v>
      </c>
      <c r="C17" s="1">
        <v>103</v>
      </c>
      <c r="D17" s="1" t="str">
        <f t="shared" si="1"/>
        <v>R商品</v>
      </c>
      <c r="E17" s="2">
        <f t="shared" si="2"/>
        <v>1430</v>
      </c>
      <c r="F17" s="1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1">
        <f t="shared" si="7"/>
        <v>31</v>
      </c>
      <c r="L17" s="8" t="str">
        <f t="shared" si="8"/>
        <v>***</v>
      </c>
    </row>
    <row r="18" spans="1:12">
      <c r="A18" s="7" t="s">
        <v>134</v>
      </c>
      <c r="B18" s="1" t="str">
        <f t="shared" si="0"/>
        <v>新鮮ストア</v>
      </c>
      <c r="C18" s="1">
        <v>104</v>
      </c>
      <c r="D18" s="1" t="str">
        <f t="shared" si="1"/>
        <v>S商品</v>
      </c>
      <c r="E18" s="2">
        <f t="shared" si="2"/>
        <v>1040</v>
      </c>
      <c r="F18" s="1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1">
        <f t="shared" si="7"/>
        <v>20</v>
      </c>
      <c r="L18" s="8" t="str">
        <f t="shared" si="8"/>
        <v>*</v>
      </c>
    </row>
    <row r="19" spans="1:12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2" ht="19.5" thickBot="1">
      <c r="A20" s="9"/>
      <c r="B20" s="10" t="s">
        <v>32</v>
      </c>
      <c r="C20" s="11"/>
      <c r="D20" s="11"/>
      <c r="E20" s="11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53" t="s">
        <v>156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7" t="s">
        <v>134</v>
      </c>
      <c r="B24" s="1" t="s">
        <v>143</v>
      </c>
      <c r="C24" s="1">
        <v>101</v>
      </c>
      <c r="D24" s="1" t="s">
        <v>146</v>
      </c>
      <c r="E24" s="2">
        <v>1590</v>
      </c>
      <c r="F24" s="1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1">
        <v>28</v>
      </c>
      <c r="L24" s="8" t="s">
        <v>155</v>
      </c>
    </row>
    <row r="25" spans="1:12">
      <c r="A25" s="7" t="s">
        <v>131</v>
      </c>
      <c r="B25" s="1" t="s">
        <v>137</v>
      </c>
      <c r="C25" s="1">
        <v>101</v>
      </c>
      <c r="D25" s="1" t="s">
        <v>146</v>
      </c>
      <c r="E25" s="2">
        <v>1590</v>
      </c>
      <c r="F25" s="1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1">
        <v>23</v>
      </c>
      <c r="L25" s="8" t="s">
        <v>155</v>
      </c>
    </row>
    <row r="26" spans="1:12">
      <c r="A26" s="7" t="s">
        <v>132</v>
      </c>
      <c r="B26" s="1" t="s">
        <v>139</v>
      </c>
      <c r="C26" s="1">
        <v>103</v>
      </c>
      <c r="D26" s="1" t="s">
        <v>150</v>
      </c>
      <c r="E26" s="2">
        <v>1430</v>
      </c>
      <c r="F26" s="1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1">
        <v>21</v>
      </c>
      <c r="L26" s="8" t="s">
        <v>155</v>
      </c>
    </row>
    <row r="27" spans="1:12">
      <c r="A27" s="7" t="s">
        <v>133</v>
      </c>
      <c r="B27" s="1" t="s">
        <v>141</v>
      </c>
      <c r="C27" s="1">
        <v>103</v>
      </c>
      <c r="D27" s="1" t="s">
        <v>149</v>
      </c>
      <c r="E27" s="2">
        <v>1430</v>
      </c>
      <c r="F27" s="1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1">
        <v>23</v>
      </c>
      <c r="L27" s="8" t="s">
        <v>155</v>
      </c>
    </row>
    <row r="28" spans="1:12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8"/>
    </row>
    <row r="29" spans="1:12" ht="19.5" thickBot="1">
      <c r="A29" s="9"/>
      <c r="B29" s="10" t="s">
        <v>32</v>
      </c>
      <c r="C29" s="11"/>
      <c r="D29" s="11"/>
      <c r="E29" s="11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53" t="s">
        <v>157</v>
      </c>
      <c r="B31" s="53"/>
      <c r="C31" s="53"/>
      <c r="D31" s="53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27" t="s">
        <v>124</v>
      </c>
      <c r="H32" s="27" t="s">
        <v>124</v>
      </c>
      <c r="I32" s="27" t="s">
        <v>124</v>
      </c>
      <c r="J32" s="27" t="s">
        <v>124</v>
      </c>
    </row>
    <row r="33" spans="1:15">
      <c r="A33" s="7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1" t="s">
        <v>137</v>
      </c>
      <c r="H33" s="1" t="s">
        <v>139</v>
      </c>
      <c r="I33" s="1" t="s">
        <v>141</v>
      </c>
      <c r="J33" s="1" t="s">
        <v>143</v>
      </c>
      <c r="O33" s="1" t="s">
        <v>135</v>
      </c>
    </row>
    <row r="34" spans="1:15">
      <c r="A34" s="7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1" t="s">
        <v>161</v>
      </c>
    </row>
    <row r="35" spans="1:15">
      <c r="A35" s="7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9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1" t="s">
        <v>102</v>
      </c>
      <c r="O36" s="1" t="s">
        <v>163</v>
      </c>
    </row>
    <row r="37" spans="1:15" ht="19.5" thickBot="1">
      <c r="N37" s="1" t="s">
        <v>162</v>
      </c>
      <c r="O37" s="1" t="s">
        <v>164</v>
      </c>
    </row>
    <row r="38" spans="1:15">
      <c r="A38" s="64" t="s">
        <v>158</v>
      </c>
      <c r="B38" s="65"/>
      <c r="C38" s="65"/>
      <c r="D38" s="65"/>
      <c r="E38" s="18">
        <f>ROUND(DAVERAGE(得意先別売上一覧表3,J2,O33:O34),0)</f>
        <v>656397</v>
      </c>
    </row>
    <row r="39" spans="1:15">
      <c r="A39" s="66" t="s">
        <v>159</v>
      </c>
      <c r="B39" s="67"/>
      <c r="C39" s="67"/>
      <c r="D39" s="67"/>
      <c r="E39" s="8">
        <f>DCOUNT(得意先別売上一覧表3,G2,N36:O37)</f>
        <v>10</v>
      </c>
      <c r="N39" s="1" t="s">
        <v>129</v>
      </c>
      <c r="O39" s="1" t="s">
        <v>129</v>
      </c>
    </row>
    <row r="40" spans="1:15" ht="19.5" thickBot="1">
      <c r="A40" s="62" t="s">
        <v>160</v>
      </c>
      <c r="B40" s="63"/>
      <c r="C40" s="63"/>
      <c r="D40" s="63"/>
      <c r="E40" s="16">
        <f>DSUM(得意先別売上一覧表3,I2,N39:O40)</f>
        <v>352820</v>
      </c>
      <c r="N40" s="1" t="s">
        <v>165</v>
      </c>
      <c r="O40" s="1" t="s">
        <v>166</v>
      </c>
    </row>
  </sheetData>
  <sortState ref="A24:L27">
    <sortCondition ref="C24:C27"/>
    <sortCondition descending="1" ref="I24:I27"/>
  </sortState>
  <mergeCells count="6">
    <mergeCell ref="A40:D40"/>
    <mergeCell ref="A1:L1"/>
    <mergeCell ref="A22:L22"/>
    <mergeCell ref="A31:D31"/>
    <mergeCell ref="A38:D38"/>
    <mergeCell ref="A39:D39"/>
  </mergeCells>
  <phoneticPr fontId="2"/>
  <pageMargins left="0.25" right="0.25" top="0.75" bottom="0.75" header="0.3" footer="0.3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BECA-869F-48D6-8486-E9480AA59F8E}">
  <sheetPr>
    <pageSetUpPr fitToPage="1"/>
  </sheetPr>
  <dimension ref="A1:P40"/>
  <sheetViews>
    <sheetView showFormulas="1" topLeftCell="D1" workbookViewId="0">
      <selection activeCell="A29" sqref="A1:O1048576"/>
    </sheetView>
  </sheetViews>
  <sheetFormatPr defaultRowHeight="18.75"/>
  <cols>
    <col min="1" max="1" width="5.625" bestFit="1" customWidth="1"/>
    <col min="2" max="3" width="24.5" bestFit="1" customWidth="1"/>
    <col min="4" max="4" width="24.625" bestFit="1" customWidth="1"/>
    <col min="5" max="5" width="28.375" bestFit="1" customWidth="1"/>
    <col min="6" max="6" width="8.125" bestFit="1" customWidth="1"/>
    <col min="7" max="7" width="8.375" bestFit="1" customWidth="1"/>
    <col min="8" max="8" width="30.875" bestFit="1" customWidth="1"/>
    <col min="9" max="9" width="12.75" bestFit="1" customWidth="1"/>
    <col min="10" max="10" width="7.625" bestFit="1" customWidth="1"/>
    <col min="11" max="11" width="32.125" bestFit="1" customWidth="1"/>
    <col min="12" max="12" width="44.75" bestFit="1" customWidth="1"/>
    <col min="13" max="13" width="2.875" customWidth="1"/>
    <col min="14" max="14" width="4.75" bestFit="1" customWidth="1"/>
    <col min="15" max="15" width="5.625" bestFit="1" customWidth="1"/>
    <col min="16" max="16" width="6" bestFit="1" customWidth="1"/>
  </cols>
  <sheetData>
    <row r="1" spans="1:16" ht="19.5" thickBot="1">
      <c r="A1" s="53" t="s">
        <v>122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43" t="s">
        <v>123</v>
      </c>
      <c r="O2" s="43" t="s">
        <v>124</v>
      </c>
    </row>
    <row r="3" spans="1:16">
      <c r="A3" s="41" t="s">
        <v>131</v>
      </c>
      <c r="B3" s="42" t="str">
        <f>VLOOKUP(A3,$N$3:$O$6,2,0)</f>
        <v>ＪＫマート</v>
      </c>
      <c r="C3" s="42">
        <v>101</v>
      </c>
      <c r="D3" s="42" t="str">
        <f>VLOOKUP(C3,$N$9:$P$12,2,0)</f>
        <v>P商品</v>
      </c>
      <c r="E3" s="2">
        <f>ROUND(VLOOKUP(C3,$N$9:$P$12,3,FALSE)*1.24,-1)</f>
        <v>1590</v>
      </c>
      <c r="F3" s="42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42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42" t="s">
        <v>131</v>
      </c>
      <c r="O3" s="42" t="s">
        <v>138</v>
      </c>
    </row>
    <row r="4" spans="1:16">
      <c r="A4" s="41" t="s">
        <v>131</v>
      </c>
      <c r="B4" s="42" t="str">
        <f t="shared" ref="B4:B18" si="0">VLOOKUP(A4,$N$3:$O$6,2,0)</f>
        <v>ＪＫマート</v>
      </c>
      <c r="C4" s="42">
        <v>102</v>
      </c>
      <c r="D4" s="42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42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42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42" t="s">
        <v>132</v>
      </c>
      <c r="O4" s="42" t="s">
        <v>140</v>
      </c>
    </row>
    <row r="5" spans="1:16">
      <c r="A5" s="41" t="s">
        <v>131</v>
      </c>
      <c r="B5" s="42" t="str">
        <f t="shared" si="0"/>
        <v>ＪＫマート</v>
      </c>
      <c r="C5" s="42">
        <v>103</v>
      </c>
      <c r="D5" s="42" t="str">
        <f t="shared" si="1"/>
        <v>R商品</v>
      </c>
      <c r="E5" s="2">
        <f t="shared" si="2"/>
        <v>1430</v>
      </c>
      <c r="F5" s="42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42">
        <f t="shared" si="7"/>
        <v>17</v>
      </c>
      <c r="L5" s="8" t="str">
        <f t="shared" si="8"/>
        <v>**</v>
      </c>
      <c r="N5" s="42" t="s">
        <v>133</v>
      </c>
      <c r="O5" s="42" t="s">
        <v>142</v>
      </c>
    </row>
    <row r="6" spans="1:16">
      <c r="A6" s="41" t="s">
        <v>131</v>
      </c>
      <c r="B6" s="42" t="str">
        <f t="shared" si="0"/>
        <v>ＪＫマート</v>
      </c>
      <c r="C6" s="42">
        <v>104</v>
      </c>
      <c r="D6" s="42" t="str">
        <f t="shared" si="1"/>
        <v>S商品</v>
      </c>
      <c r="E6" s="2">
        <f t="shared" si="2"/>
        <v>1040</v>
      </c>
      <c r="F6" s="42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42">
        <f t="shared" si="7"/>
        <v>18</v>
      </c>
      <c r="L6" s="8" t="str">
        <f t="shared" si="8"/>
        <v>*</v>
      </c>
      <c r="N6" s="42" t="s">
        <v>134</v>
      </c>
      <c r="O6" s="42" t="s">
        <v>144</v>
      </c>
    </row>
    <row r="7" spans="1:16">
      <c r="A7" s="41" t="s">
        <v>132</v>
      </c>
      <c r="B7" s="42" t="str">
        <f t="shared" si="0"/>
        <v>共栄百貨店</v>
      </c>
      <c r="C7" s="42">
        <v>101</v>
      </c>
      <c r="D7" s="42" t="str">
        <f t="shared" si="1"/>
        <v>P商品</v>
      </c>
      <c r="E7" s="2">
        <f t="shared" si="2"/>
        <v>1590</v>
      </c>
      <c r="F7" s="42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42">
        <f t="shared" si="7"/>
        <v>18</v>
      </c>
      <c r="L7" s="8" t="str">
        <f t="shared" si="8"/>
        <v>**</v>
      </c>
    </row>
    <row r="8" spans="1:16">
      <c r="A8" s="41" t="s">
        <v>132</v>
      </c>
      <c r="B8" s="42" t="str">
        <f t="shared" si="0"/>
        <v>共栄百貨店</v>
      </c>
      <c r="C8" s="42">
        <v>102</v>
      </c>
      <c r="D8" s="42" t="str">
        <f t="shared" si="1"/>
        <v>Q商品</v>
      </c>
      <c r="E8" s="2">
        <f t="shared" si="2"/>
        <v>890</v>
      </c>
      <c r="F8" s="42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42">
        <f t="shared" si="7"/>
        <v>31</v>
      </c>
      <c r="L8" s="8" t="str">
        <f t="shared" si="8"/>
        <v>*</v>
      </c>
      <c r="N8" s="42" t="s">
        <v>63</v>
      </c>
      <c r="O8" s="43" t="s">
        <v>65</v>
      </c>
      <c r="P8" s="43" t="s">
        <v>145</v>
      </c>
    </row>
    <row r="9" spans="1:16">
      <c r="A9" s="41" t="s">
        <v>132</v>
      </c>
      <c r="B9" s="42" t="str">
        <f t="shared" si="0"/>
        <v>共栄百貨店</v>
      </c>
      <c r="C9" s="42">
        <v>103</v>
      </c>
      <c r="D9" s="42" t="str">
        <f t="shared" si="1"/>
        <v>R商品</v>
      </c>
      <c r="E9" s="2">
        <f t="shared" si="2"/>
        <v>1430</v>
      </c>
      <c r="F9" s="42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42">
        <f t="shared" si="7"/>
        <v>21</v>
      </c>
      <c r="L9" s="8" t="str">
        <f t="shared" si="8"/>
        <v>***</v>
      </c>
      <c r="N9" s="42">
        <v>101</v>
      </c>
      <c r="O9" s="42" t="s">
        <v>147</v>
      </c>
      <c r="P9" s="2">
        <v>1283</v>
      </c>
    </row>
    <row r="10" spans="1:16">
      <c r="A10" s="41" t="s">
        <v>132</v>
      </c>
      <c r="B10" s="42" t="str">
        <f t="shared" si="0"/>
        <v>共栄百貨店</v>
      </c>
      <c r="C10" s="42">
        <v>104</v>
      </c>
      <c r="D10" s="42" t="str">
        <f t="shared" si="1"/>
        <v>S商品</v>
      </c>
      <c r="E10" s="2">
        <f t="shared" si="2"/>
        <v>1040</v>
      </c>
      <c r="F10" s="42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42">
        <f t="shared" si="7"/>
        <v>22</v>
      </c>
      <c r="L10" s="8" t="str">
        <f t="shared" si="8"/>
        <v>**</v>
      </c>
      <c r="N10" s="42">
        <v>102</v>
      </c>
      <c r="O10" s="42" t="s">
        <v>148</v>
      </c>
      <c r="P10" s="2">
        <v>716</v>
      </c>
    </row>
    <row r="11" spans="1:16">
      <c r="A11" s="41" t="s">
        <v>133</v>
      </c>
      <c r="B11" s="42" t="str">
        <f t="shared" si="0"/>
        <v>長谷川商店</v>
      </c>
      <c r="C11" s="42">
        <v>101</v>
      </c>
      <c r="D11" s="42" t="str">
        <f t="shared" si="1"/>
        <v>P商品</v>
      </c>
      <c r="E11" s="2">
        <f t="shared" si="2"/>
        <v>1590</v>
      </c>
      <c r="F11" s="42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42">
        <f t="shared" si="7"/>
        <v>19</v>
      </c>
      <c r="L11" s="8" t="str">
        <f t="shared" si="8"/>
        <v>**</v>
      </c>
      <c r="N11" s="42">
        <v>103</v>
      </c>
      <c r="O11" s="42" t="s">
        <v>150</v>
      </c>
      <c r="P11" s="2">
        <v>1154</v>
      </c>
    </row>
    <row r="12" spans="1:16">
      <c r="A12" s="41" t="s">
        <v>133</v>
      </c>
      <c r="B12" s="42" t="str">
        <f t="shared" si="0"/>
        <v>長谷川商店</v>
      </c>
      <c r="C12" s="42">
        <v>102</v>
      </c>
      <c r="D12" s="42" t="str">
        <f t="shared" si="1"/>
        <v>Q商品</v>
      </c>
      <c r="E12" s="2">
        <f t="shared" si="2"/>
        <v>890</v>
      </c>
      <c r="F12" s="42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42">
        <f t="shared" si="7"/>
        <v>32</v>
      </c>
      <c r="L12" s="8" t="str">
        <f t="shared" si="8"/>
        <v>*</v>
      </c>
      <c r="N12" s="42">
        <v>104</v>
      </c>
      <c r="O12" s="42" t="s">
        <v>151</v>
      </c>
      <c r="P12" s="2">
        <v>839</v>
      </c>
    </row>
    <row r="13" spans="1:16">
      <c r="A13" s="41" t="s">
        <v>133</v>
      </c>
      <c r="B13" s="42" t="str">
        <f t="shared" si="0"/>
        <v>長谷川商店</v>
      </c>
      <c r="C13" s="42">
        <v>103</v>
      </c>
      <c r="D13" s="42" t="str">
        <f t="shared" si="1"/>
        <v>R商品</v>
      </c>
      <c r="E13" s="2">
        <f t="shared" si="2"/>
        <v>1430</v>
      </c>
      <c r="F13" s="42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42">
        <f t="shared" si="7"/>
        <v>23</v>
      </c>
      <c r="L13" s="8" t="str">
        <f t="shared" si="8"/>
        <v>***</v>
      </c>
    </row>
    <row r="14" spans="1:16">
      <c r="A14" s="41" t="s">
        <v>133</v>
      </c>
      <c r="B14" s="42" t="str">
        <f t="shared" si="0"/>
        <v>長谷川商店</v>
      </c>
      <c r="C14" s="42">
        <v>104</v>
      </c>
      <c r="D14" s="42" t="str">
        <f t="shared" si="1"/>
        <v>S商品</v>
      </c>
      <c r="E14" s="2">
        <f t="shared" si="2"/>
        <v>1040</v>
      </c>
      <c r="F14" s="42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42">
        <f t="shared" si="7"/>
        <v>20</v>
      </c>
      <c r="L14" s="8" t="str">
        <f t="shared" si="8"/>
        <v>**</v>
      </c>
      <c r="N14" s="43" t="s">
        <v>152</v>
      </c>
      <c r="O14" s="43" t="s">
        <v>128</v>
      </c>
    </row>
    <row r="15" spans="1:16">
      <c r="A15" s="41" t="s">
        <v>134</v>
      </c>
      <c r="B15" s="42" t="str">
        <f t="shared" si="0"/>
        <v>新鮮ストア</v>
      </c>
      <c r="C15" s="42">
        <v>101</v>
      </c>
      <c r="D15" s="42" t="str">
        <f t="shared" si="1"/>
        <v>P商品</v>
      </c>
      <c r="E15" s="2">
        <f t="shared" si="2"/>
        <v>1590</v>
      </c>
      <c r="F15" s="42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42">
        <f t="shared" si="7"/>
        <v>28</v>
      </c>
      <c r="L15" s="8" t="str">
        <f t="shared" si="8"/>
        <v>***</v>
      </c>
      <c r="N15" s="42" t="s">
        <v>153</v>
      </c>
      <c r="O15" s="26">
        <v>7.4999999999999997E-2</v>
      </c>
    </row>
    <row r="16" spans="1:16">
      <c r="A16" s="41" t="s">
        <v>134</v>
      </c>
      <c r="B16" s="42" t="str">
        <f t="shared" si="0"/>
        <v>新鮮ストア</v>
      </c>
      <c r="C16" s="42">
        <v>102</v>
      </c>
      <c r="D16" s="42" t="str">
        <f t="shared" si="1"/>
        <v>Q商品</v>
      </c>
      <c r="E16" s="2">
        <f t="shared" si="2"/>
        <v>890</v>
      </c>
      <c r="F16" s="42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42">
        <f t="shared" si="7"/>
        <v>34</v>
      </c>
      <c r="L16" s="8" t="str">
        <f t="shared" si="8"/>
        <v>*</v>
      </c>
      <c r="N16" s="42" t="s">
        <v>154</v>
      </c>
      <c r="O16" s="26">
        <v>6.4000000000000001E-2</v>
      </c>
    </row>
    <row r="17" spans="1:12">
      <c r="A17" s="41" t="s">
        <v>134</v>
      </c>
      <c r="B17" s="42" t="str">
        <f t="shared" si="0"/>
        <v>新鮮ストア</v>
      </c>
      <c r="C17" s="42">
        <v>103</v>
      </c>
      <c r="D17" s="42" t="str">
        <f t="shared" si="1"/>
        <v>R商品</v>
      </c>
      <c r="E17" s="2">
        <f t="shared" si="2"/>
        <v>1430</v>
      </c>
      <c r="F17" s="42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42">
        <f t="shared" si="7"/>
        <v>31</v>
      </c>
      <c r="L17" s="8" t="str">
        <f t="shared" si="8"/>
        <v>***</v>
      </c>
    </row>
    <row r="18" spans="1:12">
      <c r="A18" s="41" t="s">
        <v>134</v>
      </c>
      <c r="B18" s="42" t="str">
        <f t="shared" si="0"/>
        <v>新鮮ストア</v>
      </c>
      <c r="C18" s="42">
        <v>104</v>
      </c>
      <c r="D18" s="42" t="str">
        <f t="shared" si="1"/>
        <v>S商品</v>
      </c>
      <c r="E18" s="2">
        <f t="shared" si="2"/>
        <v>1040</v>
      </c>
      <c r="F18" s="42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42">
        <f t="shared" si="7"/>
        <v>20</v>
      </c>
      <c r="L18" s="8" t="str">
        <f t="shared" si="8"/>
        <v>*</v>
      </c>
    </row>
    <row r="19" spans="1:12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8"/>
    </row>
    <row r="20" spans="1:12" ht="19.5" thickBot="1">
      <c r="A20" s="38"/>
      <c r="B20" s="10" t="s">
        <v>32</v>
      </c>
      <c r="C20" s="39"/>
      <c r="D20" s="39"/>
      <c r="E20" s="39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53" t="s">
        <v>156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41" t="s">
        <v>134</v>
      </c>
      <c r="B24" s="42" t="s">
        <v>143</v>
      </c>
      <c r="C24" s="42">
        <v>101</v>
      </c>
      <c r="D24" s="42" t="s">
        <v>146</v>
      </c>
      <c r="E24" s="2">
        <v>1590</v>
      </c>
      <c r="F24" s="42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42">
        <v>28</v>
      </c>
      <c r="L24" s="8" t="s">
        <v>155</v>
      </c>
    </row>
    <row r="25" spans="1:12">
      <c r="A25" s="41" t="s">
        <v>131</v>
      </c>
      <c r="B25" s="42" t="s">
        <v>137</v>
      </c>
      <c r="C25" s="42">
        <v>101</v>
      </c>
      <c r="D25" s="42" t="s">
        <v>146</v>
      </c>
      <c r="E25" s="2">
        <v>1590</v>
      </c>
      <c r="F25" s="42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42">
        <v>23</v>
      </c>
      <c r="L25" s="8" t="s">
        <v>155</v>
      </c>
    </row>
    <row r="26" spans="1:12">
      <c r="A26" s="41" t="s">
        <v>132</v>
      </c>
      <c r="B26" s="42" t="s">
        <v>139</v>
      </c>
      <c r="C26" s="42">
        <v>103</v>
      </c>
      <c r="D26" s="42" t="s">
        <v>150</v>
      </c>
      <c r="E26" s="2">
        <v>1430</v>
      </c>
      <c r="F26" s="42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42">
        <v>21</v>
      </c>
      <c r="L26" s="8" t="s">
        <v>155</v>
      </c>
    </row>
    <row r="27" spans="1:12">
      <c r="A27" s="41" t="s">
        <v>133</v>
      </c>
      <c r="B27" s="42" t="s">
        <v>141</v>
      </c>
      <c r="C27" s="42">
        <v>103</v>
      </c>
      <c r="D27" s="42" t="s">
        <v>149</v>
      </c>
      <c r="E27" s="2">
        <v>1430</v>
      </c>
      <c r="F27" s="42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42">
        <v>23</v>
      </c>
      <c r="L27" s="8" t="s">
        <v>155</v>
      </c>
    </row>
    <row r="28" spans="1:12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8"/>
    </row>
    <row r="29" spans="1:12" ht="19.5" thickBot="1">
      <c r="A29" s="38"/>
      <c r="B29" s="10" t="s">
        <v>32</v>
      </c>
      <c r="C29" s="39"/>
      <c r="D29" s="39"/>
      <c r="E29" s="39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53" t="s">
        <v>157</v>
      </c>
      <c r="B31" s="53"/>
      <c r="C31" s="53"/>
      <c r="D31" s="53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43" t="s">
        <v>124</v>
      </c>
      <c r="H32" s="43" t="s">
        <v>124</v>
      </c>
      <c r="I32" s="43" t="s">
        <v>124</v>
      </c>
      <c r="J32" s="43" t="s">
        <v>124</v>
      </c>
    </row>
    <row r="33" spans="1:15">
      <c r="A33" s="41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42" t="s">
        <v>137</v>
      </c>
      <c r="H33" s="42" t="s">
        <v>139</v>
      </c>
      <c r="I33" s="42" t="s">
        <v>141</v>
      </c>
      <c r="J33" s="42" t="s">
        <v>143</v>
      </c>
      <c r="O33" s="42" t="s">
        <v>135</v>
      </c>
    </row>
    <row r="34" spans="1:15">
      <c r="A34" s="41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42" t="s">
        <v>161</v>
      </c>
    </row>
    <row r="35" spans="1:15">
      <c r="A35" s="41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38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42" t="s">
        <v>102</v>
      </c>
      <c r="O36" s="42" t="s">
        <v>163</v>
      </c>
    </row>
    <row r="37" spans="1:15" ht="19.5" thickBot="1">
      <c r="N37" s="42" t="s">
        <v>162</v>
      </c>
      <c r="O37" s="42" t="s">
        <v>164</v>
      </c>
    </row>
    <row r="38" spans="1:15">
      <c r="A38" s="64" t="s">
        <v>158</v>
      </c>
      <c r="B38" s="65"/>
      <c r="C38" s="65"/>
      <c r="D38" s="65"/>
      <c r="E38" s="18">
        <f>ROUND(DAVERAGE(得意先別売上一覧表3,J2,O33:O34),0)</f>
        <v>656397</v>
      </c>
    </row>
    <row r="39" spans="1:15">
      <c r="A39" s="66" t="s">
        <v>159</v>
      </c>
      <c r="B39" s="67"/>
      <c r="C39" s="67"/>
      <c r="D39" s="67"/>
      <c r="E39" s="8">
        <f>DCOUNT(得意先別売上一覧表3,G2,N36:O37)</f>
        <v>10</v>
      </c>
      <c r="N39" s="42" t="s">
        <v>129</v>
      </c>
      <c r="O39" s="42" t="s">
        <v>129</v>
      </c>
    </row>
    <row r="40" spans="1:15" ht="19.5" thickBot="1">
      <c r="A40" s="62" t="s">
        <v>160</v>
      </c>
      <c r="B40" s="63"/>
      <c r="C40" s="63"/>
      <c r="D40" s="63"/>
      <c r="E40" s="16">
        <f>DSUM(得意先別売上一覧表3,I2,N39:O40)</f>
        <v>352820</v>
      </c>
      <c r="N40" s="42" t="s">
        <v>165</v>
      </c>
      <c r="O40" s="42" t="s">
        <v>166</v>
      </c>
    </row>
  </sheetData>
  <mergeCells count="6">
    <mergeCell ref="A40:D40"/>
    <mergeCell ref="A1:L1"/>
    <mergeCell ref="A22:L22"/>
    <mergeCell ref="A31:D31"/>
    <mergeCell ref="A38:D38"/>
    <mergeCell ref="A39:D39"/>
  </mergeCells>
  <phoneticPr fontId="2"/>
  <pageMargins left="0.25" right="0.25" top="0.75" bottom="0.75" header="0.3" footer="0.3"/>
  <pageSetup paperSize="9" scale="2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000-C895-4913-AA3F-82D3DCD509FF}">
  <sheetPr>
    <pageSetUpPr fitToPage="1"/>
  </sheetPr>
  <dimension ref="A1:R41"/>
  <sheetViews>
    <sheetView topLeftCell="A29" workbookViewId="0">
      <selection activeCell="P51" sqref="P51"/>
    </sheetView>
  </sheetViews>
  <sheetFormatPr defaultRowHeight="18.75"/>
  <cols>
    <col min="1" max="2" width="9" bestFit="1" customWidth="1"/>
    <col min="3" max="3" width="9.5" bestFit="1" customWidth="1"/>
    <col min="4" max="4" width="8" bestFit="1" customWidth="1"/>
    <col min="5" max="5" width="6" bestFit="1" customWidth="1"/>
    <col min="7" max="7" width="9.5" bestFit="1" customWidth="1"/>
    <col min="8" max="8" width="9" bestFit="1" customWidth="1"/>
    <col min="9" max="9" width="10.25" bestFit="1" customWidth="1"/>
    <col min="10" max="10" width="7.5" bestFit="1" customWidth="1"/>
    <col min="11" max="11" width="9.25" bestFit="1" customWidth="1"/>
    <col min="12" max="12" width="13" bestFit="1" customWidth="1"/>
    <col min="13" max="13" width="11.875" bestFit="1" customWidth="1"/>
    <col min="14" max="14" width="5.5" customWidth="1"/>
    <col min="15" max="18" width="7.125" bestFit="1" customWidth="1"/>
  </cols>
  <sheetData>
    <row r="1" spans="1:18" ht="19.5" thickBot="1">
      <c r="A1" s="53" t="s">
        <v>167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27" t="s">
        <v>168</v>
      </c>
      <c r="P2" s="27" t="s">
        <v>175</v>
      </c>
      <c r="Q2" s="27" t="s">
        <v>176</v>
      </c>
    </row>
    <row r="3" spans="1:18">
      <c r="A3" s="7">
        <v>101</v>
      </c>
      <c r="B3" s="1" t="str">
        <f>_xlfn.TEXTJOIN("",TRUE,VLOOKUP(A3,$O$3:$Q$6,2,0),"支店")</f>
        <v>新宿支店</v>
      </c>
      <c r="C3" s="1">
        <v>1001</v>
      </c>
      <c r="D3" s="1" t="str">
        <f>VLOOKUP(C3,$O$9:$R$12,2,0)</f>
        <v>商品J</v>
      </c>
      <c r="E3" s="2">
        <f>VLOOKUP(C3,$O$9:$R$12,3,0)</f>
        <v>1867</v>
      </c>
      <c r="F3" s="1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1">
        <v>101</v>
      </c>
      <c r="P3" s="1" t="s">
        <v>177</v>
      </c>
      <c r="Q3" s="1">
        <v>11</v>
      </c>
    </row>
    <row r="4" spans="1:18">
      <c r="A4" s="7">
        <v>101</v>
      </c>
      <c r="B4" s="1" t="str">
        <f t="shared" ref="B4:B18" si="0">_xlfn.TEXTJOIN("",TRUE,VLOOKUP(A4,$O$3:$Q$6,2,0),"支店")</f>
        <v>新宿支店</v>
      </c>
      <c r="C4" s="1">
        <v>1002</v>
      </c>
      <c r="D4" s="1" t="str">
        <f t="shared" ref="D4:D18" si="1">VLOOKUP(C4,$O$9:$R$12,2,0)</f>
        <v>商品K</v>
      </c>
      <c r="E4" s="2">
        <f t="shared" ref="E4:E18" si="2">VLOOKUP(C4,$O$9:$R$12,3,0)</f>
        <v>2059</v>
      </c>
      <c r="F4" s="1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1">
        <v>102</v>
      </c>
      <c r="P4" s="1" t="s">
        <v>178</v>
      </c>
      <c r="Q4" s="1">
        <v>9</v>
      </c>
    </row>
    <row r="5" spans="1:18">
      <c r="A5" s="7">
        <v>101</v>
      </c>
      <c r="B5" s="1" t="str">
        <f t="shared" si="0"/>
        <v>新宿支店</v>
      </c>
      <c r="C5" s="1">
        <v>1003</v>
      </c>
      <c r="D5" s="1" t="str">
        <f t="shared" si="1"/>
        <v>商品L</v>
      </c>
      <c r="E5" s="2">
        <f t="shared" si="2"/>
        <v>1954</v>
      </c>
      <c r="F5" s="1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1">
        <v>103</v>
      </c>
      <c r="P5" s="1" t="s">
        <v>179</v>
      </c>
      <c r="Q5" s="1">
        <v>10</v>
      </c>
    </row>
    <row r="6" spans="1:18">
      <c r="A6" s="7">
        <v>101</v>
      </c>
      <c r="B6" s="1" t="str">
        <f t="shared" si="0"/>
        <v>新宿支店</v>
      </c>
      <c r="C6" s="1">
        <v>1004</v>
      </c>
      <c r="D6" s="1" t="str">
        <f t="shared" si="1"/>
        <v>商品M</v>
      </c>
      <c r="E6" s="2">
        <f t="shared" si="2"/>
        <v>2173</v>
      </c>
      <c r="F6" s="1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1">
        <v>104</v>
      </c>
      <c r="P6" s="1" t="s">
        <v>180</v>
      </c>
      <c r="Q6" s="1">
        <v>12</v>
      </c>
    </row>
    <row r="7" spans="1:18">
      <c r="A7" s="7">
        <v>102</v>
      </c>
      <c r="B7" s="1" t="str">
        <f t="shared" si="0"/>
        <v>池袋支店</v>
      </c>
      <c r="C7" s="1">
        <v>1001</v>
      </c>
      <c r="D7" s="1" t="str">
        <f t="shared" si="1"/>
        <v>商品J</v>
      </c>
      <c r="E7" s="2">
        <f t="shared" si="2"/>
        <v>1867</v>
      </c>
      <c r="F7" s="1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7">
        <v>102</v>
      </c>
      <c r="B8" s="1" t="str">
        <f t="shared" si="0"/>
        <v>池袋支店</v>
      </c>
      <c r="C8" s="1">
        <v>1002</v>
      </c>
      <c r="D8" s="1" t="str">
        <f t="shared" si="1"/>
        <v>商品K</v>
      </c>
      <c r="E8" s="2">
        <f t="shared" si="2"/>
        <v>2059</v>
      </c>
      <c r="F8" s="1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27" t="s">
        <v>63</v>
      </c>
      <c r="P8" s="27" t="s">
        <v>65</v>
      </c>
      <c r="Q8" s="27" t="s">
        <v>145</v>
      </c>
      <c r="R8" s="27" t="s">
        <v>28</v>
      </c>
    </row>
    <row r="9" spans="1:18">
      <c r="A9" s="7">
        <v>102</v>
      </c>
      <c r="B9" s="1" t="str">
        <f t="shared" si="0"/>
        <v>池袋支店</v>
      </c>
      <c r="C9" s="1">
        <v>1003</v>
      </c>
      <c r="D9" s="1" t="str">
        <f t="shared" si="1"/>
        <v>商品L</v>
      </c>
      <c r="E9" s="2">
        <f t="shared" si="2"/>
        <v>1954</v>
      </c>
      <c r="F9" s="1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1">
        <v>1001</v>
      </c>
      <c r="P9" s="1" t="s">
        <v>181</v>
      </c>
      <c r="Q9" s="2">
        <v>1867</v>
      </c>
      <c r="R9" s="1">
        <v>217</v>
      </c>
    </row>
    <row r="10" spans="1:18">
      <c r="A10" s="7">
        <v>102</v>
      </c>
      <c r="B10" s="1" t="str">
        <f t="shared" si="0"/>
        <v>池袋支店</v>
      </c>
      <c r="C10" s="1">
        <v>1004</v>
      </c>
      <c r="D10" s="1" t="str">
        <f t="shared" si="1"/>
        <v>商品M</v>
      </c>
      <c r="E10" s="2">
        <f t="shared" si="2"/>
        <v>2173</v>
      </c>
      <c r="F10" s="1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1">
        <v>1002</v>
      </c>
      <c r="P10" s="1" t="s">
        <v>183</v>
      </c>
      <c r="Q10" s="2">
        <v>2059</v>
      </c>
      <c r="R10" s="1">
        <v>225</v>
      </c>
    </row>
    <row r="11" spans="1:18">
      <c r="A11" s="7">
        <v>103</v>
      </c>
      <c r="B11" s="1" t="str">
        <f t="shared" si="0"/>
        <v>銀座支店</v>
      </c>
      <c r="C11" s="1">
        <v>1001</v>
      </c>
      <c r="D11" s="1" t="str">
        <f t="shared" si="1"/>
        <v>商品J</v>
      </c>
      <c r="E11" s="2">
        <f t="shared" si="2"/>
        <v>1867</v>
      </c>
      <c r="F11" s="1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1">
        <v>1003</v>
      </c>
      <c r="P11" s="1" t="s">
        <v>184</v>
      </c>
      <c r="Q11" s="2">
        <v>1954</v>
      </c>
      <c r="R11" s="1">
        <v>220</v>
      </c>
    </row>
    <row r="12" spans="1:18">
      <c r="A12" s="7">
        <v>103</v>
      </c>
      <c r="B12" s="1" t="str">
        <f t="shared" si="0"/>
        <v>銀座支店</v>
      </c>
      <c r="C12" s="1">
        <v>1002</v>
      </c>
      <c r="D12" s="1" t="str">
        <f t="shared" si="1"/>
        <v>商品K</v>
      </c>
      <c r="E12" s="2">
        <f t="shared" si="2"/>
        <v>2059</v>
      </c>
      <c r="F12" s="1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1">
        <v>1004</v>
      </c>
      <c r="P12" s="1" t="s">
        <v>186</v>
      </c>
      <c r="Q12" s="2">
        <v>2173</v>
      </c>
      <c r="R12" s="1">
        <v>230</v>
      </c>
    </row>
    <row r="13" spans="1:18">
      <c r="A13" s="7">
        <v>103</v>
      </c>
      <c r="B13" s="1" t="str">
        <f t="shared" si="0"/>
        <v>銀座支店</v>
      </c>
      <c r="C13" s="1">
        <v>1003</v>
      </c>
      <c r="D13" s="1" t="str">
        <f t="shared" si="1"/>
        <v>商品L</v>
      </c>
      <c r="E13" s="2">
        <f t="shared" si="2"/>
        <v>1954</v>
      </c>
      <c r="F13" s="1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7">
        <v>103</v>
      </c>
      <c r="B14" s="1" t="str">
        <f t="shared" si="0"/>
        <v>銀座支店</v>
      </c>
      <c r="C14" s="1">
        <v>1004</v>
      </c>
      <c r="D14" s="1" t="str">
        <f t="shared" si="1"/>
        <v>商品M</v>
      </c>
      <c r="E14" s="2">
        <f t="shared" si="2"/>
        <v>2173</v>
      </c>
      <c r="F14" s="1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7">
        <v>104</v>
      </c>
      <c r="B15" s="1" t="str">
        <f t="shared" si="0"/>
        <v>渋谷支店</v>
      </c>
      <c r="C15" s="1">
        <v>1001</v>
      </c>
      <c r="D15" s="1" t="str">
        <f t="shared" si="1"/>
        <v>商品J</v>
      </c>
      <c r="E15" s="2">
        <f t="shared" si="2"/>
        <v>1867</v>
      </c>
      <c r="F15" s="1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7">
        <v>104</v>
      </c>
      <c r="B16" s="1" t="str">
        <f t="shared" si="0"/>
        <v>渋谷支店</v>
      </c>
      <c r="C16" s="1">
        <v>1002</v>
      </c>
      <c r="D16" s="1" t="str">
        <f t="shared" si="1"/>
        <v>商品K</v>
      </c>
      <c r="E16" s="2">
        <f t="shared" si="2"/>
        <v>2059</v>
      </c>
      <c r="F16" s="1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7">
        <v>104</v>
      </c>
      <c r="B17" s="1" t="str">
        <f t="shared" si="0"/>
        <v>渋谷支店</v>
      </c>
      <c r="C17" s="1">
        <v>1003</v>
      </c>
      <c r="D17" s="1" t="str">
        <f t="shared" si="1"/>
        <v>商品L</v>
      </c>
      <c r="E17" s="2">
        <f t="shared" si="2"/>
        <v>1954</v>
      </c>
      <c r="F17" s="1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7">
        <v>104</v>
      </c>
      <c r="B18" s="1" t="str">
        <f t="shared" si="0"/>
        <v>渋谷支店</v>
      </c>
      <c r="C18" s="1">
        <v>1004</v>
      </c>
      <c r="D18" s="1" t="str">
        <f t="shared" si="1"/>
        <v>商品M</v>
      </c>
      <c r="E18" s="2">
        <f t="shared" si="2"/>
        <v>2173</v>
      </c>
      <c r="F18" s="1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</row>
    <row r="20" spans="1:13" ht="19.5" thickBot="1">
      <c r="A20" s="9"/>
      <c r="B20" s="10" t="s">
        <v>32</v>
      </c>
      <c r="C20" s="11"/>
      <c r="D20" s="11"/>
      <c r="E20" s="11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11"/>
      <c r="K20" s="11"/>
      <c r="L20" s="11"/>
      <c r="M20" s="13"/>
    </row>
    <row r="22" spans="1:13" ht="19.5" thickBot="1">
      <c r="A22" s="53" t="s">
        <v>191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7">
        <v>103</v>
      </c>
      <c r="B24" s="1" t="s">
        <v>189</v>
      </c>
      <c r="C24" s="1">
        <v>1002</v>
      </c>
      <c r="D24" s="1" t="s">
        <v>182</v>
      </c>
      <c r="E24" s="2">
        <v>2059</v>
      </c>
      <c r="F24" s="1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7">
        <v>101</v>
      </c>
      <c r="B25" s="1" t="s">
        <v>187</v>
      </c>
      <c r="C25" s="1">
        <v>1002</v>
      </c>
      <c r="D25" s="1" t="s">
        <v>182</v>
      </c>
      <c r="E25" s="2">
        <v>2059</v>
      </c>
      <c r="F25" s="1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7">
        <v>102</v>
      </c>
      <c r="B26" s="1" t="s">
        <v>188</v>
      </c>
      <c r="C26" s="1">
        <v>1002</v>
      </c>
      <c r="D26" s="1" t="s">
        <v>182</v>
      </c>
      <c r="E26" s="2">
        <v>2059</v>
      </c>
      <c r="F26" s="1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7">
        <v>102</v>
      </c>
      <c r="B27" s="1" t="s">
        <v>188</v>
      </c>
      <c r="C27" s="1">
        <v>1004</v>
      </c>
      <c r="D27" s="1" t="s">
        <v>185</v>
      </c>
      <c r="E27" s="2">
        <v>2173</v>
      </c>
      <c r="F27" s="1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7">
        <v>101</v>
      </c>
      <c r="B28" s="1" t="s">
        <v>187</v>
      </c>
      <c r="C28" s="1">
        <v>1004</v>
      </c>
      <c r="D28" s="1" t="s">
        <v>185</v>
      </c>
      <c r="E28" s="2">
        <v>2173</v>
      </c>
      <c r="F28" s="1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</row>
    <row r="30" spans="1:13" ht="19.5" thickBot="1">
      <c r="A30" s="9"/>
      <c r="B30" s="10" t="s">
        <v>32</v>
      </c>
      <c r="C30" s="11"/>
      <c r="D30" s="11"/>
      <c r="E30" s="11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11"/>
      <c r="K30" s="11"/>
      <c r="L30" s="11"/>
      <c r="M30" s="13"/>
    </row>
    <row r="32" spans="1:13" ht="19.5" thickBot="1">
      <c r="A32" s="53" t="s">
        <v>192</v>
      </c>
      <c r="B32" s="53"/>
      <c r="C32" s="53"/>
      <c r="D32" s="53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27" t="s">
        <v>169</v>
      </c>
      <c r="G33" s="27" t="s">
        <v>169</v>
      </c>
      <c r="H33" s="27" t="s">
        <v>169</v>
      </c>
      <c r="I33" s="27" t="s">
        <v>169</v>
      </c>
    </row>
    <row r="34" spans="1:13">
      <c r="A34" s="30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29" t="s">
        <v>193</v>
      </c>
      <c r="G34" s="29" t="s">
        <v>194</v>
      </c>
      <c r="H34" s="29" t="s">
        <v>195</v>
      </c>
      <c r="I34" s="29" t="s">
        <v>196</v>
      </c>
    </row>
    <row r="35" spans="1:13">
      <c r="A35" s="30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33"/>
    </row>
    <row r="36" spans="1:13">
      <c r="A36" s="30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33"/>
      <c r="L36" s="27" t="s">
        <v>68</v>
      </c>
      <c r="M36" s="27" t="s">
        <v>69</v>
      </c>
    </row>
    <row r="37" spans="1:13" ht="19.5" thickBot="1">
      <c r="A37" s="31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29" t="s">
        <v>200</v>
      </c>
      <c r="M37" s="34" t="s">
        <v>201</v>
      </c>
    </row>
    <row r="38" spans="1:13" ht="19.5" thickBot="1">
      <c r="L38" s="27" t="s">
        <v>69</v>
      </c>
      <c r="M38" s="27" t="s">
        <v>173</v>
      </c>
    </row>
    <row r="39" spans="1:13">
      <c r="A39" s="68" t="s">
        <v>197</v>
      </c>
      <c r="B39" s="69"/>
      <c r="C39" s="69"/>
      <c r="D39" s="69"/>
      <c r="E39" s="69"/>
      <c r="F39" s="69"/>
      <c r="G39" s="18">
        <f>DSUM(支店別販売一覧表4,I2,L36:M37)</f>
        <v>814420</v>
      </c>
      <c r="L39" s="29" t="s">
        <v>202</v>
      </c>
      <c r="M39" s="34" t="s">
        <v>203</v>
      </c>
    </row>
    <row r="40" spans="1:13">
      <c r="A40" s="59" t="s">
        <v>198</v>
      </c>
      <c r="B40" s="60"/>
      <c r="C40" s="60"/>
      <c r="D40" s="60"/>
      <c r="E40" s="60"/>
      <c r="F40" s="60"/>
      <c r="G40" s="14">
        <f>DCOUNTA(支店別販売一覧表4,G2,L38:M39)</f>
        <v>6</v>
      </c>
      <c r="L40" s="27" t="s">
        <v>169</v>
      </c>
      <c r="M40" s="27" t="s">
        <v>172</v>
      </c>
    </row>
    <row r="41" spans="1:13" ht="19.5" thickBot="1">
      <c r="A41" s="57" t="s">
        <v>199</v>
      </c>
      <c r="B41" s="58"/>
      <c r="C41" s="58"/>
      <c r="D41" s="58"/>
      <c r="E41" s="58"/>
      <c r="F41" s="58"/>
      <c r="G41" s="16">
        <f>DMIN(支店別販売一覧表4,H2,L40:M41)</f>
        <v>2266</v>
      </c>
      <c r="L41" s="29" t="s">
        <v>204</v>
      </c>
      <c r="M41" s="35" t="s">
        <v>205</v>
      </c>
    </row>
  </sheetData>
  <sortState ref="A24:M28">
    <sortCondition ref="C24:C28"/>
    <sortCondition descending="1" ref="K24:K28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25" right="0.25" top="0.75" bottom="0.75" header="0.3" footer="0.3"/>
  <pageSetup paperSize="9" scale="5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8424-4B97-45B8-B318-D3B5916C4D1B}">
  <sheetPr>
    <pageSetUpPr fitToPage="1"/>
  </sheetPr>
  <dimension ref="A1:R41"/>
  <sheetViews>
    <sheetView showFormulas="1" topLeftCell="F1" workbookViewId="0">
      <selection activeCell="A29" sqref="A1:R1048576"/>
    </sheetView>
  </sheetViews>
  <sheetFormatPr defaultRowHeight="18.75"/>
  <cols>
    <col min="1" max="1" width="4.625" bestFit="1" customWidth="1"/>
    <col min="2" max="2" width="29" bestFit="1" customWidth="1"/>
    <col min="3" max="4" width="23.5" bestFit="1" customWidth="1"/>
    <col min="5" max="5" width="16.625" bestFit="1" customWidth="1"/>
    <col min="6" max="6" width="8.125" bestFit="1" customWidth="1"/>
    <col min="7" max="7" width="21.75" bestFit="1" customWidth="1"/>
    <col min="8" max="8" width="12.125" bestFit="1" customWidth="1"/>
    <col min="9" max="9" width="7.5" bestFit="1" customWidth="1"/>
    <col min="10" max="10" width="25.625" bestFit="1" customWidth="1"/>
    <col min="11" max="11" width="16.5" bestFit="1" customWidth="1"/>
    <col min="12" max="12" width="24.375" bestFit="1" customWidth="1"/>
    <col min="13" max="13" width="20.75" bestFit="1" customWidth="1"/>
    <col min="14" max="14" width="5.5" customWidth="1"/>
    <col min="15" max="18" width="3.625" bestFit="1" customWidth="1"/>
  </cols>
  <sheetData>
    <row r="1" spans="1:18" ht="19.5" thickBot="1">
      <c r="A1" s="53" t="s">
        <v>167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43" t="s">
        <v>168</v>
      </c>
      <c r="P2" s="43" t="s">
        <v>175</v>
      </c>
      <c r="Q2" s="43" t="s">
        <v>176</v>
      </c>
    </row>
    <row r="3" spans="1:18">
      <c r="A3" s="41">
        <v>101</v>
      </c>
      <c r="B3" s="42" t="str">
        <f>_xlfn.TEXTJOIN("",TRUE,VLOOKUP(A3,$O$3:$Q$6,2,0),"支店")</f>
        <v>新宿支店</v>
      </c>
      <c r="C3" s="42">
        <v>1001</v>
      </c>
      <c r="D3" s="42" t="str">
        <f>VLOOKUP(C3,$O$9:$R$12,2,0)</f>
        <v>商品J</v>
      </c>
      <c r="E3" s="2">
        <f>VLOOKUP(C3,$O$9:$R$12,3,0)</f>
        <v>1867</v>
      </c>
      <c r="F3" s="42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42">
        <v>101</v>
      </c>
      <c r="P3" s="42" t="s">
        <v>177</v>
      </c>
      <c r="Q3" s="42">
        <v>11</v>
      </c>
    </row>
    <row r="4" spans="1:18">
      <c r="A4" s="41">
        <v>101</v>
      </c>
      <c r="B4" s="42" t="str">
        <f t="shared" ref="B4:B18" si="0">_xlfn.TEXTJOIN("",TRUE,VLOOKUP(A4,$O$3:$Q$6,2,0),"支店")</f>
        <v>新宿支店</v>
      </c>
      <c r="C4" s="42">
        <v>1002</v>
      </c>
      <c r="D4" s="42" t="str">
        <f t="shared" ref="D4:D18" si="1">VLOOKUP(C4,$O$9:$R$12,2,0)</f>
        <v>商品K</v>
      </c>
      <c r="E4" s="2">
        <f t="shared" ref="E4:E18" si="2">VLOOKUP(C4,$O$9:$R$12,3,0)</f>
        <v>2059</v>
      </c>
      <c r="F4" s="42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42">
        <v>102</v>
      </c>
      <c r="P4" s="42" t="s">
        <v>178</v>
      </c>
      <c r="Q4" s="42">
        <v>9</v>
      </c>
    </row>
    <row r="5" spans="1:18">
      <c r="A5" s="41">
        <v>101</v>
      </c>
      <c r="B5" s="42" t="str">
        <f t="shared" si="0"/>
        <v>新宿支店</v>
      </c>
      <c r="C5" s="42">
        <v>1003</v>
      </c>
      <c r="D5" s="42" t="str">
        <f t="shared" si="1"/>
        <v>商品L</v>
      </c>
      <c r="E5" s="2">
        <f t="shared" si="2"/>
        <v>1954</v>
      </c>
      <c r="F5" s="42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42">
        <v>103</v>
      </c>
      <c r="P5" s="42" t="s">
        <v>179</v>
      </c>
      <c r="Q5" s="42">
        <v>10</v>
      </c>
    </row>
    <row r="6" spans="1:18">
      <c r="A6" s="41">
        <v>101</v>
      </c>
      <c r="B6" s="42" t="str">
        <f t="shared" si="0"/>
        <v>新宿支店</v>
      </c>
      <c r="C6" s="42">
        <v>1004</v>
      </c>
      <c r="D6" s="42" t="str">
        <f t="shared" si="1"/>
        <v>商品M</v>
      </c>
      <c r="E6" s="2">
        <f t="shared" si="2"/>
        <v>2173</v>
      </c>
      <c r="F6" s="42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42">
        <v>104</v>
      </c>
      <c r="P6" s="42" t="s">
        <v>180</v>
      </c>
      <c r="Q6" s="42">
        <v>12</v>
      </c>
    </row>
    <row r="7" spans="1:18">
      <c r="A7" s="41">
        <v>102</v>
      </c>
      <c r="B7" s="42" t="str">
        <f t="shared" si="0"/>
        <v>池袋支店</v>
      </c>
      <c r="C7" s="42">
        <v>1001</v>
      </c>
      <c r="D7" s="42" t="str">
        <f t="shared" si="1"/>
        <v>商品J</v>
      </c>
      <c r="E7" s="2">
        <f t="shared" si="2"/>
        <v>1867</v>
      </c>
      <c r="F7" s="42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41">
        <v>102</v>
      </c>
      <c r="B8" s="42" t="str">
        <f t="shared" si="0"/>
        <v>池袋支店</v>
      </c>
      <c r="C8" s="42">
        <v>1002</v>
      </c>
      <c r="D8" s="42" t="str">
        <f t="shared" si="1"/>
        <v>商品K</v>
      </c>
      <c r="E8" s="2">
        <f t="shared" si="2"/>
        <v>2059</v>
      </c>
      <c r="F8" s="42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43" t="s">
        <v>63</v>
      </c>
      <c r="P8" s="43" t="s">
        <v>65</v>
      </c>
      <c r="Q8" s="43" t="s">
        <v>145</v>
      </c>
      <c r="R8" s="43" t="s">
        <v>28</v>
      </c>
    </row>
    <row r="9" spans="1:18">
      <c r="A9" s="41">
        <v>102</v>
      </c>
      <c r="B9" s="42" t="str">
        <f t="shared" si="0"/>
        <v>池袋支店</v>
      </c>
      <c r="C9" s="42">
        <v>1003</v>
      </c>
      <c r="D9" s="42" t="str">
        <f t="shared" si="1"/>
        <v>商品L</v>
      </c>
      <c r="E9" s="2">
        <f t="shared" si="2"/>
        <v>1954</v>
      </c>
      <c r="F9" s="42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42">
        <v>1001</v>
      </c>
      <c r="P9" s="42" t="s">
        <v>181</v>
      </c>
      <c r="Q9" s="2">
        <v>1867</v>
      </c>
      <c r="R9" s="42">
        <v>217</v>
      </c>
    </row>
    <row r="10" spans="1:18">
      <c r="A10" s="41">
        <v>102</v>
      </c>
      <c r="B10" s="42" t="str">
        <f t="shared" si="0"/>
        <v>池袋支店</v>
      </c>
      <c r="C10" s="42">
        <v>1004</v>
      </c>
      <c r="D10" s="42" t="str">
        <f t="shared" si="1"/>
        <v>商品M</v>
      </c>
      <c r="E10" s="2">
        <f t="shared" si="2"/>
        <v>2173</v>
      </c>
      <c r="F10" s="42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42">
        <v>1002</v>
      </c>
      <c r="P10" s="42" t="s">
        <v>183</v>
      </c>
      <c r="Q10" s="2">
        <v>2059</v>
      </c>
      <c r="R10" s="42">
        <v>225</v>
      </c>
    </row>
    <row r="11" spans="1:18">
      <c r="A11" s="41">
        <v>103</v>
      </c>
      <c r="B11" s="42" t="str">
        <f t="shared" si="0"/>
        <v>銀座支店</v>
      </c>
      <c r="C11" s="42">
        <v>1001</v>
      </c>
      <c r="D11" s="42" t="str">
        <f t="shared" si="1"/>
        <v>商品J</v>
      </c>
      <c r="E11" s="2">
        <f t="shared" si="2"/>
        <v>1867</v>
      </c>
      <c r="F11" s="42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42">
        <v>1003</v>
      </c>
      <c r="P11" s="42" t="s">
        <v>184</v>
      </c>
      <c r="Q11" s="2">
        <v>1954</v>
      </c>
      <c r="R11" s="42">
        <v>220</v>
      </c>
    </row>
    <row r="12" spans="1:18">
      <c r="A12" s="41">
        <v>103</v>
      </c>
      <c r="B12" s="42" t="str">
        <f t="shared" si="0"/>
        <v>銀座支店</v>
      </c>
      <c r="C12" s="42">
        <v>1002</v>
      </c>
      <c r="D12" s="42" t="str">
        <f t="shared" si="1"/>
        <v>商品K</v>
      </c>
      <c r="E12" s="2">
        <f t="shared" si="2"/>
        <v>2059</v>
      </c>
      <c r="F12" s="42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42">
        <v>1004</v>
      </c>
      <c r="P12" s="42" t="s">
        <v>186</v>
      </c>
      <c r="Q12" s="2">
        <v>2173</v>
      </c>
      <c r="R12" s="42">
        <v>230</v>
      </c>
    </row>
    <row r="13" spans="1:18">
      <c r="A13" s="41">
        <v>103</v>
      </c>
      <c r="B13" s="42" t="str">
        <f t="shared" si="0"/>
        <v>銀座支店</v>
      </c>
      <c r="C13" s="42">
        <v>1003</v>
      </c>
      <c r="D13" s="42" t="str">
        <f t="shared" si="1"/>
        <v>商品L</v>
      </c>
      <c r="E13" s="2">
        <f t="shared" si="2"/>
        <v>1954</v>
      </c>
      <c r="F13" s="42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41">
        <v>103</v>
      </c>
      <c r="B14" s="42" t="str">
        <f t="shared" si="0"/>
        <v>銀座支店</v>
      </c>
      <c r="C14" s="42">
        <v>1004</v>
      </c>
      <c r="D14" s="42" t="str">
        <f t="shared" si="1"/>
        <v>商品M</v>
      </c>
      <c r="E14" s="2">
        <f t="shared" si="2"/>
        <v>2173</v>
      </c>
      <c r="F14" s="42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41">
        <v>104</v>
      </c>
      <c r="B15" s="42" t="str">
        <f t="shared" si="0"/>
        <v>渋谷支店</v>
      </c>
      <c r="C15" s="42">
        <v>1001</v>
      </c>
      <c r="D15" s="42" t="str">
        <f t="shared" si="1"/>
        <v>商品J</v>
      </c>
      <c r="E15" s="2">
        <f t="shared" si="2"/>
        <v>1867</v>
      </c>
      <c r="F15" s="42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41">
        <v>104</v>
      </c>
      <c r="B16" s="42" t="str">
        <f t="shared" si="0"/>
        <v>渋谷支店</v>
      </c>
      <c r="C16" s="42">
        <v>1002</v>
      </c>
      <c r="D16" s="42" t="str">
        <f t="shared" si="1"/>
        <v>商品K</v>
      </c>
      <c r="E16" s="2">
        <f t="shared" si="2"/>
        <v>2059</v>
      </c>
      <c r="F16" s="42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41">
        <v>104</v>
      </c>
      <c r="B17" s="42" t="str">
        <f t="shared" si="0"/>
        <v>渋谷支店</v>
      </c>
      <c r="C17" s="42">
        <v>1003</v>
      </c>
      <c r="D17" s="42" t="str">
        <f t="shared" si="1"/>
        <v>商品L</v>
      </c>
      <c r="E17" s="2">
        <f t="shared" si="2"/>
        <v>1954</v>
      </c>
      <c r="F17" s="42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41">
        <v>104</v>
      </c>
      <c r="B18" s="42" t="str">
        <f t="shared" si="0"/>
        <v>渋谷支店</v>
      </c>
      <c r="C18" s="42">
        <v>1004</v>
      </c>
      <c r="D18" s="42" t="str">
        <f t="shared" si="1"/>
        <v>商品M</v>
      </c>
      <c r="E18" s="2">
        <f t="shared" si="2"/>
        <v>2173</v>
      </c>
      <c r="F18" s="42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8"/>
    </row>
    <row r="20" spans="1:13" ht="19.5" thickBot="1">
      <c r="A20" s="38"/>
      <c r="B20" s="10" t="s">
        <v>32</v>
      </c>
      <c r="C20" s="39"/>
      <c r="D20" s="39"/>
      <c r="E20" s="39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39"/>
      <c r="K20" s="39"/>
      <c r="L20" s="39"/>
      <c r="M20" s="13"/>
    </row>
    <row r="22" spans="1:13" ht="19.5" thickBot="1">
      <c r="A22" s="53" t="s">
        <v>191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41">
        <v>103</v>
      </c>
      <c r="B24" s="42" t="s">
        <v>189</v>
      </c>
      <c r="C24" s="42">
        <v>1002</v>
      </c>
      <c r="D24" s="42" t="s">
        <v>182</v>
      </c>
      <c r="E24" s="2">
        <v>2059</v>
      </c>
      <c r="F24" s="42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41">
        <v>101</v>
      </c>
      <c r="B25" s="42" t="s">
        <v>187</v>
      </c>
      <c r="C25" s="42">
        <v>1002</v>
      </c>
      <c r="D25" s="42" t="s">
        <v>182</v>
      </c>
      <c r="E25" s="2">
        <v>2059</v>
      </c>
      <c r="F25" s="42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41">
        <v>102</v>
      </c>
      <c r="B26" s="42" t="s">
        <v>188</v>
      </c>
      <c r="C26" s="42">
        <v>1002</v>
      </c>
      <c r="D26" s="42" t="s">
        <v>182</v>
      </c>
      <c r="E26" s="2">
        <v>2059</v>
      </c>
      <c r="F26" s="42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41">
        <v>102</v>
      </c>
      <c r="B27" s="42" t="s">
        <v>188</v>
      </c>
      <c r="C27" s="42">
        <v>1004</v>
      </c>
      <c r="D27" s="42" t="s">
        <v>185</v>
      </c>
      <c r="E27" s="2">
        <v>2173</v>
      </c>
      <c r="F27" s="42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41">
        <v>101</v>
      </c>
      <c r="B28" s="42" t="s">
        <v>187</v>
      </c>
      <c r="C28" s="42">
        <v>1004</v>
      </c>
      <c r="D28" s="42" t="s">
        <v>185</v>
      </c>
      <c r="E28" s="2">
        <v>2173</v>
      </c>
      <c r="F28" s="42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8"/>
    </row>
    <row r="30" spans="1:13" ht="19.5" thickBot="1">
      <c r="A30" s="38"/>
      <c r="B30" s="10" t="s">
        <v>32</v>
      </c>
      <c r="C30" s="39"/>
      <c r="D30" s="39"/>
      <c r="E30" s="39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39"/>
      <c r="K30" s="39"/>
      <c r="L30" s="39"/>
      <c r="M30" s="13"/>
    </row>
    <row r="32" spans="1:13" ht="19.5" thickBot="1">
      <c r="A32" s="53" t="s">
        <v>192</v>
      </c>
      <c r="B32" s="53"/>
      <c r="C32" s="53"/>
      <c r="D32" s="53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43" t="s">
        <v>169</v>
      </c>
      <c r="G33" s="43" t="s">
        <v>169</v>
      </c>
      <c r="H33" s="43" t="s">
        <v>169</v>
      </c>
      <c r="I33" s="43" t="s">
        <v>169</v>
      </c>
    </row>
    <row r="34" spans="1:13">
      <c r="A34" s="41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42" t="s">
        <v>193</v>
      </c>
      <c r="G34" s="42" t="s">
        <v>194</v>
      </c>
      <c r="H34" s="42" t="s">
        <v>195</v>
      </c>
      <c r="I34" s="42" t="s">
        <v>196</v>
      </c>
    </row>
    <row r="35" spans="1:13">
      <c r="A35" s="41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33"/>
    </row>
    <row r="36" spans="1:13">
      <c r="A36" s="41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33"/>
      <c r="L36" s="43" t="s">
        <v>68</v>
      </c>
      <c r="M36" s="43" t="s">
        <v>69</v>
      </c>
    </row>
    <row r="37" spans="1:13" ht="19.5" thickBot="1">
      <c r="A37" s="38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42" t="s">
        <v>200</v>
      </c>
      <c r="M37" s="34" t="s">
        <v>201</v>
      </c>
    </row>
    <row r="38" spans="1:13" ht="19.5" thickBot="1">
      <c r="L38" s="43" t="s">
        <v>69</v>
      </c>
      <c r="M38" s="43" t="s">
        <v>173</v>
      </c>
    </row>
    <row r="39" spans="1:13">
      <c r="A39" s="68" t="s">
        <v>197</v>
      </c>
      <c r="B39" s="69"/>
      <c r="C39" s="69"/>
      <c r="D39" s="69"/>
      <c r="E39" s="69"/>
      <c r="F39" s="69"/>
      <c r="G39" s="18">
        <f>DSUM(支店別販売一覧表4,I2,L36:M37)</f>
        <v>814420</v>
      </c>
      <c r="L39" s="42" t="s">
        <v>202</v>
      </c>
      <c r="M39" s="34" t="s">
        <v>203</v>
      </c>
    </row>
    <row r="40" spans="1:13">
      <c r="A40" s="59" t="s">
        <v>198</v>
      </c>
      <c r="B40" s="60"/>
      <c r="C40" s="60"/>
      <c r="D40" s="60"/>
      <c r="E40" s="60"/>
      <c r="F40" s="60"/>
      <c r="G40" s="14">
        <f>DCOUNTA(支店別販売一覧表4,G2,L38:M39)</f>
        <v>6</v>
      </c>
      <c r="L40" s="43" t="s">
        <v>169</v>
      </c>
      <c r="M40" s="43" t="s">
        <v>172</v>
      </c>
    </row>
    <row r="41" spans="1:13" ht="19.5" thickBot="1">
      <c r="A41" s="57" t="s">
        <v>199</v>
      </c>
      <c r="B41" s="58"/>
      <c r="C41" s="58"/>
      <c r="D41" s="58"/>
      <c r="E41" s="58"/>
      <c r="F41" s="58"/>
      <c r="G41" s="16">
        <f>DMIN(支店別販売一覧表4,H2,L40:M41)</f>
        <v>2266</v>
      </c>
      <c r="L41" s="42" t="s">
        <v>204</v>
      </c>
      <c r="M41" s="35" t="s">
        <v>205</v>
      </c>
    </row>
  </sheetData>
  <mergeCells count="6">
    <mergeCell ref="A41:F41"/>
    <mergeCell ref="A1:M1"/>
    <mergeCell ref="A22:M22"/>
    <mergeCell ref="A32:D32"/>
    <mergeCell ref="A39:F39"/>
    <mergeCell ref="A40:F40"/>
  </mergeCells>
  <phoneticPr fontId="2"/>
  <pageMargins left="0.25" right="0.25" top="0.75" bottom="0.75" header="0.3" footer="0.3"/>
  <pageSetup paperSize="9" scale="2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BC7B-CEF8-4A91-91DB-B98BAEED47F6}">
  <sheetPr>
    <pageSetUpPr fitToPage="1"/>
  </sheetPr>
  <dimension ref="A1:Q39"/>
  <sheetViews>
    <sheetView topLeftCell="A23" workbookViewId="0">
      <selection activeCell="M32" sqref="M32"/>
    </sheetView>
  </sheetViews>
  <sheetFormatPr defaultRowHeight="18.75"/>
  <cols>
    <col min="1" max="1" width="13" bestFit="1" customWidth="1"/>
    <col min="2" max="2" width="11" bestFit="1" customWidth="1"/>
    <col min="3" max="3" width="13" bestFit="1" customWidth="1"/>
    <col min="4" max="4" width="9" bestFit="1" customWidth="1"/>
    <col min="5" max="5" width="9.5" bestFit="1" customWidth="1"/>
    <col min="6" max="9" width="13" bestFit="1" customWidth="1"/>
    <col min="11" max="11" width="8" bestFit="1" customWidth="1"/>
    <col min="12" max="12" width="9.5" bestFit="1" customWidth="1"/>
    <col min="13" max="13" width="5.25" bestFit="1" customWidth="1"/>
    <col min="14" max="14" width="5" customWidth="1"/>
    <col min="15" max="15" width="13" bestFit="1" customWidth="1"/>
    <col min="16" max="17" width="11.375" bestFit="1" customWidth="1"/>
  </cols>
  <sheetData>
    <row r="1" spans="1:16" ht="19.5" thickBot="1">
      <c r="A1" s="53" t="s">
        <v>206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30">
        <v>101</v>
      </c>
      <c r="B3" s="29" t="s">
        <v>213</v>
      </c>
      <c r="C3" s="29" t="str">
        <f>VLOOKUP(A3,$O$4:$P$7,2,1)&amp;"エリア"</f>
        <v>東北エリア</v>
      </c>
      <c r="D3" s="29" t="s">
        <v>225</v>
      </c>
      <c r="E3" s="2">
        <f>VLOOKUP(D3,$O$10:$P$13,2,0)</f>
        <v>198400</v>
      </c>
      <c r="F3" s="29">
        <v>841</v>
      </c>
      <c r="G3" s="29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27" t="s">
        <v>1</v>
      </c>
      <c r="P3" s="27" t="s">
        <v>227</v>
      </c>
    </row>
    <row r="4" spans="1:16">
      <c r="A4" s="30">
        <v>102</v>
      </c>
      <c r="B4" s="29" t="s">
        <v>214</v>
      </c>
      <c r="C4" s="29" t="str">
        <f t="shared" ref="C4:C14" si="0">VLOOKUP(A4,$O$4:$P$7,2,1)&amp;"エリア"</f>
        <v>東北エリア</v>
      </c>
      <c r="D4" s="29" t="s">
        <v>154</v>
      </c>
      <c r="E4" s="2">
        <f t="shared" ref="E4:E14" si="1">VLOOKUP(D4,$O$10:$P$13,2,0)</f>
        <v>209600</v>
      </c>
      <c r="F4" s="29">
        <v>845</v>
      </c>
      <c r="G4" s="29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29">
        <v>100</v>
      </c>
      <c r="P4" s="29" t="s">
        <v>228</v>
      </c>
    </row>
    <row r="5" spans="1:16">
      <c r="A5" s="30">
        <v>103</v>
      </c>
      <c r="B5" s="29" t="s">
        <v>215</v>
      </c>
      <c r="C5" s="29" t="str">
        <f t="shared" si="0"/>
        <v>東北エリア</v>
      </c>
      <c r="D5" s="29" t="s">
        <v>226</v>
      </c>
      <c r="E5" s="2">
        <f t="shared" si="1"/>
        <v>187300</v>
      </c>
      <c r="F5" s="29">
        <v>790</v>
      </c>
      <c r="G5" s="29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29">
        <v>200</v>
      </c>
      <c r="P5" s="29" t="s">
        <v>229</v>
      </c>
    </row>
    <row r="6" spans="1:16">
      <c r="A6" s="30">
        <v>201</v>
      </c>
      <c r="B6" s="29" t="s">
        <v>216</v>
      </c>
      <c r="C6" s="29" t="str">
        <f t="shared" si="0"/>
        <v>関東エリア</v>
      </c>
      <c r="D6" s="29" t="s">
        <v>153</v>
      </c>
      <c r="E6" s="2">
        <f t="shared" si="1"/>
        <v>220800</v>
      </c>
      <c r="F6" s="29">
        <v>820</v>
      </c>
      <c r="G6" s="29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29">
        <v>300</v>
      </c>
      <c r="P6" s="29" t="s">
        <v>230</v>
      </c>
    </row>
    <row r="7" spans="1:16">
      <c r="A7" s="30">
        <v>202</v>
      </c>
      <c r="B7" s="29" t="s">
        <v>217</v>
      </c>
      <c r="C7" s="29" t="str">
        <f t="shared" si="0"/>
        <v>関東エリア</v>
      </c>
      <c r="D7" s="29" t="s">
        <v>226</v>
      </c>
      <c r="E7" s="2">
        <f t="shared" si="1"/>
        <v>187300</v>
      </c>
      <c r="F7" s="29">
        <v>774</v>
      </c>
      <c r="G7" s="29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29">
        <v>400</v>
      </c>
      <c r="P7" s="29" t="s">
        <v>231</v>
      </c>
    </row>
    <row r="8" spans="1:16">
      <c r="A8" s="30">
        <v>203</v>
      </c>
      <c r="B8" s="29" t="s">
        <v>218</v>
      </c>
      <c r="C8" s="29" t="str">
        <f t="shared" si="0"/>
        <v>関東エリア</v>
      </c>
      <c r="D8" s="29" t="s">
        <v>154</v>
      </c>
      <c r="E8" s="2">
        <f t="shared" si="1"/>
        <v>209600</v>
      </c>
      <c r="F8" s="29">
        <v>801</v>
      </c>
      <c r="G8" s="29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30">
        <v>301</v>
      </c>
      <c r="B9" s="29" t="s">
        <v>219</v>
      </c>
      <c r="C9" s="29" t="str">
        <f t="shared" si="0"/>
        <v>中部エリア</v>
      </c>
      <c r="D9" s="29" t="s">
        <v>153</v>
      </c>
      <c r="E9" s="2">
        <f t="shared" si="1"/>
        <v>220800</v>
      </c>
      <c r="F9" s="29">
        <v>815</v>
      </c>
      <c r="G9" s="29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27" t="s">
        <v>208</v>
      </c>
      <c r="P9" s="27" t="s">
        <v>209</v>
      </c>
    </row>
    <row r="10" spans="1:16">
      <c r="A10" s="30">
        <v>302</v>
      </c>
      <c r="B10" s="29" t="s">
        <v>220</v>
      </c>
      <c r="C10" s="29" t="str">
        <f t="shared" si="0"/>
        <v>中部エリア</v>
      </c>
      <c r="D10" s="29" t="s">
        <v>225</v>
      </c>
      <c r="E10" s="2">
        <f t="shared" si="1"/>
        <v>198400</v>
      </c>
      <c r="F10" s="29">
        <v>770</v>
      </c>
      <c r="G10" s="29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29" t="s">
        <v>153</v>
      </c>
      <c r="P10" s="2">
        <v>220800</v>
      </c>
    </row>
    <row r="11" spans="1:16">
      <c r="A11" s="30">
        <v>303</v>
      </c>
      <c r="B11" s="29" t="s">
        <v>221</v>
      </c>
      <c r="C11" s="29" t="str">
        <f t="shared" si="0"/>
        <v>中部エリア</v>
      </c>
      <c r="D11" s="29" t="s">
        <v>154</v>
      </c>
      <c r="E11" s="2">
        <f t="shared" si="1"/>
        <v>209600</v>
      </c>
      <c r="F11" s="29">
        <v>749</v>
      </c>
      <c r="G11" s="29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29" t="s">
        <v>154</v>
      </c>
      <c r="P11" s="2">
        <v>209600</v>
      </c>
    </row>
    <row r="12" spans="1:16">
      <c r="A12" s="30">
        <v>401</v>
      </c>
      <c r="B12" s="29" t="s">
        <v>222</v>
      </c>
      <c r="C12" s="29" t="str">
        <f t="shared" si="0"/>
        <v>関西エリア</v>
      </c>
      <c r="D12" s="29" t="s">
        <v>225</v>
      </c>
      <c r="E12" s="2">
        <f t="shared" si="1"/>
        <v>198400</v>
      </c>
      <c r="F12" s="29">
        <v>772</v>
      </c>
      <c r="G12" s="29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29" t="s">
        <v>225</v>
      </c>
      <c r="P12" s="2">
        <v>198400</v>
      </c>
    </row>
    <row r="13" spans="1:16">
      <c r="A13" s="30">
        <v>402</v>
      </c>
      <c r="B13" s="29" t="s">
        <v>223</v>
      </c>
      <c r="C13" s="29" t="str">
        <f t="shared" si="0"/>
        <v>関西エリア</v>
      </c>
      <c r="D13" s="29" t="s">
        <v>153</v>
      </c>
      <c r="E13" s="2">
        <f t="shared" si="1"/>
        <v>220800</v>
      </c>
      <c r="F13" s="29">
        <v>839</v>
      </c>
      <c r="G13" s="29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29" t="s">
        <v>226</v>
      </c>
      <c r="P13" s="2">
        <v>187300</v>
      </c>
    </row>
    <row r="14" spans="1:16">
      <c r="A14" s="30">
        <v>403</v>
      </c>
      <c r="B14" s="29" t="s">
        <v>224</v>
      </c>
      <c r="C14" s="29" t="str">
        <f t="shared" si="0"/>
        <v>関西エリア</v>
      </c>
      <c r="D14" s="29" t="s">
        <v>226</v>
      </c>
      <c r="E14" s="2">
        <f t="shared" si="1"/>
        <v>187300</v>
      </c>
      <c r="F14" s="29">
        <v>690</v>
      </c>
      <c r="G14" s="29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3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8"/>
      <c r="O15" s="27" t="s">
        <v>232</v>
      </c>
      <c r="P15" s="36">
        <v>59.6</v>
      </c>
    </row>
    <row r="16" spans="1:16" ht="19.5" thickBot="1">
      <c r="A16" s="31"/>
      <c r="B16" s="10" t="s">
        <v>32</v>
      </c>
      <c r="C16" s="32"/>
      <c r="D16" s="32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27" t="s">
        <v>233</v>
      </c>
      <c r="P16" s="36">
        <v>45.2</v>
      </c>
    </row>
    <row r="18" spans="1:17" ht="19.5" thickBot="1">
      <c r="A18" s="53" t="s">
        <v>245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O18" s="70" t="s">
        <v>212</v>
      </c>
      <c r="P18" s="72" t="s">
        <v>210</v>
      </c>
      <c r="Q18" s="72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71"/>
      <c r="P19" s="50" t="s">
        <v>234</v>
      </c>
      <c r="Q19" s="51" t="s">
        <v>235</v>
      </c>
    </row>
    <row r="20" spans="1:17">
      <c r="A20" s="30">
        <v>402</v>
      </c>
      <c r="B20" s="29" t="s">
        <v>223</v>
      </c>
      <c r="C20" s="29" t="s">
        <v>244</v>
      </c>
      <c r="D20" s="29" t="s">
        <v>153</v>
      </c>
      <c r="E20" s="2">
        <v>220800</v>
      </c>
      <c r="F20" s="29">
        <v>839</v>
      </c>
      <c r="G20" s="29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50">
        <v>1</v>
      </c>
      <c r="P20" s="50" t="s">
        <v>236</v>
      </c>
      <c r="Q20" s="50" t="s">
        <v>237</v>
      </c>
    </row>
    <row r="21" spans="1:17">
      <c r="A21" s="30">
        <v>201</v>
      </c>
      <c r="B21" s="29" t="s">
        <v>216</v>
      </c>
      <c r="C21" s="29" t="s">
        <v>242</v>
      </c>
      <c r="D21" s="29" t="s">
        <v>153</v>
      </c>
      <c r="E21" s="2">
        <v>220800</v>
      </c>
      <c r="F21" s="29">
        <v>820</v>
      </c>
      <c r="G21" s="29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52">
        <v>300000</v>
      </c>
      <c r="P21" s="50" t="s">
        <v>240</v>
      </c>
      <c r="Q21" s="50" t="s">
        <v>239</v>
      </c>
    </row>
    <row r="22" spans="1:17">
      <c r="A22" s="30">
        <v>301</v>
      </c>
      <c r="B22" s="29" t="s">
        <v>219</v>
      </c>
      <c r="C22" s="29" t="s">
        <v>243</v>
      </c>
      <c r="D22" s="29" t="s">
        <v>153</v>
      </c>
      <c r="E22" s="2">
        <v>220800</v>
      </c>
      <c r="F22" s="29">
        <v>815</v>
      </c>
      <c r="G22" s="29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30">
        <v>102</v>
      </c>
      <c r="B23" s="29" t="s">
        <v>214</v>
      </c>
      <c r="C23" s="29" t="s">
        <v>241</v>
      </c>
      <c r="D23" s="29" t="s">
        <v>154</v>
      </c>
      <c r="E23" s="2">
        <v>209600</v>
      </c>
      <c r="F23" s="29">
        <v>845</v>
      </c>
      <c r="G23" s="29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30">
        <v>203</v>
      </c>
      <c r="B24" s="29" t="s">
        <v>218</v>
      </c>
      <c r="C24" s="29" t="s">
        <v>242</v>
      </c>
      <c r="D24" s="29" t="s">
        <v>154</v>
      </c>
      <c r="E24" s="2">
        <v>209600</v>
      </c>
      <c r="F24" s="29">
        <v>801</v>
      </c>
      <c r="G24" s="29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30">
        <v>303</v>
      </c>
      <c r="B25" s="29" t="s">
        <v>221</v>
      </c>
      <c r="C25" s="29" t="s">
        <v>243</v>
      </c>
      <c r="D25" s="29" t="s">
        <v>154</v>
      </c>
      <c r="E25" s="2">
        <v>209600</v>
      </c>
      <c r="F25" s="29">
        <v>749</v>
      </c>
      <c r="G25" s="29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8"/>
    </row>
    <row r="27" spans="1:17" ht="19.5" thickBot="1">
      <c r="A27" s="31"/>
      <c r="B27" s="10" t="s">
        <v>32</v>
      </c>
      <c r="C27" s="32"/>
      <c r="D27" s="32"/>
      <c r="E27" s="12">
        <f>SUM(E20:E25)</f>
        <v>1291200</v>
      </c>
      <c r="F27" s="12">
        <f t="shared" ref="F27:L27" si="9">SUM(F20:F25)</f>
        <v>4869</v>
      </c>
      <c r="G27" s="12">
        <f t="shared" si="9"/>
        <v>4873</v>
      </c>
      <c r="H27" s="12"/>
      <c r="I27" s="12">
        <f t="shared" si="9"/>
        <v>290500</v>
      </c>
      <c r="J27" s="12">
        <f t="shared" si="9"/>
        <v>220050</v>
      </c>
      <c r="K27" s="12">
        <f t="shared" si="9"/>
        <v>80635</v>
      </c>
      <c r="L27" s="12">
        <f t="shared" si="9"/>
        <v>1882385</v>
      </c>
      <c r="M27" s="13"/>
    </row>
    <row r="29" spans="1:17" ht="19.5" thickBot="1">
      <c r="A29" s="53" t="s">
        <v>246</v>
      </c>
      <c r="B29" s="53"/>
      <c r="C29" s="53"/>
      <c r="D29" s="53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29" t="s">
        <v>207</v>
      </c>
      <c r="G30" s="29" t="s">
        <v>207</v>
      </c>
      <c r="H30" s="29" t="s">
        <v>207</v>
      </c>
      <c r="I30" s="29" t="s">
        <v>207</v>
      </c>
    </row>
    <row r="31" spans="1:17">
      <c r="A31" s="30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29" t="s">
        <v>247</v>
      </c>
      <c r="G31" s="29" t="s">
        <v>248</v>
      </c>
      <c r="H31" s="29" t="s">
        <v>249</v>
      </c>
      <c r="I31" s="29" t="s">
        <v>250</v>
      </c>
    </row>
    <row r="32" spans="1:17">
      <c r="A32" s="30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11">
      <c r="A33" s="30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11" ht="19.5" thickBot="1">
      <c r="A34" s="31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  <row r="35" spans="1:11">
      <c r="G35" s="43" t="s">
        <v>28</v>
      </c>
      <c r="H35" s="43" t="s">
        <v>210</v>
      </c>
      <c r="J35" s="48" t="s">
        <v>208</v>
      </c>
      <c r="K35" s="49" t="s">
        <v>28</v>
      </c>
    </row>
    <row r="36" spans="1:11" ht="19.5" thickBot="1">
      <c r="G36" s="42" t="s">
        <v>254</v>
      </c>
      <c r="H36" s="42" t="s">
        <v>255</v>
      </c>
      <c r="J36" s="50" t="s">
        <v>256</v>
      </c>
      <c r="K36" s="50"/>
    </row>
    <row r="37" spans="1:11">
      <c r="A37" s="64" t="s">
        <v>251</v>
      </c>
      <c r="B37" s="65"/>
      <c r="C37" s="65"/>
      <c r="D37" s="65"/>
      <c r="E37" s="20">
        <f>DCOUNT(社員別給料計算表5,"目標数",G35:H36)</f>
        <v>5</v>
      </c>
      <c r="J37" s="50"/>
      <c r="K37" s="50" t="s">
        <v>257</v>
      </c>
    </row>
    <row r="38" spans="1:11">
      <c r="A38" s="66" t="s">
        <v>252</v>
      </c>
      <c r="B38" s="67"/>
      <c r="C38" s="67"/>
      <c r="D38" s="67"/>
      <c r="E38" s="14">
        <f>DAVERAGE(社員別給料計算表5,"奨励金",J35:K37)</f>
        <v>13446.571428571429</v>
      </c>
      <c r="G38" s="43" t="s">
        <v>68</v>
      </c>
    </row>
    <row r="39" spans="1:11" ht="19.5" thickBot="1">
      <c r="A39" s="62" t="s">
        <v>253</v>
      </c>
      <c r="B39" s="63"/>
      <c r="C39" s="63"/>
      <c r="D39" s="63"/>
      <c r="E39" s="16">
        <f>DMIN(社員別給料計算表5,"販売手当",G38:G39)</f>
        <v>47800</v>
      </c>
      <c r="G39" s="42" t="s">
        <v>258</v>
      </c>
    </row>
  </sheetData>
  <sortState ref="A20:M25">
    <sortCondition descending="1" ref="L19"/>
  </sortState>
  <mergeCells count="8">
    <mergeCell ref="P18:Q18"/>
    <mergeCell ref="A18:M18"/>
    <mergeCell ref="A29:D29"/>
    <mergeCell ref="A37:D37"/>
    <mergeCell ref="A38:D38"/>
    <mergeCell ref="A39:D39"/>
    <mergeCell ref="A1:M1"/>
    <mergeCell ref="O18:O19"/>
  </mergeCells>
  <phoneticPr fontId="2"/>
  <pageMargins left="0.25" right="0.25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1-1</vt:lpstr>
      <vt:lpstr>1-1 (数式)</vt:lpstr>
      <vt:lpstr>1-2</vt:lpstr>
      <vt:lpstr>1-2 (数式)</vt:lpstr>
      <vt:lpstr>1-3</vt:lpstr>
      <vt:lpstr>1-3 (数式)</vt:lpstr>
      <vt:lpstr>1-4</vt:lpstr>
      <vt:lpstr>1-4 (数式)</vt:lpstr>
      <vt:lpstr>1-5</vt:lpstr>
      <vt:lpstr>1-5 (数式)</vt:lpstr>
      <vt:lpstr>1-6</vt:lpstr>
      <vt:lpstr>1-6 (数式)</vt:lpstr>
      <vt:lpstr>1-7</vt:lpstr>
      <vt:lpstr>1-7 (数式)</vt:lpstr>
      <vt:lpstr>Sheet2</vt:lpstr>
      <vt:lpstr>'1-2 (数式)'!委託販売一覧表2</vt:lpstr>
      <vt:lpstr>委託販売一覧表2</vt:lpstr>
      <vt:lpstr>'1-6 (数式)'!加工賃支払額一覧表6</vt:lpstr>
      <vt:lpstr>加工賃支払額一覧表6</vt:lpstr>
      <vt:lpstr>'1-7 (数式)'!株式損益額計算表7</vt:lpstr>
      <vt:lpstr>株式損益額計算表7</vt:lpstr>
      <vt:lpstr>'1-4 (数式)'!支店別販売一覧表4</vt:lpstr>
      <vt:lpstr>支店別販売一覧表4</vt:lpstr>
      <vt:lpstr>'1-5 (数式)'!社員別給料計算表5</vt:lpstr>
      <vt:lpstr>社員別給料計算表5</vt:lpstr>
      <vt:lpstr>'1-1 (数式)'!社員別賃金一覧表1</vt:lpstr>
      <vt:lpstr>社員別賃金一覧表1</vt:lpstr>
      <vt:lpstr>請求額一覧表8</vt:lpstr>
      <vt:lpstr>'1-3 (数式)'!得意先別売上一覧表3</vt:lpstr>
      <vt:lpstr>得意先別売上一覧表3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2024-02-01T02:34:03Z</cp:lastPrinted>
  <dcterms:created xsi:type="dcterms:W3CDTF">2015-06-05T18:19:34Z</dcterms:created>
  <dcterms:modified xsi:type="dcterms:W3CDTF">2024-02-01T03:10:45Z</dcterms:modified>
</cp:coreProperties>
</file>