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eito\Documents\012Yeung\openforward\inside_office\excel\"/>
    </mc:Choice>
  </mc:AlternateContent>
  <xr:revisionPtr revIDLastSave="0" documentId="13_ncr:1_{3C7257C3-935C-4B7A-ABF5-B31451C8FC42}" xr6:coauthVersionLast="36" xr6:coauthVersionMax="36" xr10:uidLastSave="{00000000-0000-0000-0000-000000000000}"/>
  <bookViews>
    <workbookView xWindow="0" yWindow="0" windowWidth="28800" windowHeight="12285" activeTab="5" xr2:uid="{00000000-000D-0000-FFFF-FFFF00000000}"/>
  </bookViews>
  <sheets>
    <sheet name="1-1" sheetId="1" r:id="rId1"/>
    <sheet name="1-2" sheetId="2" r:id="rId2"/>
    <sheet name="1-3" sheetId="3" r:id="rId3"/>
    <sheet name="1-4" sheetId="4" r:id="rId4"/>
    <sheet name="1-5" sheetId="5" r:id="rId5"/>
    <sheet name="Sheet1" sheetId="6" r:id="rId6"/>
  </sheets>
  <definedNames>
    <definedName name="_xlnm._FilterDatabase" localSheetId="0" hidden="1">'1-1'!$A$2:$L$11</definedName>
    <definedName name="_xlnm._FilterDatabase" localSheetId="1" hidden="1">'1-2'!$A$2:$L$18</definedName>
    <definedName name="_xlnm._FilterDatabase" localSheetId="2" hidden="1">'1-3'!$A$2:$L$18</definedName>
    <definedName name="_xlnm._FilterDatabase" localSheetId="3" hidden="1">'1-4'!$A$2:$M$18</definedName>
    <definedName name="_xlnm._FilterDatabase" localSheetId="4" hidden="1">'1-5'!$A$2:$M$14</definedName>
    <definedName name="委託販売一覧表2">'1-2'!$A$2:$L$18</definedName>
    <definedName name="支店別販売一覧表4">'1-4'!$A$2:$M$18</definedName>
    <definedName name="社員別給料計算表5">'1-5'!$A$2:$L$14</definedName>
    <definedName name="社員別賃金一覧表1">'1-1'!$A$2:$L$11</definedName>
    <definedName name="得意先別売上一覧表3">'1-3'!$A$2:$L$18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5" l="1"/>
  <c r="D31" i="5"/>
  <c r="C32" i="5"/>
  <c r="D32" i="5"/>
  <c r="C33" i="5"/>
  <c r="D33" i="5"/>
  <c r="C34" i="5"/>
  <c r="D34" i="5"/>
  <c r="B34" i="5"/>
  <c r="B33" i="5"/>
  <c r="B32" i="5"/>
  <c r="B31" i="5"/>
  <c r="F16" i="5"/>
  <c r="G16" i="5"/>
  <c r="J4" i="5"/>
  <c r="J5" i="5"/>
  <c r="J6" i="5"/>
  <c r="J7" i="5"/>
  <c r="J8" i="5"/>
  <c r="J9" i="5"/>
  <c r="J10" i="5"/>
  <c r="J11" i="5"/>
  <c r="J12" i="5"/>
  <c r="J13" i="5"/>
  <c r="J14" i="5"/>
  <c r="J3" i="5"/>
  <c r="I4" i="5"/>
  <c r="I5" i="5"/>
  <c r="I6" i="5"/>
  <c r="I7" i="5"/>
  <c r="I8" i="5"/>
  <c r="I9" i="5"/>
  <c r="I10" i="5"/>
  <c r="I11" i="5"/>
  <c r="I12" i="5"/>
  <c r="I13" i="5"/>
  <c r="I14" i="5"/>
  <c r="H4" i="5"/>
  <c r="H5" i="5"/>
  <c r="H6" i="5"/>
  <c r="H7" i="5"/>
  <c r="H8" i="5"/>
  <c r="H9" i="5"/>
  <c r="H10" i="5"/>
  <c r="H11" i="5"/>
  <c r="H12" i="5"/>
  <c r="H13" i="5"/>
  <c r="H14" i="5"/>
  <c r="C4" i="5"/>
  <c r="C5" i="5"/>
  <c r="C6" i="5"/>
  <c r="C7" i="5"/>
  <c r="C8" i="5"/>
  <c r="C9" i="5"/>
  <c r="C10" i="5"/>
  <c r="C11" i="5"/>
  <c r="C12" i="5"/>
  <c r="C13" i="5"/>
  <c r="C14" i="5"/>
  <c r="E4" i="5"/>
  <c r="E5" i="5"/>
  <c r="E6" i="5"/>
  <c r="E7" i="5"/>
  <c r="E8" i="5"/>
  <c r="E9" i="5"/>
  <c r="E10" i="5"/>
  <c r="E11" i="5"/>
  <c r="E12" i="5"/>
  <c r="E13" i="5"/>
  <c r="E14" i="5"/>
  <c r="K3" i="5"/>
  <c r="I3" i="5"/>
  <c r="I16" i="5" s="1"/>
  <c r="H3" i="5"/>
  <c r="E3" i="5"/>
  <c r="C3" i="5"/>
  <c r="G39" i="4"/>
  <c r="G41" i="4"/>
  <c r="G40" i="4"/>
  <c r="L3" i="5" l="1"/>
  <c r="M3" i="5" s="1"/>
  <c r="K14" i="5"/>
  <c r="L14" i="5" s="1"/>
  <c r="M14" i="5" s="1"/>
  <c r="K10" i="5"/>
  <c r="K6" i="5"/>
  <c r="L6" i="5" s="1"/>
  <c r="M6" i="5" s="1"/>
  <c r="K12" i="5"/>
  <c r="L12" i="5" s="1"/>
  <c r="M12" i="5" s="1"/>
  <c r="K8" i="5"/>
  <c r="L8" i="5" s="1"/>
  <c r="M8" i="5" s="1"/>
  <c r="K4" i="5"/>
  <c r="L4" i="5" s="1"/>
  <c r="M4" i="5" s="1"/>
  <c r="K11" i="5"/>
  <c r="L11" i="5" s="1"/>
  <c r="M11" i="5" s="1"/>
  <c r="K7" i="5"/>
  <c r="J16" i="5"/>
  <c r="L7" i="5"/>
  <c r="M7" i="5" s="1"/>
  <c r="E16" i="5"/>
  <c r="K5" i="5"/>
  <c r="L10" i="5"/>
  <c r="M10" i="5" s="1"/>
  <c r="K13" i="5"/>
  <c r="L13" i="5" s="1"/>
  <c r="M13" i="5" s="1"/>
  <c r="K9" i="5"/>
  <c r="L9" i="5" s="1"/>
  <c r="M9" i="5" s="1"/>
  <c r="G30" i="4"/>
  <c r="I30" i="4"/>
  <c r="F30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E4" i="4"/>
  <c r="I4" i="4" s="1"/>
  <c r="E5" i="4"/>
  <c r="I5" i="4" s="1"/>
  <c r="E6" i="4"/>
  <c r="I6" i="4" s="1"/>
  <c r="K6" i="4" s="1"/>
  <c r="E7" i="4"/>
  <c r="I7" i="4" s="1"/>
  <c r="K7" i="4" s="1"/>
  <c r="E8" i="4"/>
  <c r="I8" i="4" s="1"/>
  <c r="E9" i="4"/>
  <c r="I9" i="4" s="1"/>
  <c r="E10" i="4"/>
  <c r="I10" i="4" s="1"/>
  <c r="K10" i="4" s="1"/>
  <c r="E11" i="4"/>
  <c r="I11" i="4" s="1"/>
  <c r="K11" i="4" s="1"/>
  <c r="E12" i="4"/>
  <c r="I12" i="4" s="1"/>
  <c r="E13" i="4"/>
  <c r="I13" i="4" s="1"/>
  <c r="E14" i="4"/>
  <c r="I14" i="4" s="1"/>
  <c r="K14" i="4" s="1"/>
  <c r="E15" i="4"/>
  <c r="I15" i="4" s="1"/>
  <c r="K15" i="4" s="1"/>
  <c r="E16" i="4"/>
  <c r="I16" i="4" s="1"/>
  <c r="E17" i="4"/>
  <c r="I17" i="4" s="1"/>
  <c r="E18" i="4"/>
  <c r="I18" i="4" s="1"/>
  <c r="K18" i="4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G20" i="4"/>
  <c r="F20" i="4"/>
  <c r="J3" i="4"/>
  <c r="L3" i="4"/>
  <c r="H3" i="4"/>
  <c r="E3" i="4"/>
  <c r="I3" i="4" s="1"/>
  <c r="D3" i="4"/>
  <c r="B3" i="4"/>
  <c r="K16" i="5" l="1"/>
  <c r="L5" i="5"/>
  <c r="M5" i="5" s="1"/>
  <c r="D35" i="4"/>
  <c r="C35" i="4"/>
  <c r="B36" i="4"/>
  <c r="C36" i="4"/>
  <c r="B35" i="4"/>
  <c r="C34" i="4"/>
  <c r="D36" i="4"/>
  <c r="B34" i="4"/>
  <c r="B37" i="4"/>
  <c r="D37" i="4"/>
  <c r="C37" i="4"/>
  <c r="D34" i="4"/>
  <c r="K16" i="4"/>
  <c r="M16" i="4" s="1"/>
  <c r="K12" i="4"/>
  <c r="M12" i="4" s="1"/>
  <c r="K8" i="4"/>
  <c r="M8" i="4" s="1"/>
  <c r="K4" i="4"/>
  <c r="M4" i="4" s="1"/>
  <c r="K3" i="4"/>
  <c r="M3" i="4" s="1"/>
  <c r="K17" i="4"/>
  <c r="M17" i="4" s="1"/>
  <c r="K13" i="4"/>
  <c r="M13" i="4" s="1"/>
  <c r="K9" i="4"/>
  <c r="M9" i="4" s="1"/>
  <c r="I20" i="4"/>
  <c r="K5" i="4"/>
  <c r="M5" i="4" s="1"/>
  <c r="M11" i="4"/>
  <c r="M18" i="4"/>
  <c r="M14" i="4"/>
  <c r="M10" i="4"/>
  <c r="M6" i="4"/>
  <c r="M7" i="4"/>
  <c r="M15" i="4"/>
  <c r="E40" i="3"/>
  <c r="E39" i="3"/>
  <c r="E38" i="3"/>
  <c r="C33" i="3"/>
  <c r="D33" i="3"/>
  <c r="C34" i="3"/>
  <c r="D34" i="3"/>
  <c r="C35" i="3"/>
  <c r="D35" i="3"/>
  <c r="C36" i="3"/>
  <c r="D36" i="3"/>
  <c r="B36" i="3"/>
  <c r="B35" i="3"/>
  <c r="B34" i="3"/>
  <c r="B33" i="3"/>
  <c r="G29" i="3"/>
  <c r="I29" i="3"/>
  <c r="J29" i="3"/>
  <c r="K29" i="3"/>
  <c r="F29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G11" i="3"/>
  <c r="I11" i="3" s="1"/>
  <c r="G15" i="3"/>
  <c r="I15" i="3" s="1"/>
  <c r="E4" i="3"/>
  <c r="K4" i="3" s="1"/>
  <c r="E5" i="3"/>
  <c r="K5" i="3" s="1"/>
  <c r="E6" i="3"/>
  <c r="G6" i="3" s="1"/>
  <c r="E7" i="3"/>
  <c r="K7" i="3" s="1"/>
  <c r="E8" i="3"/>
  <c r="K8" i="3" s="1"/>
  <c r="E9" i="3"/>
  <c r="K9" i="3" s="1"/>
  <c r="E10" i="3"/>
  <c r="K10" i="3" s="1"/>
  <c r="E11" i="3"/>
  <c r="K11" i="3" s="1"/>
  <c r="E12" i="3"/>
  <c r="G12" i="3" s="1"/>
  <c r="E13" i="3"/>
  <c r="K13" i="3" s="1"/>
  <c r="E14" i="3"/>
  <c r="K14" i="3" s="1"/>
  <c r="E15" i="3"/>
  <c r="K15" i="3" s="1"/>
  <c r="E16" i="3"/>
  <c r="K16" i="3" s="1"/>
  <c r="E17" i="3"/>
  <c r="K17" i="3" s="1"/>
  <c r="E18" i="3"/>
  <c r="G18" i="3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F20" i="3"/>
  <c r="K3" i="3"/>
  <c r="H3" i="3"/>
  <c r="E3" i="3"/>
  <c r="G3" i="3" s="1"/>
  <c r="D3" i="3"/>
  <c r="B3" i="3"/>
  <c r="H42" i="2"/>
  <c r="H41" i="2"/>
  <c r="H40" i="2"/>
  <c r="D37" i="2"/>
  <c r="D36" i="2"/>
  <c r="D35" i="2"/>
  <c r="D34" i="2"/>
  <c r="C37" i="2"/>
  <c r="C36" i="2"/>
  <c r="C35" i="2"/>
  <c r="C34" i="2"/>
  <c r="B37" i="2"/>
  <c r="B36" i="2"/>
  <c r="B35" i="2"/>
  <c r="B34" i="2"/>
  <c r="L16" i="5" l="1"/>
  <c r="I12" i="3"/>
  <c r="G4" i="3"/>
  <c r="I4" i="3" s="1"/>
  <c r="J4" i="3" s="1"/>
  <c r="L4" i="3" s="1"/>
  <c r="K12" i="3"/>
  <c r="G16" i="3"/>
  <c r="I16" i="3" s="1"/>
  <c r="I18" i="3"/>
  <c r="J18" i="3" s="1"/>
  <c r="L18" i="3" s="1"/>
  <c r="I6" i="3"/>
  <c r="J6" i="3" s="1"/>
  <c r="L6" i="3" s="1"/>
  <c r="G10" i="3"/>
  <c r="K18" i="3"/>
  <c r="G14" i="3"/>
  <c r="G8" i="3"/>
  <c r="I8" i="3" s="1"/>
  <c r="G7" i="3"/>
  <c r="I7" i="3" s="1"/>
  <c r="K6" i="3"/>
  <c r="K20" i="3"/>
  <c r="J16" i="3"/>
  <c r="L16" i="3" s="1"/>
  <c r="J12" i="3"/>
  <c r="L12" i="3" s="1"/>
  <c r="J15" i="3"/>
  <c r="L15" i="3" s="1"/>
  <c r="J11" i="3"/>
  <c r="L11" i="3" s="1"/>
  <c r="J7" i="3"/>
  <c r="L7" i="3" s="1"/>
  <c r="I3" i="3"/>
  <c r="G17" i="3"/>
  <c r="G13" i="3"/>
  <c r="G9" i="3"/>
  <c r="G5" i="3"/>
  <c r="J30" i="2"/>
  <c r="G30" i="2"/>
  <c r="H30" i="2"/>
  <c r="K30" i="2"/>
  <c r="F30" i="2"/>
  <c r="G20" i="2"/>
  <c r="F20" i="2"/>
  <c r="I14" i="3" l="1"/>
  <c r="J14" i="3" s="1"/>
  <c r="L14" i="3" s="1"/>
  <c r="J8" i="3"/>
  <c r="L8" i="3" s="1"/>
  <c r="J10" i="3"/>
  <c r="L10" i="3" s="1"/>
  <c r="I10" i="3"/>
  <c r="I9" i="3"/>
  <c r="J9" i="3" s="1"/>
  <c r="L9" i="3" s="1"/>
  <c r="J3" i="3"/>
  <c r="I17" i="3"/>
  <c r="J17" i="3" s="1"/>
  <c r="L17" i="3" s="1"/>
  <c r="G20" i="3"/>
  <c r="I5" i="3"/>
  <c r="I13" i="3"/>
  <c r="J13" i="3" s="1"/>
  <c r="L13" i="3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3" i="2"/>
  <c r="E4" i="2"/>
  <c r="H4" i="2" s="1"/>
  <c r="E5" i="2"/>
  <c r="H5" i="2" s="1"/>
  <c r="E6" i="2"/>
  <c r="H6" i="2" s="1"/>
  <c r="E7" i="2"/>
  <c r="H7" i="2" s="1"/>
  <c r="E8" i="2"/>
  <c r="H8" i="2" s="1"/>
  <c r="E9" i="2"/>
  <c r="H9" i="2" s="1"/>
  <c r="E10" i="2"/>
  <c r="H10" i="2" s="1"/>
  <c r="E11" i="2"/>
  <c r="H11" i="2" s="1"/>
  <c r="J11" i="2" s="1"/>
  <c r="E12" i="2"/>
  <c r="H12" i="2" s="1"/>
  <c r="E13" i="2"/>
  <c r="H13" i="2" s="1"/>
  <c r="E14" i="2"/>
  <c r="H14" i="2" s="1"/>
  <c r="E15" i="2"/>
  <c r="H15" i="2" s="1"/>
  <c r="E16" i="2"/>
  <c r="H16" i="2" s="1"/>
  <c r="E17" i="2"/>
  <c r="H17" i="2" s="1"/>
  <c r="E18" i="2"/>
  <c r="H18" i="2" s="1"/>
  <c r="E3" i="2"/>
  <c r="H3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D3" i="2"/>
  <c r="B3" i="2"/>
  <c r="I20" i="3" l="1"/>
  <c r="J5" i="3"/>
  <c r="L5" i="3" s="1"/>
  <c r="J20" i="3"/>
  <c r="L3" i="3"/>
  <c r="J15" i="2"/>
  <c r="J7" i="2"/>
  <c r="H20" i="2"/>
  <c r="J3" i="2"/>
  <c r="K3" i="2" s="1"/>
  <c r="J18" i="2"/>
  <c r="L18" i="2" s="1"/>
  <c r="J14" i="2"/>
  <c r="K14" i="2"/>
  <c r="L14" i="2"/>
  <c r="J10" i="2"/>
  <c r="K10" i="2" s="1"/>
  <c r="J6" i="2"/>
  <c r="K6" i="2" s="1"/>
  <c r="J17" i="2"/>
  <c r="L17" i="2" s="1"/>
  <c r="J13" i="2"/>
  <c r="K13" i="2" s="1"/>
  <c r="J9" i="2"/>
  <c r="K9" i="2" s="1"/>
  <c r="J5" i="2"/>
  <c r="L5" i="2" s="1"/>
  <c r="L12" i="2"/>
  <c r="L15" i="2"/>
  <c r="L11" i="2"/>
  <c r="L7" i="2"/>
  <c r="J16" i="2"/>
  <c r="L16" i="2" s="1"/>
  <c r="J12" i="2"/>
  <c r="K12" i="2" s="1"/>
  <c r="J8" i="2"/>
  <c r="L8" i="2" s="1"/>
  <c r="J4" i="2"/>
  <c r="L4" i="2" s="1"/>
  <c r="K15" i="2"/>
  <c r="K11" i="2"/>
  <c r="K7" i="2"/>
  <c r="C3" i="1"/>
  <c r="E23" i="1"/>
  <c r="F23" i="1"/>
  <c r="G23" i="1"/>
  <c r="H23" i="1"/>
  <c r="I23" i="1"/>
  <c r="J23" i="1"/>
  <c r="K23" i="1"/>
  <c r="D23" i="1"/>
  <c r="D13" i="1"/>
  <c r="E13" i="1"/>
  <c r="G4" i="1"/>
  <c r="G5" i="1"/>
  <c r="G6" i="1"/>
  <c r="G7" i="1"/>
  <c r="G8" i="1"/>
  <c r="G9" i="1"/>
  <c r="G10" i="1"/>
  <c r="G11" i="1"/>
  <c r="F4" i="1"/>
  <c r="H4" i="1" s="1"/>
  <c r="F5" i="1"/>
  <c r="H5" i="1" s="1"/>
  <c r="F6" i="1"/>
  <c r="H6" i="1" s="1"/>
  <c r="F7" i="1"/>
  <c r="F8" i="1"/>
  <c r="H8" i="1" s="1"/>
  <c r="F9" i="1"/>
  <c r="H9" i="1" s="1"/>
  <c r="F10" i="1"/>
  <c r="H10" i="1" s="1"/>
  <c r="F11" i="1"/>
  <c r="H11" i="1" s="1"/>
  <c r="C4" i="1"/>
  <c r="C5" i="1"/>
  <c r="C6" i="1"/>
  <c r="C7" i="1"/>
  <c r="C8" i="1"/>
  <c r="C9" i="1"/>
  <c r="C10" i="1"/>
  <c r="C11" i="1"/>
  <c r="G3" i="1"/>
  <c r="F3" i="1"/>
  <c r="K17" i="2" l="1"/>
  <c r="L13" i="2"/>
  <c r="K5" i="2"/>
  <c r="L10" i="2"/>
  <c r="K8" i="2"/>
  <c r="K4" i="2"/>
  <c r="K18" i="2"/>
  <c r="J20" i="2"/>
  <c r="L9" i="2"/>
  <c r="L6" i="2"/>
  <c r="L3" i="2"/>
  <c r="K16" i="2"/>
  <c r="K20" i="2" s="1"/>
  <c r="H7" i="1"/>
  <c r="H3" i="1"/>
  <c r="I3" i="1" s="1"/>
  <c r="B27" i="1"/>
  <c r="B28" i="1"/>
  <c r="B29" i="1"/>
  <c r="G13" i="1"/>
  <c r="J3" i="1"/>
  <c r="I9" i="1"/>
  <c r="I5" i="1"/>
  <c r="J9" i="1"/>
  <c r="J5" i="1"/>
  <c r="I8" i="1"/>
  <c r="I4" i="1"/>
  <c r="J8" i="1"/>
  <c r="J4" i="1"/>
  <c r="D27" i="1" s="1"/>
  <c r="I11" i="1"/>
  <c r="I7" i="1"/>
  <c r="J11" i="1"/>
  <c r="J7" i="1"/>
  <c r="I10" i="1"/>
  <c r="I6" i="1"/>
  <c r="J10" i="1"/>
  <c r="D29" i="1" s="1"/>
  <c r="J6" i="1"/>
  <c r="D28" i="1" s="1"/>
  <c r="F13" i="1"/>
  <c r="H13" i="1" l="1"/>
  <c r="L28" i="1"/>
  <c r="C29" i="1"/>
  <c r="C28" i="1"/>
  <c r="L29" i="1"/>
  <c r="K10" i="1"/>
  <c r="L10" i="1" s="1"/>
  <c r="K11" i="1"/>
  <c r="L11" i="1" s="1"/>
  <c r="K8" i="1"/>
  <c r="L8" i="1" s="1"/>
  <c r="C27" i="1"/>
  <c r="K9" i="1"/>
  <c r="L9" i="1" s="1"/>
  <c r="K3" i="1"/>
  <c r="L3" i="1" s="1"/>
  <c r="K6" i="1"/>
  <c r="K7" i="1"/>
  <c r="L7" i="1" s="1"/>
  <c r="K4" i="1"/>
  <c r="L4" i="1" s="1"/>
  <c r="K5" i="1"/>
  <c r="L5" i="1" s="1"/>
  <c r="J13" i="1"/>
  <c r="I13" i="1"/>
  <c r="L6" i="1" l="1"/>
  <c r="L27" i="1"/>
  <c r="K13" i="1"/>
</calcChain>
</file>

<file path=xl/sharedStrings.xml><?xml version="1.0" encoding="utf-8"?>
<sst xmlns="http://schemas.openxmlformats.org/spreadsheetml/2006/main" count="547" uniqueCount="263">
  <si>
    <t>社員別賃金一覧表</t>
    <rPh sb="0" eb="2">
      <t>シャイン</t>
    </rPh>
    <rPh sb="2" eb="3">
      <t>ベツ</t>
    </rPh>
    <rPh sb="3" eb="4">
      <t>チン</t>
    </rPh>
    <rPh sb="4" eb="5">
      <t>キン</t>
    </rPh>
    <rPh sb="5" eb="7">
      <t>イチラン</t>
    </rPh>
    <rPh sb="7" eb="8">
      <t>ヒョウ</t>
    </rPh>
    <phoneticPr fontId="2"/>
  </si>
  <si>
    <t>ＣＯ</t>
    <phoneticPr fontId="2"/>
  </si>
  <si>
    <t>社員名</t>
    <rPh sb="0" eb="3">
      <t>シャインメイ</t>
    </rPh>
    <phoneticPr fontId="2"/>
  </si>
  <si>
    <t>チーム名</t>
  </si>
  <si>
    <t>チーム名</t>
    <rPh sb="3" eb="4">
      <t>メイ</t>
    </rPh>
    <phoneticPr fontId="2"/>
  </si>
  <si>
    <t>契約数</t>
  </si>
  <si>
    <t>契約数</t>
    <rPh sb="0" eb="2">
      <t>ケイヤク</t>
    </rPh>
    <rPh sb="2" eb="3">
      <t>スウ</t>
    </rPh>
    <phoneticPr fontId="2"/>
  </si>
  <si>
    <t>契約額(千)</t>
    <rPh sb="0" eb="3">
      <t>ケイヤクガク</t>
    </rPh>
    <rPh sb="4" eb="5">
      <t>セン</t>
    </rPh>
    <phoneticPr fontId="2"/>
  </si>
  <si>
    <t>査定A</t>
  </si>
  <si>
    <t>査定A</t>
    <rPh sb="0" eb="2">
      <t>サテイ</t>
    </rPh>
    <phoneticPr fontId="2"/>
  </si>
  <si>
    <t>査定B</t>
    <rPh sb="0" eb="2">
      <t>サテイ</t>
    </rPh>
    <phoneticPr fontId="2"/>
  </si>
  <si>
    <t>基本賃金</t>
    <rPh sb="0" eb="2">
      <t>キホン</t>
    </rPh>
    <rPh sb="2" eb="4">
      <t>チンギン</t>
    </rPh>
    <phoneticPr fontId="2"/>
  </si>
  <si>
    <t>営業手当</t>
    <rPh sb="0" eb="4">
      <t>エイギョウテアテ</t>
    </rPh>
    <phoneticPr fontId="2"/>
  </si>
  <si>
    <t>総支給額</t>
    <rPh sb="0" eb="4">
      <t>ソウシキュウガク</t>
    </rPh>
    <phoneticPr fontId="2"/>
  </si>
  <si>
    <t>評価</t>
    <rPh sb="0" eb="2">
      <t>ヒョウカ</t>
    </rPh>
    <phoneticPr fontId="2"/>
  </si>
  <si>
    <t>内藤　信也</t>
    <rPh sb="0" eb="2">
      <t>ナイトウ</t>
    </rPh>
    <rPh sb="3" eb="4">
      <t>シン</t>
    </rPh>
    <rPh sb="4" eb="5">
      <t>ナリ</t>
    </rPh>
    <phoneticPr fontId="2"/>
  </si>
  <si>
    <t>松島　清子</t>
    <rPh sb="0" eb="2">
      <t>マツシマ</t>
    </rPh>
    <rPh sb="3" eb="5">
      <t>セイゴ</t>
    </rPh>
    <phoneticPr fontId="2"/>
  </si>
  <si>
    <t>堀　さゆり</t>
    <rPh sb="0" eb="1">
      <t>ホリ</t>
    </rPh>
    <phoneticPr fontId="2"/>
  </si>
  <si>
    <t>渡辺　大地</t>
    <rPh sb="0" eb="2">
      <t>ワタナベ</t>
    </rPh>
    <rPh sb="3" eb="5">
      <t>ダイチ</t>
    </rPh>
    <phoneticPr fontId="2"/>
  </si>
  <si>
    <t>久保山　新</t>
    <rPh sb="0" eb="3">
      <t>クボヤマ</t>
    </rPh>
    <rPh sb="4" eb="5">
      <t>シン</t>
    </rPh>
    <phoneticPr fontId="2"/>
  </si>
  <si>
    <t>大石　ミサ</t>
    <rPh sb="0" eb="2">
      <t>オオセキ</t>
    </rPh>
    <phoneticPr fontId="2"/>
  </si>
  <si>
    <t>中村　一郎</t>
    <rPh sb="0" eb="2">
      <t>ナカムラ</t>
    </rPh>
    <rPh sb="3" eb="5">
      <t>イチロウ</t>
    </rPh>
    <phoneticPr fontId="2"/>
  </si>
  <si>
    <t>長山　英美</t>
    <rPh sb="0" eb="2">
      <t>ナガヤマ</t>
    </rPh>
    <rPh sb="3" eb="4">
      <t>エイ</t>
    </rPh>
    <rPh sb="4" eb="5">
      <t>ウツク</t>
    </rPh>
    <phoneticPr fontId="2"/>
  </si>
  <si>
    <t>小早川　哲</t>
    <rPh sb="0" eb="3">
      <t>コバヤカワ</t>
    </rPh>
    <rPh sb="4" eb="5">
      <t>テツ</t>
    </rPh>
    <phoneticPr fontId="2"/>
  </si>
  <si>
    <t>チーム</t>
    <phoneticPr fontId="2"/>
  </si>
  <si>
    <t>営業A</t>
    <rPh sb="0" eb="2">
      <t>エイギョウ</t>
    </rPh>
    <phoneticPr fontId="2"/>
  </si>
  <si>
    <t>営業B</t>
    <rPh sb="0" eb="2">
      <t>エイギョウ</t>
    </rPh>
    <phoneticPr fontId="2"/>
  </si>
  <si>
    <t>営業C</t>
    <rPh sb="0" eb="2">
      <t>エイギョウ</t>
    </rPh>
    <phoneticPr fontId="2"/>
  </si>
  <si>
    <t>目標数</t>
    <rPh sb="0" eb="3">
      <t>モクヒョウスウ</t>
    </rPh>
    <phoneticPr fontId="2"/>
  </si>
  <si>
    <t>目標額(千)</t>
    <rPh sb="0" eb="3">
      <t>モクヒョウガク</t>
    </rPh>
    <phoneticPr fontId="2"/>
  </si>
  <si>
    <t>単価X</t>
    <rPh sb="0" eb="2">
      <t>タンカ</t>
    </rPh>
    <phoneticPr fontId="2"/>
  </si>
  <si>
    <t>単価Y</t>
    <phoneticPr fontId="2"/>
  </si>
  <si>
    <t>合計</t>
    <rPh sb="0" eb="2">
      <t>ゴウケイ</t>
    </rPh>
    <phoneticPr fontId="2"/>
  </si>
  <si>
    <t>単価X表</t>
    <rPh sb="3" eb="4">
      <t>ヒョウ</t>
    </rPh>
    <phoneticPr fontId="2"/>
  </si>
  <si>
    <t>単価Y表</t>
    <rPh sb="3" eb="4">
      <t>ヒョウ</t>
    </rPh>
    <phoneticPr fontId="2"/>
  </si>
  <si>
    <t>営業Aチーム</t>
  </si>
  <si>
    <t/>
  </si>
  <si>
    <t>営業Bチーム</t>
  </si>
  <si>
    <t>*</t>
  </si>
  <si>
    <t>営業Cチーム</t>
  </si>
  <si>
    <t>社員別賃金一覧表（契約数370以上・総支給額20万円未満）</t>
    <rPh sb="15" eb="17">
      <t>イジョウ</t>
    </rPh>
    <rPh sb="18" eb="22">
      <t>ソウシキュウガク</t>
    </rPh>
    <rPh sb="24" eb="25">
      <t>マン</t>
    </rPh>
    <rPh sb="25" eb="26">
      <t>エン</t>
    </rPh>
    <rPh sb="26" eb="28">
      <t>ミマン</t>
    </rPh>
    <phoneticPr fontId="2"/>
  </si>
  <si>
    <t>チーム別集計表</t>
    <rPh sb="3" eb="4">
      <t>ベツ</t>
    </rPh>
    <rPh sb="4" eb="7">
      <t>シュウケイヒョウ</t>
    </rPh>
    <phoneticPr fontId="2"/>
  </si>
  <si>
    <t>勤勉手当</t>
  </si>
  <si>
    <t>勤勉手当</t>
    <rPh sb="0" eb="2">
      <t>キンベン</t>
    </rPh>
    <rPh sb="2" eb="4">
      <t>テアテ</t>
    </rPh>
    <phoneticPr fontId="2"/>
  </si>
  <si>
    <t>営業手当</t>
    <rPh sb="0" eb="2">
      <t>エイギョウ</t>
    </rPh>
    <rPh sb="2" eb="4">
      <t>テアテ</t>
    </rPh>
    <phoneticPr fontId="2"/>
  </si>
  <si>
    <t>営業Aチーム</t>
    <phoneticPr fontId="2"/>
  </si>
  <si>
    <t>営業Bチーム</t>
    <phoneticPr fontId="2"/>
  </si>
  <si>
    <t>営業Cチーム</t>
    <phoneticPr fontId="2"/>
  </si>
  <si>
    <t>チーム名</t>
    <phoneticPr fontId="2"/>
  </si>
  <si>
    <t>査定Aが100より多く110より少ない総支給額の合計</t>
    <rPh sb="0" eb="2">
      <t>サテイ</t>
    </rPh>
    <rPh sb="9" eb="10">
      <t>オオ</t>
    </rPh>
    <rPh sb="16" eb="17">
      <t>スク</t>
    </rPh>
    <rPh sb="19" eb="23">
      <t>ソウシキュウガク</t>
    </rPh>
    <rPh sb="24" eb="26">
      <t>ゴウケイ</t>
    </rPh>
    <phoneticPr fontId="2"/>
  </si>
  <si>
    <t>営業Bチーム以外で基本賃金が14万円以上の件数</t>
    <rPh sb="6" eb="8">
      <t>イガイ</t>
    </rPh>
    <rPh sb="9" eb="13">
      <t>キホンチンギン</t>
    </rPh>
    <rPh sb="16" eb="18">
      <t>マンエン</t>
    </rPh>
    <rPh sb="18" eb="20">
      <t>イジョウ</t>
    </rPh>
    <rPh sb="21" eb="23">
      <t>ケンスウ</t>
    </rPh>
    <phoneticPr fontId="2"/>
  </si>
  <si>
    <t>査定Bが100以上の勤勉手当の最大</t>
    <rPh sb="0" eb="2">
      <t>サテイ</t>
    </rPh>
    <rPh sb="7" eb="9">
      <t>イジョウ</t>
    </rPh>
    <rPh sb="10" eb="12">
      <t>キンベン</t>
    </rPh>
    <rPh sb="12" eb="14">
      <t>テアテ</t>
    </rPh>
    <rPh sb="15" eb="17">
      <t>サイダイ</t>
    </rPh>
    <phoneticPr fontId="2"/>
  </si>
  <si>
    <t>&gt;100</t>
    <phoneticPr fontId="2"/>
  </si>
  <si>
    <t>&lt;110</t>
    <phoneticPr fontId="2"/>
  </si>
  <si>
    <t>&lt;&gt;営業Bチーム</t>
    <phoneticPr fontId="2"/>
  </si>
  <si>
    <t>基本賃金</t>
    <phoneticPr fontId="2"/>
  </si>
  <si>
    <t>&gt;=140000</t>
    <phoneticPr fontId="2"/>
  </si>
  <si>
    <t>査定B</t>
    <phoneticPr fontId="2"/>
  </si>
  <si>
    <t>&gt;=100</t>
    <phoneticPr fontId="2"/>
  </si>
  <si>
    <t>チーム表</t>
    <rPh sb="3" eb="4">
      <t>ヒョウ</t>
    </rPh>
    <phoneticPr fontId="2"/>
  </si>
  <si>
    <t>目標テーブル</t>
    <rPh sb="0" eb="2">
      <t>モクヒョウ</t>
    </rPh>
    <phoneticPr fontId="2"/>
  </si>
  <si>
    <t>営業手当の計算式</t>
    <rPh sb="5" eb="8">
      <t>ケイサンシキ</t>
    </rPh>
    <phoneticPr fontId="2"/>
  </si>
  <si>
    <t>委ＣＯ</t>
    <rPh sb="0" eb="1">
      <t>イ</t>
    </rPh>
    <phoneticPr fontId="2"/>
  </si>
  <si>
    <t>商ＣＯ</t>
    <rPh sb="0" eb="1">
      <t>ショウ</t>
    </rPh>
    <phoneticPr fontId="2"/>
  </si>
  <si>
    <t>委託先名</t>
    <rPh sb="0" eb="2">
      <t>イタク</t>
    </rPh>
    <rPh sb="2" eb="4">
      <t>サキメイ</t>
    </rPh>
    <phoneticPr fontId="2"/>
  </si>
  <si>
    <t>商品名</t>
    <rPh sb="0" eb="3">
      <t>ショウヒンメイ</t>
    </rPh>
    <phoneticPr fontId="2"/>
  </si>
  <si>
    <t>売価</t>
    <rPh sb="0" eb="2">
      <t>バイカ</t>
    </rPh>
    <phoneticPr fontId="2"/>
  </si>
  <si>
    <t>委託数</t>
    <rPh sb="0" eb="2">
      <t>イタク</t>
    </rPh>
    <rPh sb="2" eb="3">
      <t>スウ</t>
    </rPh>
    <phoneticPr fontId="2"/>
  </si>
  <si>
    <t>販売数</t>
    <rPh sb="0" eb="3">
      <t>ハンバイスウ</t>
    </rPh>
    <phoneticPr fontId="2"/>
  </si>
  <si>
    <t>販売額</t>
    <rPh sb="0" eb="3">
      <t>ハンバイガク</t>
    </rPh>
    <phoneticPr fontId="2"/>
  </si>
  <si>
    <t>乗率</t>
    <rPh sb="0" eb="2">
      <t>ジョウリツ</t>
    </rPh>
    <phoneticPr fontId="2"/>
  </si>
  <si>
    <t>手数料</t>
    <rPh sb="0" eb="3">
      <t>テスウリョウ</t>
    </rPh>
    <phoneticPr fontId="2"/>
  </si>
  <si>
    <t>奨励金</t>
    <rPh sb="0" eb="3">
      <t>ショウレイキン</t>
    </rPh>
    <phoneticPr fontId="2"/>
  </si>
  <si>
    <t>判定</t>
    <rPh sb="0" eb="2">
      <t>ハンテイ</t>
    </rPh>
    <phoneticPr fontId="2"/>
  </si>
  <si>
    <t>委託販売一覧表</t>
    <rPh sb="0" eb="2">
      <t>イタク</t>
    </rPh>
    <rPh sb="2" eb="4">
      <t>ハンバイ</t>
    </rPh>
    <rPh sb="4" eb="7">
      <t>イチランヒョウ</t>
    </rPh>
    <phoneticPr fontId="2"/>
  </si>
  <si>
    <t>11Y</t>
    <phoneticPr fontId="2"/>
  </si>
  <si>
    <t>12Z</t>
    <phoneticPr fontId="2"/>
  </si>
  <si>
    <t>13X</t>
    <phoneticPr fontId="2"/>
  </si>
  <si>
    <t>14Y</t>
    <phoneticPr fontId="2"/>
  </si>
  <si>
    <t>委託先名</t>
    <phoneticPr fontId="2"/>
  </si>
  <si>
    <t>北陸商事</t>
    <rPh sb="0" eb="2">
      <t>キタリク</t>
    </rPh>
    <rPh sb="2" eb="4">
      <t>ショウジ</t>
    </rPh>
    <phoneticPr fontId="2"/>
  </si>
  <si>
    <t>大川電機</t>
    <rPh sb="0" eb="1">
      <t>ダイ</t>
    </rPh>
    <rPh sb="1" eb="2">
      <t>カワ</t>
    </rPh>
    <rPh sb="2" eb="4">
      <t>デンキ</t>
    </rPh>
    <phoneticPr fontId="2"/>
  </si>
  <si>
    <t>佐藤企画</t>
    <rPh sb="0" eb="2">
      <t>サトウ</t>
    </rPh>
    <rPh sb="2" eb="4">
      <t>キカク</t>
    </rPh>
    <phoneticPr fontId="2"/>
  </si>
  <si>
    <t>明光電化</t>
    <rPh sb="0" eb="2">
      <t>メイコウ</t>
    </rPh>
    <rPh sb="2" eb="4">
      <t>デンカ</t>
    </rPh>
    <phoneticPr fontId="2"/>
  </si>
  <si>
    <t>定価</t>
    <rPh sb="0" eb="2">
      <t>テイカ</t>
    </rPh>
    <phoneticPr fontId="2"/>
  </si>
  <si>
    <t>商品A</t>
    <phoneticPr fontId="2"/>
  </si>
  <si>
    <t>商品B</t>
    <phoneticPr fontId="2"/>
  </si>
  <si>
    <t>商品C</t>
    <phoneticPr fontId="2"/>
  </si>
  <si>
    <t>商品D</t>
    <phoneticPr fontId="2"/>
  </si>
  <si>
    <t>区分</t>
    <rPh sb="0" eb="2">
      <t>クフン</t>
    </rPh>
    <phoneticPr fontId="2"/>
  </si>
  <si>
    <t>X</t>
    <phoneticPr fontId="2"/>
  </si>
  <si>
    <t>Y</t>
    <phoneticPr fontId="2"/>
  </si>
  <si>
    <t>Z</t>
    <phoneticPr fontId="2"/>
  </si>
  <si>
    <t>大川電機</t>
  </si>
  <si>
    <t>商品D</t>
  </si>
  <si>
    <t>**</t>
  </si>
  <si>
    <t>佐藤企画</t>
  </si>
  <si>
    <t>商品B</t>
  </si>
  <si>
    <t>明光電化</t>
  </si>
  <si>
    <t>商品A</t>
  </si>
  <si>
    <t>委託販売一覧表（販売数190未満・奨励金6,500円以上）</t>
    <rPh sb="0" eb="2">
      <t>イタク</t>
    </rPh>
    <rPh sb="2" eb="4">
      <t>ハンバイ</t>
    </rPh>
    <rPh sb="4" eb="7">
      <t>イチランヒョウ</t>
    </rPh>
    <rPh sb="8" eb="11">
      <t>ハンバイスウ</t>
    </rPh>
    <rPh sb="14" eb="16">
      <t>ミマン</t>
    </rPh>
    <rPh sb="17" eb="20">
      <t>ショウレイキン</t>
    </rPh>
    <rPh sb="25" eb="26">
      <t>エン</t>
    </rPh>
    <rPh sb="26" eb="28">
      <t>イジョウ</t>
    </rPh>
    <phoneticPr fontId="2"/>
  </si>
  <si>
    <t>商品別集計表</t>
    <rPh sb="0" eb="2">
      <t>ショウヒン</t>
    </rPh>
    <rPh sb="2" eb="3">
      <t>ベツ</t>
    </rPh>
    <rPh sb="3" eb="6">
      <t>シュウケイヒョウ</t>
    </rPh>
    <phoneticPr fontId="2"/>
  </si>
  <si>
    <t>商品名</t>
  </si>
  <si>
    <t>商品名</t>
    <rPh sb="0" eb="3">
      <t>ショウヒンメイ</t>
    </rPh>
    <phoneticPr fontId="2"/>
  </si>
  <si>
    <t>販売数</t>
    <rPh sb="0" eb="3">
      <t>ハンバイスウ</t>
    </rPh>
    <phoneticPr fontId="2"/>
  </si>
  <si>
    <t>手数料</t>
    <rPh sb="0" eb="3">
      <t>テスウリョウ</t>
    </rPh>
    <phoneticPr fontId="2"/>
  </si>
  <si>
    <t>奨励金</t>
    <rPh sb="0" eb="3">
      <t>ショウレイキン</t>
    </rPh>
    <phoneticPr fontId="2"/>
  </si>
  <si>
    <t>商品A</t>
    <rPh sb="0" eb="2">
      <t>ショウヒン</t>
    </rPh>
    <phoneticPr fontId="2"/>
  </si>
  <si>
    <t>商品B</t>
    <rPh sb="0" eb="2">
      <t>ショウヒン</t>
    </rPh>
    <phoneticPr fontId="2"/>
  </si>
  <si>
    <t>商品C</t>
    <rPh sb="0" eb="2">
      <t>ショウヒン</t>
    </rPh>
    <phoneticPr fontId="2"/>
  </si>
  <si>
    <t>商品D</t>
    <rPh sb="0" eb="2">
      <t>ショウヒン</t>
    </rPh>
    <phoneticPr fontId="2"/>
  </si>
  <si>
    <t>委託数が130より多く210より少ない奨励金の合計</t>
    <rPh sb="0" eb="3">
      <t>イタクスウ</t>
    </rPh>
    <rPh sb="9" eb="10">
      <t>オオ</t>
    </rPh>
    <rPh sb="16" eb="17">
      <t>スク</t>
    </rPh>
    <rPh sb="19" eb="22">
      <t>ショウレイキン</t>
    </rPh>
    <rPh sb="23" eb="25">
      <t>ゴウケイ</t>
    </rPh>
    <phoneticPr fontId="2"/>
  </si>
  <si>
    <t>販売数が210未満で手数料が55,000円以上の件数</t>
    <rPh sb="0" eb="3">
      <t>ハンバイスウ</t>
    </rPh>
    <rPh sb="7" eb="9">
      <t>ミマン</t>
    </rPh>
    <rPh sb="10" eb="13">
      <t>テスウリョウ</t>
    </rPh>
    <rPh sb="20" eb="23">
      <t>エンイジョウ</t>
    </rPh>
    <rPh sb="24" eb="26">
      <t>ケンスウ</t>
    </rPh>
    <phoneticPr fontId="2"/>
  </si>
  <si>
    <t>商ＣＯが103以外で販売額が40万円以上の手数料の平均</t>
    <rPh sb="0" eb="1">
      <t>ショウ</t>
    </rPh>
    <rPh sb="7" eb="9">
      <t>イガイ</t>
    </rPh>
    <rPh sb="10" eb="13">
      <t>ハンバイガク</t>
    </rPh>
    <rPh sb="16" eb="18">
      <t>マンエン</t>
    </rPh>
    <rPh sb="18" eb="20">
      <t>イジョウ</t>
    </rPh>
    <rPh sb="21" eb="24">
      <t>テスウリョウ</t>
    </rPh>
    <rPh sb="25" eb="27">
      <t>ヘイキン</t>
    </rPh>
    <phoneticPr fontId="2"/>
  </si>
  <si>
    <t>委託数</t>
    <rPh sb="0" eb="3">
      <t>イタクスウ</t>
    </rPh>
    <phoneticPr fontId="2"/>
  </si>
  <si>
    <t>&gt;130</t>
    <phoneticPr fontId="2"/>
  </si>
  <si>
    <t>&lt;210</t>
    <phoneticPr fontId="2"/>
  </si>
  <si>
    <t>&gt;=55000</t>
    <phoneticPr fontId="2"/>
  </si>
  <si>
    <t>商ＣＯ</t>
    <phoneticPr fontId="2"/>
  </si>
  <si>
    <t>&lt;&gt;103</t>
    <phoneticPr fontId="2"/>
  </si>
  <si>
    <t>販売額</t>
  </si>
  <si>
    <t>&gt;=400000</t>
    <phoneticPr fontId="2"/>
  </si>
  <si>
    <t>得意先別売上一覧表</t>
    <rPh sb="0" eb="2">
      <t>トクイ</t>
    </rPh>
    <rPh sb="2" eb="3">
      <t>サキ</t>
    </rPh>
    <rPh sb="3" eb="4">
      <t>ベツ</t>
    </rPh>
    <rPh sb="4" eb="6">
      <t>ウリアゲ</t>
    </rPh>
    <rPh sb="6" eb="9">
      <t>イチランヒョウ</t>
    </rPh>
    <phoneticPr fontId="2"/>
  </si>
  <si>
    <t>得ＣＯ</t>
    <rPh sb="0" eb="1">
      <t>トク</t>
    </rPh>
    <phoneticPr fontId="2"/>
  </si>
  <si>
    <t>得意先名</t>
    <rPh sb="0" eb="4">
      <t>トクイサキメイ</t>
    </rPh>
    <phoneticPr fontId="2"/>
  </si>
  <si>
    <t>売上額</t>
    <rPh sb="0" eb="2">
      <t>ウリアゲ</t>
    </rPh>
    <rPh sb="2" eb="3">
      <t>ガク</t>
    </rPh>
    <phoneticPr fontId="2"/>
  </si>
  <si>
    <t>金額</t>
    <rPh sb="0" eb="2">
      <t>キンガク</t>
    </rPh>
    <phoneticPr fontId="2"/>
  </si>
  <si>
    <t>値引額</t>
    <rPh sb="0" eb="3">
      <t>ネビキガク</t>
    </rPh>
    <phoneticPr fontId="2"/>
  </si>
  <si>
    <t>値引率</t>
    <rPh sb="0" eb="2">
      <t>ネビキ</t>
    </rPh>
    <rPh sb="2" eb="3">
      <t>リツ</t>
    </rPh>
    <phoneticPr fontId="2"/>
  </si>
  <si>
    <t>増量数</t>
  </si>
  <si>
    <t>増量数</t>
    <rPh sb="0" eb="3">
      <t>ゾウリョウスウ</t>
    </rPh>
    <phoneticPr fontId="2"/>
  </si>
  <si>
    <t>E11</t>
    <phoneticPr fontId="2"/>
  </si>
  <si>
    <t>E12</t>
    <phoneticPr fontId="2"/>
  </si>
  <si>
    <t>F11</t>
    <phoneticPr fontId="2"/>
  </si>
  <si>
    <t>F12</t>
    <phoneticPr fontId="2"/>
  </si>
  <si>
    <t>売上数</t>
  </si>
  <si>
    <t>売上数</t>
    <rPh sb="0" eb="2">
      <t>ウリアゲ</t>
    </rPh>
    <rPh sb="2" eb="3">
      <t>スウ</t>
    </rPh>
    <phoneticPr fontId="2"/>
  </si>
  <si>
    <t>ＪＫマート</t>
  </si>
  <si>
    <t>ＪＫマート</t>
    <phoneticPr fontId="2"/>
  </si>
  <si>
    <t>共栄百貨店</t>
  </si>
  <si>
    <t>共栄百貨店</t>
    <rPh sb="0" eb="2">
      <t>キョウエイ</t>
    </rPh>
    <rPh sb="2" eb="5">
      <t>ヒャッカテン</t>
    </rPh>
    <phoneticPr fontId="2"/>
  </si>
  <si>
    <t>長谷川商店</t>
  </si>
  <si>
    <t>長谷川商店</t>
    <rPh sb="0" eb="3">
      <t>ハセガワ</t>
    </rPh>
    <rPh sb="3" eb="5">
      <t>ショウテン</t>
    </rPh>
    <phoneticPr fontId="2"/>
  </si>
  <si>
    <t>新鮮ストア</t>
  </si>
  <si>
    <t>新鮮ストア</t>
    <rPh sb="0" eb="2">
      <t>シンセン</t>
    </rPh>
    <phoneticPr fontId="2"/>
  </si>
  <si>
    <t>原価</t>
    <rPh sb="0" eb="2">
      <t>ゲンカ</t>
    </rPh>
    <phoneticPr fontId="2"/>
  </si>
  <si>
    <t>P商品</t>
  </si>
  <si>
    <t>P商品</t>
    <phoneticPr fontId="2"/>
  </si>
  <si>
    <t>Q商品</t>
    <phoneticPr fontId="2"/>
  </si>
  <si>
    <t>R商品</t>
  </si>
  <si>
    <t>R商品</t>
    <phoneticPr fontId="2"/>
  </si>
  <si>
    <t>S商品</t>
    <phoneticPr fontId="2"/>
  </si>
  <si>
    <t>区分</t>
    <rPh sb="0" eb="2">
      <t>クブン</t>
    </rPh>
    <phoneticPr fontId="2"/>
  </si>
  <si>
    <t>E</t>
    <phoneticPr fontId="2"/>
  </si>
  <si>
    <t>F</t>
    <phoneticPr fontId="2"/>
  </si>
  <si>
    <t>***</t>
  </si>
  <si>
    <t>得意先別売上一覧表（売上数610未満・値引額50,000円以上）</t>
    <rPh sb="0" eb="2">
      <t>トクイ</t>
    </rPh>
    <rPh sb="2" eb="3">
      <t>サキ</t>
    </rPh>
    <rPh sb="3" eb="4">
      <t>ベツ</t>
    </rPh>
    <rPh sb="4" eb="6">
      <t>ウリアゲ</t>
    </rPh>
    <rPh sb="6" eb="9">
      <t>イチランヒョウ</t>
    </rPh>
    <rPh sb="16" eb="18">
      <t>ミマン</t>
    </rPh>
    <rPh sb="19" eb="22">
      <t>ネビキガク</t>
    </rPh>
    <rPh sb="28" eb="31">
      <t>エンイジョウ</t>
    </rPh>
    <phoneticPr fontId="2"/>
  </si>
  <si>
    <t>得意先別売上一覧表</t>
    <rPh sb="3" eb="4">
      <t>ベツ</t>
    </rPh>
    <rPh sb="4" eb="6">
      <t>ウリアゲ</t>
    </rPh>
    <rPh sb="6" eb="9">
      <t>イチランヒョウ</t>
    </rPh>
    <phoneticPr fontId="2"/>
  </si>
  <si>
    <t>売上数が570より多い売上額の平均</t>
    <rPh sb="0" eb="2">
      <t>ウリアゲ</t>
    </rPh>
    <rPh sb="2" eb="3">
      <t>スウ</t>
    </rPh>
    <rPh sb="9" eb="10">
      <t>オオ</t>
    </rPh>
    <rPh sb="11" eb="13">
      <t>ウリアゲ</t>
    </rPh>
    <rPh sb="13" eb="14">
      <t>ガク</t>
    </rPh>
    <rPh sb="15" eb="17">
      <t>ヘイキン</t>
    </rPh>
    <phoneticPr fontId="2"/>
  </si>
  <si>
    <t>R商品以外で金額が70万円未満の件数</t>
    <rPh sb="1" eb="3">
      <t>ショウヒン</t>
    </rPh>
    <rPh sb="3" eb="5">
      <t>イガイ</t>
    </rPh>
    <rPh sb="6" eb="8">
      <t>キンガク</t>
    </rPh>
    <rPh sb="11" eb="13">
      <t>マンエン</t>
    </rPh>
    <rPh sb="13" eb="15">
      <t>ミマン</t>
    </rPh>
    <rPh sb="16" eb="18">
      <t>ケンスウ</t>
    </rPh>
    <phoneticPr fontId="2"/>
  </si>
  <si>
    <t>増量数が19以上28未満の値引額の合計</t>
    <rPh sb="0" eb="3">
      <t>ゾウリョウスウ</t>
    </rPh>
    <rPh sb="6" eb="8">
      <t>イジョウ</t>
    </rPh>
    <rPh sb="10" eb="12">
      <t>ミマン</t>
    </rPh>
    <rPh sb="13" eb="16">
      <t>ネビキガク</t>
    </rPh>
    <rPh sb="17" eb="19">
      <t>ゴウケイ</t>
    </rPh>
    <phoneticPr fontId="2"/>
  </si>
  <si>
    <t>&gt;570</t>
    <phoneticPr fontId="2"/>
  </si>
  <si>
    <t>&lt;&gt;R商品</t>
    <phoneticPr fontId="2"/>
  </si>
  <si>
    <t>金額</t>
    <phoneticPr fontId="2"/>
  </si>
  <si>
    <t>&lt;700000</t>
    <phoneticPr fontId="2"/>
  </si>
  <si>
    <t>&gt;=19</t>
    <phoneticPr fontId="2"/>
  </si>
  <si>
    <t>&lt;28</t>
    <phoneticPr fontId="2"/>
  </si>
  <si>
    <t>支店別販売一覧表</t>
    <rPh sb="0" eb="3">
      <t>シテンベツ</t>
    </rPh>
    <rPh sb="3" eb="5">
      <t>ハンバイ</t>
    </rPh>
    <rPh sb="5" eb="8">
      <t>イチランヒョウ</t>
    </rPh>
    <phoneticPr fontId="2"/>
  </si>
  <si>
    <t>支ＣＯ</t>
    <rPh sb="0" eb="1">
      <t>シ</t>
    </rPh>
    <phoneticPr fontId="2"/>
  </si>
  <si>
    <t>支店名</t>
    <rPh sb="0" eb="3">
      <t>シテンメイ</t>
    </rPh>
    <phoneticPr fontId="2"/>
  </si>
  <si>
    <t>平均売価</t>
    <rPh sb="0" eb="2">
      <t>ヘイキン</t>
    </rPh>
    <rPh sb="2" eb="4">
      <t>バイカ</t>
    </rPh>
    <phoneticPr fontId="2"/>
  </si>
  <si>
    <t>利益額</t>
    <rPh sb="0" eb="3">
      <t>リエキガク</t>
    </rPh>
    <phoneticPr fontId="2"/>
  </si>
  <si>
    <t>達成率</t>
    <rPh sb="0" eb="2">
      <t>タッセイ</t>
    </rPh>
    <rPh sb="2" eb="3">
      <t>リツ</t>
    </rPh>
    <phoneticPr fontId="2"/>
  </si>
  <si>
    <t>利益率</t>
    <rPh sb="0" eb="3">
      <t>リエキリツ</t>
    </rPh>
    <phoneticPr fontId="2"/>
  </si>
  <si>
    <t>１人当販売額</t>
    <rPh sb="1" eb="2">
      <t>ニン</t>
    </rPh>
    <rPh sb="2" eb="3">
      <t>トウ</t>
    </rPh>
    <rPh sb="3" eb="5">
      <t>ハンバイ</t>
    </rPh>
    <rPh sb="5" eb="6">
      <t>ガク</t>
    </rPh>
    <phoneticPr fontId="2"/>
  </si>
  <si>
    <t>支店</t>
    <rPh sb="0" eb="2">
      <t>シテン</t>
    </rPh>
    <phoneticPr fontId="2"/>
  </si>
  <si>
    <t>社員数</t>
    <rPh sb="0" eb="3">
      <t>シャインスウ</t>
    </rPh>
    <phoneticPr fontId="2"/>
  </si>
  <si>
    <t>新宿</t>
    <rPh sb="0" eb="2">
      <t>シンジュク</t>
    </rPh>
    <phoneticPr fontId="2"/>
  </si>
  <si>
    <t>池袋</t>
    <rPh sb="0" eb="2">
      <t>イケブクロ</t>
    </rPh>
    <phoneticPr fontId="2"/>
  </si>
  <si>
    <t>銀座</t>
    <rPh sb="0" eb="2">
      <t>ギンザ</t>
    </rPh>
    <phoneticPr fontId="2"/>
  </si>
  <si>
    <t>渋谷</t>
    <rPh sb="0" eb="2">
      <t>シブヤ</t>
    </rPh>
    <phoneticPr fontId="2"/>
  </si>
  <si>
    <t>商品J</t>
    <phoneticPr fontId="2"/>
  </si>
  <si>
    <t>商品K</t>
  </si>
  <si>
    <t>商品K</t>
    <phoneticPr fontId="2"/>
  </si>
  <si>
    <t>商品L</t>
    <phoneticPr fontId="2"/>
  </si>
  <si>
    <t>商品M</t>
  </si>
  <si>
    <t>商品M</t>
    <phoneticPr fontId="2"/>
  </si>
  <si>
    <t>新宿支店</t>
  </si>
  <si>
    <t>池袋支店</t>
  </si>
  <si>
    <t>銀座支店</t>
  </si>
  <si>
    <t>順調</t>
  </si>
  <si>
    <t>支店別販売一覧表（平均売価2,400円以上・利益率18.0%以下）</t>
    <rPh sb="0" eb="3">
      <t>シテンベツ</t>
    </rPh>
    <rPh sb="3" eb="5">
      <t>ハンバイ</t>
    </rPh>
    <rPh sb="5" eb="8">
      <t>イチランヒョウ</t>
    </rPh>
    <rPh sb="9" eb="11">
      <t>ヘイキン</t>
    </rPh>
    <rPh sb="11" eb="13">
      <t>バイカ</t>
    </rPh>
    <rPh sb="18" eb="19">
      <t>エン</t>
    </rPh>
    <rPh sb="19" eb="21">
      <t>イジョウ</t>
    </rPh>
    <rPh sb="22" eb="25">
      <t>リエキリツ</t>
    </rPh>
    <rPh sb="30" eb="32">
      <t>イカ</t>
    </rPh>
    <phoneticPr fontId="2"/>
  </si>
  <si>
    <t>支店別集計表</t>
    <rPh sb="0" eb="2">
      <t>シテン</t>
    </rPh>
    <rPh sb="2" eb="3">
      <t>ベツ</t>
    </rPh>
    <rPh sb="3" eb="6">
      <t>シュウケイヒョウ</t>
    </rPh>
    <phoneticPr fontId="2"/>
  </si>
  <si>
    <t>新宿支店</t>
    <rPh sb="0" eb="2">
      <t>シンジュク</t>
    </rPh>
    <phoneticPr fontId="2"/>
  </si>
  <si>
    <t>池袋支店</t>
    <rPh sb="0" eb="2">
      <t>イケブクロ</t>
    </rPh>
    <phoneticPr fontId="2"/>
  </si>
  <si>
    <t>銀座支店</t>
    <rPh sb="0" eb="2">
      <t>ギンザ</t>
    </rPh>
    <phoneticPr fontId="2"/>
  </si>
  <si>
    <t>渋谷支店</t>
    <rPh sb="0" eb="2">
      <t>シブヤ</t>
    </rPh>
    <phoneticPr fontId="2"/>
  </si>
  <si>
    <t>販売数が220以上で販売額が53万円以上の利益額の合計</t>
    <rPh sb="0" eb="3">
      <t>ハンバイスウ</t>
    </rPh>
    <rPh sb="7" eb="9">
      <t>イジョウ</t>
    </rPh>
    <rPh sb="10" eb="13">
      <t>ハンバイガク</t>
    </rPh>
    <rPh sb="16" eb="18">
      <t>マンエン</t>
    </rPh>
    <rPh sb="18" eb="20">
      <t>イジョウ</t>
    </rPh>
    <rPh sb="21" eb="23">
      <t>リエキ</t>
    </rPh>
    <rPh sb="23" eb="24">
      <t>ガク</t>
    </rPh>
    <rPh sb="25" eb="27">
      <t>ゴウケイ</t>
    </rPh>
    <phoneticPr fontId="2"/>
  </si>
  <si>
    <t>販売額が55万円未満で利益率が19.0％以下の件数</t>
    <rPh sb="0" eb="3">
      <t>ハンバイガク</t>
    </rPh>
    <rPh sb="6" eb="8">
      <t>マンエン</t>
    </rPh>
    <rPh sb="8" eb="10">
      <t>ミマン</t>
    </rPh>
    <rPh sb="11" eb="14">
      <t>リエキリツ</t>
    </rPh>
    <rPh sb="20" eb="22">
      <t>イカ</t>
    </rPh>
    <rPh sb="23" eb="25">
      <t>ケンスウ</t>
    </rPh>
    <phoneticPr fontId="2"/>
  </si>
  <si>
    <t>渋谷支店以外で達成率が104.0％以上の平均売価の最小</t>
    <rPh sb="0" eb="2">
      <t>シブヤ</t>
    </rPh>
    <rPh sb="2" eb="4">
      <t>シテン</t>
    </rPh>
    <rPh sb="4" eb="6">
      <t>イガイ</t>
    </rPh>
    <rPh sb="7" eb="10">
      <t>タッセイリツ</t>
    </rPh>
    <rPh sb="17" eb="19">
      <t>イジョウ</t>
    </rPh>
    <rPh sb="20" eb="24">
      <t>ヘイキンバイカ</t>
    </rPh>
    <rPh sb="25" eb="27">
      <t>サイショウ</t>
    </rPh>
    <phoneticPr fontId="2"/>
  </si>
  <si>
    <t>&gt;=220</t>
    <phoneticPr fontId="2"/>
  </si>
  <si>
    <t>&gt;=530000</t>
    <phoneticPr fontId="2"/>
  </si>
  <si>
    <t>&lt;550000</t>
    <phoneticPr fontId="2"/>
  </si>
  <si>
    <t>&lt;=19.0%</t>
    <phoneticPr fontId="2"/>
  </si>
  <si>
    <t>&lt;&gt;渋谷支店</t>
    <phoneticPr fontId="2"/>
  </si>
  <si>
    <t>&gt;=104%</t>
    <phoneticPr fontId="2"/>
  </si>
  <si>
    <t>社員別給料計算表</t>
    <rPh sb="0" eb="2">
      <t>シャイン</t>
    </rPh>
    <rPh sb="2" eb="3">
      <t>ベツ</t>
    </rPh>
    <rPh sb="3" eb="5">
      <t>キュウリョウ</t>
    </rPh>
    <rPh sb="5" eb="8">
      <t>ケイサンヒョウ</t>
    </rPh>
    <phoneticPr fontId="2"/>
  </si>
  <si>
    <t>販売エリア名</t>
    <rPh sb="0" eb="2">
      <t>ハンバイ</t>
    </rPh>
    <rPh sb="5" eb="6">
      <t>メイ</t>
    </rPh>
    <phoneticPr fontId="2"/>
  </si>
  <si>
    <t>等級</t>
    <rPh sb="0" eb="2">
      <t>トウキュウ</t>
    </rPh>
    <phoneticPr fontId="2"/>
  </si>
  <si>
    <t>基本給</t>
    <rPh sb="0" eb="3">
      <t>キホンキュウ</t>
    </rPh>
    <phoneticPr fontId="2"/>
  </si>
  <si>
    <t>達成率</t>
    <rPh sb="0" eb="3">
      <t>タッセイリツ</t>
    </rPh>
    <phoneticPr fontId="2"/>
  </si>
  <si>
    <t>販売手当</t>
    <rPh sb="0" eb="2">
      <t>ハンバイ</t>
    </rPh>
    <rPh sb="2" eb="4">
      <t>テアテ</t>
    </rPh>
    <phoneticPr fontId="2"/>
  </si>
  <si>
    <t>支給総額</t>
    <rPh sb="0" eb="4">
      <t>シキュウソウガク</t>
    </rPh>
    <phoneticPr fontId="2"/>
  </si>
  <si>
    <t>小林　信夫</t>
    <rPh sb="0" eb="2">
      <t>コバヤシ</t>
    </rPh>
    <rPh sb="3" eb="5">
      <t>シノブ</t>
    </rPh>
    <phoneticPr fontId="2"/>
  </si>
  <si>
    <t>坂本　里美</t>
    <rPh sb="0" eb="2">
      <t>サカモト</t>
    </rPh>
    <rPh sb="3" eb="5">
      <t>サトミ</t>
    </rPh>
    <phoneticPr fontId="2"/>
  </si>
  <si>
    <t>南　ひろみ</t>
    <rPh sb="0" eb="1">
      <t>ミナミ</t>
    </rPh>
    <phoneticPr fontId="2"/>
  </si>
  <si>
    <t>大西　三郎</t>
    <rPh sb="0" eb="2">
      <t>オオニシ</t>
    </rPh>
    <rPh sb="3" eb="5">
      <t>サンロウ</t>
    </rPh>
    <phoneticPr fontId="2"/>
  </si>
  <si>
    <t>山田　洋子</t>
    <rPh sb="0" eb="2">
      <t>ヤマダ</t>
    </rPh>
    <rPh sb="3" eb="5">
      <t>ヨウコ</t>
    </rPh>
    <phoneticPr fontId="2"/>
  </si>
  <si>
    <t>長谷川　勇</t>
    <rPh sb="0" eb="3">
      <t>ナガタニカワ</t>
    </rPh>
    <rPh sb="4" eb="5">
      <t>ユウ</t>
    </rPh>
    <phoneticPr fontId="2"/>
  </si>
  <si>
    <t>中野　雄一</t>
    <rPh sb="0" eb="2">
      <t>ナカノ</t>
    </rPh>
    <rPh sb="3" eb="5">
      <t>ユウイチ</t>
    </rPh>
    <phoneticPr fontId="2"/>
  </si>
  <si>
    <t>水口　美鈴</t>
    <rPh sb="0" eb="2">
      <t>ミナグチ</t>
    </rPh>
    <rPh sb="3" eb="5">
      <t>メイリン</t>
    </rPh>
    <phoneticPr fontId="2"/>
  </si>
  <si>
    <t>荒木　輝政</t>
    <rPh sb="0" eb="2">
      <t>アラキ</t>
    </rPh>
    <rPh sb="3" eb="4">
      <t>カガヤ</t>
    </rPh>
    <rPh sb="4" eb="5">
      <t>セイ</t>
    </rPh>
    <phoneticPr fontId="2"/>
  </si>
  <si>
    <t>渡辺　明代</t>
    <rPh sb="0" eb="2">
      <t>ワタナベ</t>
    </rPh>
    <rPh sb="3" eb="5">
      <t>ミンダイ</t>
    </rPh>
    <phoneticPr fontId="2"/>
  </si>
  <si>
    <t>井上　公平</t>
    <rPh sb="0" eb="2">
      <t>イノウエ</t>
    </rPh>
    <rPh sb="3" eb="5">
      <t>コウヘイ</t>
    </rPh>
    <phoneticPr fontId="2"/>
  </si>
  <si>
    <t>森　麻衣子</t>
    <rPh sb="0" eb="1">
      <t>モリ</t>
    </rPh>
    <rPh sb="2" eb="5">
      <t>マイコ</t>
    </rPh>
    <phoneticPr fontId="2"/>
  </si>
  <si>
    <t>G</t>
    <phoneticPr fontId="2"/>
  </si>
  <si>
    <t>H</t>
    <phoneticPr fontId="2"/>
  </si>
  <si>
    <t>販売エリア</t>
    <rPh sb="0" eb="2">
      <t>ハンバイ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</si>
  <si>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</si>
  <si>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</si>
  <si>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中部</t>
    <rPh sb="0" eb="2">
      <t>チュウブ</t>
    </rPh>
    <phoneticPr fontId="2"/>
  </si>
  <si>
    <t>関西</t>
    <rPh sb="0" eb="2">
      <t>カンセイ</t>
    </rPh>
    <phoneticPr fontId="2"/>
  </si>
  <si>
    <t>販売手当単価</t>
    <rPh sb="0" eb="2">
      <t>ハンバイ</t>
    </rPh>
    <rPh sb="2" eb="4">
      <t>テアテ</t>
    </rPh>
    <rPh sb="4" eb="6">
      <t>タンカ</t>
    </rPh>
    <phoneticPr fontId="2"/>
  </si>
  <si>
    <t>勤勉手当単価</t>
    <rPh sb="0" eb="2">
      <t>キンベン</t>
    </rPh>
    <rPh sb="2" eb="4">
      <t>テアテ</t>
    </rPh>
    <rPh sb="4" eb="6">
      <t>タンカ</t>
    </rPh>
    <phoneticPr fontId="2"/>
  </si>
  <si>
    <t>100.0%未満</t>
    <rPh sb="6" eb="8">
      <t>ミマン</t>
    </rPh>
    <phoneticPr fontId="2"/>
  </si>
  <si>
    <t>100.0%以上</t>
    <rPh sb="6" eb="8">
      <t>イジョウ</t>
    </rPh>
    <phoneticPr fontId="2"/>
  </si>
  <si>
    <t>*</t>
    <phoneticPr fontId="2"/>
  </si>
  <si>
    <t>**</t>
    <phoneticPr fontId="2"/>
  </si>
  <si>
    <t>****</t>
  </si>
  <si>
    <t>****</t>
    <phoneticPr fontId="2"/>
  </si>
  <si>
    <t>***</t>
    <phoneticPr fontId="2"/>
  </si>
  <si>
    <t>東北エリア</t>
  </si>
  <si>
    <t>関東エリア</t>
  </si>
  <si>
    <t>中部エリア</t>
  </si>
  <si>
    <t>関西エリア</t>
  </si>
  <si>
    <t>社員別給料計算表（等級Ｇ以外・支給総額３０万円以上）</t>
    <rPh sb="0" eb="2">
      <t>シャイン</t>
    </rPh>
    <rPh sb="2" eb="3">
      <t>ベツ</t>
    </rPh>
    <rPh sb="3" eb="5">
      <t>キュウリョウ</t>
    </rPh>
    <rPh sb="5" eb="8">
      <t>ケイサンヒョウ</t>
    </rPh>
    <rPh sb="9" eb="11">
      <t>トウキュウ</t>
    </rPh>
    <rPh sb="12" eb="14">
      <t>イガイ</t>
    </rPh>
    <rPh sb="15" eb="19">
      <t>シキュウソウガク</t>
    </rPh>
    <rPh sb="21" eb="23">
      <t>マンエン</t>
    </rPh>
    <rPh sb="23" eb="25">
      <t>イジョウ</t>
    </rPh>
    <phoneticPr fontId="2"/>
  </si>
  <si>
    <t>販売エリア別集計表</t>
    <rPh sb="0" eb="2">
      <t>ハンバイ</t>
    </rPh>
    <rPh sb="5" eb="6">
      <t>ベツ</t>
    </rPh>
    <rPh sb="6" eb="9">
      <t>シュウケイヒョウ</t>
    </rPh>
    <phoneticPr fontId="2"/>
  </si>
  <si>
    <t>東北エリア</t>
    <rPh sb="0" eb="2">
      <t>トウホク</t>
    </rPh>
    <phoneticPr fontId="2"/>
  </si>
  <si>
    <t>関東エリア</t>
    <rPh sb="0" eb="2">
      <t>カントウ</t>
    </rPh>
    <phoneticPr fontId="2"/>
  </si>
  <si>
    <t>中部エリア</t>
    <rPh sb="0" eb="2">
      <t>チュウブ</t>
    </rPh>
    <phoneticPr fontId="2"/>
  </si>
  <si>
    <t>関西エリア</t>
    <rPh sb="0" eb="2">
      <t>カンセイ</t>
    </rPh>
    <phoneticPr fontId="2"/>
  </si>
  <si>
    <t>目標数が760以上で達成率</t>
    <rPh sb="0" eb="3">
      <t>モクヒョウスウ</t>
    </rPh>
    <rPh sb="7" eb="9">
      <t>イジョウ</t>
    </rPh>
    <rPh sb="10" eb="13">
      <t>タッセイリツ</t>
    </rPh>
    <phoneticPr fontId="2"/>
  </si>
  <si>
    <t>アンケート結果</t>
    <rPh sb="5" eb="7">
      <t>ケッカ</t>
    </rPh>
    <phoneticPr fontId="2"/>
  </si>
  <si>
    <t>内容</t>
    <rPh sb="0" eb="2">
      <t>ナイヨウ</t>
    </rPh>
    <phoneticPr fontId="2"/>
  </si>
  <si>
    <t>回答数</t>
    <rPh sb="0" eb="3">
      <t>カイトウスウ</t>
    </rPh>
    <phoneticPr fontId="2"/>
  </si>
  <si>
    <t>自分の記録用に作りたい</t>
    <rPh sb="0" eb="2">
      <t>ジブン</t>
    </rPh>
    <rPh sb="3" eb="5">
      <t>キロク</t>
    </rPh>
    <rPh sb="5" eb="6">
      <t>ヨウ</t>
    </rPh>
    <rPh sb="7" eb="8">
      <t>ツク</t>
    </rPh>
    <phoneticPr fontId="2"/>
  </si>
  <si>
    <t>旅行の記録を残したい</t>
    <rPh sb="0" eb="2">
      <t>リョコウ</t>
    </rPh>
    <rPh sb="3" eb="5">
      <t>キロク</t>
    </rPh>
    <rPh sb="6" eb="7">
      <t>ノコ</t>
    </rPh>
    <phoneticPr fontId="2"/>
  </si>
  <si>
    <t>誕生日の贈り物用に編集したい</t>
    <rPh sb="0" eb="3">
      <t>タンジョウビ</t>
    </rPh>
    <rPh sb="4" eb="5">
      <t>オク</t>
    </rPh>
    <rPh sb="6" eb="7">
      <t>モノ</t>
    </rPh>
    <rPh sb="7" eb="8">
      <t>ヨウ</t>
    </rPh>
    <rPh sb="9" eb="11">
      <t>ヘンシュウ</t>
    </rPh>
    <phoneticPr fontId="2"/>
  </si>
  <si>
    <t>趣味の記録を残したい</t>
    <rPh sb="0" eb="2">
      <t>シュミ</t>
    </rPh>
    <rPh sb="3" eb="5">
      <t>キロク</t>
    </rPh>
    <rPh sb="6" eb="7">
      <t>ノコ</t>
    </rPh>
    <phoneticPr fontId="2"/>
  </si>
  <si>
    <t>家族との思い出を形にしたい</t>
    <rPh sb="0" eb="2">
      <t>カゾク</t>
    </rPh>
    <rPh sb="4" eb="5">
      <t>オモ</t>
    </rPh>
    <rPh sb="6" eb="7">
      <t>デ</t>
    </rPh>
    <rPh sb="8" eb="9">
      <t>カタチ</t>
    </rPh>
    <phoneticPr fontId="2"/>
  </si>
  <si>
    <t>子供の成長を記録したい</t>
    <rPh sb="0" eb="2">
      <t>コドモ</t>
    </rPh>
    <rPh sb="3" eb="5">
      <t>セイチョウ</t>
    </rPh>
    <rPh sb="6" eb="8">
      <t>キロク</t>
    </rPh>
    <phoneticPr fontId="2"/>
  </si>
  <si>
    <t>結婚式の１日を記録したい</t>
    <rPh sb="0" eb="3">
      <t>ケッコンシキ</t>
    </rPh>
    <rPh sb="5" eb="6">
      <t>ニチ</t>
    </rPh>
    <rPh sb="7" eb="9">
      <t>キロク</t>
    </rPh>
    <phoneticPr fontId="2"/>
  </si>
  <si>
    <t>※複数回答可</t>
    <rPh sb="1" eb="3">
      <t>フクスウ</t>
    </rPh>
    <rPh sb="3" eb="6">
      <t>カイトウカ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</si>
</sst>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#,##0.0;[Red]\-#,##0.0"/>
  </numFmts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0" fillId="0" borderId="1" xfId="0" applyBorder="1"/>
    <xf numFmtId="38" fontId="0" fillId="0" borderId="1" xfId="1" applyFont="1" applyBorder="1" applyAlignment="1"/>
    <xf numFmtId="38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38" fontId="0" fillId="0" borderId="8" xfId="0" applyNumberFormat="1" applyBorder="1"/>
    <xf numFmtId="0" fontId="0" fillId="0" borderId="9" xfId="0" applyBorder="1"/>
    <xf numFmtId="38" fontId="0" fillId="0" borderId="6" xfId="1" applyFont="1" applyBorder="1" applyAlignment="1"/>
    <xf numFmtId="38" fontId="0" fillId="0" borderId="8" xfId="1" applyFont="1" applyBorder="1" applyAlignment="1"/>
    <xf numFmtId="38" fontId="0" fillId="0" borderId="9" xfId="1" applyFont="1" applyBorder="1" applyAlignment="1"/>
    <xf numFmtId="0" fontId="0" fillId="0" borderId="0" xfId="0" applyAlignment="1">
      <alignment horizontal="center"/>
    </xf>
    <xf numFmtId="38" fontId="0" fillId="0" borderId="4" xfId="1" applyFont="1" applyBorder="1" applyAlignment="1"/>
    <xf numFmtId="0" fontId="0" fillId="0" borderId="2" xfId="0" applyBorder="1"/>
    <xf numFmtId="0" fontId="0" fillId="0" borderId="4" xfId="0" applyBorder="1"/>
    <xf numFmtId="10" fontId="0" fillId="0" borderId="6" xfId="0" applyNumberFormat="1" applyBorder="1"/>
    <xf numFmtId="10" fontId="0" fillId="0" borderId="9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0" fillId="0" borderId="1" xfId="0" applyNumberFormat="1" applyBorder="1"/>
    <xf numFmtId="0" fontId="0" fillId="0" borderId="1" xfId="0" applyBorder="1" applyAlignment="1">
      <alignment horizontal="center"/>
    </xf>
    <xf numFmtId="176" fontId="0" fillId="0" borderId="1" xfId="2" applyNumberFormat="1" applyFont="1" applyBorder="1" applyAlignment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1" xfId="0" applyFill="1" applyBorder="1"/>
    <xf numFmtId="10" fontId="0" fillId="0" borderId="1" xfId="0" applyNumberFormat="1" applyBorder="1"/>
    <xf numFmtId="177" fontId="0" fillId="0" borderId="1" xfId="1" applyNumberFormat="1" applyFont="1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チーム別の集計グラフ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'1-1'!$C$26</c:f>
              <c:strCache>
                <c:ptCount val="1"/>
                <c:pt idx="0">
                  <c:v>勤勉手当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'1-1'!$A$27:$A$29</c:f>
              <c:strCache>
                <c:ptCount val="3"/>
                <c:pt idx="0">
                  <c:v>営業Aチーム</c:v>
                </c:pt>
                <c:pt idx="1">
                  <c:v>営業Bチーム</c:v>
                </c:pt>
                <c:pt idx="2">
                  <c:v>営業Cチーム</c:v>
                </c:pt>
              </c:strCache>
            </c:strRef>
          </c:cat>
          <c:val>
            <c:numRef>
              <c:f>'1-1'!$C$27:$C$29</c:f>
              <c:numCache>
                <c:formatCode>#,##0_);[Red]\(#,##0\)</c:formatCode>
                <c:ptCount val="3"/>
                <c:pt idx="0">
                  <c:v>58570</c:v>
                </c:pt>
                <c:pt idx="1">
                  <c:v>58250</c:v>
                </c:pt>
                <c:pt idx="2">
                  <c:v>67880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8-4113-A0A3-C3493B34A638}"/>
            </c:ext>
          </c:extLst>
        </c:ser>
        <c:ser>
          <c:idx val="1"/>
          <c:order val="1"/>
          <c:tx>
            <c:strRef>
              <c:f>'1-1'!$D$26</c:f>
              <c:strCache>
                <c:ptCount val="1"/>
                <c:pt idx="0">
                  <c:v>営業手当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'1-1'!$A$27:$A$29</c:f>
              <c:strCache>
                <c:ptCount val="3"/>
                <c:pt idx="0">
                  <c:v>営業Aチーム</c:v>
                </c:pt>
                <c:pt idx="1">
                  <c:v>営業Bチーム</c:v>
                </c:pt>
                <c:pt idx="2">
                  <c:v>営業Cチーム</c:v>
                </c:pt>
              </c:strCache>
            </c:strRef>
          </c:cat>
          <c:val>
            <c:numRef>
              <c:f>'1-1'!$D$27:$D$29</c:f>
              <c:numCache>
                <c:formatCode>#,##0_);[Red]\(#,##0\)</c:formatCode>
                <c:ptCount val="3"/>
                <c:pt idx="0">
                  <c:v>31170</c:v>
                </c:pt>
                <c:pt idx="1">
                  <c:v>30740</c:v>
                </c:pt>
                <c:pt idx="2">
                  <c:v>35490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E8-4113-A0A3-C3493B34A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9327839"/>
        <c:axId val="451303695"/>
      </c:barChart>
      <c:catAx>
        <c:axId val="44932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303695"/>
        <c:crosses val="autoZero"/>
        <c:auto val="1"/>
        <c:lblAlgn val="ctr"/>
        <c:lblOffset val="100"/>
        <c:noMultiLvlLbl val="0"/>
      </c:catAx>
      <c:valAx>
        <c:axId val="45130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932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商品別の比較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'1-2'!$C$33</c:f>
              <c:strCache>
                <c:ptCount val="1"/>
                <c:pt idx="0">
                  <c:v>手数料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'1-2'!$A$34:$A$37</c:f>
              <c:strCache>
                <c:ptCount val="4"/>
                <c:pt idx="0">
                  <c:v>商品A</c:v>
                </c:pt>
                <c:pt idx="1">
                  <c:v>商品B</c:v>
                </c:pt>
                <c:pt idx="2">
                  <c:v>商品C</c:v>
                </c:pt>
                <c:pt idx="3">
                  <c:v>商品D</c:v>
                </c:pt>
              </c:strCache>
            </c:strRef>
          </c:cat>
          <c:val>
            <c:numRef>
              <c:f>'1-2'!$C$34:$C$37</c:f>
              <c:numCache>
                <c:formatCode>#,##0_);[Red]\(#,##0\)</c:formatCode>
                <c:ptCount val="4"/>
                <c:pt idx="0">
                  <c:v>191250</c:v>
                </c:pt>
                <c:pt idx="1">
                  <c:v>196600</c:v>
                </c:pt>
                <c:pt idx="2">
                  <c:v>174900</c:v>
                </c:pt>
                <c:pt idx="3">
                  <c:v>228740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8-4AC7-8190-2EB7F62B74A1}"/>
            </c:ext>
          </c:extLst>
        </c:ser>
        <c:ser>
          <c:idx val="1"/>
          <c:order val="1"/>
          <c:tx>
            <c:strRef>
              <c:f>'1-2'!$D$33</c:f>
              <c:strCache>
                <c:ptCount val="1"/>
                <c:pt idx="0">
                  <c:v>奨励金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'1-2'!$A$34:$A$37</c:f>
              <c:strCache>
                <c:ptCount val="4"/>
                <c:pt idx="0">
                  <c:v>商品A</c:v>
                </c:pt>
                <c:pt idx="1">
                  <c:v>商品B</c:v>
                </c:pt>
                <c:pt idx="2">
                  <c:v>商品C</c:v>
                </c:pt>
                <c:pt idx="3">
                  <c:v>商品D</c:v>
                </c:pt>
              </c:strCache>
            </c:strRef>
          </c:cat>
          <c:val>
            <c:numRef>
              <c:f>'1-2'!$D$34:$D$37</c:f>
              <c:numCache>
                <c:formatCode>#,##0_);[Red]\(#,##0\)</c:formatCode>
                <c:ptCount val="4"/>
                <c:pt idx="0">
                  <c:v>22686</c:v>
                </c:pt>
                <c:pt idx="1">
                  <c:v>24053</c:v>
                </c:pt>
                <c:pt idx="2">
                  <c:v>21616</c:v>
                </c:pt>
                <c:pt idx="3">
                  <c:v>28774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8-4AC7-8190-2EB7F62B7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061087"/>
        <c:axId val="451295791"/>
      </c:barChart>
      <c:catAx>
        <c:axId val="45106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295791"/>
        <c:crosses val="autoZero"/>
        <c:auto val="1"/>
        <c:lblAlgn val="ctr"/>
        <c:lblOffset val="100"/>
        <c:noMultiLvlLbl val="0"/>
      </c:catAx>
      <c:valAx>
        <c:axId val="45129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06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得意先別の売上額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'1-3'!$C$32</c:f>
              <c:strCache>
                <c:ptCount val="1"/>
                <c:pt idx="0">
                  <c:v>売上額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'1-3'!$A$33:$A$36</c:f>
              <c:strCache>
                <c:ptCount val="4"/>
                <c:pt idx="0">
                  <c:v>ＪＫマート</c:v>
                </c:pt>
                <c:pt idx="1">
                  <c:v>共栄百貨店</c:v>
                </c:pt>
                <c:pt idx="2">
                  <c:v>長谷川商店</c:v>
                </c:pt>
                <c:pt idx="3">
                  <c:v>新鮮ストア</c:v>
                </c:pt>
              </c:strCache>
            </c:strRef>
          </c:cat>
          <c:val>
            <c:numRef>
              <c:f>'1-3'!$C$33:$C$36</c:f>
              <c:numCache>
                <c:formatCode>#,##0_);[Red]\(#,##0\)</c:formatCode>
                <c:ptCount val="4"/>
                <c:pt idx="0">
                  <c:v>2199150</c:v>
                </c:pt>
                <c:pt idx="1">
                  <c:v>2293710</c:v>
                </c:pt>
                <c:pt idx="2">
                  <c:v>2410950</c:v>
                </c:pt>
                <c:pt idx="3">
                  <c:v>2755080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1-4238-8100-829C6EE5D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5682799"/>
        <c:axId val="452386959"/>
      </c:barChart>
      <c:catAx>
        <c:axId val="37568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386959"/>
        <c:crosses val="autoZero"/>
        <c:auto val="1"/>
        <c:lblAlgn val="ctr"/>
        <c:lblOffset val="100"/>
        <c:noMultiLvlLbl val="0"/>
      </c:catAx>
      <c:valAx>
        <c:axId val="4523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568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利益額の構成比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'1-4'!$D$33</c:f>
              <c:strCache>
                <c:ptCount val="1"/>
                <c:pt idx="0">
                  <c:v>利益額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D4-43E0-A699-74825E474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D4-43E0-A699-74825E4741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D4-43E0-A699-74825E4741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D4-43E0-A699-74825E474185}"/>
              </c:ext>
            </c:extLst>
          </c:dPt>
          <c:dLbls>
            <c:numFmt formatCode="0.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'1-4'!$A$34:$A$37</c:f>
              <c:strCache>
                <c:ptCount val="4"/>
                <c:pt idx="0">
                  <c:v>新宿支店</c:v>
                </c:pt>
                <c:pt idx="1">
                  <c:v>池袋支店</c:v>
                </c:pt>
                <c:pt idx="2">
                  <c:v>銀座支店</c:v>
                </c:pt>
                <c:pt idx="3">
                  <c:v>渋谷支店</c:v>
                </c:pt>
              </c:strCache>
            </c:strRef>
          </c:cat>
          <c:val>
            <c:numRef>
              <c:f>'1-4'!$D$34:$D$37</c:f>
              <c:numCache>
                <c:formatCode>#,##0_);[Red]\(#,##0\)</c:formatCode>
                <c:ptCount val="4"/>
                <c:pt idx="0">
                  <c:v>311599</c:v>
                </c:pt>
                <c:pt idx="1">
                  <c:v>357103</c:v>
                </c:pt>
                <c:pt idx="2">
                  <c:v>349126</c:v>
                </c:pt>
                <c:pt idx="3">
                  <c:v>330883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8-4189-B2AD-46C9D28EB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回答数の比較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回答数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Sheet1!$A$11:$A$17</c:f>
              <c:strCache>
                <c:ptCount val="7"/>
                <c:pt idx="0">
                  <c:v>家族との思い出を形にしたい</c:v>
                </c:pt>
                <c:pt idx="1">
                  <c:v>誕生日の贈り物用に編集したい</c:v>
                </c:pt>
                <c:pt idx="2">
                  <c:v>子供の成長を記録したい</c:v>
                </c:pt>
                <c:pt idx="3">
                  <c:v>旅行の記録を残したい</c:v>
                </c:pt>
                <c:pt idx="4">
                  <c:v>結婚式の１日を記録したい</c:v>
                </c:pt>
                <c:pt idx="5">
                  <c:v>自分の記録用に作りたい</c:v>
                </c:pt>
                <c:pt idx="6">
                  <c:v>趣味の記録を残したい</c:v>
                </c:pt>
              </c:strCache>
            </c:strRef>
          </c:cat>
          <c:val>
            <c:numRef>
              <c:f>Sheet1!$B$11:$B$17</c:f>
              <c:numCache>
                <c:formatCode>General</c:formatCode>
                <c:ptCount val="7"/>
                <c:pt idx="0">
                  <c:v>345</c:v>
                </c:pt>
                <c:pt idx="1">
                  <c:v>285</c:v>
                </c:pt>
                <c:pt idx="2">
                  <c:v>175</c:v>
                </c:pt>
                <c:pt idx="3">
                  <c:v>115</c:v>
                </c:pt>
                <c:pt idx="4">
                  <c:v>67</c:v>
                </c:pt>
                <c:pt idx="5">
                  <c:v>58</c:v>
                </c:pt>
                <c:pt idx="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8-4A52-A9BB-EDEB3C2FA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5994416"/>
        <c:axId val="1216088016"/>
      </c:barChart>
      <c:catAx>
        <c:axId val="1215994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6088016"/>
        <c:crosses val="autoZero"/>
        <c:auto val="1"/>
        <c:lblAlgn val="ctr"/>
        <c:lblOffset val="100"/>
        <c:noMultiLvlLbl val="0"/>
      </c:catAx>
      <c:valAx>
        <c:axId val="121608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59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11</xdr:col>
      <xdr:colOff>600074</xdr:colOff>
      <xdr:row>41</xdr:row>
      <xdr:rowOff>66675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94E325C-8094-495C-9AA9-3DDC8F118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9525</xdr:rowOff>
    </xdr:from>
    <xdr:to>
      <xdr:col>12</xdr:col>
      <xdr:colOff>9524</xdr:colOff>
      <xdr:row>54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7B614C5-E758-44E2-82D0-6B770A312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9525</xdr:rowOff>
    </xdr:from>
    <xdr:to>
      <xdr:col>11</xdr:col>
      <xdr:colOff>390525</xdr:colOff>
      <xdr:row>52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721A59F-B62E-4602-9DA6-A4AF86D09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19050</xdr:rowOff>
    </xdr:from>
    <xdr:to>
      <xdr:col>12</xdr:col>
      <xdr:colOff>895350</xdr:colOff>
      <xdr:row>53</xdr:row>
      <xdr:rowOff>142875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5589238-06AE-46E8-840D-3EFBF377E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6</xdr:col>
      <xdr:colOff>466725</xdr:colOff>
      <xdr:row>30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0A63C29-35D2-4B37-9A0C-108095F6D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3"/>
  <sheetViews>
    <sheetView workbookViewId="0">
      <selection activeCell="C3" sqref="C3"/>
    </sheetView>
  </sheetViews>
  <sheetFormatPr defaultRowHeight="18.75"/>
  <cols>
    <col min="1" max="1" width="12.375" bestFit="1" customWidth="1"/>
    <col min="2" max="2" width="11" bestFit="1" customWidth="1"/>
    <col min="3" max="3" width="12.375" bestFit="1" customWidth="1"/>
    <col min="5" max="5" width="10.5" bestFit="1" customWidth="1"/>
    <col min="6" max="7" width="6.5" bestFit="1" customWidth="1"/>
    <col min="8" max="8" width="9.5" bestFit="1" customWidth="1"/>
    <col min="11" max="11" width="9.5" bestFit="1" customWidth="1"/>
    <col min="12" max="12" width="8" bestFit="1" customWidth="1"/>
    <col min="13" max="13" width="2.5" customWidth="1"/>
    <col min="14" max="14" width="15.375" bestFit="1" customWidth="1"/>
    <col min="15" max="15" width="10.25" bestFit="1" customWidth="1"/>
    <col min="16" max="16" width="2.75" customWidth="1"/>
    <col min="17" max="17" width="15.375" bestFit="1" customWidth="1"/>
    <col min="18" max="18" width="10.25" bestFit="1" customWidth="1"/>
  </cols>
  <sheetData>
    <row r="1" spans="1:15" ht="19.5" thickBo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5" ht="19.5" thickBot="1">
      <c r="A2" s="4" t="s">
        <v>1</v>
      </c>
      <c r="B2" s="5" t="s">
        <v>2</v>
      </c>
      <c r="C2" s="5" t="s">
        <v>4</v>
      </c>
      <c r="D2" s="5" t="s">
        <v>6</v>
      </c>
      <c r="E2" s="5" t="s">
        <v>7</v>
      </c>
      <c r="F2" s="5" t="s">
        <v>9</v>
      </c>
      <c r="G2" s="5" t="s">
        <v>10</v>
      </c>
      <c r="H2" s="5" t="s">
        <v>11</v>
      </c>
      <c r="I2" s="5" t="s">
        <v>43</v>
      </c>
      <c r="J2" s="5" t="s">
        <v>12</v>
      </c>
      <c r="K2" s="5" t="s">
        <v>13</v>
      </c>
      <c r="L2" s="6" t="s">
        <v>14</v>
      </c>
      <c r="N2" s="39" t="s">
        <v>59</v>
      </c>
      <c r="O2" s="39"/>
    </row>
    <row r="3" spans="1:15">
      <c r="A3" s="7">
        <v>101</v>
      </c>
      <c r="B3" s="1" t="s">
        <v>15</v>
      </c>
      <c r="C3" s="1" t="str">
        <f t="shared" ref="C3:C11" si="0">VLOOKUP(A3,$N$4:$O$6,2,1)&amp;"チーム"</f>
        <v>営業Aチーム</v>
      </c>
      <c r="D3" s="2">
        <v>370</v>
      </c>
      <c r="E3" s="2">
        <v>5967</v>
      </c>
      <c r="F3" s="2">
        <f t="shared" ref="F3:F11" si="1">ROUNDUP(D3/$O$9*100,0)</f>
        <v>99</v>
      </c>
      <c r="G3" s="2">
        <f t="shared" ref="G3:G11" si="2">ROUNDUP(E3/$O$10*100,0)</f>
        <v>102</v>
      </c>
      <c r="H3" s="2">
        <f t="shared" ref="H3:H11" si="3">VLOOKUP(F3,$N$14:$O$16,2,1)*F3+VLOOKUP(G3,$N$20:$O$22,2,1)*G3</f>
        <v>144600</v>
      </c>
      <c r="I3" s="2">
        <f>ROUNDUP(H3*13.7%*F3/100,-1)</f>
        <v>19620</v>
      </c>
      <c r="J3" s="2">
        <f t="shared" ref="J3:J11" si="4">ROUNDDOWN(VLOOKUP(G3,$N$26:$O$27,2,1)*H3,-1)</f>
        <v>9830</v>
      </c>
      <c r="K3" s="3">
        <f>H3+I3+J3</f>
        <v>174050</v>
      </c>
      <c r="L3" s="8" t="str">
        <f>IF(AND(D3&lt;=410,K3&gt;=175000),"*","")</f>
        <v/>
      </c>
      <c r="N3" s="4" t="s">
        <v>1</v>
      </c>
      <c r="O3" s="6" t="s">
        <v>24</v>
      </c>
    </row>
    <row r="4" spans="1:15">
      <c r="A4" s="7">
        <v>102</v>
      </c>
      <c r="B4" s="1" t="s">
        <v>16</v>
      </c>
      <c r="C4" s="1" t="str">
        <f t="shared" si="0"/>
        <v>営業Aチーム</v>
      </c>
      <c r="D4" s="2">
        <v>312</v>
      </c>
      <c r="E4" s="2">
        <v>5235</v>
      </c>
      <c r="F4" s="2">
        <f t="shared" si="1"/>
        <v>84</v>
      </c>
      <c r="G4" s="2">
        <f t="shared" si="2"/>
        <v>89</v>
      </c>
      <c r="H4" s="2">
        <f t="shared" si="3"/>
        <v>121690</v>
      </c>
      <c r="I4" s="2">
        <f t="shared" ref="I4:I11" si="5">ROUNDUP(H4*13.7%*F4/100,-1)</f>
        <v>14010</v>
      </c>
      <c r="J4" s="2">
        <f t="shared" si="4"/>
        <v>8270</v>
      </c>
      <c r="K4" s="3">
        <f t="shared" ref="K4:K11" si="6">H4+I4+J4</f>
        <v>143970</v>
      </c>
      <c r="L4" s="8" t="str">
        <f t="shared" ref="L4:L11" si="7">IF(AND(D4&lt;=410,K4&gt;=175000),"*","")</f>
        <v/>
      </c>
      <c r="N4" s="7">
        <v>100</v>
      </c>
      <c r="O4" s="8" t="s">
        <v>25</v>
      </c>
    </row>
    <row r="5" spans="1:15">
      <c r="A5" s="7">
        <v>103</v>
      </c>
      <c r="B5" s="1" t="s">
        <v>17</v>
      </c>
      <c r="C5" s="1" t="str">
        <f t="shared" si="0"/>
        <v>営業Aチーム</v>
      </c>
      <c r="D5" s="2">
        <v>410</v>
      </c>
      <c r="E5" s="2">
        <v>6218</v>
      </c>
      <c r="F5" s="2">
        <f t="shared" si="1"/>
        <v>110</v>
      </c>
      <c r="G5" s="2">
        <f t="shared" si="2"/>
        <v>106</v>
      </c>
      <c r="H5" s="2">
        <f t="shared" si="3"/>
        <v>165460</v>
      </c>
      <c r="I5" s="2">
        <f t="shared" si="5"/>
        <v>24940</v>
      </c>
      <c r="J5" s="2">
        <f t="shared" si="4"/>
        <v>13070</v>
      </c>
      <c r="K5" s="3">
        <f t="shared" si="6"/>
        <v>203470</v>
      </c>
      <c r="L5" s="8" t="str">
        <f t="shared" si="7"/>
        <v>*</v>
      </c>
      <c r="N5" s="7">
        <v>200</v>
      </c>
      <c r="O5" s="8" t="s">
        <v>26</v>
      </c>
    </row>
    <row r="6" spans="1:15" ht="19.5" thickBot="1">
      <c r="A6" s="7">
        <v>201</v>
      </c>
      <c r="B6" s="1" t="s">
        <v>18</v>
      </c>
      <c r="C6" s="1" t="str">
        <f t="shared" si="0"/>
        <v>営業Bチーム</v>
      </c>
      <c r="D6" s="2">
        <v>378</v>
      </c>
      <c r="E6" s="2">
        <v>5871</v>
      </c>
      <c r="F6" s="2">
        <f t="shared" si="1"/>
        <v>101</v>
      </c>
      <c r="G6" s="2">
        <f t="shared" si="2"/>
        <v>100</v>
      </c>
      <c r="H6" s="2">
        <f t="shared" si="3"/>
        <v>147790</v>
      </c>
      <c r="I6" s="2">
        <f t="shared" si="5"/>
        <v>20450</v>
      </c>
      <c r="J6" s="2">
        <f t="shared" si="4"/>
        <v>10040</v>
      </c>
      <c r="K6" s="3">
        <f t="shared" si="6"/>
        <v>178280</v>
      </c>
      <c r="L6" s="8" t="str">
        <f t="shared" si="7"/>
        <v>*</v>
      </c>
      <c r="N6" s="9">
        <v>300</v>
      </c>
      <c r="O6" s="13" t="s">
        <v>27</v>
      </c>
    </row>
    <row r="7" spans="1:15">
      <c r="A7" s="7">
        <v>202</v>
      </c>
      <c r="B7" s="1" t="s">
        <v>19</v>
      </c>
      <c r="C7" s="1" t="str">
        <f t="shared" si="0"/>
        <v>営業Bチーム</v>
      </c>
      <c r="D7" s="2">
        <v>387</v>
      </c>
      <c r="E7" s="2">
        <v>6034</v>
      </c>
      <c r="F7" s="2">
        <f t="shared" si="1"/>
        <v>104</v>
      </c>
      <c r="G7" s="2">
        <f t="shared" si="2"/>
        <v>103</v>
      </c>
      <c r="H7" s="2">
        <f t="shared" si="3"/>
        <v>152200</v>
      </c>
      <c r="I7" s="2">
        <f t="shared" si="5"/>
        <v>21690</v>
      </c>
      <c r="J7" s="2">
        <f t="shared" si="4"/>
        <v>12020</v>
      </c>
      <c r="K7" s="3">
        <f t="shared" si="6"/>
        <v>185910</v>
      </c>
      <c r="L7" s="8" t="str">
        <f t="shared" si="7"/>
        <v>*</v>
      </c>
    </row>
    <row r="8" spans="1:15" ht="19.5" thickBot="1">
      <c r="A8" s="7">
        <v>203</v>
      </c>
      <c r="B8" s="1" t="s">
        <v>20</v>
      </c>
      <c r="C8" s="1" t="str">
        <f t="shared" si="0"/>
        <v>営業Bチーム</v>
      </c>
      <c r="D8" s="2">
        <v>345</v>
      </c>
      <c r="E8" s="2">
        <v>5246</v>
      </c>
      <c r="F8" s="2">
        <f t="shared" si="1"/>
        <v>92</v>
      </c>
      <c r="G8" s="2">
        <f t="shared" si="2"/>
        <v>89</v>
      </c>
      <c r="H8" s="2">
        <f t="shared" si="3"/>
        <v>127770</v>
      </c>
      <c r="I8" s="2">
        <f t="shared" si="5"/>
        <v>16110</v>
      </c>
      <c r="J8" s="2">
        <f t="shared" si="4"/>
        <v>8680</v>
      </c>
      <c r="K8" s="3">
        <f t="shared" si="6"/>
        <v>152560</v>
      </c>
      <c r="L8" s="8" t="str">
        <f t="shared" si="7"/>
        <v/>
      </c>
      <c r="N8" s="39" t="s">
        <v>60</v>
      </c>
      <c r="O8" s="39"/>
    </row>
    <row r="9" spans="1:15">
      <c r="A9" s="7">
        <v>301</v>
      </c>
      <c r="B9" s="1" t="s">
        <v>21</v>
      </c>
      <c r="C9" s="1" t="str">
        <f t="shared" si="0"/>
        <v>営業Cチーム</v>
      </c>
      <c r="D9" s="2">
        <v>372</v>
      </c>
      <c r="E9" s="2">
        <v>5630</v>
      </c>
      <c r="F9" s="2">
        <f t="shared" si="1"/>
        <v>100</v>
      </c>
      <c r="G9" s="2">
        <f t="shared" si="2"/>
        <v>96</v>
      </c>
      <c r="H9" s="2">
        <f t="shared" si="3"/>
        <v>141400</v>
      </c>
      <c r="I9" s="2">
        <f t="shared" si="5"/>
        <v>19380</v>
      </c>
      <c r="J9" s="2">
        <f t="shared" si="4"/>
        <v>9610</v>
      </c>
      <c r="K9" s="3">
        <f t="shared" si="6"/>
        <v>170390</v>
      </c>
      <c r="L9" s="8" t="str">
        <f t="shared" si="7"/>
        <v/>
      </c>
      <c r="N9" s="19" t="s">
        <v>28</v>
      </c>
      <c r="O9" s="20">
        <v>375</v>
      </c>
    </row>
    <row r="10" spans="1:15" ht="19.5" thickBot="1">
      <c r="A10" s="7">
        <v>302</v>
      </c>
      <c r="B10" s="1" t="s">
        <v>22</v>
      </c>
      <c r="C10" s="1" t="str">
        <f t="shared" si="0"/>
        <v>営業Cチーム</v>
      </c>
      <c r="D10" s="2">
        <v>391</v>
      </c>
      <c r="E10" s="2">
        <v>6258</v>
      </c>
      <c r="F10" s="2">
        <f t="shared" si="1"/>
        <v>105</v>
      </c>
      <c r="G10" s="2">
        <f t="shared" si="2"/>
        <v>107</v>
      </c>
      <c r="H10" s="2">
        <f t="shared" si="3"/>
        <v>162070</v>
      </c>
      <c r="I10" s="2">
        <f t="shared" si="5"/>
        <v>23320</v>
      </c>
      <c r="J10" s="2">
        <f t="shared" si="4"/>
        <v>12800</v>
      </c>
      <c r="K10" s="3">
        <f t="shared" si="6"/>
        <v>198190</v>
      </c>
      <c r="L10" s="8" t="str">
        <f t="shared" si="7"/>
        <v>*</v>
      </c>
      <c r="N10" s="9" t="s">
        <v>29</v>
      </c>
      <c r="O10" s="16">
        <v>5900</v>
      </c>
    </row>
    <row r="11" spans="1:15">
      <c r="A11" s="7">
        <v>303</v>
      </c>
      <c r="B11" s="1" t="s">
        <v>23</v>
      </c>
      <c r="C11" s="1" t="str">
        <f t="shared" si="0"/>
        <v>営業Cチーム</v>
      </c>
      <c r="D11" s="2">
        <v>416</v>
      </c>
      <c r="E11" s="2">
        <v>6173</v>
      </c>
      <c r="F11" s="2">
        <f t="shared" si="1"/>
        <v>111</v>
      </c>
      <c r="G11" s="2">
        <f t="shared" si="2"/>
        <v>105</v>
      </c>
      <c r="H11" s="2">
        <f t="shared" si="3"/>
        <v>165570</v>
      </c>
      <c r="I11" s="2">
        <f t="shared" si="5"/>
        <v>25180</v>
      </c>
      <c r="J11" s="2">
        <f t="shared" si="4"/>
        <v>13080</v>
      </c>
      <c r="K11" s="3">
        <f t="shared" si="6"/>
        <v>203830</v>
      </c>
      <c r="L11" s="8" t="str">
        <f t="shared" si="7"/>
        <v/>
      </c>
    </row>
    <row r="12" spans="1:15" ht="19.5" thickBot="1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8"/>
      <c r="N12" s="39" t="s">
        <v>33</v>
      </c>
      <c r="O12" s="39"/>
    </row>
    <row r="13" spans="1:15" ht="19.5" thickBot="1">
      <c r="A13" s="9"/>
      <c r="B13" s="10" t="s">
        <v>32</v>
      </c>
      <c r="C13" s="11"/>
      <c r="D13" s="12">
        <f>SUM(D3:D11)</f>
        <v>3381</v>
      </c>
      <c r="E13" s="12">
        <f t="shared" ref="E13:K13" si="8">SUM(E3:E11)</f>
        <v>52632</v>
      </c>
      <c r="F13" s="12">
        <f t="shared" si="8"/>
        <v>906</v>
      </c>
      <c r="G13" s="12">
        <f t="shared" si="8"/>
        <v>897</v>
      </c>
      <c r="H13" s="12">
        <f t="shared" si="8"/>
        <v>1328550</v>
      </c>
      <c r="I13" s="12">
        <f t="shared" si="8"/>
        <v>184700</v>
      </c>
      <c r="J13" s="12">
        <f t="shared" si="8"/>
        <v>97400</v>
      </c>
      <c r="K13" s="12">
        <f t="shared" si="8"/>
        <v>1610650</v>
      </c>
      <c r="L13" s="13"/>
      <c r="N13" s="4" t="s">
        <v>9</v>
      </c>
      <c r="O13" s="6" t="s">
        <v>30</v>
      </c>
    </row>
    <row r="14" spans="1:15">
      <c r="N14" s="7">
        <v>1</v>
      </c>
      <c r="O14" s="8">
        <v>760</v>
      </c>
    </row>
    <row r="15" spans="1:15" ht="19.5" thickBot="1">
      <c r="A15" s="41" t="s">
        <v>40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N15" s="7">
        <v>100</v>
      </c>
      <c r="O15" s="8">
        <v>790</v>
      </c>
    </row>
    <row r="16" spans="1:15" ht="19.5" thickBot="1">
      <c r="A16" s="4" t="s">
        <v>1</v>
      </c>
      <c r="B16" s="5" t="s">
        <v>2</v>
      </c>
      <c r="C16" s="5" t="s">
        <v>4</v>
      </c>
      <c r="D16" s="5" t="s">
        <v>6</v>
      </c>
      <c r="E16" s="5" t="s">
        <v>7</v>
      </c>
      <c r="F16" s="5" t="s">
        <v>9</v>
      </c>
      <c r="G16" s="5" t="s">
        <v>10</v>
      </c>
      <c r="H16" s="5" t="s">
        <v>11</v>
      </c>
      <c r="I16" s="5" t="s">
        <v>43</v>
      </c>
      <c r="J16" s="5" t="s">
        <v>12</v>
      </c>
      <c r="K16" s="5" t="s">
        <v>13</v>
      </c>
      <c r="L16" s="6" t="s">
        <v>14</v>
      </c>
      <c r="N16" s="9">
        <v>105</v>
      </c>
      <c r="O16" s="13">
        <v>820</v>
      </c>
    </row>
    <row r="17" spans="1:15">
      <c r="A17" s="7">
        <v>301</v>
      </c>
      <c r="B17" s="1" t="s">
        <v>21</v>
      </c>
      <c r="C17" s="1" t="s">
        <v>39</v>
      </c>
      <c r="D17" s="2">
        <v>372</v>
      </c>
      <c r="E17" s="2">
        <v>5630</v>
      </c>
      <c r="F17" s="2">
        <v>100</v>
      </c>
      <c r="G17" s="2">
        <v>96</v>
      </c>
      <c r="H17" s="2">
        <v>141400</v>
      </c>
      <c r="I17" s="2">
        <v>19380</v>
      </c>
      <c r="J17" s="2">
        <v>9610</v>
      </c>
      <c r="K17" s="3">
        <v>170390</v>
      </c>
      <c r="L17" s="8" t="s">
        <v>36</v>
      </c>
    </row>
    <row r="18" spans="1:15" ht="19.5" thickBot="1">
      <c r="A18" s="7">
        <v>101</v>
      </c>
      <c r="B18" s="1" t="s">
        <v>15</v>
      </c>
      <c r="C18" s="1" t="s">
        <v>35</v>
      </c>
      <c r="D18" s="2">
        <v>370</v>
      </c>
      <c r="E18" s="2">
        <v>5967</v>
      </c>
      <c r="F18" s="2">
        <v>99</v>
      </c>
      <c r="G18" s="2">
        <v>102</v>
      </c>
      <c r="H18" s="2">
        <v>144600</v>
      </c>
      <c r="I18" s="2">
        <v>19620</v>
      </c>
      <c r="J18" s="2">
        <v>9830</v>
      </c>
      <c r="K18" s="3">
        <v>174050</v>
      </c>
      <c r="L18" s="8" t="s">
        <v>36</v>
      </c>
      <c r="N18" s="39" t="s">
        <v>34</v>
      </c>
      <c r="O18" s="39"/>
    </row>
    <row r="19" spans="1:15">
      <c r="A19" s="7">
        <v>201</v>
      </c>
      <c r="B19" s="1" t="s">
        <v>18</v>
      </c>
      <c r="C19" s="1" t="s">
        <v>37</v>
      </c>
      <c r="D19" s="2">
        <v>378</v>
      </c>
      <c r="E19" s="2">
        <v>5871</v>
      </c>
      <c r="F19" s="2">
        <v>101</v>
      </c>
      <c r="G19" s="2">
        <v>100</v>
      </c>
      <c r="H19" s="2">
        <v>147790</v>
      </c>
      <c r="I19" s="2">
        <v>20450</v>
      </c>
      <c r="J19" s="2">
        <v>10040</v>
      </c>
      <c r="K19" s="3">
        <v>178280</v>
      </c>
      <c r="L19" s="8" t="s">
        <v>38</v>
      </c>
      <c r="N19" s="4" t="s">
        <v>10</v>
      </c>
      <c r="O19" s="6" t="s">
        <v>31</v>
      </c>
    </row>
    <row r="20" spans="1:15">
      <c r="A20" s="7">
        <v>202</v>
      </c>
      <c r="B20" s="1" t="s">
        <v>19</v>
      </c>
      <c r="C20" s="1" t="s">
        <v>37</v>
      </c>
      <c r="D20" s="2">
        <v>387</v>
      </c>
      <c r="E20" s="2">
        <v>6034</v>
      </c>
      <c r="F20" s="2">
        <v>104</v>
      </c>
      <c r="G20" s="2">
        <v>103</v>
      </c>
      <c r="H20" s="2">
        <v>152200</v>
      </c>
      <c r="I20" s="2">
        <v>21690</v>
      </c>
      <c r="J20" s="2">
        <v>12020</v>
      </c>
      <c r="K20" s="3">
        <v>185910</v>
      </c>
      <c r="L20" s="8" t="s">
        <v>38</v>
      </c>
      <c r="N20" s="7">
        <v>1</v>
      </c>
      <c r="O20" s="8">
        <v>650</v>
      </c>
    </row>
    <row r="21" spans="1:15">
      <c r="A21" s="7">
        <v>302</v>
      </c>
      <c r="B21" s="1" t="s">
        <v>22</v>
      </c>
      <c r="C21" s="1" t="s">
        <v>39</v>
      </c>
      <c r="D21" s="2">
        <v>391</v>
      </c>
      <c r="E21" s="2">
        <v>6258</v>
      </c>
      <c r="F21" s="2">
        <v>105</v>
      </c>
      <c r="G21" s="2">
        <v>107</v>
      </c>
      <c r="H21" s="2">
        <v>162070</v>
      </c>
      <c r="I21" s="2">
        <v>23320</v>
      </c>
      <c r="J21" s="2">
        <v>12800</v>
      </c>
      <c r="K21" s="3">
        <v>198190</v>
      </c>
      <c r="L21" s="8" t="s">
        <v>38</v>
      </c>
      <c r="N21" s="7">
        <v>100</v>
      </c>
      <c r="O21" s="8">
        <v>680</v>
      </c>
    </row>
    <row r="22" spans="1:15" ht="19.5" thickBot="1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8"/>
      <c r="N22" s="9">
        <v>105</v>
      </c>
      <c r="O22" s="13">
        <v>710</v>
      </c>
    </row>
    <row r="23" spans="1:15" ht="19.5" thickBot="1">
      <c r="A23" s="9"/>
      <c r="B23" s="10" t="s">
        <v>32</v>
      </c>
      <c r="C23" s="11"/>
      <c r="D23" s="12">
        <f>SUM(D17:D21)</f>
        <v>1898</v>
      </c>
      <c r="E23" s="12">
        <f t="shared" ref="E23:K23" si="9">SUM(E17:E21)</f>
        <v>29760</v>
      </c>
      <c r="F23" s="12">
        <f t="shared" si="9"/>
        <v>509</v>
      </c>
      <c r="G23" s="12">
        <f t="shared" si="9"/>
        <v>508</v>
      </c>
      <c r="H23" s="12">
        <f t="shared" si="9"/>
        <v>748060</v>
      </c>
      <c r="I23" s="12">
        <f t="shared" si="9"/>
        <v>104460</v>
      </c>
      <c r="J23" s="12">
        <f t="shared" si="9"/>
        <v>54300</v>
      </c>
      <c r="K23" s="12">
        <f t="shared" si="9"/>
        <v>906820</v>
      </c>
      <c r="L23" s="13"/>
    </row>
    <row r="24" spans="1:15" ht="19.5" thickBot="1">
      <c r="N24" s="39" t="s">
        <v>61</v>
      </c>
      <c r="O24" s="39"/>
    </row>
    <row r="25" spans="1:15" ht="19.5" thickBot="1">
      <c r="A25" s="40" t="s">
        <v>41</v>
      </c>
      <c r="B25" s="40"/>
      <c r="C25" s="40"/>
      <c r="D25" s="40"/>
      <c r="N25" s="4" t="s">
        <v>10</v>
      </c>
      <c r="O25" s="6" t="s">
        <v>12</v>
      </c>
    </row>
    <row r="26" spans="1:15" ht="19.5" thickBot="1">
      <c r="A26" s="4" t="s">
        <v>48</v>
      </c>
      <c r="B26" s="5" t="s">
        <v>5</v>
      </c>
      <c r="C26" s="5" t="s">
        <v>42</v>
      </c>
      <c r="D26" s="6" t="s">
        <v>44</v>
      </c>
      <c r="N26" s="7">
        <v>1</v>
      </c>
      <c r="O26" s="21">
        <v>6.8000000000000005E-2</v>
      </c>
    </row>
    <row r="27" spans="1:15" ht="19.5" thickBot="1">
      <c r="A27" s="7" t="s">
        <v>45</v>
      </c>
      <c r="B27" s="2">
        <f>DSUM(社員別賃金一覧表1,B$26,$N$29:$N$30)</f>
        <v>1092</v>
      </c>
      <c r="C27" s="2">
        <f>DSUM(社員別賃金一覧表1,C$26,$N$29:$N$30)</f>
        <v>58570</v>
      </c>
      <c r="D27" s="14">
        <f>DSUM(社員別賃金一覧表1,D$26,$N$29:$N$30)</f>
        <v>31170</v>
      </c>
      <c r="F27" s="42" t="s">
        <v>49</v>
      </c>
      <c r="G27" s="43"/>
      <c r="H27" s="43"/>
      <c r="I27" s="43"/>
      <c r="J27" s="43"/>
      <c r="K27" s="43"/>
      <c r="L27" s="18">
        <f>DSUM(社員別賃金一覧表1,K16,N36:O37)</f>
        <v>562380</v>
      </c>
      <c r="N27" s="9">
        <v>103</v>
      </c>
      <c r="O27" s="22">
        <v>7.9000000000000001E-2</v>
      </c>
    </row>
    <row r="28" spans="1:15" ht="19.5" thickBot="1">
      <c r="A28" s="7" t="s">
        <v>46</v>
      </c>
      <c r="B28" s="2">
        <f>DSUM(社員別賃金一覧表1,B$26,$N$31:$N$32)</f>
        <v>1110</v>
      </c>
      <c r="C28" s="2">
        <f>DSUM(社員別賃金一覧表1,C$26,$N$31:$N$32)</f>
        <v>58250</v>
      </c>
      <c r="D28" s="14">
        <f>DSUM(社員別賃金一覧表1,D$26,$N$31:$N$32)</f>
        <v>30740</v>
      </c>
      <c r="F28" s="46" t="s">
        <v>50</v>
      </c>
      <c r="G28" s="47"/>
      <c r="H28" s="47"/>
      <c r="I28" s="47"/>
      <c r="J28" s="47"/>
      <c r="K28" s="47"/>
      <c r="L28" s="8">
        <f>DCOUNTA(社員別賃金一覧表1,C2,N39:O40)</f>
        <v>5</v>
      </c>
    </row>
    <row r="29" spans="1:15" ht="19.5" thickBot="1">
      <c r="A29" s="9" t="s">
        <v>47</v>
      </c>
      <c r="B29" s="15">
        <f>DSUM(社員別賃金一覧表1,B$26,$N$33:$N$34)</f>
        <v>1179</v>
      </c>
      <c r="C29" s="15">
        <f>DSUM(社員別賃金一覧表1,C$26,$N$33:$N$34)</f>
        <v>67880</v>
      </c>
      <c r="D29" s="16">
        <f>DSUM(社員別賃金一覧表1,D$26,$N$33:$N$34)</f>
        <v>35490</v>
      </c>
      <c r="F29" s="44" t="s">
        <v>51</v>
      </c>
      <c r="G29" s="45"/>
      <c r="H29" s="45"/>
      <c r="I29" s="45"/>
      <c r="J29" s="45"/>
      <c r="K29" s="45"/>
      <c r="L29" s="16">
        <f>DMAX(社員別賃金一覧表1,I2,N42:N43)</f>
        <v>25180</v>
      </c>
      <c r="N29" s="23" t="s">
        <v>3</v>
      </c>
    </row>
    <row r="30" spans="1:15">
      <c r="N30" s="24" t="s">
        <v>45</v>
      </c>
    </row>
    <row r="31" spans="1:15">
      <c r="N31" s="24" t="s">
        <v>3</v>
      </c>
    </row>
    <row r="32" spans="1:15">
      <c r="N32" s="24" t="s">
        <v>46</v>
      </c>
    </row>
    <row r="33" spans="14:15">
      <c r="N33" s="24" t="s">
        <v>3</v>
      </c>
    </row>
    <row r="34" spans="14:15" ht="19.5" thickBot="1">
      <c r="N34" s="25" t="s">
        <v>47</v>
      </c>
    </row>
    <row r="35" spans="14:15" ht="19.5" thickBot="1"/>
    <row r="36" spans="14:15">
      <c r="N36" s="19" t="s">
        <v>8</v>
      </c>
      <c r="O36" s="20" t="s">
        <v>8</v>
      </c>
    </row>
    <row r="37" spans="14:15" ht="19.5" thickBot="1">
      <c r="N37" s="9" t="s">
        <v>52</v>
      </c>
      <c r="O37" s="13" t="s">
        <v>53</v>
      </c>
    </row>
    <row r="38" spans="14:15" ht="19.5" thickBot="1"/>
    <row r="39" spans="14:15">
      <c r="N39" s="19" t="s">
        <v>3</v>
      </c>
      <c r="O39" s="20" t="s">
        <v>55</v>
      </c>
    </row>
    <row r="40" spans="14:15" ht="19.5" thickBot="1">
      <c r="N40" s="9" t="s">
        <v>54</v>
      </c>
      <c r="O40" s="13" t="s">
        <v>56</v>
      </c>
    </row>
    <row r="41" spans="14:15" ht="19.5" thickBot="1"/>
    <row r="42" spans="14:15">
      <c r="N42" s="23" t="s">
        <v>57</v>
      </c>
    </row>
    <row r="43" spans="14:15" ht="19.5" thickBot="1">
      <c r="N43" s="25" t="s">
        <v>58</v>
      </c>
    </row>
  </sheetData>
  <sortState ref="A17:L21">
    <sortCondition ref="K16"/>
  </sortState>
  <mergeCells count="11">
    <mergeCell ref="A1:L1"/>
    <mergeCell ref="A15:L15"/>
    <mergeCell ref="A25:D25"/>
    <mergeCell ref="F27:K27"/>
    <mergeCell ref="F29:K29"/>
    <mergeCell ref="F28:K28"/>
    <mergeCell ref="N2:O2"/>
    <mergeCell ref="N8:O8"/>
    <mergeCell ref="N12:O12"/>
    <mergeCell ref="N24:O24"/>
    <mergeCell ref="N18:O18"/>
  </mergeCells>
  <phoneticPr fontId="2"/>
  <pageMargins left="0.25" right="0.25" top="0.75" bottom="0.75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4729-7866-4081-9473-E891E5D7C08E}">
  <sheetPr>
    <pageSetUpPr fitToPage="1"/>
  </sheetPr>
  <dimension ref="A1:P42"/>
  <sheetViews>
    <sheetView topLeftCell="A29" workbookViewId="0">
      <selection activeCell="V15" sqref="V15"/>
    </sheetView>
  </sheetViews>
  <sheetFormatPr defaultRowHeight="18.75"/>
  <cols>
    <col min="1" max="1" width="7.125" bestFit="1" customWidth="1"/>
    <col min="3" max="3" width="8" bestFit="1" customWidth="1"/>
    <col min="4" max="4" width="7.125" bestFit="1" customWidth="1"/>
    <col min="5" max="5" width="6" bestFit="1" customWidth="1"/>
    <col min="6" max="7" width="7.125" bestFit="1" customWidth="1"/>
    <col min="8" max="8" width="9.5" bestFit="1" customWidth="1"/>
    <col min="9" max="9" width="7.125" bestFit="1" customWidth="1"/>
    <col min="10" max="10" width="8" bestFit="1" customWidth="1"/>
    <col min="11" max="11" width="7.125" bestFit="1" customWidth="1"/>
    <col min="12" max="12" width="5.25" bestFit="1" customWidth="1"/>
    <col min="13" max="13" width="3.625" customWidth="1"/>
    <col min="14" max="14" width="7.25" bestFit="1" customWidth="1"/>
    <col min="15" max="15" width="10.25" bestFit="1" customWidth="1"/>
    <col min="16" max="16" width="6" bestFit="1" customWidth="1"/>
  </cols>
  <sheetData>
    <row r="1" spans="1:16" ht="19.5" thickBot="1">
      <c r="A1" s="40" t="s">
        <v>74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6">
      <c r="A2" s="4" t="s">
        <v>62</v>
      </c>
      <c r="B2" s="5" t="s">
        <v>64</v>
      </c>
      <c r="C2" s="5" t="s">
        <v>63</v>
      </c>
      <c r="D2" s="5" t="s">
        <v>65</v>
      </c>
      <c r="E2" s="5" t="s">
        <v>66</v>
      </c>
      <c r="F2" s="5" t="s">
        <v>67</v>
      </c>
      <c r="G2" s="5" t="s">
        <v>68</v>
      </c>
      <c r="H2" s="5" t="s">
        <v>69</v>
      </c>
      <c r="I2" s="5" t="s">
        <v>70</v>
      </c>
      <c r="J2" s="5" t="s">
        <v>71</v>
      </c>
      <c r="K2" s="5" t="s">
        <v>72</v>
      </c>
      <c r="L2" s="6" t="s">
        <v>73</v>
      </c>
      <c r="N2" s="1" t="s">
        <v>62</v>
      </c>
      <c r="O2" s="1" t="s">
        <v>79</v>
      </c>
    </row>
    <row r="3" spans="1:16">
      <c r="A3" s="7" t="s">
        <v>75</v>
      </c>
      <c r="B3" s="1" t="str">
        <f>VLOOKUP(A3,$N$3:$O$6,2,0)</f>
        <v>北陸商事</v>
      </c>
      <c r="C3" s="1">
        <v>101</v>
      </c>
      <c r="D3" s="1" t="str">
        <f>VLOOKUP(C3,$N$9:$P$12,2,0)</f>
        <v>商品A</v>
      </c>
      <c r="E3" s="2">
        <f>ROUNDUP(VLOOKUP(C3,$N$9:$P$12,3,0)*0.9,-1)</f>
        <v>2590</v>
      </c>
      <c r="F3" s="1">
        <v>130</v>
      </c>
      <c r="G3" s="1">
        <v>118</v>
      </c>
      <c r="H3" s="2">
        <f>E3*G3</f>
        <v>305620</v>
      </c>
      <c r="I3" s="28">
        <f>VLOOKUP(RIGHT(A3,1),$N$15:$O$17,2,0)</f>
        <v>0.11700000000000001</v>
      </c>
      <c r="J3" s="2">
        <f>ROUND(H3*I3,-1)</f>
        <v>35760</v>
      </c>
      <c r="K3" s="2">
        <f>ROUNDUP(IF(OR(G3&gt;=190, H3&gt;=510000),J3*12.8%,J3*11.4%),0)</f>
        <v>4077</v>
      </c>
      <c r="L3" s="8" t="str">
        <f>IF(AND(H3&gt;=500000, J3&gt;=57000),"**","*")</f>
        <v>*</v>
      </c>
      <c r="N3" s="1" t="s">
        <v>75</v>
      </c>
      <c r="O3" s="1" t="s">
        <v>80</v>
      </c>
    </row>
    <row r="4" spans="1:16">
      <c r="A4" s="7" t="s">
        <v>75</v>
      </c>
      <c r="B4" s="1" t="str">
        <f t="shared" ref="B4:B18" si="0">VLOOKUP(A4,$N$3:$O$6,2,0)</f>
        <v>北陸商事</v>
      </c>
      <c r="C4" s="1">
        <v>102</v>
      </c>
      <c r="D4" s="1" t="str">
        <f t="shared" ref="D4:D18" si="1">VLOOKUP(C4,$N$9:$P$12,2,0)</f>
        <v>商品B</v>
      </c>
      <c r="E4" s="2">
        <f t="shared" ref="E4:E18" si="2">ROUNDUP(VLOOKUP(C4,$N$9:$P$12,3,0)*0.9,-1)</f>
        <v>2760</v>
      </c>
      <c r="F4" s="1">
        <v>210</v>
      </c>
      <c r="G4" s="1">
        <v>190</v>
      </c>
      <c r="H4" s="2">
        <f t="shared" ref="H4:H18" si="3">E4*G4</f>
        <v>524400</v>
      </c>
      <c r="I4" s="28">
        <f t="shared" ref="I4:I18" si="4">VLOOKUP(RIGHT(A4,1),$N$15:$O$17,2,0)</f>
        <v>0.11700000000000001</v>
      </c>
      <c r="J4" s="2">
        <f t="shared" ref="J4:J18" si="5">ROUND(H4*I4,-1)</f>
        <v>61350</v>
      </c>
      <c r="K4" s="2">
        <f t="shared" ref="K4:K18" si="6">ROUNDUP(IF(OR(G4&gt;=190, H4&gt;=510000),J4*12.8%,J4*11.4%),0)</f>
        <v>7853</v>
      </c>
      <c r="L4" s="8" t="str">
        <f t="shared" ref="L4:L18" si="7">IF(AND(H4&gt;=500000, J4&gt;=57000),"**","*")</f>
        <v>**</v>
      </c>
      <c r="N4" s="1" t="s">
        <v>76</v>
      </c>
      <c r="O4" s="1" t="s">
        <v>81</v>
      </c>
    </row>
    <row r="5" spans="1:16">
      <c r="A5" s="7" t="s">
        <v>75</v>
      </c>
      <c r="B5" s="1" t="str">
        <f t="shared" si="0"/>
        <v>北陸商事</v>
      </c>
      <c r="C5" s="1">
        <v>103</v>
      </c>
      <c r="D5" s="1" t="str">
        <f t="shared" si="1"/>
        <v>商品C</v>
      </c>
      <c r="E5" s="2">
        <f t="shared" si="2"/>
        <v>2430</v>
      </c>
      <c r="F5" s="1">
        <v>226</v>
      </c>
      <c r="G5" s="1">
        <v>211</v>
      </c>
      <c r="H5" s="2">
        <f t="shared" si="3"/>
        <v>512730</v>
      </c>
      <c r="I5" s="28">
        <f t="shared" si="4"/>
        <v>0.11700000000000001</v>
      </c>
      <c r="J5" s="2">
        <f t="shared" si="5"/>
        <v>59990</v>
      </c>
      <c r="K5" s="2">
        <f t="shared" si="6"/>
        <v>7679</v>
      </c>
      <c r="L5" s="8" t="str">
        <f t="shared" si="7"/>
        <v>**</v>
      </c>
      <c r="N5" s="1" t="s">
        <v>77</v>
      </c>
      <c r="O5" s="1" t="s">
        <v>82</v>
      </c>
    </row>
    <row r="6" spans="1:16">
      <c r="A6" s="7" t="s">
        <v>75</v>
      </c>
      <c r="B6" s="1" t="str">
        <f t="shared" si="0"/>
        <v>北陸商事</v>
      </c>
      <c r="C6" s="1">
        <v>104</v>
      </c>
      <c r="D6" s="1" t="str">
        <f t="shared" si="1"/>
        <v>商品D</v>
      </c>
      <c r="E6" s="2">
        <f t="shared" si="2"/>
        <v>3160</v>
      </c>
      <c r="F6" s="1">
        <v>117</v>
      </c>
      <c r="G6" s="1">
        <v>98</v>
      </c>
      <c r="H6" s="2">
        <f t="shared" si="3"/>
        <v>309680</v>
      </c>
      <c r="I6" s="28">
        <f t="shared" si="4"/>
        <v>0.11700000000000001</v>
      </c>
      <c r="J6" s="2">
        <f t="shared" si="5"/>
        <v>36230</v>
      </c>
      <c r="K6" s="2">
        <f t="shared" si="6"/>
        <v>4131</v>
      </c>
      <c r="L6" s="8" t="str">
        <f t="shared" si="7"/>
        <v>*</v>
      </c>
      <c r="N6" s="1" t="s">
        <v>78</v>
      </c>
      <c r="O6" s="1" t="s">
        <v>83</v>
      </c>
    </row>
    <row r="7" spans="1:16">
      <c r="A7" s="7" t="s">
        <v>76</v>
      </c>
      <c r="B7" s="1" t="str">
        <f t="shared" si="0"/>
        <v>大川電機</v>
      </c>
      <c r="C7" s="1">
        <v>101</v>
      </c>
      <c r="D7" s="1" t="str">
        <f t="shared" si="1"/>
        <v>商品A</v>
      </c>
      <c r="E7" s="2">
        <f t="shared" si="2"/>
        <v>2590</v>
      </c>
      <c r="F7" s="1">
        <v>208</v>
      </c>
      <c r="G7" s="1">
        <v>193</v>
      </c>
      <c r="H7" s="2">
        <f t="shared" si="3"/>
        <v>499870</v>
      </c>
      <c r="I7" s="28">
        <f t="shared" si="4"/>
        <v>0.126</v>
      </c>
      <c r="J7" s="2">
        <f t="shared" si="5"/>
        <v>62980</v>
      </c>
      <c r="K7" s="2">
        <f t="shared" si="6"/>
        <v>8062</v>
      </c>
      <c r="L7" s="8" t="str">
        <f t="shared" si="7"/>
        <v>*</v>
      </c>
    </row>
    <row r="8" spans="1:16">
      <c r="A8" s="7" t="s">
        <v>76</v>
      </c>
      <c r="B8" s="1" t="str">
        <f t="shared" si="0"/>
        <v>大川電機</v>
      </c>
      <c r="C8" s="1">
        <v>102</v>
      </c>
      <c r="D8" s="1" t="str">
        <f t="shared" si="1"/>
        <v>商品B</v>
      </c>
      <c r="E8" s="2">
        <f t="shared" si="2"/>
        <v>2760</v>
      </c>
      <c r="F8" s="1">
        <v>146</v>
      </c>
      <c r="G8" s="1">
        <v>133</v>
      </c>
      <c r="H8" s="2">
        <f t="shared" si="3"/>
        <v>367080</v>
      </c>
      <c r="I8" s="28">
        <f t="shared" si="4"/>
        <v>0.126</v>
      </c>
      <c r="J8" s="2">
        <f t="shared" si="5"/>
        <v>46250</v>
      </c>
      <c r="K8" s="2">
        <f t="shared" si="6"/>
        <v>5273</v>
      </c>
      <c r="L8" s="8" t="str">
        <f t="shared" si="7"/>
        <v>*</v>
      </c>
      <c r="N8" s="1" t="s">
        <v>63</v>
      </c>
      <c r="O8" s="1" t="s">
        <v>65</v>
      </c>
      <c r="P8" s="1" t="s">
        <v>84</v>
      </c>
    </row>
    <row r="9" spans="1:16">
      <c r="A9" s="7" t="s">
        <v>76</v>
      </c>
      <c r="B9" s="1" t="str">
        <f t="shared" si="0"/>
        <v>大川電機</v>
      </c>
      <c r="C9" s="1">
        <v>103</v>
      </c>
      <c r="D9" s="1" t="str">
        <f t="shared" si="1"/>
        <v>商品C</v>
      </c>
      <c r="E9" s="2">
        <f t="shared" si="2"/>
        <v>2430</v>
      </c>
      <c r="F9" s="1">
        <v>116</v>
      </c>
      <c r="G9" s="1">
        <v>104</v>
      </c>
      <c r="H9" s="2">
        <f t="shared" si="3"/>
        <v>252720</v>
      </c>
      <c r="I9" s="28">
        <f t="shared" si="4"/>
        <v>0.126</v>
      </c>
      <c r="J9" s="2">
        <f t="shared" si="5"/>
        <v>31840</v>
      </c>
      <c r="K9" s="2">
        <f t="shared" si="6"/>
        <v>3630</v>
      </c>
      <c r="L9" s="8" t="str">
        <f t="shared" si="7"/>
        <v>*</v>
      </c>
      <c r="N9" s="1">
        <v>101</v>
      </c>
      <c r="O9" s="1" t="s">
        <v>85</v>
      </c>
      <c r="P9" s="2">
        <v>2870</v>
      </c>
    </row>
    <row r="10" spans="1:16">
      <c r="A10" s="7" t="s">
        <v>76</v>
      </c>
      <c r="B10" s="1" t="str">
        <f t="shared" si="0"/>
        <v>大川電機</v>
      </c>
      <c r="C10" s="1">
        <v>104</v>
      </c>
      <c r="D10" s="1" t="str">
        <f t="shared" si="1"/>
        <v>商品D</v>
      </c>
      <c r="E10" s="2">
        <f t="shared" si="2"/>
        <v>3160</v>
      </c>
      <c r="F10" s="1">
        <v>193</v>
      </c>
      <c r="G10" s="1">
        <v>176</v>
      </c>
      <c r="H10" s="2">
        <f t="shared" si="3"/>
        <v>556160</v>
      </c>
      <c r="I10" s="28">
        <f t="shared" si="4"/>
        <v>0.126</v>
      </c>
      <c r="J10" s="2">
        <f t="shared" si="5"/>
        <v>70080</v>
      </c>
      <c r="K10" s="2">
        <f t="shared" si="6"/>
        <v>8971</v>
      </c>
      <c r="L10" s="8" t="str">
        <f t="shared" si="7"/>
        <v>**</v>
      </c>
      <c r="N10" s="1">
        <v>102</v>
      </c>
      <c r="O10" s="1" t="s">
        <v>86</v>
      </c>
      <c r="P10" s="2">
        <v>3060</v>
      </c>
    </row>
    <row r="11" spans="1:16">
      <c r="A11" s="7" t="s">
        <v>77</v>
      </c>
      <c r="B11" s="1" t="str">
        <f t="shared" si="0"/>
        <v>佐藤企画</v>
      </c>
      <c r="C11" s="1">
        <v>101</v>
      </c>
      <c r="D11" s="1" t="str">
        <f t="shared" si="1"/>
        <v>商品A</v>
      </c>
      <c r="E11" s="2">
        <f t="shared" si="2"/>
        <v>2590</v>
      </c>
      <c r="F11" s="1">
        <v>143</v>
      </c>
      <c r="G11" s="1">
        <v>126</v>
      </c>
      <c r="H11" s="2">
        <f t="shared" si="3"/>
        <v>326340</v>
      </c>
      <c r="I11" s="28">
        <f t="shared" si="4"/>
        <v>0.108</v>
      </c>
      <c r="J11" s="2">
        <f t="shared" si="5"/>
        <v>35240</v>
      </c>
      <c r="K11" s="2">
        <f t="shared" si="6"/>
        <v>4018</v>
      </c>
      <c r="L11" s="8" t="str">
        <f t="shared" si="7"/>
        <v>*</v>
      </c>
      <c r="N11" s="1">
        <v>103</v>
      </c>
      <c r="O11" s="1" t="s">
        <v>87</v>
      </c>
      <c r="P11" s="2">
        <v>2690</v>
      </c>
    </row>
    <row r="12" spans="1:16">
      <c r="A12" s="7" t="s">
        <v>77</v>
      </c>
      <c r="B12" s="1" t="str">
        <f t="shared" si="0"/>
        <v>佐藤企画</v>
      </c>
      <c r="C12" s="1">
        <v>102</v>
      </c>
      <c r="D12" s="1" t="str">
        <f t="shared" si="1"/>
        <v>商品B</v>
      </c>
      <c r="E12" s="2">
        <f t="shared" si="2"/>
        <v>2760</v>
      </c>
      <c r="F12" s="1">
        <v>203</v>
      </c>
      <c r="G12" s="1">
        <v>187</v>
      </c>
      <c r="H12" s="2">
        <f t="shared" si="3"/>
        <v>516120</v>
      </c>
      <c r="I12" s="28">
        <f t="shared" si="4"/>
        <v>0.108</v>
      </c>
      <c r="J12" s="2">
        <f t="shared" si="5"/>
        <v>55740</v>
      </c>
      <c r="K12" s="2">
        <f t="shared" si="6"/>
        <v>7135</v>
      </c>
      <c r="L12" s="8" t="str">
        <f t="shared" si="7"/>
        <v>*</v>
      </c>
      <c r="N12" s="1">
        <v>104</v>
      </c>
      <c r="O12" s="1" t="s">
        <v>88</v>
      </c>
      <c r="P12" s="2">
        <v>3510</v>
      </c>
    </row>
    <row r="13" spans="1:16">
      <c r="A13" s="7" t="s">
        <v>77</v>
      </c>
      <c r="B13" s="1" t="str">
        <f t="shared" si="0"/>
        <v>佐藤企画</v>
      </c>
      <c r="C13" s="1">
        <v>103</v>
      </c>
      <c r="D13" s="1" t="str">
        <f t="shared" si="1"/>
        <v>商品C</v>
      </c>
      <c r="E13" s="2">
        <f t="shared" si="2"/>
        <v>2430</v>
      </c>
      <c r="F13" s="1">
        <v>105</v>
      </c>
      <c r="G13" s="1">
        <v>89</v>
      </c>
      <c r="H13" s="2">
        <f t="shared" si="3"/>
        <v>216270</v>
      </c>
      <c r="I13" s="28">
        <f t="shared" si="4"/>
        <v>0.108</v>
      </c>
      <c r="J13" s="2">
        <f t="shared" si="5"/>
        <v>23360</v>
      </c>
      <c r="K13" s="2">
        <f t="shared" si="6"/>
        <v>2664</v>
      </c>
      <c r="L13" s="8" t="str">
        <f t="shared" si="7"/>
        <v>*</v>
      </c>
    </row>
    <row r="14" spans="1:16">
      <c r="A14" s="7" t="s">
        <v>77</v>
      </c>
      <c r="B14" s="1" t="str">
        <f t="shared" si="0"/>
        <v>佐藤企画</v>
      </c>
      <c r="C14" s="1">
        <v>104</v>
      </c>
      <c r="D14" s="1" t="str">
        <f t="shared" si="1"/>
        <v>商品D</v>
      </c>
      <c r="E14" s="2">
        <f t="shared" si="2"/>
        <v>3160</v>
      </c>
      <c r="F14" s="1">
        <v>196</v>
      </c>
      <c r="G14" s="1">
        <v>180</v>
      </c>
      <c r="H14" s="2">
        <f t="shared" si="3"/>
        <v>568800</v>
      </c>
      <c r="I14" s="28">
        <f t="shared" si="4"/>
        <v>0.108</v>
      </c>
      <c r="J14" s="2">
        <f t="shared" si="5"/>
        <v>61430</v>
      </c>
      <c r="K14" s="2">
        <f t="shared" si="6"/>
        <v>7864</v>
      </c>
      <c r="L14" s="8" t="str">
        <f t="shared" si="7"/>
        <v>**</v>
      </c>
      <c r="N14" s="1" t="s">
        <v>89</v>
      </c>
      <c r="O14" s="1" t="s">
        <v>70</v>
      </c>
    </row>
    <row r="15" spans="1:16">
      <c r="A15" s="7" t="s">
        <v>78</v>
      </c>
      <c r="B15" s="1" t="str">
        <f t="shared" si="0"/>
        <v>明光電化</v>
      </c>
      <c r="C15" s="1">
        <v>101</v>
      </c>
      <c r="D15" s="1" t="str">
        <f t="shared" si="1"/>
        <v>商品A</v>
      </c>
      <c r="E15" s="2">
        <f t="shared" si="2"/>
        <v>2590</v>
      </c>
      <c r="F15" s="1">
        <v>200</v>
      </c>
      <c r="G15" s="1">
        <v>189</v>
      </c>
      <c r="H15" s="2">
        <f t="shared" si="3"/>
        <v>489510</v>
      </c>
      <c r="I15" s="28">
        <f t="shared" si="4"/>
        <v>0.11700000000000001</v>
      </c>
      <c r="J15" s="2">
        <f t="shared" si="5"/>
        <v>57270</v>
      </c>
      <c r="K15" s="2">
        <f t="shared" si="6"/>
        <v>6529</v>
      </c>
      <c r="L15" s="8" t="str">
        <f t="shared" si="7"/>
        <v>*</v>
      </c>
      <c r="N15" s="1" t="s">
        <v>90</v>
      </c>
      <c r="O15" s="26">
        <v>0.108</v>
      </c>
    </row>
    <row r="16" spans="1:16">
      <c r="A16" s="7" t="s">
        <v>78</v>
      </c>
      <c r="B16" s="1" t="str">
        <f t="shared" si="0"/>
        <v>明光電化</v>
      </c>
      <c r="C16" s="1">
        <v>102</v>
      </c>
      <c r="D16" s="1" t="str">
        <f t="shared" si="1"/>
        <v>商品B</v>
      </c>
      <c r="E16" s="2">
        <f t="shared" si="2"/>
        <v>2760</v>
      </c>
      <c r="F16" s="1">
        <v>121</v>
      </c>
      <c r="G16" s="1">
        <v>103</v>
      </c>
      <c r="H16" s="2">
        <f t="shared" si="3"/>
        <v>284280</v>
      </c>
      <c r="I16" s="28">
        <f t="shared" si="4"/>
        <v>0.11700000000000001</v>
      </c>
      <c r="J16" s="2">
        <f t="shared" si="5"/>
        <v>33260</v>
      </c>
      <c r="K16" s="2">
        <f t="shared" si="6"/>
        <v>3792</v>
      </c>
      <c r="L16" s="8" t="str">
        <f t="shared" si="7"/>
        <v>*</v>
      </c>
      <c r="N16" s="1" t="s">
        <v>91</v>
      </c>
      <c r="O16" s="26">
        <v>0.11700000000000001</v>
      </c>
    </row>
    <row r="17" spans="1:15">
      <c r="A17" s="7" t="s">
        <v>78</v>
      </c>
      <c r="B17" s="1" t="str">
        <f t="shared" si="0"/>
        <v>明光電化</v>
      </c>
      <c r="C17" s="1">
        <v>103</v>
      </c>
      <c r="D17" s="1" t="str">
        <f t="shared" si="1"/>
        <v>商品C</v>
      </c>
      <c r="E17" s="2">
        <f t="shared" si="2"/>
        <v>2430</v>
      </c>
      <c r="F17" s="1">
        <v>227</v>
      </c>
      <c r="G17" s="1">
        <v>210</v>
      </c>
      <c r="H17" s="2">
        <f t="shared" si="3"/>
        <v>510300</v>
      </c>
      <c r="I17" s="28">
        <f t="shared" si="4"/>
        <v>0.11700000000000001</v>
      </c>
      <c r="J17" s="2">
        <f t="shared" si="5"/>
        <v>59710</v>
      </c>
      <c r="K17" s="2">
        <f t="shared" si="6"/>
        <v>7643</v>
      </c>
      <c r="L17" s="8" t="str">
        <f t="shared" si="7"/>
        <v>**</v>
      </c>
      <c r="N17" s="1" t="s">
        <v>92</v>
      </c>
      <c r="O17" s="26">
        <v>0.126</v>
      </c>
    </row>
    <row r="18" spans="1:15">
      <c r="A18" s="7" t="s">
        <v>78</v>
      </c>
      <c r="B18" s="1" t="str">
        <f t="shared" si="0"/>
        <v>明光電化</v>
      </c>
      <c r="C18" s="1">
        <v>104</v>
      </c>
      <c r="D18" s="1" t="str">
        <f t="shared" si="1"/>
        <v>商品D</v>
      </c>
      <c r="E18" s="2">
        <f t="shared" si="2"/>
        <v>3160</v>
      </c>
      <c r="F18" s="1">
        <v>183</v>
      </c>
      <c r="G18" s="1">
        <v>165</v>
      </c>
      <c r="H18" s="2">
        <f t="shared" si="3"/>
        <v>521400</v>
      </c>
      <c r="I18" s="28">
        <f t="shared" si="4"/>
        <v>0.11700000000000001</v>
      </c>
      <c r="J18" s="2">
        <f t="shared" si="5"/>
        <v>61000</v>
      </c>
      <c r="K18" s="2">
        <f t="shared" si="6"/>
        <v>7808</v>
      </c>
      <c r="L18" s="8" t="str">
        <f t="shared" si="7"/>
        <v>**</v>
      </c>
    </row>
    <row r="19" spans="1:15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8"/>
    </row>
    <row r="20" spans="1:15" ht="19.5" thickBot="1">
      <c r="A20" s="9"/>
      <c r="B20" s="10" t="s">
        <v>32</v>
      </c>
      <c r="C20" s="11"/>
      <c r="D20" s="11"/>
      <c r="E20" s="11"/>
      <c r="F20" s="15">
        <f>SUM(F3:F18)</f>
        <v>2724</v>
      </c>
      <c r="G20" s="15">
        <f t="shared" ref="G20:K20" si="8">SUM(G3:G18)</f>
        <v>2472</v>
      </c>
      <c r="H20" s="15">
        <f t="shared" si="8"/>
        <v>6761280</v>
      </c>
      <c r="I20" s="15"/>
      <c r="J20" s="15">
        <f t="shared" si="8"/>
        <v>791490</v>
      </c>
      <c r="K20" s="15">
        <f t="shared" si="8"/>
        <v>97129</v>
      </c>
      <c r="L20" s="13"/>
    </row>
    <row r="22" spans="1:15" ht="19.5" thickBot="1">
      <c r="A22" s="40" t="s">
        <v>100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5">
      <c r="A23" s="4" t="s">
        <v>62</v>
      </c>
      <c r="B23" s="5" t="s">
        <v>64</v>
      </c>
      <c r="C23" s="5" t="s">
        <v>63</v>
      </c>
      <c r="D23" s="5" t="s">
        <v>65</v>
      </c>
      <c r="E23" s="5" t="s">
        <v>66</v>
      </c>
      <c r="F23" s="5" t="s">
        <v>67</v>
      </c>
      <c r="G23" s="5" t="s">
        <v>68</v>
      </c>
      <c r="H23" s="5" t="s">
        <v>69</v>
      </c>
      <c r="I23" s="5" t="s">
        <v>70</v>
      </c>
      <c r="J23" s="5" t="s">
        <v>71</v>
      </c>
      <c r="K23" s="5" t="s">
        <v>72</v>
      </c>
      <c r="L23" s="6" t="s">
        <v>73</v>
      </c>
    </row>
    <row r="24" spans="1:15">
      <c r="A24" s="7" t="s">
        <v>76</v>
      </c>
      <c r="B24" s="1" t="s">
        <v>93</v>
      </c>
      <c r="C24" s="1">
        <v>104</v>
      </c>
      <c r="D24" s="1" t="s">
        <v>94</v>
      </c>
      <c r="E24" s="2">
        <v>3160</v>
      </c>
      <c r="F24" s="1">
        <v>193</v>
      </c>
      <c r="G24" s="1">
        <v>176</v>
      </c>
      <c r="H24" s="2">
        <v>556160</v>
      </c>
      <c r="I24" s="28">
        <v>0.126</v>
      </c>
      <c r="J24" s="2">
        <v>70080</v>
      </c>
      <c r="K24" s="2">
        <v>8971</v>
      </c>
      <c r="L24" s="8" t="s">
        <v>95</v>
      </c>
    </row>
    <row r="25" spans="1:15">
      <c r="A25" s="7" t="s">
        <v>77</v>
      </c>
      <c r="B25" s="1" t="s">
        <v>96</v>
      </c>
      <c r="C25" s="1">
        <v>104</v>
      </c>
      <c r="D25" s="1" t="s">
        <v>94</v>
      </c>
      <c r="E25" s="2">
        <v>3160</v>
      </c>
      <c r="F25" s="1">
        <v>196</v>
      </c>
      <c r="G25" s="1">
        <v>180</v>
      </c>
      <c r="H25" s="2">
        <v>568800</v>
      </c>
      <c r="I25" s="28">
        <v>0.108</v>
      </c>
      <c r="J25" s="2">
        <v>61430</v>
      </c>
      <c r="K25" s="2">
        <v>7864</v>
      </c>
      <c r="L25" s="8" t="s">
        <v>95</v>
      </c>
    </row>
    <row r="26" spans="1:15">
      <c r="A26" s="7" t="s">
        <v>78</v>
      </c>
      <c r="B26" s="1" t="s">
        <v>98</v>
      </c>
      <c r="C26" s="1">
        <v>104</v>
      </c>
      <c r="D26" s="1" t="s">
        <v>94</v>
      </c>
      <c r="E26" s="2">
        <v>3160</v>
      </c>
      <c r="F26" s="1">
        <v>183</v>
      </c>
      <c r="G26" s="1">
        <v>165</v>
      </c>
      <c r="H26" s="2">
        <v>521400</v>
      </c>
      <c r="I26" s="28">
        <v>0.11700000000000001</v>
      </c>
      <c r="J26" s="2">
        <v>61000</v>
      </c>
      <c r="K26" s="2">
        <v>7808</v>
      </c>
      <c r="L26" s="8" t="s">
        <v>95</v>
      </c>
    </row>
    <row r="27" spans="1:15">
      <c r="A27" s="7" t="s">
        <v>77</v>
      </c>
      <c r="B27" s="1" t="s">
        <v>96</v>
      </c>
      <c r="C27" s="1">
        <v>102</v>
      </c>
      <c r="D27" s="1" t="s">
        <v>97</v>
      </c>
      <c r="E27" s="2">
        <v>2760</v>
      </c>
      <c r="F27" s="1">
        <v>203</v>
      </c>
      <c r="G27" s="1">
        <v>187</v>
      </c>
      <c r="H27" s="2">
        <v>516120</v>
      </c>
      <c r="I27" s="28">
        <v>0.108</v>
      </c>
      <c r="J27" s="2">
        <v>55740</v>
      </c>
      <c r="K27" s="2">
        <v>7135</v>
      </c>
      <c r="L27" s="8" t="s">
        <v>38</v>
      </c>
      <c r="N27" s="17"/>
    </row>
    <row r="28" spans="1:15">
      <c r="A28" s="7" t="s">
        <v>78</v>
      </c>
      <c r="B28" s="1" t="s">
        <v>98</v>
      </c>
      <c r="C28" s="1">
        <v>101</v>
      </c>
      <c r="D28" s="1" t="s">
        <v>99</v>
      </c>
      <c r="E28" s="2">
        <v>2590</v>
      </c>
      <c r="F28" s="1">
        <v>200</v>
      </c>
      <c r="G28" s="1">
        <v>189</v>
      </c>
      <c r="H28" s="2">
        <v>489510</v>
      </c>
      <c r="I28" s="28">
        <v>0.11700000000000001</v>
      </c>
      <c r="J28" s="2">
        <v>57270</v>
      </c>
      <c r="K28" s="2">
        <v>6529</v>
      </c>
      <c r="L28" s="8" t="s">
        <v>38</v>
      </c>
    </row>
    <row r="29" spans="1:15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8"/>
    </row>
    <row r="30" spans="1:15" ht="19.5" thickBot="1">
      <c r="A30" s="9"/>
      <c r="B30" s="10" t="s">
        <v>32</v>
      </c>
      <c r="C30" s="11"/>
      <c r="D30" s="11"/>
      <c r="E30" s="11"/>
      <c r="F30" s="15">
        <f>SUM(F24:F28)</f>
        <v>975</v>
      </c>
      <c r="G30" s="15">
        <f t="shared" ref="G30:K30" si="9">SUM(G24:G28)</f>
        <v>897</v>
      </c>
      <c r="H30" s="15">
        <f t="shared" si="9"/>
        <v>2651990</v>
      </c>
      <c r="I30" s="15"/>
      <c r="J30" s="15">
        <f t="shared" si="9"/>
        <v>305520</v>
      </c>
      <c r="K30" s="15">
        <f t="shared" si="9"/>
        <v>38307</v>
      </c>
      <c r="L30" s="13"/>
    </row>
    <row r="32" spans="1:15" ht="19.5" thickBot="1">
      <c r="A32" s="40" t="s">
        <v>101</v>
      </c>
      <c r="B32" s="40"/>
      <c r="C32" s="40"/>
      <c r="D32" s="40"/>
    </row>
    <row r="33" spans="1:15">
      <c r="A33" s="4" t="s">
        <v>103</v>
      </c>
      <c r="B33" s="5" t="s">
        <v>104</v>
      </c>
      <c r="C33" s="5" t="s">
        <v>105</v>
      </c>
      <c r="D33" s="6" t="s">
        <v>106</v>
      </c>
      <c r="F33" s="27" t="s">
        <v>103</v>
      </c>
      <c r="G33" s="27" t="s">
        <v>103</v>
      </c>
      <c r="H33" s="27" t="s">
        <v>103</v>
      </c>
      <c r="I33" s="27" t="s">
        <v>103</v>
      </c>
    </row>
    <row r="34" spans="1:15">
      <c r="A34" s="7" t="s">
        <v>107</v>
      </c>
      <c r="B34" s="2">
        <f>DSUM(委託販売一覧表2,B$33,$F$33:$F$34)</f>
        <v>626</v>
      </c>
      <c r="C34" s="2">
        <f>DSUM(委託販売一覧表2,C$33,$F$33:$F$34)</f>
        <v>191250</v>
      </c>
      <c r="D34" s="14">
        <f>DSUM(委託販売一覧表2,D$33,$F$33:$F$34)</f>
        <v>22686</v>
      </c>
      <c r="F34" s="1" t="s">
        <v>107</v>
      </c>
      <c r="G34" s="1" t="s">
        <v>108</v>
      </c>
      <c r="H34" s="1" t="s">
        <v>109</v>
      </c>
      <c r="I34" s="1" t="s">
        <v>110</v>
      </c>
    </row>
    <row r="35" spans="1:15">
      <c r="A35" s="7" t="s">
        <v>108</v>
      </c>
      <c r="B35" s="2">
        <f>DSUM(委託販売一覧表2,B$33,$G$33:$G$34)</f>
        <v>613</v>
      </c>
      <c r="C35" s="2">
        <f>DSUM(委託販売一覧表2,C$33,$G$33:$G$34)</f>
        <v>196600</v>
      </c>
      <c r="D35" s="14">
        <f>DSUM(委託販売一覧表2,D$33,$G$33:$G$34)</f>
        <v>24053</v>
      </c>
      <c r="N35" s="27" t="s">
        <v>114</v>
      </c>
      <c r="O35" s="27" t="s">
        <v>114</v>
      </c>
    </row>
    <row r="36" spans="1:15">
      <c r="A36" s="7" t="s">
        <v>109</v>
      </c>
      <c r="B36" s="2">
        <f>DSUM(委託販売一覧表2,B$33,$H$33:$H$34)</f>
        <v>614</v>
      </c>
      <c r="C36" s="2">
        <f>DSUM(委託販売一覧表2,C$33,$H$33:$H$34)</f>
        <v>174900</v>
      </c>
      <c r="D36" s="14">
        <f>DSUM(委託販売一覧表2,D$33,$H$33:$H$34)</f>
        <v>21616</v>
      </c>
      <c r="N36" s="1" t="s">
        <v>115</v>
      </c>
      <c r="O36" s="1" t="s">
        <v>116</v>
      </c>
    </row>
    <row r="37" spans="1:15" ht="19.5" thickBot="1">
      <c r="A37" s="9" t="s">
        <v>110</v>
      </c>
      <c r="B37" s="15">
        <f>DSUM(委託販売一覧表2,B$33,$I$33:$I$34)</f>
        <v>619</v>
      </c>
      <c r="C37" s="15">
        <f>DSUM(委託販売一覧表2,C$33,$I$33:$I$34)</f>
        <v>228740</v>
      </c>
      <c r="D37" s="16">
        <f>DSUM(委託販売一覧表2,D$33,$I$33:$I$34)</f>
        <v>28774</v>
      </c>
    </row>
    <row r="38" spans="1:15">
      <c r="N38" s="27" t="s">
        <v>104</v>
      </c>
      <c r="O38" s="27" t="s">
        <v>105</v>
      </c>
    </row>
    <row r="39" spans="1:15" ht="19.5" thickBot="1">
      <c r="N39" s="1" t="s">
        <v>116</v>
      </c>
      <c r="O39" s="1" t="s">
        <v>117</v>
      </c>
    </row>
    <row r="40" spans="1:15">
      <c r="A40" s="42" t="s">
        <v>111</v>
      </c>
      <c r="B40" s="43"/>
      <c r="C40" s="43"/>
      <c r="D40" s="43"/>
      <c r="E40" s="43"/>
      <c r="F40" s="43"/>
      <c r="G40" s="43"/>
      <c r="H40" s="18">
        <f>DSUM(委託販売一覧表2,K2,N35:O36)</f>
        <v>55660</v>
      </c>
    </row>
    <row r="41" spans="1:15">
      <c r="A41" s="46" t="s">
        <v>112</v>
      </c>
      <c r="B41" s="47"/>
      <c r="C41" s="47"/>
      <c r="D41" s="47"/>
      <c r="E41" s="47"/>
      <c r="F41" s="47"/>
      <c r="G41" s="47"/>
      <c r="H41" s="8">
        <f>DCOUNTA(委託販売一覧表2,A2,N38:O39)</f>
        <v>7</v>
      </c>
      <c r="N41" s="27" t="s">
        <v>118</v>
      </c>
      <c r="O41" s="27" t="s">
        <v>120</v>
      </c>
    </row>
    <row r="42" spans="1:15" ht="19.5" thickBot="1">
      <c r="A42" s="44" t="s">
        <v>113</v>
      </c>
      <c r="B42" s="45"/>
      <c r="C42" s="45"/>
      <c r="D42" s="45"/>
      <c r="E42" s="45"/>
      <c r="F42" s="45"/>
      <c r="G42" s="45"/>
      <c r="H42" s="13">
        <f>ROUND(DAVERAGE(委託販売一覧表2,J2,N41:O42),0)</f>
        <v>61407</v>
      </c>
      <c r="N42" s="1" t="s">
        <v>119</v>
      </c>
      <c r="O42" s="1" t="s">
        <v>121</v>
      </c>
    </row>
  </sheetData>
  <sortState ref="A24:L28">
    <sortCondition descending="1" ref="K23"/>
  </sortState>
  <mergeCells count="6">
    <mergeCell ref="A40:G40"/>
    <mergeCell ref="A41:G41"/>
    <mergeCell ref="A42:G42"/>
    <mergeCell ref="A1:L1"/>
    <mergeCell ref="A22:L22"/>
    <mergeCell ref="A32:D32"/>
  </mergeCells>
  <phoneticPr fontId="2"/>
  <pageMargins left="0.25" right="0.25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13D5-8B34-4109-97F2-42A8295F1D6C}">
  <sheetPr>
    <pageSetUpPr fitToPage="1"/>
  </sheetPr>
  <dimension ref="A1:P40"/>
  <sheetViews>
    <sheetView topLeftCell="A29" workbookViewId="0">
      <selection activeCell="E39" sqref="E39"/>
    </sheetView>
  </sheetViews>
  <sheetFormatPr defaultRowHeight="18.75"/>
  <cols>
    <col min="1" max="2" width="11" bestFit="1" customWidth="1"/>
    <col min="3" max="3" width="9.5" bestFit="1" customWidth="1"/>
    <col min="4" max="4" width="7.125" bestFit="1" customWidth="1"/>
    <col min="5" max="5" width="8" bestFit="1" customWidth="1"/>
    <col min="6" max="6" width="7.125" bestFit="1" customWidth="1"/>
    <col min="7" max="10" width="11" bestFit="1" customWidth="1"/>
    <col min="11" max="11" width="7.125" bestFit="1" customWidth="1"/>
    <col min="12" max="12" width="5.25" bestFit="1" customWidth="1"/>
    <col min="13" max="13" width="2.875" customWidth="1"/>
    <col min="14" max="14" width="9.25" bestFit="1" customWidth="1"/>
    <col min="15" max="15" width="11" bestFit="1" customWidth="1"/>
    <col min="16" max="16" width="6" bestFit="1" customWidth="1"/>
  </cols>
  <sheetData>
    <row r="1" spans="1:16" ht="19.5" thickBot="1">
      <c r="A1" s="40" t="s">
        <v>122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6">
      <c r="A2" s="4" t="s">
        <v>123</v>
      </c>
      <c r="B2" s="5" t="s">
        <v>124</v>
      </c>
      <c r="C2" s="5" t="s">
        <v>63</v>
      </c>
      <c r="D2" s="5" t="s">
        <v>65</v>
      </c>
      <c r="E2" s="5" t="s">
        <v>84</v>
      </c>
      <c r="F2" s="5" t="s">
        <v>136</v>
      </c>
      <c r="G2" s="5" t="s">
        <v>126</v>
      </c>
      <c r="H2" s="5" t="s">
        <v>128</v>
      </c>
      <c r="I2" s="5" t="s">
        <v>127</v>
      </c>
      <c r="J2" s="5" t="s">
        <v>125</v>
      </c>
      <c r="K2" s="5" t="s">
        <v>130</v>
      </c>
      <c r="L2" s="6" t="s">
        <v>14</v>
      </c>
      <c r="N2" s="27" t="s">
        <v>123</v>
      </c>
      <c r="O2" s="27" t="s">
        <v>124</v>
      </c>
    </row>
    <row r="3" spans="1:16">
      <c r="A3" s="7" t="s">
        <v>131</v>
      </c>
      <c r="B3" s="1" t="str">
        <f>VLOOKUP(A3,$N$3:$O$6,2,0)</f>
        <v>ＪＫマート</v>
      </c>
      <c r="C3" s="1">
        <v>101</v>
      </c>
      <c r="D3" s="1" t="str">
        <f>VLOOKUP(C3,$N$9:$P$12,2,0)</f>
        <v>P商品</v>
      </c>
      <c r="E3" s="2">
        <f>ROUND(VLOOKUP(C3,$N$9:$P$12,3,FALSE)*1.24,-1)</f>
        <v>1590</v>
      </c>
      <c r="F3" s="1">
        <v>463</v>
      </c>
      <c r="G3" s="2">
        <f>E3*F3</f>
        <v>736170</v>
      </c>
      <c r="H3" s="28">
        <f>IF(F3&lt;=450,5.3%,VLOOKUP(LEFT(A3,1),$N$15:$O$16,2,0))</f>
        <v>7.4999999999999997E-2</v>
      </c>
      <c r="I3" s="2">
        <f>ROUNDUP(G3*H3,-1)</f>
        <v>55220</v>
      </c>
      <c r="J3" s="3">
        <f>G3-I3</f>
        <v>680950</v>
      </c>
      <c r="K3" s="1">
        <f>ROUNDUP(IF(OR(E3&gt;=1500,F3&gt;=620),F3*4.9%,F3*3.8%),0)</f>
        <v>23</v>
      </c>
      <c r="L3" s="8" t="str">
        <f>IF(AND(F3&lt;630,J3&gt;=680000),"***",IF(AND(F3&lt;630,J3&lt;680000,J3&gt;=510000),"**","*"))</f>
        <v>***</v>
      </c>
      <c r="N3" s="1" t="s">
        <v>131</v>
      </c>
      <c r="O3" s="1" t="s">
        <v>138</v>
      </c>
    </row>
    <row r="4" spans="1:16">
      <c r="A4" s="7" t="s">
        <v>131</v>
      </c>
      <c r="B4" s="1" t="str">
        <f t="shared" ref="B4:B18" si="0">VLOOKUP(A4,$N$3:$O$6,2,0)</f>
        <v>ＪＫマート</v>
      </c>
      <c r="C4" s="1">
        <v>102</v>
      </c>
      <c r="D4" s="1" t="str">
        <f t="shared" ref="D4:D18" si="1">VLOOKUP(C4,$N$9:$P$12,2,0)</f>
        <v>Q商品</v>
      </c>
      <c r="E4" s="2">
        <f t="shared" ref="E4:E18" si="2">ROUND(VLOOKUP(C4,$N$9:$P$12,3,FALSE)*1.24,-1)</f>
        <v>890</v>
      </c>
      <c r="F4" s="1">
        <v>610</v>
      </c>
      <c r="G4" s="2">
        <f t="shared" ref="G4:G18" si="3">E4*F4</f>
        <v>542900</v>
      </c>
      <c r="H4" s="28">
        <f t="shared" ref="H4:H18" si="4">IF(F4&lt;=450,5.3%,VLOOKUP(LEFT(A4,1),$N$15:$O$16,2,0))</f>
        <v>7.4999999999999997E-2</v>
      </c>
      <c r="I4" s="2">
        <f t="shared" ref="I4:I18" si="5">ROUNDUP(G4*H4,-1)</f>
        <v>40720</v>
      </c>
      <c r="J4" s="3">
        <f t="shared" ref="J4:J18" si="6">G4-I4</f>
        <v>502180</v>
      </c>
      <c r="K4" s="1">
        <f t="shared" ref="K4:K18" si="7">ROUNDUP(IF(OR(E4&gt;=1500,F4&gt;=620),F4*4.9%,F4*3.8%),0)</f>
        <v>24</v>
      </c>
      <c r="L4" s="8" t="str">
        <f t="shared" ref="L4:L18" si="8">IF(AND(F4&lt;630,J4&gt;=680000),"***",IF(AND(F4&lt;630,J4&lt;680000,J4&gt;=510000),"**","*"))</f>
        <v>*</v>
      </c>
      <c r="N4" s="1" t="s">
        <v>132</v>
      </c>
      <c r="O4" s="1" t="s">
        <v>140</v>
      </c>
    </row>
    <row r="5" spans="1:16">
      <c r="A5" s="7" t="s">
        <v>131</v>
      </c>
      <c r="B5" s="1" t="str">
        <f t="shared" si="0"/>
        <v>ＪＫマート</v>
      </c>
      <c r="C5" s="1">
        <v>103</v>
      </c>
      <c r="D5" s="1" t="str">
        <f t="shared" si="1"/>
        <v>R商品</v>
      </c>
      <c r="E5" s="2">
        <f t="shared" si="2"/>
        <v>1430</v>
      </c>
      <c r="F5" s="1">
        <v>423</v>
      </c>
      <c r="G5" s="2">
        <f t="shared" si="3"/>
        <v>604890</v>
      </c>
      <c r="H5" s="28">
        <f t="shared" si="4"/>
        <v>5.2999999999999999E-2</v>
      </c>
      <c r="I5" s="2">
        <f t="shared" si="5"/>
        <v>32060</v>
      </c>
      <c r="J5" s="3">
        <f t="shared" si="6"/>
        <v>572830</v>
      </c>
      <c r="K5" s="1">
        <f t="shared" si="7"/>
        <v>17</v>
      </c>
      <c r="L5" s="8" t="str">
        <f t="shared" si="8"/>
        <v>**</v>
      </c>
      <c r="N5" s="1" t="s">
        <v>133</v>
      </c>
      <c r="O5" s="1" t="s">
        <v>142</v>
      </c>
    </row>
    <row r="6" spans="1:16">
      <c r="A6" s="7" t="s">
        <v>131</v>
      </c>
      <c r="B6" s="1" t="str">
        <f t="shared" si="0"/>
        <v>ＪＫマート</v>
      </c>
      <c r="C6" s="1">
        <v>104</v>
      </c>
      <c r="D6" s="1" t="str">
        <f t="shared" si="1"/>
        <v>S商品</v>
      </c>
      <c r="E6" s="2">
        <f t="shared" si="2"/>
        <v>1040</v>
      </c>
      <c r="F6" s="1">
        <v>450</v>
      </c>
      <c r="G6" s="2">
        <f t="shared" si="3"/>
        <v>468000</v>
      </c>
      <c r="H6" s="28">
        <f t="shared" si="4"/>
        <v>5.2999999999999999E-2</v>
      </c>
      <c r="I6" s="2">
        <f t="shared" si="5"/>
        <v>24810</v>
      </c>
      <c r="J6" s="3">
        <f t="shared" si="6"/>
        <v>443190</v>
      </c>
      <c r="K6" s="1">
        <f t="shared" si="7"/>
        <v>18</v>
      </c>
      <c r="L6" s="8" t="str">
        <f t="shared" si="8"/>
        <v>*</v>
      </c>
      <c r="N6" s="1" t="s">
        <v>134</v>
      </c>
      <c r="O6" s="1" t="s">
        <v>144</v>
      </c>
    </row>
    <row r="7" spans="1:16">
      <c r="A7" s="7" t="s">
        <v>132</v>
      </c>
      <c r="B7" s="1" t="str">
        <f t="shared" si="0"/>
        <v>共栄百貨店</v>
      </c>
      <c r="C7" s="1">
        <v>101</v>
      </c>
      <c r="D7" s="1" t="str">
        <f t="shared" si="1"/>
        <v>P商品</v>
      </c>
      <c r="E7" s="2">
        <f t="shared" si="2"/>
        <v>1590</v>
      </c>
      <c r="F7" s="1">
        <v>350</v>
      </c>
      <c r="G7" s="2">
        <f t="shared" si="3"/>
        <v>556500</v>
      </c>
      <c r="H7" s="28">
        <f t="shared" si="4"/>
        <v>5.2999999999999999E-2</v>
      </c>
      <c r="I7" s="2">
        <f t="shared" si="5"/>
        <v>29500</v>
      </c>
      <c r="J7" s="3">
        <f t="shared" si="6"/>
        <v>527000</v>
      </c>
      <c r="K7" s="1">
        <f t="shared" si="7"/>
        <v>18</v>
      </c>
      <c r="L7" s="8" t="str">
        <f t="shared" si="8"/>
        <v>**</v>
      </c>
    </row>
    <row r="8" spans="1:16">
      <c r="A8" s="7" t="s">
        <v>132</v>
      </c>
      <c r="B8" s="1" t="str">
        <f t="shared" si="0"/>
        <v>共栄百貨店</v>
      </c>
      <c r="C8" s="1">
        <v>102</v>
      </c>
      <c r="D8" s="1" t="str">
        <f t="shared" si="1"/>
        <v>Q商品</v>
      </c>
      <c r="E8" s="2">
        <f t="shared" si="2"/>
        <v>890</v>
      </c>
      <c r="F8" s="1">
        <v>630</v>
      </c>
      <c r="G8" s="2">
        <f t="shared" si="3"/>
        <v>560700</v>
      </c>
      <c r="H8" s="28">
        <f t="shared" si="4"/>
        <v>7.4999999999999997E-2</v>
      </c>
      <c r="I8" s="2">
        <f t="shared" si="5"/>
        <v>42060</v>
      </c>
      <c r="J8" s="3">
        <f t="shared" si="6"/>
        <v>518640</v>
      </c>
      <c r="K8" s="1">
        <f t="shared" si="7"/>
        <v>31</v>
      </c>
      <c r="L8" s="8" t="str">
        <f t="shared" si="8"/>
        <v>*</v>
      </c>
      <c r="N8" s="1" t="s">
        <v>63</v>
      </c>
      <c r="O8" s="27" t="s">
        <v>65</v>
      </c>
      <c r="P8" s="27" t="s">
        <v>145</v>
      </c>
    </row>
    <row r="9" spans="1:16">
      <c r="A9" s="7" t="s">
        <v>132</v>
      </c>
      <c r="B9" s="1" t="str">
        <f t="shared" si="0"/>
        <v>共栄百貨店</v>
      </c>
      <c r="C9" s="1">
        <v>103</v>
      </c>
      <c r="D9" s="1" t="str">
        <f t="shared" si="1"/>
        <v>R商品</v>
      </c>
      <c r="E9" s="2">
        <f t="shared" si="2"/>
        <v>1430</v>
      </c>
      <c r="F9" s="1">
        <v>529</v>
      </c>
      <c r="G9" s="2">
        <f t="shared" si="3"/>
        <v>756470</v>
      </c>
      <c r="H9" s="28">
        <f t="shared" si="4"/>
        <v>7.4999999999999997E-2</v>
      </c>
      <c r="I9" s="2">
        <f t="shared" si="5"/>
        <v>56740</v>
      </c>
      <c r="J9" s="3">
        <f t="shared" si="6"/>
        <v>699730</v>
      </c>
      <c r="K9" s="1">
        <f t="shared" si="7"/>
        <v>21</v>
      </c>
      <c r="L9" s="8" t="str">
        <f t="shared" si="8"/>
        <v>***</v>
      </c>
      <c r="N9" s="1">
        <v>101</v>
      </c>
      <c r="O9" s="1" t="s">
        <v>147</v>
      </c>
      <c r="P9" s="2">
        <v>1283</v>
      </c>
    </row>
    <row r="10" spans="1:16">
      <c r="A10" s="7" t="s">
        <v>132</v>
      </c>
      <c r="B10" s="1" t="str">
        <f t="shared" si="0"/>
        <v>共栄百貨店</v>
      </c>
      <c r="C10" s="1">
        <v>104</v>
      </c>
      <c r="D10" s="1" t="str">
        <f t="shared" si="1"/>
        <v>S商品</v>
      </c>
      <c r="E10" s="2">
        <f t="shared" si="2"/>
        <v>1040</v>
      </c>
      <c r="F10" s="1">
        <v>570</v>
      </c>
      <c r="G10" s="2">
        <f t="shared" si="3"/>
        <v>592800</v>
      </c>
      <c r="H10" s="28">
        <f t="shared" si="4"/>
        <v>7.4999999999999997E-2</v>
      </c>
      <c r="I10" s="2">
        <f t="shared" si="5"/>
        <v>44460</v>
      </c>
      <c r="J10" s="3">
        <f t="shared" si="6"/>
        <v>548340</v>
      </c>
      <c r="K10" s="1">
        <f t="shared" si="7"/>
        <v>22</v>
      </c>
      <c r="L10" s="8" t="str">
        <f t="shared" si="8"/>
        <v>**</v>
      </c>
      <c r="N10" s="1">
        <v>102</v>
      </c>
      <c r="O10" s="1" t="s">
        <v>148</v>
      </c>
      <c r="P10" s="2">
        <v>716</v>
      </c>
    </row>
    <row r="11" spans="1:16">
      <c r="A11" s="7" t="s">
        <v>133</v>
      </c>
      <c r="B11" s="1" t="str">
        <f t="shared" si="0"/>
        <v>長谷川商店</v>
      </c>
      <c r="C11" s="1">
        <v>101</v>
      </c>
      <c r="D11" s="1" t="str">
        <f t="shared" si="1"/>
        <v>P商品</v>
      </c>
      <c r="E11" s="2">
        <f t="shared" si="2"/>
        <v>1590</v>
      </c>
      <c r="F11" s="1">
        <v>385</v>
      </c>
      <c r="G11" s="2">
        <f t="shared" si="3"/>
        <v>612150</v>
      </c>
      <c r="H11" s="28">
        <f t="shared" si="4"/>
        <v>5.2999999999999999E-2</v>
      </c>
      <c r="I11" s="2">
        <f t="shared" si="5"/>
        <v>32450</v>
      </c>
      <c r="J11" s="3">
        <f t="shared" si="6"/>
        <v>579700</v>
      </c>
      <c r="K11" s="1">
        <f t="shared" si="7"/>
        <v>19</v>
      </c>
      <c r="L11" s="8" t="str">
        <f t="shared" si="8"/>
        <v>**</v>
      </c>
      <c r="N11" s="1">
        <v>103</v>
      </c>
      <c r="O11" s="1" t="s">
        <v>150</v>
      </c>
      <c r="P11" s="2">
        <v>1154</v>
      </c>
    </row>
    <row r="12" spans="1:16">
      <c r="A12" s="7" t="s">
        <v>133</v>
      </c>
      <c r="B12" s="1" t="str">
        <f t="shared" si="0"/>
        <v>長谷川商店</v>
      </c>
      <c r="C12" s="1">
        <v>102</v>
      </c>
      <c r="D12" s="1" t="str">
        <f t="shared" si="1"/>
        <v>Q商品</v>
      </c>
      <c r="E12" s="2">
        <f t="shared" si="2"/>
        <v>890</v>
      </c>
      <c r="F12" s="1">
        <v>638</v>
      </c>
      <c r="G12" s="2">
        <f t="shared" si="3"/>
        <v>567820</v>
      </c>
      <c r="H12" s="28">
        <f t="shared" si="4"/>
        <v>6.4000000000000001E-2</v>
      </c>
      <c r="I12" s="2">
        <f t="shared" si="5"/>
        <v>36350</v>
      </c>
      <c r="J12" s="3">
        <f t="shared" si="6"/>
        <v>531470</v>
      </c>
      <c r="K12" s="1">
        <f t="shared" si="7"/>
        <v>32</v>
      </c>
      <c r="L12" s="8" t="str">
        <f t="shared" si="8"/>
        <v>*</v>
      </c>
      <c r="N12" s="1">
        <v>104</v>
      </c>
      <c r="O12" s="1" t="s">
        <v>151</v>
      </c>
      <c r="P12" s="2">
        <v>839</v>
      </c>
    </row>
    <row r="13" spans="1:16">
      <c r="A13" s="7" t="s">
        <v>133</v>
      </c>
      <c r="B13" s="1" t="str">
        <f t="shared" si="0"/>
        <v>長谷川商店</v>
      </c>
      <c r="C13" s="1">
        <v>103</v>
      </c>
      <c r="D13" s="1" t="str">
        <f t="shared" si="1"/>
        <v>R商品</v>
      </c>
      <c r="E13" s="2">
        <f t="shared" si="2"/>
        <v>1430</v>
      </c>
      <c r="F13" s="1">
        <v>590</v>
      </c>
      <c r="G13" s="2">
        <f t="shared" si="3"/>
        <v>843700</v>
      </c>
      <c r="H13" s="28">
        <f t="shared" si="4"/>
        <v>6.4000000000000001E-2</v>
      </c>
      <c r="I13" s="2">
        <f t="shared" si="5"/>
        <v>54000</v>
      </c>
      <c r="J13" s="3">
        <f t="shared" si="6"/>
        <v>789700</v>
      </c>
      <c r="K13" s="1">
        <f t="shared" si="7"/>
        <v>23</v>
      </c>
      <c r="L13" s="8" t="str">
        <f t="shared" si="8"/>
        <v>***</v>
      </c>
    </row>
    <row r="14" spans="1:16">
      <c r="A14" s="7" t="s">
        <v>133</v>
      </c>
      <c r="B14" s="1" t="str">
        <f t="shared" si="0"/>
        <v>長谷川商店</v>
      </c>
      <c r="C14" s="1">
        <v>104</v>
      </c>
      <c r="D14" s="1" t="str">
        <f t="shared" si="1"/>
        <v>S商品</v>
      </c>
      <c r="E14" s="2">
        <f t="shared" si="2"/>
        <v>1040</v>
      </c>
      <c r="F14" s="1">
        <v>524</v>
      </c>
      <c r="G14" s="2">
        <f t="shared" si="3"/>
        <v>544960</v>
      </c>
      <c r="H14" s="28">
        <f t="shared" si="4"/>
        <v>6.4000000000000001E-2</v>
      </c>
      <c r="I14" s="2">
        <f t="shared" si="5"/>
        <v>34880</v>
      </c>
      <c r="J14" s="3">
        <f t="shared" si="6"/>
        <v>510080</v>
      </c>
      <c r="K14" s="1">
        <f t="shared" si="7"/>
        <v>20</v>
      </c>
      <c r="L14" s="8" t="str">
        <f t="shared" si="8"/>
        <v>**</v>
      </c>
      <c r="N14" s="27" t="s">
        <v>152</v>
      </c>
      <c r="O14" s="27" t="s">
        <v>128</v>
      </c>
    </row>
    <row r="15" spans="1:16">
      <c r="A15" s="7" t="s">
        <v>134</v>
      </c>
      <c r="B15" s="1" t="str">
        <f t="shared" si="0"/>
        <v>新鮮ストア</v>
      </c>
      <c r="C15" s="1">
        <v>101</v>
      </c>
      <c r="D15" s="1" t="str">
        <f t="shared" si="1"/>
        <v>P商品</v>
      </c>
      <c r="E15" s="2">
        <f t="shared" si="2"/>
        <v>1590</v>
      </c>
      <c r="F15" s="1">
        <v>571</v>
      </c>
      <c r="G15" s="2">
        <f t="shared" si="3"/>
        <v>907890</v>
      </c>
      <c r="H15" s="28">
        <f t="shared" si="4"/>
        <v>6.4000000000000001E-2</v>
      </c>
      <c r="I15" s="2">
        <f t="shared" si="5"/>
        <v>58110</v>
      </c>
      <c r="J15" s="3">
        <f t="shared" si="6"/>
        <v>849780</v>
      </c>
      <c r="K15" s="1">
        <f t="shared" si="7"/>
        <v>28</v>
      </c>
      <c r="L15" s="8" t="str">
        <f t="shared" si="8"/>
        <v>***</v>
      </c>
      <c r="N15" s="1" t="s">
        <v>153</v>
      </c>
      <c r="O15" s="26">
        <v>7.4999999999999997E-2</v>
      </c>
    </row>
    <row r="16" spans="1:16">
      <c r="A16" s="7" t="s">
        <v>134</v>
      </c>
      <c r="B16" s="1" t="str">
        <f t="shared" si="0"/>
        <v>新鮮ストア</v>
      </c>
      <c r="C16" s="1">
        <v>102</v>
      </c>
      <c r="D16" s="1" t="str">
        <f t="shared" si="1"/>
        <v>Q商品</v>
      </c>
      <c r="E16" s="2">
        <f t="shared" si="2"/>
        <v>890</v>
      </c>
      <c r="F16" s="1">
        <v>680</v>
      </c>
      <c r="G16" s="2">
        <f t="shared" si="3"/>
        <v>605200</v>
      </c>
      <c r="H16" s="28">
        <f t="shared" si="4"/>
        <v>6.4000000000000001E-2</v>
      </c>
      <c r="I16" s="2">
        <f t="shared" si="5"/>
        <v>38740</v>
      </c>
      <c r="J16" s="3">
        <f t="shared" si="6"/>
        <v>566460</v>
      </c>
      <c r="K16" s="1">
        <f t="shared" si="7"/>
        <v>34</v>
      </c>
      <c r="L16" s="8" t="str">
        <f t="shared" si="8"/>
        <v>*</v>
      </c>
      <c r="N16" s="1" t="s">
        <v>154</v>
      </c>
      <c r="O16" s="26">
        <v>6.4000000000000001E-2</v>
      </c>
    </row>
    <row r="17" spans="1:12">
      <c r="A17" s="7" t="s">
        <v>134</v>
      </c>
      <c r="B17" s="1" t="str">
        <f t="shared" si="0"/>
        <v>新鮮ストア</v>
      </c>
      <c r="C17" s="1">
        <v>103</v>
      </c>
      <c r="D17" s="1" t="str">
        <f t="shared" si="1"/>
        <v>R商品</v>
      </c>
      <c r="E17" s="2">
        <f t="shared" si="2"/>
        <v>1430</v>
      </c>
      <c r="F17" s="1">
        <v>625</v>
      </c>
      <c r="G17" s="2">
        <f t="shared" si="3"/>
        <v>893750</v>
      </c>
      <c r="H17" s="28">
        <f t="shared" si="4"/>
        <v>6.4000000000000001E-2</v>
      </c>
      <c r="I17" s="2">
        <f t="shared" si="5"/>
        <v>57200</v>
      </c>
      <c r="J17" s="3">
        <f t="shared" si="6"/>
        <v>836550</v>
      </c>
      <c r="K17" s="1">
        <f t="shared" si="7"/>
        <v>31</v>
      </c>
      <c r="L17" s="8" t="str">
        <f t="shared" si="8"/>
        <v>***</v>
      </c>
    </row>
    <row r="18" spans="1:12">
      <c r="A18" s="7" t="s">
        <v>134</v>
      </c>
      <c r="B18" s="1" t="str">
        <f t="shared" si="0"/>
        <v>新鮮ストア</v>
      </c>
      <c r="C18" s="1">
        <v>104</v>
      </c>
      <c r="D18" s="1" t="str">
        <f t="shared" si="1"/>
        <v>S商品</v>
      </c>
      <c r="E18" s="2">
        <f t="shared" si="2"/>
        <v>1040</v>
      </c>
      <c r="F18" s="1">
        <v>516</v>
      </c>
      <c r="G18" s="2">
        <f t="shared" si="3"/>
        <v>536640</v>
      </c>
      <c r="H18" s="28">
        <f t="shared" si="4"/>
        <v>6.4000000000000001E-2</v>
      </c>
      <c r="I18" s="2">
        <f t="shared" si="5"/>
        <v>34350</v>
      </c>
      <c r="J18" s="3">
        <f t="shared" si="6"/>
        <v>502290</v>
      </c>
      <c r="K18" s="1">
        <f t="shared" si="7"/>
        <v>20</v>
      </c>
      <c r="L18" s="8" t="str">
        <f t="shared" si="8"/>
        <v>*</v>
      </c>
    </row>
    <row r="19" spans="1:1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8"/>
    </row>
    <row r="20" spans="1:12" ht="19.5" thickBot="1">
      <c r="A20" s="9"/>
      <c r="B20" s="10" t="s">
        <v>32</v>
      </c>
      <c r="C20" s="11"/>
      <c r="D20" s="11"/>
      <c r="E20" s="11"/>
      <c r="F20" s="15">
        <f>SUM(F3:F18)</f>
        <v>8554</v>
      </c>
      <c r="G20" s="15">
        <f t="shared" ref="G20:K20" si="9">SUM(G3:G18)</f>
        <v>10330540</v>
      </c>
      <c r="H20" s="15"/>
      <c r="I20" s="15">
        <f t="shared" si="9"/>
        <v>671650</v>
      </c>
      <c r="J20" s="15">
        <f t="shared" si="9"/>
        <v>9658890</v>
      </c>
      <c r="K20" s="15">
        <f t="shared" si="9"/>
        <v>381</v>
      </c>
      <c r="L20" s="13"/>
    </row>
    <row r="22" spans="1:12" ht="19.5" thickBot="1">
      <c r="A22" s="40" t="s">
        <v>156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>
      <c r="A23" s="4" t="s">
        <v>123</v>
      </c>
      <c r="B23" s="5" t="s">
        <v>124</v>
      </c>
      <c r="C23" s="5" t="s">
        <v>63</v>
      </c>
      <c r="D23" s="5" t="s">
        <v>65</v>
      </c>
      <c r="E23" s="5" t="s">
        <v>84</v>
      </c>
      <c r="F23" s="5" t="s">
        <v>136</v>
      </c>
      <c r="G23" s="5" t="s">
        <v>126</v>
      </c>
      <c r="H23" s="5" t="s">
        <v>128</v>
      </c>
      <c r="I23" s="5" t="s">
        <v>127</v>
      </c>
      <c r="J23" s="5" t="s">
        <v>125</v>
      </c>
      <c r="K23" s="5" t="s">
        <v>130</v>
      </c>
      <c r="L23" s="6" t="s">
        <v>14</v>
      </c>
    </row>
    <row r="24" spans="1:12">
      <c r="A24" s="7" t="s">
        <v>134</v>
      </c>
      <c r="B24" s="1" t="s">
        <v>143</v>
      </c>
      <c r="C24" s="1">
        <v>101</v>
      </c>
      <c r="D24" s="1" t="s">
        <v>146</v>
      </c>
      <c r="E24" s="2">
        <v>1590</v>
      </c>
      <c r="F24" s="1">
        <v>571</v>
      </c>
      <c r="G24" s="2">
        <v>907890</v>
      </c>
      <c r="H24" s="28">
        <v>6.4000000000000001E-2</v>
      </c>
      <c r="I24" s="2">
        <v>58110</v>
      </c>
      <c r="J24" s="3">
        <v>849780</v>
      </c>
      <c r="K24" s="1">
        <v>28</v>
      </c>
      <c r="L24" s="8" t="s">
        <v>155</v>
      </c>
    </row>
    <row r="25" spans="1:12">
      <c r="A25" s="7" t="s">
        <v>131</v>
      </c>
      <c r="B25" s="1" t="s">
        <v>137</v>
      </c>
      <c r="C25" s="1">
        <v>101</v>
      </c>
      <c r="D25" s="1" t="s">
        <v>146</v>
      </c>
      <c r="E25" s="2">
        <v>1590</v>
      </c>
      <c r="F25" s="1">
        <v>463</v>
      </c>
      <c r="G25" s="2">
        <v>736170</v>
      </c>
      <c r="H25" s="28">
        <v>7.4999999999999997E-2</v>
      </c>
      <c r="I25" s="2">
        <v>55220</v>
      </c>
      <c r="J25" s="3">
        <v>680950</v>
      </c>
      <c r="K25" s="1">
        <v>23</v>
      </c>
      <c r="L25" s="8" t="s">
        <v>155</v>
      </c>
    </row>
    <row r="26" spans="1:12">
      <c r="A26" s="7" t="s">
        <v>132</v>
      </c>
      <c r="B26" s="1" t="s">
        <v>139</v>
      </c>
      <c r="C26" s="1">
        <v>103</v>
      </c>
      <c r="D26" s="1" t="s">
        <v>150</v>
      </c>
      <c r="E26" s="2">
        <v>1430</v>
      </c>
      <c r="F26" s="1">
        <v>529</v>
      </c>
      <c r="G26" s="2">
        <v>756470</v>
      </c>
      <c r="H26" s="28">
        <v>7.4999999999999997E-2</v>
      </c>
      <c r="I26" s="2">
        <v>56740</v>
      </c>
      <c r="J26" s="3">
        <v>699730</v>
      </c>
      <c r="K26" s="1">
        <v>21</v>
      </c>
      <c r="L26" s="8" t="s">
        <v>155</v>
      </c>
    </row>
    <row r="27" spans="1:12">
      <c r="A27" s="7" t="s">
        <v>133</v>
      </c>
      <c r="B27" s="1" t="s">
        <v>141</v>
      </c>
      <c r="C27" s="1">
        <v>103</v>
      </c>
      <c r="D27" s="1" t="s">
        <v>149</v>
      </c>
      <c r="E27" s="2">
        <v>1430</v>
      </c>
      <c r="F27" s="1">
        <v>590</v>
      </c>
      <c r="G27" s="2">
        <v>843700</v>
      </c>
      <c r="H27" s="28">
        <v>6.4000000000000001E-2</v>
      </c>
      <c r="I27" s="2">
        <v>54000</v>
      </c>
      <c r="J27" s="3">
        <v>789700</v>
      </c>
      <c r="K27" s="1">
        <v>23</v>
      </c>
      <c r="L27" s="8" t="s">
        <v>155</v>
      </c>
    </row>
    <row r="28" spans="1:12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8"/>
    </row>
    <row r="29" spans="1:12" ht="19.5" thickBot="1">
      <c r="A29" s="9"/>
      <c r="B29" s="10" t="s">
        <v>32</v>
      </c>
      <c r="C29" s="11"/>
      <c r="D29" s="11"/>
      <c r="E29" s="11"/>
      <c r="F29" s="15">
        <f>SUM(F24:F27)</f>
        <v>2153</v>
      </c>
      <c r="G29" s="15">
        <f t="shared" ref="G29:K29" si="10">SUM(G24:G27)</f>
        <v>3244230</v>
      </c>
      <c r="H29" s="15"/>
      <c r="I29" s="15">
        <f t="shared" si="10"/>
        <v>224070</v>
      </c>
      <c r="J29" s="15">
        <f t="shared" si="10"/>
        <v>3020160</v>
      </c>
      <c r="K29" s="15">
        <f t="shared" si="10"/>
        <v>95</v>
      </c>
      <c r="L29" s="13"/>
    </row>
    <row r="31" spans="1:12" ht="19.5" thickBot="1">
      <c r="A31" s="40" t="s">
        <v>157</v>
      </c>
      <c r="B31" s="40"/>
      <c r="C31" s="40"/>
      <c r="D31" s="40"/>
    </row>
    <row r="32" spans="1:12">
      <c r="A32" s="4" t="s">
        <v>124</v>
      </c>
      <c r="B32" s="5" t="s">
        <v>136</v>
      </c>
      <c r="C32" s="5" t="s">
        <v>125</v>
      </c>
      <c r="D32" s="6" t="s">
        <v>130</v>
      </c>
      <c r="G32" s="27" t="s">
        <v>124</v>
      </c>
      <c r="H32" s="27" t="s">
        <v>124</v>
      </c>
      <c r="I32" s="27" t="s">
        <v>124</v>
      </c>
      <c r="J32" s="27" t="s">
        <v>124</v>
      </c>
    </row>
    <row r="33" spans="1:15">
      <c r="A33" s="7" t="s">
        <v>137</v>
      </c>
      <c r="B33" s="2">
        <f>DSUM(得意先別売上一覧表3,B$32,$G$32:$G$33)</f>
        <v>1946</v>
      </c>
      <c r="C33" s="2">
        <f>DSUM(得意先別売上一覧表3,C$32,$G$32:$G$33)</f>
        <v>2199150</v>
      </c>
      <c r="D33" s="14">
        <f>DSUM(得意先別売上一覧表3,D$32,$G$32:$G$33)</f>
        <v>82</v>
      </c>
      <c r="G33" s="1" t="s">
        <v>137</v>
      </c>
      <c r="H33" s="1" t="s">
        <v>139</v>
      </c>
      <c r="I33" s="1" t="s">
        <v>141</v>
      </c>
      <c r="J33" s="1" t="s">
        <v>143</v>
      </c>
      <c r="O33" s="1" t="s">
        <v>135</v>
      </c>
    </row>
    <row r="34" spans="1:15">
      <c r="A34" s="7" t="s">
        <v>139</v>
      </c>
      <c r="B34" s="2">
        <f>DSUM(得意先別売上一覧表3,B$32,$H$32:$H$33)</f>
        <v>2079</v>
      </c>
      <c r="C34" s="2">
        <f>DSUM(得意先別売上一覧表3,C$32,$H$32:$H$33)</f>
        <v>2293710</v>
      </c>
      <c r="D34" s="14">
        <f>DSUM(得意先別売上一覧表3,D$32,$H$32:$H$33)</f>
        <v>92</v>
      </c>
      <c r="O34" s="1" t="s">
        <v>161</v>
      </c>
    </row>
    <row r="35" spans="1:15">
      <c r="A35" s="7" t="s">
        <v>141</v>
      </c>
      <c r="B35" s="2">
        <f>DSUM(得意先別売上一覧表3,B$32,$I$32:$I$33)</f>
        <v>2137</v>
      </c>
      <c r="C35" s="2">
        <f>DSUM(得意先別売上一覧表3,C$32,$I$32:$I$33)</f>
        <v>2410950</v>
      </c>
      <c r="D35" s="14">
        <f>DSUM(得意先別売上一覧表3,D$32,$I$32:$I$33)</f>
        <v>94</v>
      </c>
    </row>
    <row r="36" spans="1:15" ht="19.5" thickBot="1">
      <c r="A36" s="9" t="s">
        <v>143</v>
      </c>
      <c r="B36" s="15">
        <f>DSUM(得意先別売上一覧表3,B$32,$J$32:$J$33)</f>
        <v>2392</v>
      </c>
      <c r="C36" s="15">
        <f>DSUM(得意先別売上一覧表3,C$32,$J$32:$J$33)</f>
        <v>2755080</v>
      </c>
      <c r="D36" s="16">
        <f>DSUM(得意先別売上一覧表3,D$32,$J$32:$J$33)</f>
        <v>113</v>
      </c>
      <c r="N36" s="1" t="s">
        <v>102</v>
      </c>
      <c r="O36" s="1" t="s">
        <v>163</v>
      </c>
    </row>
    <row r="37" spans="1:15" ht="19.5" thickBot="1">
      <c r="N37" s="1" t="s">
        <v>162</v>
      </c>
      <c r="O37" s="1" t="s">
        <v>164</v>
      </c>
    </row>
    <row r="38" spans="1:15">
      <c r="A38" s="50" t="s">
        <v>158</v>
      </c>
      <c r="B38" s="51"/>
      <c r="C38" s="51"/>
      <c r="D38" s="51"/>
      <c r="E38" s="18">
        <f>ROUND(DAVERAGE(得意先別売上一覧表3,J2,O33:O34),0)</f>
        <v>656397</v>
      </c>
    </row>
    <row r="39" spans="1:15">
      <c r="A39" s="52" t="s">
        <v>159</v>
      </c>
      <c r="B39" s="53"/>
      <c r="C39" s="53"/>
      <c r="D39" s="53"/>
      <c r="E39" s="8">
        <f>DCOUNT(得意先別売上一覧表3,G2,N36:O37)</f>
        <v>10</v>
      </c>
      <c r="N39" s="1" t="s">
        <v>129</v>
      </c>
      <c r="O39" s="1" t="s">
        <v>129</v>
      </c>
    </row>
    <row r="40" spans="1:15" ht="19.5" thickBot="1">
      <c r="A40" s="48" t="s">
        <v>160</v>
      </c>
      <c r="B40" s="49"/>
      <c r="C40" s="49"/>
      <c r="D40" s="49"/>
      <c r="E40" s="16">
        <f>DSUM(得意先別売上一覧表3,I2,N39:O40)</f>
        <v>352820</v>
      </c>
      <c r="N40" s="1" t="s">
        <v>165</v>
      </c>
      <c r="O40" s="1" t="s">
        <v>166</v>
      </c>
    </row>
  </sheetData>
  <sortState ref="A24:L27">
    <sortCondition ref="C24:C27"/>
    <sortCondition descending="1" ref="I24:I27"/>
  </sortState>
  <mergeCells count="6">
    <mergeCell ref="A40:D40"/>
    <mergeCell ref="A1:L1"/>
    <mergeCell ref="A22:L22"/>
    <mergeCell ref="A31:D31"/>
    <mergeCell ref="A38:D38"/>
    <mergeCell ref="A39:D39"/>
  </mergeCells>
  <phoneticPr fontId="2"/>
  <pageMargins left="0.25" right="0.25" top="0.75" bottom="0.75" header="0.3" footer="0.3"/>
  <pageSetup paperSize="9"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1000-C895-4913-AA3F-82D3DCD509FF}">
  <dimension ref="A1:R41"/>
  <sheetViews>
    <sheetView topLeftCell="A29" workbookViewId="0">
      <selection activeCell="P51" sqref="P51"/>
    </sheetView>
  </sheetViews>
  <sheetFormatPr defaultRowHeight="18.75"/>
  <cols>
    <col min="1" max="2" width="9" bestFit="1" customWidth="1"/>
    <col min="3" max="3" width="9.5" bestFit="1" customWidth="1"/>
    <col min="4" max="4" width="8" bestFit="1" customWidth="1"/>
    <col min="5" max="5" width="6" bestFit="1" customWidth="1"/>
    <col min="7" max="7" width="9.5" bestFit="1" customWidth="1"/>
    <col min="8" max="8" width="9" bestFit="1" customWidth="1"/>
    <col min="9" max="9" width="10.25" bestFit="1" customWidth="1"/>
    <col min="10" max="10" width="7.5" bestFit="1" customWidth="1"/>
    <col min="11" max="11" width="9.25" bestFit="1" customWidth="1"/>
    <col min="12" max="12" width="13" bestFit="1" customWidth="1"/>
    <col min="13" max="13" width="11.875" bestFit="1" customWidth="1"/>
    <col min="14" max="14" width="5.5" customWidth="1"/>
    <col min="15" max="18" width="7.125" bestFit="1" customWidth="1"/>
  </cols>
  <sheetData>
    <row r="1" spans="1:18" ht="19.5" thickBot="1">
      <c r="A1" s="40" t="s">
        <v>167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8">
      <c r="A2" s="4" t="s">
        <v>168</v>
      </c>
      <c r="B2" s="5" t="s">
        <v>169</v>
      </c>
      <c r="C2" s="5" t="s">
        <v>63</v>
      </c>
      <c r="D2" s="5" t="s">
        <v>65</v>
      </c>
      <c r="E2" s="5" t="s">
        <v>145</v>
      </c>
      <c r="F2" s="5" t="s">
        <v>68</v>
      </c>
      <c r="G2" s="5" t="s">
        <v>69</v>
      </c>
      <c r="H2" s="5" t="s">
        <v>170</v>
      </c>
      <c r="I2" s="5" t="s">
        <v>171</v>
      </c>
      <c r="J2" s="5" t="s">
        <v>172</v>
      </c>
      <c r="K2" s="5" t="s">
        <v>173</v>
      </c>
      <c r="L2" s="5" t="s">
        <v>174</v>
      </c>
      <c r="M2" s="6" t="s">
        <v>14</v>
      </c>
      <c r="O2" s="27" t="s">
        <v>168</v>
      </c>
      <c r="P2" s="27" t="s">
        <v>175</v>
      </c>
      <c r="Q2" s="27" t="s">
        <v>176</v>
      </c>
    </row>
    <row r="3" spans="1:18">
      <c r="A3" s="7">
        <v>101</v>
      </c>
      <c r="B3" s="1" t="str">
        <f>_xlfn.TEXTJOIN("",TRUE,VLOOKUP(A3,$O$3:$Q$6,2,0),"支店")</f>
        <v>新宿支店</v>
      </c>
      <c r="C3" s="1">
        <v>1001</v>
      </c>
      <c r="D3" s="1" t="str">
        <f>VLOOKUP(C3,$O$9:$R$12,2,0)</f>
        <v>商品J</v>
      </c>
      <c r="E3" s="2">
        <f>VLOOKUP(C3,$O$9:$R$12,3,0)</f>
        <v>1867</v>
      </c>
      <c r="F3" s="1">
        <v>209</v>
      </c>
      <c r="G3" s="2">
        <v>459000</v>
      </c>
      <c r="H3" s="2">
        <f>ROUNDUP(G3/F3,0)</f>
        <v>2197</v>
      </c>
      <c r="I3" s="2">
        <f>G3-E3*F3</f>
        <v>68797</v>
      </c>
      <c r="J3" s="28">
        <f>ROUNDUP(F3/VLOOKUP(C3,$O$9:$R$12,4,0),3)</f>
        <v>0.96399999999999997</v>
      </c>
      <c r="K3" s="28">
        <f>ROUNDDOWN(I3/(E3*F3),3)</f>
        <v>0.17599999999999999</v>
      </c>
      <c r="L3" s="2">
        <f>ROUND(G3/VLOOKUP(A3,$O$3:$Q$6,3,0),-1)</f>
        <v>41730</v>
      </c>
      <c r="M3" s="8" t="str">
        <f>IF(OR(I3&gt;=95000,K3&gt;=19%),"順調","")</f>
        <v/>
      </c>
      <c r="O3" s="1">
        <v>101</v>
      </c>
      <c r="P3" s="1" t="s">
        <v>177</v>
      </c>
      <c r="Q3" s="1">
        <v>11</v>
      </c>
    </row>
    <row r="4" spans="1:18">
      <c r="A4" s="7">
        <v>101</v>
      </c>
      <c r="B4" s="1" t="str">
        <f t="shared" ref="B4:B18" si="0">_xlfn.TEXTJOIN("",TRUE,VLOOKUP(A4,$O$3:$Q$6,2,0),"支店")</f>
        <v>新宿支店</v>
      </c>
      <c r="C4" s="1">
        <v>1002</v>
      </c>
      <c r="D4" s="1" t="str">
        <f t="shared" ref="D4:D18" si="1">VLOOKUP(C4,$O$9:$R$12,2,0)</f>
        <v>商品K</v>
      </c>
      <c r="E4" s="2">
        <f t="shared" ref="E4:E18" si="2">VLOOKUP(C4,$O$9:$R$12,3,0)</f>
        <v>2059</v>
      </c>
      <c r="F4" s="1">
        <v>235</v>
      </c>
      <c r="G4" s="2">
        <v>569000</v>
      </c>
      <c r="H4" s="2">
        <f t="shared" ref="H4:H18" si="3">ROUNDUP(G4/F4,0)</f>
        <v>2422</v>
      </c>
      <c r="I4" s="2">
        <f t="shared" ref="I4:I18" si="4">G4-E4*F4</f>
        <v>85135</v>
      </c>
      <c r="J4" s="28">
        <f t="shared" ref="J4:J18" si="5">ROUNDUP(F4/VLOOKUP(C4,$O$9:$R$12,4,0),3)</f>
        <v>1.0449999999999999</v>
      </c>
      <c r="K4" s="28">
        <f t="shared" ref="K4:K18" si="6">ROUNDDOWN(I4/(E4*F4),3)</f>
        <v>0.17499999999999999</v>
      </c>
      <c r="L4" s="2">
        <f t="shared" ref="L4:L18" si="7">ROUND(G4/VLOOKUP(A4,$O$3:$Q$6,3,0),-1)</f>
        <v>51730</v>
      </c>
      <c r="M4" s="8" t="str">
        <f t="shared" ref="M4:M18" si="8">IF(OR(I4&gt;=95000,K4&gt;=19%),"順調","")</f>
        <v/>
      </c>
      <c r="O4" s="1">
        <v>102</v>
      </c>
      <c r="P4" s="1" t="s">
        <v>178</v>
      </c>
      <c r="Q4" s="1">
        <v>9</v>
      </c>
    </row>
    <row r="5" spans="1:18">
      <c r="A5" s="7">
        <v>101</v>
      </c>
      <c r="B5" s="1" t="str">
        <f t="shared" si="0"/>
        <v>新宿支店</v>
      </c>
      <c r="C5" s="1">
        <v>1003</v>
      </c>
      <c r="D5" s="1" t="str">
        <f t="shared" si="1"/>
        <v>商品L</v>
      </c>
      <c r="E5" s="2">
        <f t="shared" si="2"/>
        <v>1954</v>
      </c>
      <c r="F5" s="1">
        <v>242</v>
      </c>
      <c r="G5" s="2">
        <v>553000</v>
      </c>
      <c r="H5" s="2">
        <f t="shared" si="3"/>
        <v>2286</v>
      </c>
      <c r="I5" s="2">
        <f t="shared" si="4"/>
        <v>80132</v>
      </c>
      <c r="J5" s="28">
        <f t="shared" si="5"/>
        <v>1.1000000000000001</v>
      </c>
      <c r="K5" s="28">
        <f t="shared" si="6"/>
        <v>0.16900000000000001</v>
      </c>
      <c r="L5" s="2">
        <f t="shared" si="7"/>
        <v>50270</v>
      </c>
      <c r="M5" s="8" t="str">
        <f t="shared" si="8"/>
        <v/>
      </c>
      <c r="O5" s="1">
        <v>103</v>
      </c>
      <c r="P5" s="1" t="s">
        <v>179</v>
      </c>
      <c r="Q5" s="1">
        <v>10</v>
      </c>
    </row>
    <row r="6" spans="1:18">
      <c r="A6" s="7">
        <v>101</v>
      </c>
      <c r="B6" s="1" t="str">
        <f t="shared" si="0"/>
        <v>新宿支店</v>
      </c>
      <c r="C6" s="1">
        <v>1004</v>
      </c>
      <c r="D6" s="1" t="str">
        <f t="shared" si="1"/>
        <v>商品M</v>
      </c>
      <c r="E6" s="2">
        <f t="shared" si="2"/>
        <v>2173</v>
      </c>
      <c r="F6" s="1">
        <v>205</v>
      </c>
      <c r="G6" s="2">
        <v>523000</v>
      </c>
      <c r="H6" s="2">
        <f t="shared" si="3"/>
        <v>2552</v>
      </c>
      <c r="I6" s="2">
        <f t="shared" si="4"/>
        <v>77535</v>
      </c>
      <c r="J6" s="28">
        <f t="shared" si="5"/>
        <v>0.89200000000000002</v>
      </c>
      <c r="K6" s="28">
        <f t="shared" si="6"/>
        <v>0.17399999999999999</v>
      </c>
      <c r="L6" s="2">
        <f t="shared" si="7"/>
        <v>47550</v>
      </c>
      <c r="M6" s="8" t="str">
        <f t="shared" si="8"/>
        <v/>
      </c>
      <c r="O6" s="1">
        <v>104</v>
      </c>
      <c r="P6" s="1" t="s">
        <v>180</v>
      </c>
      <c r="Q6" s="1">
        <v>12</v>
      </c>
    </row>
    <row r="7" spans="1:18">
      <c r="A7" s="7">
        <v>102</v>
      </c>
      <c r="B7" s="1" t="str">
        <f t="shared" si="0"/>
        <v>池袋支店</v>
      </c>
      <c r="C7" s="1">
        <v>1001</v>
      </c>
      <c r="D7" s="1" t="str">
        <f t="shared" si="1"/>
        <v>商品J</v>
      </c>
      <c r="E7" s="2">
        <f t="shared" si="2"/>
        <v>1867</v>
      </c>
      <c r="F7" s="1">
        <v>240</v>
      </c>
      <c r="G7" s="2">
        <v>547000</v>
      </c>
      <c r="H7" s="2">
        <f t="shared" si="3"/>
        <v>2280</v>
      </c>
      <c r="I7" s="2">
        <f t="shared" si="4"/>
        <v>98920</v>
      </c>
      <c r="J7" s="28">
        <f t="shared" si="5"/>
        <v>1.1059999999999999</v>
      </c>
      <c r="K7" s="28">
        <f t="shared" si="6"/>
        <v>0.22</v>
      </c>
      <c r="L7" s="2">
        <f t="shared" si="7"/>
        <v>60780</v>
      </c>
      <c r="M7" s="8" t="str">
        <f t="shared" si="8"/>
        <v>順調</v>
      </c>
    </row>
    <row r="8" spans="1:18">
      <c r="A8" s="7">
        <v>102</v>
      </c>
      <c r="B8" s="1" t="str">
        <f t="shared" si="0"/>
        <v>池袋支店</v>
      </c>
      <c r="C8" s="1">
        <v>1002</v>
      </c>
      <c r="D8" s="1" t="str">
        <f t="shared" si="1"/>
        <v>商品K</v>
      </c>
      <c r="E8" s="2">
        <f t="shared" si="2"/>
        <v>2059</v>
      </c>
      <c r="F8" s="1">
        <v>220</v>
      </c>
      <c r="G8" s="2">
        <v>528000</v>
      </c>
      <c r="H8" s="2">
        <f t="shared" si="3"/>
        <v>2400</v>
      </c>
      <c r="I8" s="2">
        <f t="shared" si="4"/>
        <v>75020</v>
      </c>
      <c r="J8" s="28">
        <f t="shared" si="5"/>
        <v>0.97799999999999998</v>
      </c>
      <c r="K8" s="28">
        <f t="shared" si="6"/>
        <v>0.16500000000000001</v>
      </c>
      <c r="L8" s="2">
        <f t="shared" si="7"/>
        <v>58670</v>
      </c>
      <c r="M8" s="8" t="str">
        <f t="shared" si="8"/>
        <v/>
      </c>
      <c r="O8" s="27" t="s">
        <v>63</v>
      </c>
      <c r="P8" s="27" t="s">
        <v>65</v>
      </c>
      <c r="Q8" s="27" t="s">
        <v>145</v>
      </c>
      <c r="R8" s="27" t="s">
        <v>28</v>
      </c>
    </row>
    <row r="9" spans="1:18">
      <c r="A9" s="7">
        <v>102</v>
      </c>
      <c r="B9" s="1" t="str">
        <f t="shared" si="0"/>
        <v>池袋支店</v>
      </c>
      <c r="C9" s="1">
        <v>1003</v>
      </c>
      <c r="D9" s="1" t="str">
        <f t="shared" si="1"/>
        <v>商品L</v>
      </c>
      <c r="E9" s="2">
        <f t="shared" si="2"/>
        <v>1954</v>
      </c>
      <c r="F9" s="1">
        <v>236</v>
      </c>
      <c r="G9" s="2">
        <v>550000</v>
      </c>
      <c r="H9" s="2">
        <f t="shared" si="3"/>
        <v>2331</v>
      </c>
      <c r="I9" s="2">
        <f t="shared" si="4"/>
        <v>88856</v>
      </c>
      <c r="J9" s="28">
        <f t="shared" si="5"/>
        <v>1.073</v>
      </c>
      <c r="K9" s="28">
        <f t="shared" si="6"/>
        <v>0.192</v>
      </c>
      <c r="L9" s="2">
        <f t="shared" si="7"/>
        <v>61110</v>
      </c>
      <c r="M9" s="8" t="str">
        <f t="shared" si="8"/>
        <v>順調</v>
      </c>
      <c r="O9" s="1">
        <v>1001</v>
      </c>
      <c r="P9" s="1" t="s">
        <v>181</v>
      </c>
      <c r="Q9" s="2">
        <v>1867</v>
      </c>
      <c r="R9" s="1">
        <v>217</v>
      </c>
    </row>
    <row r="10" spans="1:18">
      <c r="A10" s="7">
        <v>102</v>
      </c>
      <c r="B10" s="1" t="str">
        <f t="shared" si="0"/>
        <v>池袋支店</v>
      </c>
      <c r="C10" s="1">
        <v>1004</v>
      </c>
      <c r="D10" s="1" t="str">
        <f t="shared" si="1"/>
        <v>商品M</v>
      </c>
      <c r="E10" s="2">
        <f t="shared" si="2"/>
        <v>2173</v>
      </c>
      <c r="F10" s="1">
        <v>241</v>
      </c>
      <c r="G10" s="2">
        <v>618000</v>
      </c>
      <c r="H10" s="2">
        <f t="shared" si="3"/>
        <v>2565</v>
      </c>
      <c r="I10" s="2">
        <f t="shared" si="4"/>
        <v>94307</v>
      </c>
      <c r="J10" s="28">
        <f t="shared" si="5"/>
        <v>1.0479999999999998</v>
      </c>
      <c r="K10" s="28">
        <f t="shared" si="6"/>
        <v>0.18</v>
      </c>
      <c r="L10" s="2">
        <f t="shared" si="7"/>
        <v>68670</v>
      </c>
      <c r="M10" s="8" t="str">
        <f t="shared" si="8"/>
        <v/>
      </c>
      <c r="O10" s="1">
        <v>1002</v>
      </c>
      <c r="P10" s="1" t="s">
        <v>183</v>
      </c>
      <c r="Q10" s="2">
        <v>2059</v>
      </c>
      <c r="R10" s="1">
        <v>225</v>
      </c>
    </row>
    <row r="11" spans="1:18">
      <c r="A11" s="7">
        <v>103</v>
      </c>
      <c r="B11" s="1" t="str">
        <f t="shared" si="0"/>
        <v>銀座支店</v>
      </c>
      <c r="C11" s="1">
        <v>1001</v>
      </c>
      <c r="D11" s="1" t="str">
        <f t="shared" si="1"/>
        <v>商品J</v>
      </c>
      <c r="E11" s="2">
        <f t="shared" si="2"/>
        <v>1867</v>
      </c>
      <c r="F11" s="1">
        <v>226</v>
      </c>
      <c r="G11" s="2">
        <v>512000</v>
      </c>
      <c r="H11" s="2">
        <f t="shared" si="3"/>
        <v>2266</v>
      </c>
      <c r="I11" s="2">
        <f t="shared" si="4"/>
        <v>90058</v>
      </c>
      <c r="J11" s="28">
        <f t="shared" si="5"/>
        <v>1.0419999999999998</v>
      </c>
      <c r="K11" s="28">
        <f t="shared" si="6"/>
        <v>0.21299999999999999</v>
      </c>
      <c r="L11" s="2">
        <f t="shared" si="7"/>
        <v>51200</v>
      </c>
      <c r="M11" s="8" t="str">
        <f t="shared" si="8"/>
        <v>順調</v>
      </c>
      <c r="O11" s="1">
        <v>1003</v>
      </c>
      <c r="P11" s="1" t="s">
        <v>184</v>
      </c>
      <c r="Q11" s="2">
        <v>1954</v>
      </c>
      <c r="R11" s="1">
        <v>220</v>
      </c>
    </row>
    <row r="12" spans="1:18">
      <c r="A12" s="7">
        <v>103</v>
      </c>
      <c r="B12" s="1" t="str">
        <f t="shared" si="0"/>
        <v>銀座支店</v>
      </c>
      <c r="C12" s="1">
        <v>1002</v>
      </c>
      <c r="D12" s="1" t="str">
        <f t="shared" si="1"/>
        <v>商品K</v>
      </c>
      <c r="E12" s="2">
        <f t="shared" si="2"/>
        <v>2059</v>
      </c>
      <c r="F12" s="1">
        <v>259</v>
      </c>
      <c r="G12" s="2">
        <v>629000</v>
      </c>
      <c r="H12" s="2">
        <f t="shared" si="3"/>
        <v>2429</v>
      </c>
      <c r="I12" s="2">
        <f t="shared" si="4"/>
        <v>95719</v>
      </c>
      <c r="J12" s="28">
        <f t="shared" si="5"/>
        <v>1.1519999999999999</v>
      </c>
      <c r="K12" s="28">
        <f t="shared" si="6"/>
        <v>0.17899999999999999</v>
      </c>
      <c r="L12" s="2">
        <f t="shared" si="7"/>
        <v>62900</v>
      </c>
      <c r="M12" s="8" t="str">
        <f t="shared" si="8"/>
        <v>順調</v>
      </c>
      <c r="O12" s="1">
        <v>1004</v>
      </c>
      <c r="P12" s="1" t="s">
        <v>186</v>
      </c>
      <c r="Q12" s="2">
        <v>2173</v>
      </c>
      <c r="R12" s="1">
        <v>230</v>
      </c>
    </row>
    <row r="13" spans="1:18">
      <c r="A13" s="7">
        <v>103</v>
      </c>
      <c r="B13" s="1" t="str">
        <f t="shared" si="0"/>
        <v>銀座支店</v>
      </c>
      <c r="C13" s="1">
        <v>1003</v>
      </c>
      <c r="D13" s="1" t="str">
        <f t="shared" si="1"/>
        <v>商品L</v>
      </c>
      <c r="E13" s="2">
        <f t="shared" si="2"/>
        <v>1954</v>
      </c>
      <c r="F13" s="1">
        <v>225</v>
      </c>
      <c r="G13" s="2">
        <v>505000</v>
      </c>
      <c r="H13" s="2">
        <f t="shared" si="3"/>
        <v>2245</v>
      </c>
      <c r="I13" s="2">
        <f t="shared" si="4"/>
        <v>65350</v>
      </c>
      <c r="J13" s="28">
        <f t="shared" si="5"/>
        <v>1.0229999999999999</v>
      </c>
      <c r="K13" s="28">
        <f t="shared" si="6"/>
        <v>0.14799999999999999</v>
      </c>
      <c r="L13" s="2">
        <f t="shared" si="7"/>
        <v>50500</v>
      </c>
      <c r="M13" s="8" t="str">
        <f t="shared" si="8"/>
        <v/>
      </c>
    </row>
    <row r="14" spans="1:18">
      <c r="A14" s="7">
        <v>103</v>
      </c>
      <c r="B14" s="1" t="str">
        <f t="shared" si="0"/>
        <v>銀座支店</v>
      </c>
      <c r="C14" s="1">
        <v>1004</v>
      </c>
      <c r="D14" s="1" t="str">
        <f t="shared" si="1"/>
        <v>商品M</v>
      </c>
      <c r="E14" s="2">
        <f t="shared" si="2"/>
        <v>2173</v>
      </c>
      <c r="F14" s="1">
        <v>237</v>
      </c>
      <c r="G14" s="2">
        <v>613000</v>
      </c>
      <c r="H14" s="2">
        <f t="shared" si="3"/>
        <v>2587</v>
      </c>
      <c r="I14" s="2">
        <f t="shared" si="4"/>
        <v>97999</v>
      </c>
      <c r="J14" s="28">
        <f t="shared" si="5"/>
        <v>1.0309999999999999</v>
      </c>
      <c r="K14" s="28">
        <f t="shared" si="6"/>
        <v>0.19</v>
      </c>
      <c r="L14" s="2">
        <f t="shared" si="7"/>
        <v>61300</v>
      </c>
      <c r="M14" s="8" t="str">
        <f t="shared" si="8"/>
        <v>順調</v>
      </c>
    </row>
    <row r="15" spans="1:18">
      <c r="A15" s="7">
        <v>104</v>
      </c>
      <c r="B15" s="1" t="str">
        <f t="shared" si="0"/>
        <v>渋谷支店</v>
      </c>
      <c r="C15" s="1">
        <v>1001</v>
      </c>
      <c r="D15" s="1" t="str">
        <f t="shared" si="1"/>
        <v>商品J</v>
      </c>
      <c r="E15" s="2">
        <f t="shared" si="2"/>
        <v>1867</v>
      </c>
      <c r="F15" s="1">
        <v>198</v>
      </c>
      <c r="G15" s="2">
        <v>437000</v>
      </c>
      <c r="H15" s="2">
        <f t="shared" si="3"/>
        <v>2208</v>
      </c>
      <c r="I15" s="2">
        <f t="shared" si="4"/>
        <v>67334</v>
      </c>
      <c r="J15" s="28">
        <f t="shared" si="5"/>
        <v>0.91300000000000003</v>
      </c>
      <c r="K15" s="28">
        <f t="shared" si="6"/>
        <v>0.182</v>
      </c>
      <c r="L15" s="2">
        <f t="shared" si="7"/>
        <v>36420</v>
      </c>
      <c r="M15" s="8" t="str">
        <f t="shared" si="8"/>
        <v/>
      </c>
    </row>
    <row r="16" spans="1:18">
      <c r="A16" s="7">
        <v>104</v>
      </c>
      <c r="B16" s="1" t="str">
        <f t="shared" si="0"/>
        <v>渋谷支店</v>
      </c>
      <c r="C16" s="1">
        <v>1002</v>
      </c>
      <c r="D16" s="1" t="str">
        <f t="shared" si="1"/>
        <v>商品K</v>
      </c>
      <c r="E16" s="2">
        <f t="shared" si="2"/>
        <v>2059</v>
      </c>
      <c r="F16" s="1">
        <v>217</v>
      </c>
      <c r="G16" s="2">
        <v>537000</v>
      </c>
      <c r="H16" s="2">
        <f t="shared" si="3"/>
        <v>2475</v>
      </c>
      <c r="I16" s="2">
        <f t="shared" si="4"/>
        <v>90197</v>
      </c>
      <c r="J16" s="28">
        <f t="shared" si="5"/>
        <v>0.96499999999999997</v>
      </c>
      <c r="K16" s="28">
        <f t="shared" si="6"/>
        <v>0.20100000000000001</v>
      </c>
      <c r="L16" s="2">
        <f t="shared" si="7"/>
        <v>44750</v>
      </c>
      <c r="M16" s="8" t="str">
        <f t="shared" si="8"/>
        <v>順調</v>
      </c>
    </row>
    <row r="17" spans="1:13">
      <c r="A17" s="7">
        <v>104</v>
      </c>
      <c r="B17" s="1" t="str">
        <f t="shared" si="0"/>
        <v>渋谷支店</v>
      </c>
      <c r="C17" s="1">
        <v>1003</v>
      </c>
      <c r="D17" s="1" t="str">
        <f t="shared" si="1"/>
        <v>商品L</v>
      </c>
      <c r="E17" s="2">
        <f t="shared" si="2"/>
        <v>1954</v>
      </c>
      <c r="F17" s="1">
        <v>238</v>
      </c>
      <c r="G17" s="2">
        <v>539000</v>
      </c>
      <c r="H17" s="2">
        <f t="shared" si="3"/>
        <v>2265</v>
      </c>
      <c r="I17" s="2">
        <f t="shared" si="4"/>
        <v>73948</v>
      </c>
      <c r="J17" s="28">
        <f t="shared" si="5"/>
        <v>1.0819999999999999</v>
      </c>
      <c r="K17" s="28">
        <f t="shared" si="6"/>
        <v>0.159</v>
      </c>
      <c r="L17" s="2">
        <f t="shared" si="7"/>
        <v>44920</v>
      </c>
      <c r="M17" s="8" t="str">
        <f t="shared" si="8"/>
        <v/>
      </c>
    </row>
    <row r="18" spans="1:13">
      <c r="A18" s="7">
        <v>104</v>
      </c>
      <c r="B18" s="1" t="str">
        <f t="shared" si="0"/>
        <v>渋谷支店</v>
      </c>
      <c r="C18" s="1">
        <v>1004</v>
      </c>
      <c r="D18" s="1" t="str">
        <f t="shared" si="1"/>
        <v>商品M</v>
      </c>
      <c r="E18" s="2">
        <f t="shared" si="2"/>
        <v>2173</v>
      </c>
      <c r="F18" s="1">
        <v>252</v>
      </c>
      <c r="G18" s="2">
        <v>647000</v>
      </c>
      <c r="H18" s="2">
        <f t="shared" si="3"/>
        <v>2568</v>
      </c>
      <c r="I18" s="2">
        <f t="shared" si="4"/>
        <v>99404</v>
      </c>
      <c r="J18" s="28">
        <f t="shared" si="5"/>
        <v>1.0959999999999999</v>
      </c>
      <c r="K18" s="28">
        <f t="shared" si="6"/>
        <v>0.18099999999999999</v>
      </c>
      <c r="L18" s="2">
        <f t="shared" si="7"/>
        <v>53920</v>
      </c>
      <c r="M18" s="8" t="str">
        <f t="shared" si="8"/>
        <v>順調</v>
      </c>
    </row>
    <row r="19" spans="1:13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8"/>
    </row>
    <row r="20" spans="1:13" ht="19.5" thickBot="1">
      <c r="A20" s="9"/>
      <c r="B20" s="10" t="s">
        <v>32</v>
      </c>
      <c r="C20" s="11"/>
      <c r="D20" s="11"/>
      <c r="E20" s="11"/>
      <c r="F20" s="15">
        <f>SUM(F3:F18)</f>
        <v>3680</v>
      </c>
      <c r="G20" s="15">
        <f t="shared" ref="G20:I20" si="9">SUM(G3:G18)</f>
        <v>8766000</v>
      </c>
      <c r="H20" s="15"/>
      <c r="I20" s="15">
        <f t="shared" si="9"/>
        <v>1348711</v>
      </c>
      <c r="J20" s="11"/>
      <c r="K20" s="11"/>
      <c r="L20" s="11"/>
      <c r="M20" s="13"/>
    </row>
    <row r="22" spans="1:13" ht="19.5" thickBot="1">
      <c r="A22" s="40" t="s">
        <v>191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>
      <c r="A23" s="4" t="s">
        <v>168</v>
      </c>
      <c r="B23" s="5" t="s">
        <v>169</v>
      </c>
      <c r="C23" s="5" t="s">
        <v>63</v>
      </c>
      <c r="D23" s="5" t="s">
        <v>65</v>
      </c>
      <c r="E23" s="5" t="s">
        <v>145</v>
      </c>
      <c r="F23" s="5" t="s">
        <v>68</v>
      </c>
      <c r="G23" s="5" t="s">
        <v>69</v>
      </c>
      <c r="H23" s="5" t="s">
        <v>170</v>
      </c>
      <c r="I23" s="5" t="s">
        <v>171</v>
      </c>
      <c r="J23" s="5" t="s">
        <v>172</v>
      </c>
      <c r="K23" s="5" t="s">
        <v>173</v>
      </c>
      <c r="L23" s="5" t="s">
        <v>174</v>
      </c>
      <c r="M23" s="6" t="s">
        <v>14</v>
      </c>
    </row>
    <row r="24" spans="1:13">
      <c r="A24" s="7">
        <v>103</v>
      </c>
      <c r="B24" s="1" t="s">
        <v>189</v>
      </c>
      <c r="C24" s="1">
        <v>1002</v>
      </c>
      <c r="D24" s="1" t="s">
        <v>182</v>
      </c>
      <c r="E24" s="2">
        <v>2059</v>
      </c>
      <c r="F24" s="1">
        <v>259</v>
      </c>
      <c r="G24" s="2">
        <v>629000</v>
      </c>
      <c r="H24" s="2">
        <v>2429</v>
      </c>
      <c r="I24" s="2">
        <v>95719</v>
      </c>
      <c r="J24" s="28">
        <v>1.1519999999999999</v>
      </c>
      <c r="K24" s="28">
        <v>0.17899999999999999</v>
      </c>
      <c r="L24" s="2">
        <v>62900</v>
      </c>
      <c r="M24" s="8" t="s">
        <v>190</v>
      </c>
    </row>
    <row r="25" spans="1:13">
      <c r="A25" s="7">
        <v>101</v>
      </c>
      <c r="B25" s="1" t="s">
        <v>187</v>
      </c>
      <c r="C25" s="1">
        <v>1002</v>
      </c>
      <c r="D25" s="1" t="s">
        <v>182</v>
      </c>
      <c r="E25" s="2">
        <v>2059</v>
      </c>
      <c r="F25" s="1">
        <v>235</v>
      </c>
      <c r="G25" s="2">
        <v>569000</v>
      </c>
      <c r="H25" s="2">
        <v>2422</v>
      </c>
      <c r="I25" s="2">
        <v>85135</v>
      </c>
      <c r="J25" s="28">
        <v>1.0449999999999999</v>
      </c>
      <c r="K25" s="28">
        <v>0.17499999999999999</v>
      </c>
      <c r="L25" s="2">
        <v>51730</v>
      </c>
      <c r="M25" s="8" t="s">
        <v>36</v>
      </c>
    </row>
    <row r="26" spans="1:13">
      <c r="A26" s="7">
        <v>102</v>
      </c>
      <c r="B26" s="1" t="s">
        <v>188</v>
      </c>
      <c r="C26" s="1">
        <v>1002</v>
      </c>
      <c r="D26" s="1" t="s">
        <v>182</v>
      </c>
      <c r="E26" s="2">
        <v>2059</v>
      </c>
      <c r="F26" s="1">
        <v>220</v>
      </c>
      <c r="G26" s="2">
        <v>528000</v>
      </c>
      <c r="H26" s="2">
        <v>2400</v>
      </c>
      <c r="I26" s="2">
        <v>75020</v>
      </c>
      <c r="J26" s="28">
        <v>0.97799999999999998</v>
      </c>
      <c r="K26" s="28">
        <v>0.16500000000000001</v>
      </c>
      <c r="L26" s="2">
        <v>58670</v>
      </c>
      <c r="M26" s="8" t="s">
        <v>36</v>
      </c>
    </row>
    <row r="27" spans="1:13">
      <c r="A27" s="7">
        <v>102</v>
      </c>
      <c r="B27" s="1" t="s">
        <v>188</v>
      </c>
      <c r="C27" s="1">
        <v>1004</v>
      </c>
      <c r="D27" s="1" t="s">
        <v>185</v>
      </c>
      <c r="E27" s="2">
        <v>2173</v>
      </c>
      <c r="F27" s="1">
        <v>241</v>
      </c>
      <c r="G27" s="2">
        <v>618000</v>
      </c>
      <c r="H27" s="2">
        <v>2565</v>
      </c>
      <c r="I27" s="2">
        <v>94307</v>
      </c>
      <c r="J27" s="28">
        <v>1.0479999999999998</v>
      </c>
      <c r="K27" s="28">
        <v>0.18</v>
      </c>
      <c r="L27" s="2">
        <v>68670</v>
      </c>
      <c r="M27" s="8" t="s">
        <v>36</v>
      </c>
    </row>
    <row r="28" spans="1:13">
      <c r="A28" s="7">
        <v>101</v>
      </c>
      <c r="B28" s="1" t="s">
        <v>187</v>
      </c>
      <c r="C28" s="1">
        <v>1004</v>
      </c>
      <c r="D28" s="1" t="s">
        <v>185</v>
      </c>
      <c r="E28" s="2">
        <v>2173</v>
      </c>
      <c r="F28" s="1">
        <v>205</v>
      </c>
      <c r="G28" s="2">
        <v>523000</v>
      </c>
      <c r="H28" s="2">
        <v>2552</v>
      </c>
      <c r="I28" s="2">
        <v>77535</v>
      </c>
      <c r="J28" s="28">
        <v>0.89200000000000002</v>
      </c>
      <c r="K28" s="28">
        <v>0.17399999999999999</v>
      </c>
      <c r="L28" s="2">
        <v>47550</v>
      </c>
      <c r="M28" s="8" t="s">
        <v>36</v>
      </c>
    </row>
    <row r="29" spans="1:13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8"/>
    </row>
    <row r="30" spans="1:13" ht="19.5" thickBot="1">
      <c r="A30" s="9"/>
      <c r="B30" s="10" t="s">
        <v>32</v>
      </c>
      <c r="C30" s="11"/>
      <c r="D30" s="11"/>
      <c r="E30" s="11"/>
      <c r="F30" s="15">
        <f>SUM(F24:F28)</f>
        <v>1160</v>
      </c>
      <c r="G30" s="15">
        <f t="shared" ref="G30:I30" si="10">SUM(G24:G28)</f>
        <v>2867000</v>
      </c>
      <c r="H30" s="15"/>
      <c r="I30" s="15">
        <f t="shared" si="10"/>
        <v>427716</v>
      </c>
      <c r="J30" s="11"/>
      <c r="K30" s="11"/>
      <c r="L30" s="11"/>
      <c r="M30" s="13"/>
    </row>
    <row r="32" spans="1:13" ht="19.5" thickBot="1">
      <c r="A32" s="40" t="s">
        <v>192</v>
      </c>
      <c r="B32" s="40"/>
      <c r="C32" s="40"/>
      <c r="D32" s="40"/>
    </row>
    <row r="33" spans="1:13">
      <c r="A33" s="4" t="s">
        <v>169</v>
      </c>
      <c r="B33" s="5" t="s">
        <v>68</v>
      </c>
      <c r="C33" s="5" t="s">
        <v>69</v>
      </c>
      <c r="D33" s="6" t="s">
        <v>171</v>
      </c>
      <c r="F33" s="27" t="s">
        <v>169</v>
      </c>
      <c r="G33" s="27" t="s">
        <v>169</v>
      </c>
      <c r="H33" s="27" t="s">
        <v>169</v>
      </c>
      <c r="I33" s="27" t="s">
        <v>169</v>
      </c>
    </row>
    <row r="34" spans="1:13">
      <c r="A34" s="30" t="s">
        <v>193</v>
      </c>
      <c r="B34" s="2">
        <f>DSUM(支店別販売一覧表4,B$33,$F$33:$F$34)</f>
        <v>891</v>
      </c>
      <c r="C34" s="2">
        <f>DSUM(支店別販売一覧表4,C$33,$F$33:$F$34)</f>
        <v>2104000</v>
      </c>
      <c r="D34" s="14">
        <f>DSUM(支店別販売一覧表4,D$33,$F$33:$F$34)</f>
        <v>311599</v>
      </c>
      <c r="F34" s="29" t="s">
        <v>193</v>
      </c>
      <c r="G34" s="29" t="s">
        <v>194</v>
      </c>
      <c r="H34" s="29" t="s">
        <v>195</v>
      </c>
      <c r="I34" s="29" t="s">
        <v>196</v>
      </c>
    </row>
    <row r="35" spans="1:13">
      <c r="A35" s="30" t="s">
        <v>194</v>
      </c>
      <c r="B35" s="2">
        <f>DSUM(支店別販売一覧表4,B$33,$G$33:$G$34)</f>
        <v>937</v>
      </c>
      <c r="C35" s="2">
        <f>DSUM(支店別販売一覧表4,C$33,$G$33:$G$34)</f>
        <v>2243000</v>
      </c>
      <c r="D35" s="14">
        <f>DSUM(支店別販売一覧表4,D$33,$G$33:$G$34)</f>
        <v>357103</v>
      </c>
      <c r="F35" s="35"/>
    </row>
    <row r="36" spans="1:13">
      <c r="A36" s="30" t="s">
        <v>195</v>
      </c>
      <c r="B36" s="2">
        <f>DSUM(支店別販売一覧表4,B$33,$H$33:$H$34)</f>
        <v>947</v>
      </c>
      <c r="C36" s="2">
        <f>DSUM(支店別販売一覧表4,C$33,$H$33:$H$34)</f>
        <v>2259000</v>
      </c>
      <c r="D36" s="14">
        <f>DSUM(支店別販売一覧表4,D$33,$H$33:$H$34)</f>
        <v>349126</v>
      </c>
      <c r="F36" s="35"/>
      <c r="L36" s="27" t="s">
        <v>68</v>
      </c>
      <c r="M36" s="27" t="s">
        <v>69</v>
      </c>
    </row>
    <row r="37" spans="1:13" ht="19.5" thickBot="1">
      <c r="A37" s="31" t="s">
        <v>196</v>
      </c>
      <c r="B37" s="15">
        <f>DSUM(支店別販売一覧表4,B$33,$I$33:$I$34)</f>
        <v>905</v>
      </c>
      <c r="C37" s="15">
        <f>DSUM(支店別販売一覧表4,C$33,$I$33:$I$34)</f>
        <v>2160000</v>
      </c>
      <c r="D37" s="16">
        <f>DSUM(支店別販売一覧表4,D$33,$I$33:$I$34)</f>
        <v>330883</v>
      </c>
      <c r="L37" s="29" t="s">
        <v>200</v>
      </c>
      <c r="M37" s="36" t="s">
        <v>201</v>
      </c>
    </row>
    <row r="38" spans="1:13" ht="19.5" thickBot="1">
      <c r="L38" s="27" t="s">
        <v>69</v>
      </c>
      <c r="M38" s="27" t="s">
        <v>173</v>
      </c>
    </row>
    <row r="39" spans="1:13">
      <c r="A39" s="54" t="s">
        <v>197</v>
      </c>
      <c r="B39" s="55"/>
      <c r="C39" s="55"/>
      <c r="D39" s="55"/>
      <c r="E39" s="55"/>
      <c r="F39" s="55"/>
      <c r="G39" s="18">
        <f>DSUM(支店別販売一覧表4,I2,L36:M37)</f>
        <v>814420</v>
      </c>
      <c r="L39" s="29" t="s">
        <v>202</v>
      </c>
      <c r="M39" s="36" t="s">
        <v>203</v>
      </c>
    </row>
    <row r="40" spans="1:13">
      <c r="A40" s="46" t="s">
        <v>198</v>
      </c>
      <c r="B40" s="47"/>
      <c r="C40" s="47"/>
      <c r="D40" s="47"/>
      <c r="E40" s="47"/>
      <c r="F40" s="47"/>
      <c r="G40" s="14">
        <f>DCOUNTA(支店別販売一覧表4,G2,L38:M39)</f>
        <v>6</v>
      </c>
      <c r="L40" s="27" t="s">
        <v>169</v>
      </c>
      <c r="M40" s="27" t="s">
        <v>172</v>
      </c>
    </row>
    <row r="41" spans="1:13" ht="19.5" thickBot="1">
      <c r="A41" s="44" t="s">
        <v>199</v>
      </c>
      <c r="B41" s="45"/>
      <c r="C41" s="45"/>
      <c r="D41" s="45"/>
      <c r="E41" s="45"/>
      <c r="F41" s="45"/>
      <c r="G41" s="16">
        <f>DMIN(支店別販売一覧表4,H2,L40:M41)</f>
        <v>2266</v>
      </c>
      <c r="L41" s="29" t="s">
        <v>204</v>
      </c>
      <c r="M41" s="37" t="s">
        <v>205</v>
      </c>
    </row>
  </sheetData>
  <sortState ref="A24:M28">
    <sortCondition ref="C24:C28"/>
    <sortCondition descending="1" ref="K24:K28"/>
  </sortState>
  <mergeCells count="6">
    <mergeCell ref="A41:F41"/>
    <mergeCell ref="A1:M1"/>
    <mergeCell ref="A22:M22"/>
    <mergeCell ref="A32:D32"/>
    <mergeCell ref="A39:F39"/>
    <mergeCell ref="A40:F4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BC7B-CEF8-4A91-91DB-B98BAEED47F6}">
  <dimension ref="A1:Q37"/>
  <sheetViews>
    <sheetView topLeftCell="A15" workbookViewId="0">
      <selection activeCell="A37" sqref="A37"/>
    </sheetView>
  </sheetViews>
  <sheetFormatPr defaultRowHeight="18.75"/>
  <cols>
    <col min="1" max="1" width="13" bestFit="1" customWidth="1"/>
    <col min="2" max="2" width="11" bestFit="1" customWidth="1"/>
    <col min="3" max="3" width="13" bestFit="1" customWidth="1"/>
    <col min="4" max="4" width="9" bestFit="1" customWidth="1"/>
    <col min="5" max="5" width="9.5" bestFit="1" customWidth="1"/>
    <col min="6" max="9" width="13" bestFit="1" customWidth="1"/>
    <col min="11" max="11" width="8" bestFit="1" customWidth="1"/>
    <col min="12" max="12" width="9.5" bestFit="1" customWidth="1"/>
    <col min="13" max="13" width="5.25" bestFit="1" customWidth="1"/>
    <col min="14" max="14" width="5" customWidth="1"/>
    <col min="15" max="15" width="13" bestFit="1" customWidth="1"/>
    <col min="16" max="17" width="11.375" bestFit="1" customWidth="1"/>
  </cols>
  <sheetData>
    <row r="1" spans="1:16" ht="19.5" thickBot="1">
      <c r="A1" s="40" t="s">
        <v>206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6">
      <c r="A2" s="4" t="s">
        <v>1</v>
      </c>
      <c r="B2" s="5" t="s">
        <v>2</v>
      </c>
      <c r="C2" s="5" t="s">
        <v>207</v>
      </c>
      <c r="D2" s="5" t="s">
        <v>208</v>
      </c>
      <c r="E2" s="5" t="s">
        <v>209</v>
      </c>
      <c r="F2" s="5" t="s">
        <v>68</v>
      </c>
      <c r="G2" s="5" t="s">
        <v>28</v>
      </c>
      <c r="H2" s="5" t="s">
        <v>210</v>
      </c>
      <c r="I2" s="5" t="s">
        <v>211</v>
      </c>
      <c r="J2" s="5" t="s">
        <v>43</v>
      </c>
      <c r="K2" s="5" t="s">
        <v>72</v>
      </c>
      <c r="L2" s="5" t="s">
        <v>212</v>
      </c>
      <c r="M2" s="6" t="s">
        <v>14</v>
      </c>
    </row>
    <row r="3" spans="1:16">
      <c r="A3" s="30">
        <v>101</v>
      </c>
      <c r="B3" s="29" t="s">
        <v>213</v>
      </c>
      <c r="C3" s="29" t="str">
        <f>VLOOKUP(A3,$O$4:$P$7,2,1)&amp;"エリア"</f>
        <v>東北エリア</v>
      </c>
      <c r="D3" s="29" t="s">
        <v>225</v>
      </c>
      <c r="E3" s="2">
        <f>VLOOKUP(D3,$O$10:$P$13,2,0)</f>
        <v>198400</v>
      </c>
      <c r="F3" s="29">
        <v>841</v>
      </c>
      <c r="G3" s="29">
        <v>825</v>
      </c>
      <c r="H3" s="28">
        <f>ROUNDDOWN(F3/G3,3)</f>
        <v>1.0189999999999999</v>
      </c>
      <c r="I3" s="2">
        <f>ROUNDUP($P$15*F3,-2)</f>
        <v>50200</v>
      </c>
      <c r="J3" s="2">
        <f>ROUNDDOWN($P$16*F3,-1)</f>
        <v>38010</v>
      </c>
      <c r="K3" s="2">
        <f>INT(IF(H3&gt;=100%,E3*6.8%,E3*5.7%))</f>
        <v>13491</v>
      </c>
      <c r="L3" s="3">
        <f>E3+I3+J3+K3</f>
        <v>300101</v>
      </c>
      <c r="M3" s="8" t="str">
        <f>VLOOKUP(L3,$O$20:$Q$21,IF(H3&lt;100%,2,3),1)</f>
        <v>****</v>
      </c>
      <c r="O3" s="27" t="s">
        <v>1</v>
      </c>
      <c r="P3" s="27" t="s">
        <v>227</v>
      </c>
    </row>
    <row r="4" spans="1:16">
      <c r="A4" s="30">
        <v>102</v>
      </c>
      <c r="B4" s="29" t="s">
        <v>214</v>
      </c>
      <c r="C4" s="29" t="str">
        <f t="shared" ref="C4:C14" si="0">VLOOKUP(A4,$O$4:$P$7,2,1)&amp;"エリア"</f>
        <v>東北エリア</v>
      </c>
      <c r="D4" s="29" t="s">
        <v>154</v>
      </c>
      <c r="E4" s="2">
        <f t="shared" ref="E4:E14" si="1">VLOOKUP(D4,$O$10:$P$13,2,0)</f>
        <v>209600</v>
      </c>
      <c r="F4" s="29">
        <v>845</v>
      </c>
      <c r="G4" s="29">
        <v>820</v>
      </c>
      <c r="H4" s="28">
        <f t="shared" ref="H4:H14" si="2">ROUNDDOWN(F4/G4,3)</f>
        <v>1.03</v>
      </c>
      <c r="I4" s="2">
        <f t="shared" ref="I4:I14" si="3">ROUNDUP($P$15*F4,-2)</f>
        <v>50400</v>
      </c>
      <c r="J4" s="2">
        <f t="shared" ref="J4:J14" si="4">ROUNDDOWN($P$16*F4,-1)</f>
        <v>38190</v>
      </c>
      <c r="K4" s="2">
        <f t="shared" ref="K4:K14" si="5">INT(IF(H4&gt;=100%,E4*6.8%,E4*5.7%))</f>
        <v>14252</v>
      </c>
      <c r="L4" s="3">
        <f t="shared" ref="L4:L14" si="6">E4+I4+J4+K4</f>
        <v>312442</v>
      </c>
      <c r="M4" s="8" t="str">
        <f t="shared" ref="M4:M14" si="7">VLOOKUP(L4,$O$20:$Q$21,IF(H4&lt;100%,2,3),1)</f>
        <v>****</v>
      </c>
      <c r="O4" s="29">
        <v>100</v>
      </c>
      <c r="P4" s="29" t="s">
        <v>228</v>
      </c>
    </row>
    <row r="5" spans="1:16">
      <c r="A5" s="30">
        <v>103</v>
      </c>
      <c r="B5" s="29" t="s">
        <v>215</v>
      </c>
      <c r="C5" s="29" t="str">
        <f t="shared" si="0"/>
        <v>東北エリア</v>
      </c>
      <c r="D5" s="29" t="s">
        <v>226</v>
      </c>
      <c r="E5" s="2">
        <f t="shared" si="1"/>
        <v>187300</v>
      </c>
      <c r="F5" s="29">
        <v>790</v>
      </c>
      <c r="G5" s="29">
        <v>741</v>
      </c>
      <c r="H5" s="28">
        <f t="shared" si="2"/>
        <v>1.0660000000000001</v>
      </c>
      <c r="I5" s="2">
        <f t="shared" si="3"/>
        <v>47100</v>
      </c>
      <c r="J5" s="2">
        <f t="shared" si="4"/>
        <v>35700</v>
      </c>
      <c r="K5" s="2">
        <f t="shared" si="5"/>
        <v>12736</v>
      </c>
      <c r="L5" s="3">
        <f t="shared" si="6"/>
        <v>282836</v>
      </c>
      <c r="M5" s="8" t="str">
        <f t="shared" si="7"/>
        <v>**</v>
      </c>
      <c r="O5" s="29">
        <v>200</v>
      </c>
      <c r="P5" s="29" t="s">
        <v>229</v>
      </c>
    </row>
    <row r="6" spans="1:16">
      <c r="A6" s="30">
        <v>201</v>
      </c>
      <c r="B6" s="29" t="s">
        <v>216</v>
      </c>
      <c r="C6" s="29" t="str">
        <f t="shared" si="0"/>
        <v>関東エリア</v>
      </c>
      <c r="D6" s="29" t="s">
        <v>153</v>
      </c>
      <c r="E6" s="2">
        <f t="shared" si="1"/>
        <v>220800</v>
      </c>
      <c r="F6" s="29">
        <v>820</v>
      </c>
      <c r="G6" s="29">
        <v>849</v>
      </c>
      <c r="H6" s="28">
        <f t="shared" si="2"/>
        <v>0.96499999999999997</v>
      </c>
      <c r="I6" s="2">
        <f t="shared" si="3"/>
        <v>48900</v>
      </c>
      <c r="J6" s="2">
        <f t="shared" si="4"/>
        <v>37060</v>
      </c>
      <c r="K6" s="2">
        <f t="shared" si="5"/>
        <v>12585</v>
      </c>
      <c r="L6" s="3">
        <f t="shared" si="6"/>
        <v>319345</v>
      </c>
      <c r="M6" s="8" t="str">
        <f t="shared" si="7"/>
        <v>***</v>
      </c>
      <c r="O6" s="29">
        <v>300</v>
      </c>
      <c r="P6" s="29" t="s">
        <v>230</v>
      </c>
    </row>
    <row r="7" spans="1:16">
      <c r="A7" s="30">
        <v>202</v>
      </c>
      <c r="B7" s="29" t="s">
        <v>217</v>
      </c>
      <c r="C7" s="29" t="str">
        <f t="shared" si="0"/>
        <v>関東エリア</v>
      </c>
      <c r="D7" s="29" t="s">
        <v>226</v>
      </c>
      <c r="E7" s="2">
        <f t="shared" si="1"/>
        <v>187300</v>
      </c>
      <c r="F7" s="29">
        <v>774</v>
      </c>
      <c r="G7" s="29">
        <v>748</v>
      </c>
      <c r="H7" s="28">
        <f t="shared" si="2"/>
        <v>1.034</v>
      </c>
      <c r="I7" s="2">
        <f t="shared" si="3"/>
        <v>46200</v>
      </c>
      <c r="J7" s="2">
        <f t="shared" si="4"/>
        <v>34980</v>
      </c>
      <c r="K7" s="2">
        <f t="shared" si="5"/>
        <v>12736</v>
      </c>
      <c r="L7" s="3">
        <f t="shared" si="6"/>
        <v>281216</v>
      </c>
      <c r="M7" s="8" t="str">
        <f t="shared" si="7"/>
        <v>**</v>
      </c>
      <c r="O7" s="29">
        <v>400</v>
      </c>
      <c r="P7" s="29" t="s">
        <v>231</v>
      </c>
    </row>
    <row r="8" spans="1:16">
      <c r="A8" s="30">
        <v>203</v>
      </c>
      <c r="B8" s="29" t="s">
        <v>218</v>
      </c>
      <c r="C8" s="29" t="str">
        <f t="shared" si="0"/>
        <v>関東エリア</v>
      </c>
      <c r="D8" s="29" t="s">
        <v>154</v>
      </c>
      <c r="E8" s="2">
        <f t="shared" si="1"/>
        <v>209600</v>
      </c>
      <c r="F8" s="29">
        <v>801</v>
      </c>
      <c r="G8" s="29">
        <v>760</v>
      </c>
      <c r="H8" s="28">
        <f t="shared" si="2"/>
        <v>1.0529999999999999</v>
      </c>
      <c r="I8" s="2">
        <f t="shared" si="3"/>
        <v>47800</v>
      </c>
      <c r="J8" s="2">
        <f t="shared" si="4"/>
        <v>36200</v>
      </c>
      <c r="K8" s="2">
        <f t="shared" si="5"/>
        <v>14252</v>
      </c>
      <c r="L8" s="3">
        <f t="shared" si="6"/>
        <v>307852</v>
      </c>
      <c r="M8" s="8" t="str">
        <f t="shared" si="7"/>
        <v>****</v>
      </c>
    </row>
    <row r="9" spans="1:16">
      <c r="A9" s="30">
        <v>301</v>
      </c>
      <c r="B9" s="29" t="s">
        <v>219</v>
      </c>
      <c r="C9" s="29" t="str">
        <f t="shared" si="0"/>
        <v>中部エリア</v>
      </c>
      <c r="D9" s="29" t="s">
        <v>153</v>
      </c>
      <c r="E9" s="2">
        <f t="shared" si="1"/>
        <v>220800</v>
      </c>
      <c r="F9" s="29">
        <v>815</v>
      </c>
      <c r="G9" s="29">
        <v>843</v>
      </c>
      <c r="H9" s="28">
        <f t="shared" si="2"/>
        <v>0.96599999999999997</v>
      </c>
      <c r="I9" s="2">
        <f t="shared" si="3"/>
        <v>48600</v>
      </c>
      <c r="J9" s="2">
        <f t="shared" si="4"/>
        <v>36830</v>
      </c>
      <c r="K9" s="2">
        <f t="shared" si="5"/>
        <v>12585</v>
      </c>
      <c r="L9" s="3">
        <f t="shared" si="6"/>
        <v>318815</v>
      </c>
      <c r="M9" s="8" t="str">
        <f t="shared" si="7"/>
        <v>***</v>
      </c>
      <c r="O9" s="27" t="s">
        <v>208</v>
      </c>
      <c r="P9" s="27" t="s">
        <v>209</v>
      </c>
    </row>
    <row r="10" spans="1:16">
      <c r="A10" s="30">
        <v>302</v>
      </c>
      <c r="B10" s="29" t="s">
        <v>220</v>
      </c>
      <c r="C10" s="29" t="str">
        <f t="shared" si="0"/>
        <v>中部エリア</v>
      </c>
      <c r="D10" s="29" t="s">
        <v>225</v>
      </c>
      <c r="E10" s="2">
        <f t="shared" si="1"/>
        <v>198400</v>
      </c>
      <c r="F10" s="29">
        <v>770</v>
      </c>
      <c r="G10" s="29">
        <v>746</v>
      </c>
      <c r="H10" s="28">
        <f t="shared" si="2"/>
        <v>1.032</v>
      </c>
      <c r="I10" s="2">
        <f t="shared" si="3"/>
        <v>45900</v>
      </c>
      <c r="J10" s="2">
        <f t="shared" si="4"/>
        <v>34800</v>
      </c>
      <c r="K10" s="2">
        <f t="shared" si="5"/>
        <v>13491</v>
      </c>
      <c r="L10" s="3">
        <f t="shared" si="6"/>
        <v>292591</v>
      </c>
      <c r="M10" s="8" t="str">
        <f t="shared" si="7"/>
        <v>**</v>
      </c>
      <c r="O10" s="29" t="s">
        <v>153</v>
      </c>
      <c r="P10" s="2">
        <v>220800</v>
      </c>
    </row>
    <row r="11" spans="1:16">
      <c r="A11" s="30">
        <v>303</v>
      </c>
      <c r="B11" s="29" t="s">
        <v>221</v>
      </c>
      <c r="C11" s="29" t="str">
        <f t="shared" si="0"/>
        <v>中部エリア</v>
      </c>
      <c r="D11" s="29" t="s">
        <v>154</v>
      </c>
      <c r="E11" s="2">
        <f t="shared" si="1"/>
        <v>209600</v>
      </c>
      <c r="F11" s="29">
        <v>749</v>
      </c>
      <c r="G11" s="29">
        <v>762</v>
      </c>
      <c r="H11" s="28">
        <f t="shared" si="2"/>
        <v>0.98199999999999998</v>
      </c>
      <c r="I11" s="2">
        <f t="shared" si="3"/>
        <v>44700</v>
      </c>
      <c r="J11" s="2">
        <f t="shared" si="4"/>
        <v>33850</v>
      </c>
      <c r="K11" s="2">
        <f t="shared" si="5"/>
        <v>11947</v>
      </c>
      <c r="L11" s="3">
        <f t="shared" si="6"/>
        <v>300097</v>
      </c>
      <c r="M11" s="8" t="str">
        <f t="shared" si="7"/>
        <v>***</v>
      </c>
      <c r="O11" s="29" t="s">
        <v>154</v>
      </c>
      <c r="P11" s="2">
        <v>209600</v>
      </c>
    </row>
    <row r="12" spans="1:16">
      <c r="A12" s="30">
        <v>401</v>
      </c>
      <c r="B12" s="29" t="s">
        <v>222</v>
      </c>
      <c r="C12" s="29" t="str">
        <f t="shared" si="0"/>
        <v>関西エリア</v>
      </c>
      <c r="D12" s="29" t="s">
        <v>225</v>
      </c>
      <c r="E12" s="2">
        <f t="shared" si="1"/>
        <v>198400</v>
      </c>
      <c r="F12" s="29">
        <v>772</v>
      </c>
      <c r="G12" s="29">
        <v>790</v>
      </c>
      <c r="H12" s="28">
        <f t="shared" si="2"/>
        <v>0.97699999999999998</v>
      </c>
      <c r="I12" s="2">
        <f t="shared" si="3"/>
        <v>46100</v>
      </c>
      <c r="J12" s="2">
        <f t="shared" si="4"/>
        <v>34890</v>
      </c>
      <c r="K12" s="2">
        <f t="shared" si="5"/>
        <v>11308</v>
      </c>
      <c r="L12" s="3">
        <f t="shared" si="6"/>
        <v>290698</v>
      </c>
      <c r="M12" s="8" t="str">
        <f t="shared" si="7"/>
        <v>*</v>
      </c>
      <c r="O12" s="29" t="s">
        <v>225</v>
      </c>
      <c r="P12" s="2">
        <v>198400</v>
      </c>
    </row>
    <row r="13" spans="1:16">
      <c r="A13" s="30">
        <v>402</v>
      </c>
      <c r="B13" s="29" t="s">
        <v>223</v>
      </c>
      <c r="C13" s="29" t="str">
        <f t="shared" si="0"/>
        <v>関西エリア</v>
      </c>
      <c r="D13" s="29" t="s">
        <v>153</v>
      </c>
      <c r="E13" s="2">
        <f t="shared" si="1"/>
        <v>220800</v>
      </c>
      <c r="F13" s="29">
        <v>839</v>
      </c>
      <c r="G13" s="29">
        <v>839</v>
      </c>
      <c r="H13" s="28">
        <f t="shared" si="2"/>
        <v>1</v>
      </c>
      <c r="I13" s="2">
        <f t="shared" si="3"/>
        <v>50100</v>
      </c>
      <c r="J13" s="2">
        <f t="shared" si="4"/>
        <v>37920</v>
      </c>
      <c r="K13" s="2">
        <f t="shared" si="5"/>
        <v>15014</v>
      </c>
      <c r="L13" s="3">
        <f t="shared" si="6"/>
        <v>323834</v>
      </c>
      <c r="M13" s="8" t="str">
        <f t="shared" si="7"/>
        <v>****</v>
      </c>
      <c r="O13" s="29" t="s">
        <v>226</v>
      </c>
      <c r="P13" s="2">
        <v>187300</v>
      </c>
    </row>
    <row r="14" spans="1:16">
      <c r="A14" s="30">
        <v>403</v>
      </c>
      <c r="B14" s="29" t="s">
        <v>224</v>
      </c>
      <c r="C14" s="29" t="str">
        <f t="shared" si="0"/>
        <v>関西エリア</v>
      </c>
      <c r="D14" s="29" t="s">
        <v>226</v>
      </c>
      <c r="E14" s="2">
        <f t="shared" si="1"/>
        <v>187300</v>
      </c>
      <c r="F14" s="29">
        <v>690</v>
      </c>
      <c r="G14" s="29">
        <v>735</v>
      </c>
      <c r="H14" s="28">
        <f t="shared" si="2"/>
        <v>0.93799999999999994</v>
      </c>
      <c r="I14" s="2">
        <f t="shared" si="3"/>
        <v>41200</v>
      </c>
      <c r="J14" s="2">
        <f t="shared" si="4"/>
        <v>31180</v>
      </c>
      <c r="K14" s="2">
        <f t="shared" si="5"/>
        <v>10676</v>
      </c>
      <c r="L14" s="3">
        <f t="shared" si="6"/>
        <v>270356</v>
      </c>
      <c r="M14" s="8" t="str">
        <f t="shared" si="7"/>
        <v>*</v>
      </c>
    </row>
    <row r="15" spans="1:16">
      <c r="A15" s="3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8"/>
      <c r="O15" s="27" t="s">
        <v>232</v>
      </c>
      <c r="P15" s="38">
        <v>59.6</v>
      </c>
    </row>
    <row r="16" spans="1:16" ht="19.5" thickBot="1">
      <c r="A16" s="31"/>
      <c r="B16" s="10" t="s">
        <v>32</v>
      </c>
      <c r="C16" s="32"/>
      <c r="D16" s="32"/>
      <c r="E16" s="12">
        <f>SUM(E3:E14)</f>
        <v>2448300</v>
      </c>
      <c r="F16" s="12">
        <f t="shared" ref="F16:L16" si="8">SUM(F3:F14)</f>
        <v>9506</v>
      </c>
      <c r="G16" s="12">
        <f t="shared" si="8"/>
        <v>9458</v>
      </c>
      <c r="H16" s="12"/>
      <c r="I16" s="12">
        <f t="shared" si="8"/>
        <v>567200</v>
      </c>
      <c r="J16" s="12">
        <f t="shared" si="8"/>
        <v>429610</v>
      </c>
      <c r="K16" s="12">
        <f t="shared" si="8"/>
        <v>155073</v>
      </c>
      <c r="L16" s="12">
        <f t="shared" si="8"/>
        <v>3600183</v>
      </c>
      <c r="M16" s="13"/>
      <c r="O16" s="27" t="s">
        <v>233</v>
      </c>
      <c r="P16" s="38">
        <v>45.2</v>
      </c>
    </row>
    <row r="18" spans="1:17" ht="19.5" thickBot="1">
      <c r="A18" s="40" t="s">
        <v>245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O18" s="56" t="s">
        <v>212</v>
      </c>
      <c r="P18" s="57" t="s">
        <v>210</v>
      </c>
      <c r="Q18" s="57"/>
    </row>
    <row r="19" spans="1:17">
      <c r="A19" s="4" t="s">
        <v>1</v>
      </c>
      <c r="B19" s="5" t="s">
        <v>2</v>
      </c>
      <c r="C19" s="5" t="s">
        <v>207</v>
      </c>
      <c r="D19" s="5" t="s">
        <v>208</v>
      </c>
      <c r="E19" s="5" t="s">
        <v>209</v>
      </c>
      <c r="F19" s="5" t="s">
        <v>68</v>
      </c>
      <c r="G19" s="5" t="s">
        <v>28</v>
      </c>
      <c r="H19" s="5" t="s">
        <v>210</v>
      </c>
      <c r="I19" s="5" t="s">
        <v>211</v>
      </c>
      <c r="J19" s="5" t="s">
        <v>43</v>
      </c>
      <c r="K19" s="5" t="s">
        <v>72</v>
      </c>
      <c r="L19" s="5" t="s">
        <v>212</v>
      </c>
      <c r="M19" s="6" t="s">
        <v>14</v>
      </c>
      <c r="O19" s="56"/>
      <c r="P19" s="29" t="s">
        <v>234</v>
      </c>
      <c r="Q19" s="37" t="s">
        <v>235</v>
      </c>
    </row>
    <row r="20" spans="1:17">
      <c r="A20" s="30">
        <v>402</v>
      </c>
      <c r="B20" s="29" t="s">
        <v>223</v>
      </c>
      <c r="C20" s="29" t="s">
        <v>244</v>
      </c>
      <c r="D20" s="29" t="s">
        <v>153</v>
      </c>
      <c r="E20" s="2">
        <v>220800</v>
      </c>
      <c r="F20" s="29">
        <v>839</v>
      </c>
      <c r="G20" s="29">
        <v>839</v>
      </c>
      <c r="H20" s="28">
        <v>1</v>
      </c>
      <c r="I20" s="2">
        <v>50100</v>
      </c>
      <c r="J20" s="2">
        <v>37920</v>
      </c>
      <c r="K20" s="2">
        <v>15014</v>
      </c>
      <c r="L20" s="3">
        <v>323834</v>
      </c>
      <c r="M20" s="8" t="s">
        <v>238</v>
      </c>
      <c r="O20" s="29">
        <v>1</v>
      </c>
      <c r="P20" s="29" t="s">
        <v>236</v>
      </c>
      <c r="Q20" s="29" t="s">
        <v>237</v>
      </c>
    </row>
    <row r="21" spans="1:17">
      <c r="A21" s="30">
        <v>201</v>
      </c>
      <c r="B21" s="29" t="s">
        <v>216</v>
      </c>
      <c r="C21" s="29" t="s">
        <v>242</v>
      </c>
      <c r="D21" s="29" t="s">
        <v>153</v>
      </c>
      <c r="E21" s="2">
        <v>220800</v>
      </c>
      <c r="F21" s="29">
        <v>820</v>
      </c>
      <c r="G21" s="29">
        <v>849</v>
      </c>
      <c r="H21" s="28">
        <v>0.96499999999999997</v>
      </c>
      <c r="I21" s="2">
        <v>48900</v>
      </c>
      <c r="J21" s="2">
        <v>37060</v>
      </c>
      <c r="K21" s="2">
        <v>12585</v>
      </c>
      <c r="L21" s="3">
        <v>319345</v>
      </c>
      <c r="M21" s="8" t="s">
        <v>155</v>
      </c>
      <c r="O21" s="2">
        <v>300000</v>
      </c>
      <c r="P21" s="29" t="s">
        <v>240</v>
      </c>
      <c r="Q21" s="29" t="s">
        <v>239</v>
      </c>
    </row>
    <row r="22" spans="1:17">
      <c r="A22" s="30">
        <v>301</v>
      </c>
      <c r="B22" s="29" t="s">
        <v>219</v>
      </c>
      <c r="C22" s="29" t="s">
        <v>243</v>
      </c>
      <c r="D22" s="29" t="s">
        <v>153</v>
      </c>
      <c r="E22" s="2">
        <v>220800</v>
      </c>
      <c r="F22" s="29">
        <v>815</v>
      </c>
      <c r="G22" s="29">
        <v>843</v>
      </c>
      <c r="H22" s="28">
        <v>0.96599999999999997</v>
      </c>
      <c r="I22" s="2">
        <v>48600</v>
      </c>
      <c r="J22" s="2">
        <v>36830</v>
      </c>
      <c r="K22" s="2">
        <v>12585</v>
      </c>
      <c r="L22" s="3">
        <v>318815</v>
      </c>
      <c r="M22" s="8" t="s">
        <v>155</v>
      </c>
    </row>
    <row r="23" spans="1:17">
      <c r="A23" s="30">
        <v>102</v>
      </c>
      <c r="B23" s="29" t="s">
        <v>214</v>
      </c>
      <c r="C23" s="29" t="s">
        <v>241</v>
      </c>
      <c r="D23" s="29" t="s">
        <v>154</v>
      </c>
      <c r="E23" s="2">
        <v>209600</v>
      </c>
      <c r="F23" s="29">
        <v>845</v>
      </c>
      <c r="G23" s="29">
        <v>820</v>
      </c>
      <c r="H23" s="28">
        <v>1.03</v>
      </c>
      <c r="I23" s="2">
        <v>50400</v>
      </c>
      <c r="J23" s="2">
        <v>38190</v>
      </c>
      <c r="K23" s="2">
        <v>14252</v>
      </c>
      <c r="L23" s="3">
        <v>312442</v>
      </c>
      <c r="M23" s="8" t="s">
        <v>238</v>
      </c>
    </row>
    <row r="24" spans="1:17">
      <c r="A24" s="30">
        <v>203</v>
      </c>
      <c r="B24" s="29" t="s">
        <v>218</v>
      </c>
      <c r="C24" s="29" t="s">
        <v>242</v>
      </c>
      <c r="D24" s="29" t="s">
        <v>154</v>
      </c>
      <c r="E24" s="2">
        <v>209600</v>
      </c>
      <c r="F24" s="29">
        <v>801</v>
      </c>
      <c r="G24" s="29">
        <v>760</v>
      </c>
      <c r="H24" s="28">
        <v>1.0529999999999999</v>
      </c>
      <c r="I24" s="2">
        <v>47800</v>
      </c>
      <c r="J24" s="2">
        <v>36200</v>
      </c>
      <c r="K24" s="2">
        <v>14252</v>
      </c>
      <c r="L24" s="3">
        <v>307852</v>
      </c>
      <c r="M24" s="8" t="s">
        <v>238</v>
      </c>
    </row>
    <row r="25" spans="1:17">
      <c r="A25" s="30">
        <v>303</v>
      </c>
      <c r="B25" s="29" t="s">
        <v>221</v>
      </c>
      <c r="C25" s="29" t="s">
        <v>243</v>
      </c>
      <c r="D25" s="29" t="s">
        <v>154</v>
      </c>
      <c r="E25" s="2">
        <v>209600</v>
      </c>
      <c r="F25" s="29">
        <v>749</v>
      </c>
      <c r="G25" s="29">
        <v>762</v>
      </c>
      <c r="H25" s="28">
        <v>0.98199999999999998</v>
      </c>
      <c r="I25" s="2">
        <v>44700</v>
      </c>
      <c r="J25" s="2">
        <v>33850</v>
      </c>
      <c r="K25" s="2">
        <v>11947</v>
      </c>
      <c r="L25" s="3">
        <v>300097</v>
      </c>
      <c r="M25" s="8" t="s">
        <v>155</v>
      </c>
    </row>
    <row r="26" spans="1:17">
      <c r="A26" s="3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8"/>
    </row>
    <row r="27" spans="1:17" ht="19.5" thickBot="1">
      <c r="A27" s="31"/>
      <c r="B27" s="10" t="s">
        <v>32</v>
      </c>
      <c r="C27" s="32"/>
      <c r="D27" s="32"/>
      <c r="E27" s="12">
        <v>2448300</v>
      </c>
      <c r="F27" s="12">
        <v>9506</v>
      </c>
      <c r="G27" s="12">
        <v>9458</v>
      </c>
      <c r="H27" s="12"/>
      <c r="I27" s="12">
        <v>567200</v>
      </c>
      <c r="J27" s="12">
        <v>429610</v>
      </c>
      <c r="K27" s="12">
        <v>155073</v>
      </c>
      <c r="L27" s="12">
        <v>3600183</v>
      </c>
      <c r="M27" s="13"/>
    </row>
    <row r="29" spans="1:17" ht="19.5" thickBot="1">
      <c r="A29" s="40" t="s">
        <v>246</v>
      </c>
      <c r="B29" s="40"/>
      <c r="C29" s="40"/>
      <c r="D29" s="40"/>
    </row>
    <row r="30" spans="1:17">
      <c r="A30" s="4" t="s">
        <v>207</v>
      </c>
      <c r="B30" s="5" t="s">
        <v>68</v>
      </c>
      <c r="C30" s="5" t="s">
        <v>211</v>
      </c>
      <c r="D30" s="6" t="s">
        <v>43</v>
      </c>
      <c r="F30" s="29" t="s">
        <v>207</v>
      </c>
      <c r="G30" s="29" t="s">
        <v>207</v>
      </c>
      <c r="H30" s="29" t="s">
        <v>207</v>
      </c>
      <c r="I30" s="29" t="s">
        <v>207</v>
      </c>
    </row>
    <row r="31" spans="1:17">
      <c r="A31" s="30" t="s">
        <v>247</v>
      </c>
      <c r="B31" s="2">
        <f>DSUM(社員別給料計算表5,B$30,$F$30:$F$31)</f>
        <v>2476</v>
      </c>
      <c r="C31" s="2">
        <f>DSUM(社員別給料計算表5,C$30,$F$30:$F$31)</f>
        <v>147700</v>
      </c>
      <c r="D31" s="14">
        <f>DSUM(社員別給料計算表5,D$30,$F$30:$F$31)</f>
        <v>111900</v>
      </c>
      <c r="F31" s="29" t="s">
        <v>247</v>
      </c>
      <c r="G31" s="29" t="s">
        <v>248</v>
      </c>
      <c r="H31" s="29" t="s">
        <v>249</v>
      </c>
      <c r="I31" s="29" t="s">
        <v>250</v>
      </c>
    </row>
    <row r="32" spans="1:17">
      <c r="A32" s="30" t="s">
        <v>248</v>
      </c>
      <c r="B32" s="2">
        <f>DSUM(社員別給料計算表5,B$30,$G$30:$G$31)</f>
        <v>2395</v>
      </c>
      <c r="C32" s="2">
        <f>DSUM(社員別給料計算表5,C$30,$G$30:$G$31)</f>
        <v>142900</v>
      </c>
      <c r="D32" s="14">
        <f>DSUM(社員別給料計算表5,D$30,$G$30:$G$31)</f>
        <v>108240</v>
      </c>
    </row>
    <row r="33" spans="1:4">
      <c r="A33" s="30" t="s">
        <v>249</v>
      </c>
      <c r="B33" s="2">
        <f>DSUM(社員別給料計算表5,B$30,$H$30:$H$31)</f>
        <v>2334</v>
      </c>
      <c r="C33" s="2">
        <f>DSUM(社員別給料計算表5,C$30,$H$30:$H$31)</f>
        <v>139200</v>
      </c>
      <c r="D33" s="14">
        <f>DSUM(社員別給料計算表5,D$30,$H$30:$H$31)</f>
        <v>105480</v>
      </c>
    </row>
    <row r="34" spans="1:4" ht="19.5" thickBot="1">
      <c r="A34" s="31" t="s">
        <v>250</v>
      </c>
      <c r="B34" s="15">
        <f>DSUM(社員別給料計算表5,B$30,$I$30:$I$31)</f>
        <v>2301</v>
      </c>
      <c r="C34" s="15">
        <f>DSUM(社員別給料計算表5,C$30,$I$30:$I$31)</f>
        <v>137400</v>
      </c>
      <c r="D34" s="16">
        <f>DSUM(社員別給料計算表5,D$30,$I$30:$I$31)</f>
        <v>103990</v>
      </c>
    </row>
    <row r="37" spans="1:4">
      <c r="A37" t="s">
        <v>251</v>
      </c>
    </row>
  </sheetData>
  <sortState ref="A20:M25">
    <sortCondition descending="1" ref="L19"/>
  </sortState>
  <mergeCells count="5">
    <mergeCell ref="A1:M1"/>
    <mergeCell ref="O18:O19"/>
    <mergeCell ref="P18:Q18"/>
    <mergeCell ref="A18:M18"/>
    <mergeCell ref="A29:D29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CE2F-E673-40E6-A3B1-1F20A7E8C930}">
  <dimension ref="A9:B18"/>
  <sheetViews>
    <sheetView tabSelected="1" topLeftCell="A15" workbookViewId="0">
      <selection activeCell="A17" activeCellId="1" sqref="B10:B17 A10:A17"/>
    </sheetView>
  </sheetViews>
  <sheetFormatPr defaultRowHeight="18.75"/>
  <cols>
    <col min="1" max="1" width="29.625" bestFit="1" customWidth="1"/>
    <col min="2" max="2" width="7.125" bestFit="1" customWidth="1"/>
  </cols>
  <sheetData>
    <row r="9" spans="1:2" ht="19.5" thickBot="1">
      <c r="A9" s="40" t="s">
        <v>252</v>
      </c>
      <c r="B9" s="40"/>
    </row>
    <row r="10" spans="1:2">
      <c r="A10" s="59" t="s">
        <v>253</v>
      </c>
      <c r="B10" s="60" t="s">
        <v>254</v>
      </c>
    </row>
    <row r="11" spans="1:2">
      <c r="A11" s="33" t="s">
        <v>259</v>
      </c>
      <c r="B11" s="8">
        <v>345</v>
      </c>
    </row>
    <row r="12" spans="1:2">
      <c r="A12" s="33" t="s">
        <v>257</v>
      </c>
      <c r="B12" s="8">
        <v>285</v>
      </c>
    </row>
    <row r="13" spans="1:2">
      <c r="A13" s="33" t="s">
        <v>260</v>
      </c>
      <c r="B13" s="8">
        <v>175</v>
      </c>
    </row>
    <row r="14" spans="1:2">
      <c r="A14" s="33" t="s">
        <v>256</v>
      </c>
      <c r="B14" s="8">
        <v>115</v>
      </c>
    </row>
    <row r="15" spans="1:2">
      <c r="A15" s="33" t="s">
        <v>261</v>
      </c>
      <c r="B15" s="8">
        <v>67</v>
      </c>
    </row>
    <row r="16" spans="1:2">
      <c r="A16" s="33" t="s">
        <v>255</v>
      </c>
      <c r="B16" s="8">
        <v>58</v>
      </c>
    </row>
    <row r="17" spans="1:2" ht="19.5" thickBot="1">
      <c r="A17" s="34" t="s">
        <v>258</v>
      </c>
      <c r="B17" s="13">
        <v>41</v>
      </c>
    </row>
    <row r="18" spans="1:2">
      <c r="A18" s="58" t="s">
        <v>262</v>
      </c>
      <c r="B18" s="58"/>
    </row>
  </sheetData>
  <sortState ref="A10:B18">
    <sortCondition descending="1" ref="B10"/>
  </sortState>
  <mergeCells count="2">
    <mergeCell ref="A9:B9"/>
    <mergeCell ref="A18:B18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1-1</vt:lpstr>
      <vt:lpstr>1-2</vt:lpstr>
      <vt:lpstr>1-3</vt:lpstr>
      <vt:lpstr>1-4</vt:lpstr>
      <vt:lpstr>1-5</vt:lpstr>
      <vt:lpstr>Sheet1</vt:lpstr>
      <vt:lpstr>委託販売一覧表2</vt:lpstr>
      <vt:lpstr>支店別販売一覧表4</vt:lpstr>
      <vt:lpstr>社員別給料計算表5</vt:lpstr>
      <vt:lpstr>社員別賃金一覧表1</vt:lpstr>
      <vt:lpstr>得意先別売上一覧表3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seito</dc:creator>
  <cp:lastModifiedBy>23Mobile011</cp:lastModifiedBy>
  <cp:lastPrinted>2023-12-21T02:08:49Z</cp:lastPrinted>
  <dcterms:created xsi:type="dcterms:W3CDTF">2015-06-05T18:19:34Z</dcterms:created>
  <dcterms:modified xsi:type="dcterms:W3CDTF">2024-01-25T01:23:31Z</dcterms:modified>
</cp:coreProperties>
</file>