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3.36\課題回収\おくむら(Web1B)\012コウヨウ\"/>
    </mc:Choice>
  </mc:AlternateContent>
  <xr:revisionPtr revIDLastSave="0" documentId="13_ncr:1_{C80311E2-4E7F-4C93-A6B7-79498CC08A18}" xr6:coauthVersionLast="36" xr6:coauthVersionMax="36" xr10:uidLastSave="{00000000-0000-0000-0000-000000000000}"/>
  <bookViews>
    <workbookView xWindow="0" yWindow="0" windowWidth="22590" windowHeight="10980" firstSheet="1" activeTab="12" xr2:uid="{B3AED297-72CF-436A-9771-C826CB3A11EB}"/>
  </bookViews>
  <sheets>
    <sheet name="2-1 完成例" sheetId="2" r:id="rId1"/>
    <sheet name="2-1" sheetId="1" r:id="rId2"/>
    <sheet name="2-2" sheetId="3" r:id="rId3"/>
    <sheet name="2-3" sheetId="4" r:id="rId4"/>
    <sheet name="2-4" sheetId="5" r:id="rId5"/>
    <sheet name="2-5" sheetId="6" r:id="rId6"/>
    <sheet name="2-6" sheetId="7" r:id="rId7"/>
    <sheet name="2-7" sheetId="8" r:id="rId8"/>
    <sheet name="2-8" sheetId="9" r:id="rId9"/>
    <sheet name="2-9" sheetId="10" r:id="rId10"/>
    <sheet name="2-10" sheetId="11" r:id="rId11"/>
    <sheet name="2-11" sheetId="12" r:id="rId12"/>
    <sheet name="2-12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4" l="1"/>
  <c r="H18" i="4"/>
  <c r="H19" i="4"/>
  <c r="H20" i="4"/>
  <c r="H21" i="4"/>
  <c r="H22" i="4"/>
  <c r="H23" i="4"/>
  <c r="H16" i="4"/>
  <c r="E16" i="6"/>
  <c r="E17" i="6"/>
  <c r="E18" i="6"/>
  <c r="F18" i="6" s="1"/>
  <c r="E19" i="6"/>
  <c r="F19" i="6" s="1"/>
  <c r="E20" i="6"/>
  <c r="E21" i="6"/>
  <c r="E15" i="6"/>
  <c r="F15" i="6" s="1"/>
  <c r="F4" i="6"/>
  <c r="F5" i="6"/>
  <c r="F6" i="6"/>
  <c r="F7" i="6"/>
  <c r="F8" i="6"/>
  <c r="F9" i="6"/>
  <c r="F3" i="6"/>
  <c r="F16" i="6"/>
  <c r="F17" i="6"/>
  <c r="F20" i="6"/>
  <c r="F21" i="6"/>
  <c r="F4" i="13"/>
  <c r="F5" i="13"/>
  <c r="F6" i="13"/>
  <c r="F7" i="13"/>
  <c r="F8" i="13"/>
  <c r="F9" i="13"/>
  <c r="F10" i="13"/>
  <c r="F3" i="13"/>
  <c r="H20" i="13" s="1"/>
  <c r="J20" i="13" s="1"/>
  <c r="D25" i="13"/>
  <c r="C25" i="13"/>
  <c r="H21" i="13"/>
  <c r="J21" i="13" s="1"/>
  <c r="H17" i="13"/>
  <c r="J17" i="13" s="1"/>
  <c r="H23" i="13"/>
  <c r="I23" i="13" s="1"/>
  <c r="H22" i="13"/>
  <c r="I22" i="13" s="1"/>
  <c r="H19" i="13"/>
  <c r="I19" i="13" s="1"/>
  <c r="H18" i="13"/>
  <c r="I18" i="13" s="1"/>
  <c r="H16" i="13"/>
  <c r="I16" i="13" s="1"/>
  <c r="F21" i="13"/>
  <c r="G21" i="13" s="1"/>
  <c r="F17" i="13"/>
  <c r="G17" i="13" s="1"/>
  <c r="F23" i="13"/>
  <c r="F22" i="13"/>
  <c r="G22" i="13" s="1"/>
  <c r="F19" i="13"/>
  <c r="G19" i="13" s="1"/>
  <c r="F18" i="13"/>
  <c r="G18" i="13" s="1"/>
  <c r="F16" i="13"/>
  <c r="G16" i="13" s="1"/>
  <c r="E21" i="13"/>
  <c r="E17" i="13"/>
  <c r="E23" i="13"/>
  <c r="E22" i="13"/>
  <c r="E19" i="13"/>
  <c r="E18" i="13"/>
  <c r="E16" i="13"/>
  <c r="F20" i="13"/>
  <c r="G20" i="13" s="1"/>
  <c r="E20" i="13"/>
  <c r="D12" i="13"/>
  <c r="C12" i="13"/>
  <c r="E4" i="13"/>
  <c r="E5" i="13"/>
  <c r="E6" i="13"/>
  <c r="E7" i="13"/>
  <c r="E8" i="13"/>
  <c r="E9" i="13"/>
  <c r="E10" i="13"/>
  <c r="E3" i="13"/>
  <c r="D20" i="12"/>
  <c r="D22" i="12"/>
  <c r="D24" i="12"/>
  <c r="D17" i="12"/>
  <c r="D18" i="12"/>
  <c r="D21" i="12"/>
  <c r="D19" i="12"/>
  <c r="D23" i="12"/>
  <c r="C20" i="12"/>
  <c r="C22" i="12"/>
  <c r="C24" i="12"/>
  <c r="C17" i="12"/>
  <c r="C28" i="12" s="1"/>
  <c r="C18" i="12"/>
  <c r="C21" i="12"/>
  <c r="C19" i="12"/>
  <c r="C23" i="12"/>
  <c r="D25" i="12"/>
  <c r="C25" i="12"/>
  <c r="I13" i="12"/>
  <c r="G13" i="12"/>
  <c r="I14" i="8"/>
  <c r="I15" i="8"/>
  <c r="I16" i="8"/>
  <c r="I17" i="8"/>
  <c r="I18" i="8"/>
  <c r="I19" i="8"/>
  <c r="I20" i="8"/>
  <c r="I13" i="8"/>
  <c r="E25" i="13" l="1"/>
  <c r="J16" i="13"/>
  <c r="K16" i="13" s="1"/>
  <c r="F25" i="13"/>
  <c r="I17" i="13"/>
  <c r="K17" i="13" s="1"/>
  <c r="I21" i="13"/>
  <c r="J18" i="13"/>
  <c r="K18" i="13" s="1"/>
  <c r="G23" i="13"/>
  <c r="G25" i="13" s="1"/>
  <c r="J19" i="13"/>
  <c r="K19" i="13" s="1"/>
  <c r="J22" i="13"/>
  <c r="K22" i="13" s="1"/>
  <c r="J23" i="13"/>
  <c r="I20" i="13"/>
  <c r="K20" i="13" s="1"/>
  <c r="F25" i="12"/>
  <c r="F19" i="12"/>
  <c r="G19" i="12" s="1"/>
  <c r="E25" i="12"/>
  <c r="D27" i="12"/>
  <c r="D28" i="12"/>
  <c r="E23" i="12"/>
  <c r="F23" i="12" s="1"/>
  <c r="G23" i="12" s="1"/>
  <c r="F18" i="12"/>
  <c r="G18" i="12" s="1"/>
  <c r="E19" i="12"/>
  <c r="E21" i="12"/>
  <c r="F21" i="12" s="1"/>
  <c r="G21" i="12" s="1"/>
  <c r="E18" i="12"/>
  <c r="E17" i="12"/>
  <c r="E24" i="12"/>
  <c r="F24" i="12" s="1"/>
  <c r="G24" i="12" s="1"/>
  <c r="G25" i="12"/>
  <c r="E22" i="12"/>
  <c r="F22" i="12" s="1"/>
  <c r="G22" i="12" s="1"/>
  <c r="C27" i="12"/>
  <c r="E20" i="12"/>
  <c r="F20" i="12" s="1"/>
  <c r="G20" i="12" s="1"/>
  <c r="I4" i="12"/>
  <c r="I5" i="12"/>
  <c r="I6" i="12"/>
  <c r="I7" i="12"/>
  <c r="I8" i="12"/>
  <c r="I9" i="12"/>
  <c r="I10" i="12"/>
  <c r="I11" i="12"/>
  <c r="H4" i="12"/>
  <c r="H5" i="12"/>
  <c r="H6" i="12"/>
  <c r="H7" i="12"/>
  <c r="H8" i="12"/>
  <c r="H9" i="12"/>
  <c r="H10" i="12"/>
  <c r="H11" i="12"/>
  <c r="H3" i="12"/>
  <c r="I3" i="12" s="1"/>
  <c r="F4" i="12"/>
  <c r="F5" i="12"/>
  <c r="F6" i="12"/>
  <c r="F7" i="12"/>
  <c r="F8" i="12"/>
  <c r="F9" i="12"/>
  <c r="F10" i="12"/>
  <c r="F11" i="12"/>
  <c r="E4" i="12"/>
  <c r="E5" i="12"/>
  <c r="E6" i="12"/>
  <c r="E7" i="12"/>
  <c r="E8" i="12"/>
  <c r="E9" i="12"/>
  <c r="E10" i="12"/>
  <c r="E11" i="12"/>
  <c r="D4" i="12"/>
  <c r="D5" i="12"/>
  <c r="D6" i="12"/>
  <c r="D7" i="12"/>
  <c r="D8" i="12"/>
  <c r="D9" i="12"/>
  <c r="D10" i="12"/>
  <c r="D11" i="12"/>
  <c r="D3" i="12"/>
  <c r="F3" i="12"/>
  <c r="E3" i="12"/>
  <c r="D32" i="7"/>
  <c r="D30" i="7"/>
  <c r="D33" i="7"/>
  <c r="D31" i="7"/>
  <c r="D29" i="7"/>
  <c r="D27" i="7"/>
  <c r="D35" i="7" s="1"/>
  <c r="C32" i="7"/>
  <c r="F32" i="7" s="1"/>
  <c r="C30" i="7"/>
  <c r="F30" i="7" s="1"/>
  <c r="C33" i="7"/>
  <c r="F33" i="7" s="1"/>
  <c r="C31" i="7"/>
  <c r="E31" i="7" s="1"/>
  <c r="C29" i="7"/>
  <c r="E29" i="7" s="1"/>
  <c r="C27" i="7"/>
  <c r="C35" i="7" s="1"/>
  <c r="D28" i="7"/>
  <c r="C28" i="7"/>
  <c r="F28" i="7" s="1"/>
  <c r="D28" i="11"/>
  <c r="D33" i="11"/>
  <c r="D27" i="11"/>
  <c r="D36" i="11" s="1"/>
  <c r="D30" i="11"/>
  <c r="D29" i="11"/>
  <c r="D32" i="11"/>
  <c r="C28" i="11"/>
  <c r="C33" i="11"/>
  <c r="C27" i="11"/>
  <c r="E27" i="11" s="1"/>
  <c r="C30" i="11"/>
  <c r="E30" i="11" s="1"/>
  <c r="C29" i="11"/>
  <c r="E29" i="11" s="1"/>
  <c r="D31" i="11"/>
  <c r="D35" i="11" s="1"/>
  <c r="C31" i="11"/>
  <c r="D23" i="11"/>
  <c r="C23" i="11"/>
  <c r="E21" i="11"/>
  <c r="F21" i="11" s="1"/>
  <c r="G21" i="11" s="1"/>
  <c r="E20" i="11"/>
  <c r="F20" i="11" s="1"/>
  <c r="G20" i="11" s="1"/>
  <c r="E19" i="11"/>
  <c r="F19" i="11" s="1"/>
  <c r="G19" i="11" s="1"/>
  <c r="E18" i="11"/>
  <c r="F18" i="11" s="1"/>
  <c r="G18" i="11" s="1"/>
  <c r="E17" i="11"/>
  <c r="F17" i="11" s="1"/>
  <c r="G17" i="11" s="1"/>
  <c r="E16" i="11"/>
  <c r="F16" i="11" s="1"/>
  <c r="G16" i="11" s="1"/>
  <c r="E15" i="11"/>
  <c r="F15" i="11" s="1"/>
  <c r="G15" i="11" s="1"/>
  <c r="D11" i="11"/>
  <c r="C11" i="11"/>
  <c r="G4" i="11"/>
  <c r="G5" i="11"/>
  <c r="G6" i="11"/>
  <c r="G7" i="11"/>
  <c r="G8" i="11"/>
  <c r="F4" i="11"/>
  <c r="F5" i="11"/>
  <c r="F6" i="11"/>
  <c r="F7" i="11"/>
  <c r="F8" i="11"/>
  <c r="E4" i="11"/>
  <c r="E5" i="11"/>
  <c r="E6" i="11"/>
  <c r="E7" i="11"/>
  <c r="E8" i="11"/>
  <c r="E9" i="11"/>
  <c r="F9" i="11" s="1"/>
  <c r="G9" i="11" s="1"/>
  <c r="G3" i="11"/>
  <c r="F3" i="11"/>
  <c r="E3" i="11"/>
  <c r="C32" i="11" l="1"/>
  <c r="C35" i="11" s="1"/>
  <c r="G11" i="11"/>
  <c r="C36" i="11"/>
  <c r="G33" i="11" s="1"/>
  <c r="E33" i="11"/>
  <c r="F33" i="11" s="1"/>
  <c r="E31" i="11"/>
  <c r="F30" i="11"/>
  <c r="G29" i="11"/>
  <c r="E28" i="11"/>
  <c r="F28" i="11" s="1"/>
  <c r="F29" i="11"/>
  <c r="F27" i="11"/>
  <c r="G30" i="11"/>
  <c r="I25" i="13"/>
  <c r="K23" i="13"/>
  <c r="K21" i="13"/>
  <c r="J25" i="13"/>
  <c r="F17" i="12"/>
  <c r="E33" i="7"/>
  <c r="E30" i="7"/>
  <c r="E32" i="7"/>
  <c r="F27" i="7"/>
  <c r="F29" i="7"/>
  <c r="F31" i="7"/>
  <c r="E28" i="7"/>
  <c r="E27" i="7"/>
  <c r="E35" i="7" s="1"/>
  <c r="G23" i="11"/>
  <c r="G19" i="10"/>
  <c r="F19" i="10"/>
  <c r="J17" i="10"/>
  <c r="I16" i="10"/>
  <c r="H15" i="10"/>
  <c r="H14" i="10"/>
  <c r="H17" i="10"/>
  <c r="H16" i="10"/>
  <c r="H11" i="10"/>
  <c r="H10" i="10"/>
  <c r="H13" i="10"/>
  <c r="H12" i="10"/>
  <c r="E15" i="10"/>
  <c r="I15" i="10" s="1"/>
  <c r="E14" i="10"/>
  <c r="I14" i="10" s="1"/>
  <c r="E17" i="10"/>
  <c r="I17" i="10" s="1"/>
  <c r="K17" i="10" s="1"/>
  <c r="E16" i="10"/>
  <c r="J16" i="10" s="1"/>
  <c r="E11" i="10"/>
  <c r="I11" i="10" s="1"/>
  <c r="E10" i="10"/>
  <c r="J10" i="10" s="1"/>
  <c r="E13" i="10"/>
  <c r="J13" i="10" s="1"/>
  <c r="D15" i="10"/>
  <c r="D14" i="10"/>
  <c r="D17" i="10"/>
  <c r="D16" i="10"/>
  <c r="D11" i="10"/>
  <c r="D10" i="10"/>
  <c r="D13" i="10"/>
  <c r="E12" i="10"/>
  <c r="I12" i="10" s="1"/>
  <c r="D12" i="10"/>
  <c r="E4" i="10"/>
  <c r="E5" i="10"/>
  <c r="E6" i="10"/>
  <c r="D4" i="10"/>
  <c r="D5" i="10"/>
  <c r="D6" i="10"/>
  <c r="E3" i="10"/>
  <c r="D3" i="10"/>
  <c r="D18" i="9"/>
  <c r="D17" i="9"/>
  <c r="D15" i="9"/>
  <c r="D23" i="9" s="1"/>
  <c r="D19" i="9"/>
  <c r="D21" i="9"/>
  <c r="D20" i="9"/>
  <c r="D16" i="9"/>
  <c r="C18" i="9"/>
  <c r="G18" i="9" s="1"/>
  <c r="C17" i="9"/>
  <c r="G17" i="9" s="1"/>
  <c r="C15" i="9"/>
  <c r="G15" i="9" s="1"/>
  <c r="C19" i="9"/>
  <c r="G19" i="9" s="1"/>
  <c r="C21" i="9"/>
  <c r="G21" i="9" s="1"/>
  <c r="C20" i="9"/>
  <c r="G20" i="9" s="1"/>
  <c r="C16" i="9"/>
  <c r="H11" i="9"/>
  <c r="I11" i="9"/>
  <c r="I4" i="9"/>
  <c r="I5" i="9"/>
  <c r="I6" i="9"/>
  <c r="I7" i="9"/>
  <c r="I8" i="9"/>
  <c r="I9" i="9"/>
  <c r="H4" i="9"/>
  <c r="H5" i="9"/>
  <c r="H6" i="9"/>
  <c r="H7" i="9"/>
  <c r="H8" i="9"/>
  <c r="H9" i="9"/>
  <c r="E4" i="9"/>
  <c r="E5" i="9"/>
  <c r="E6" i="9"/>
  <c r="E7" i="9"/>
  <c r="E8" i="9"/>
  <c r="E9" i="9"/>
  <c r="D4" i="9"/>
  <c r="D5" i="9"/>
  <c r="D6" i="9"/>
  <c r="D7" i="9"/>
  <c r="D8" i="9"/>
  <c r="D9" i="9"/>
  <c r="I3" i="9"/>
  <c r="H3" i="9"/>
  <c r="E3" i="9"/>
  <c r="D3" i="9"/>
  <c r="E22" i="8"/>
  <c r="I22" i="8"/>
  <c r="F14" i="8"/>
  <c r="F20" i="8"/>
  <c r="F17" i="8"/>
  <c r="F13" i="8"/>
  <c r="F22" i="8" s="1"/>
  <c r="F16" i="8"/>
  <c r="F18" i="8"/>
  <c r="F15" i="8"/>
  <c r="G15" i="8" s="1"/>
  <c r="D19" i="8"/>
  <c r="F19" i="8"/>
  <c r="D14" i="8"/>
  <c r="D20" i="8"/>
  <c r="D17" i="8"/>
  <c r="D13" i="8"/>
  <c r="D16" i="8"/>
  <c r="D18" i="8"/>
  <c r="D15" i="8"/>
  <c r="E9" i="8"/>
  <c r="F9" i="8"/>
  <c r="G9" i="8"/>
  <c r="C9" i="8"/>
  <c r="G4" i="8"/>
  <c r="G5" i="8"/>
  <c r="G6" i="8"/>
  <c r="G7" i="8"/>
  <c r="F4" i="8"/>
  <c r="F5" i="8"/>
  <c r="F6" i="8"/>
  <c r="F7" i="8"/>
  <c r="E4" i="8"/>
  <c r="E5" i="8"/>
  <c r="E6" i="8"/>
  <c r="E7" i="8"/>
  <c r="D4" i="8"/>
  <c r="D5" i="8"/>
  <c r="D6" i="8"/>
  <c r="D7" i="8"/>
  <c r="G3" i="8"/>
  <c r="F3" i="8"/>
  <c r="E3" i="8"/>
  <c r="D3" i="8"/>
  <c r="G27" i="11" l="1"/>
  <c r="G31" i="11"/>
  <c r="F31" i="11"/>
  <c r="E32" i="11"/>
  <c r="E35" i="11" s="1"/>
  <c r="G32" i="11"/>
  <c r="F32" i="11"/>
  <c r="G28" i="11"/>
  <c r="K25" i="13"/>
  <c r="F28" i="12"/>
  <c r="F27" i="12"/>
  <c r="G17" i="12"/>
  <c r="E16" i="9"/>
  <c r="F16" i="9" s="1"/>
  <c r="F20" i="9"/>
  <c r="H20" i="9"/>
  <c r="G16" i="9"/>
  <c r="H17" i="9"/>
  <c r="H18" i="9"/>
  <c r="E20" i="9"/>
  <c r="I20" i="9" s="1"/>
  <c r="J20" i="9" s="1"/>
  <c r="C23" i="9"/>
  <c r="E21" i="9"/>
  <c r="E19" i="9"/>
  <c r="F19" i="9" s="1"/>
  <c r="E15" i="9"/>
  <c r="E17" i="9"/>
  <c r="E18" i="9"/>
  <c r="K16" i="10"/>
  <c r="L17" i="10"/>
  <c r="L16" i="10"/>
  <c r="K11" i="10"/>
  <c r="L11" i="10" s="1"/>
  <c r="K12" i="10"/>
  <c r="L12" i="10" s="1"/>
  <c r="J11" i="10"/>
  <c r="I13" i="10"/>
  <c r="K13" i="10" s="1"/>
  <c r="L13" i="10" s="1"/>
  <c r="J14" i="10"/>
  <c r="K14" i="10" s="1"/>
  <c r="L14" i="10" s="1"/>
  <c r="J12" i="10"/>
  <c r="J19" i="10" s="1"/>
  <c r="I10" i="10"/>
  <c r="J15" i="10"/>
  <c r="K15" i="10" s="1"/>
  <c r="L15" i="10" s="1"/>
  <c r="G19" i="8"/>
  <c r="J19" i="8" s="1"/>
  <c r="K19" i="8" s="1"/>
  <c r="J15" i="8"/>
  <c r="K15" i="8" s="1"/>
  <c r="G18" i="8"/>
  <c r="J18" i="8" s="1"/>
  <c r="K18" i="8" s="1"/>
  <c r="G16" i="8"/>
  <c r="J16" i="8" s="1"/>
  <c r="K16" i="8" s="1"/>
  <c r="G13" i="8"/>
  <c r="G17" i="8"/>
  <c r="J17" i="8" s="1"/>
  <c r="K17" i="8" s="1"/>
  <c r="G20" i="8"/>
  <c r="J20" i="8" s="1"/>
  <c r="K20" i="8" s="1"/>
  <c r="G14" i="8"/>
  <c r="J14" i="8" s="1"/>
  <c r="K14" i="8" s="1"/>
  <c r="F16" i="7"/>
  <c r="G16" i="7" s="1"/>
  <c r="F17" i="7"/>
  <c r="G17" i="7" s="1"/>
  <c r="F18" i="7"/>
  <c r="G18" i="7" s="1"/>
  <c r="F19" i="7"/>
  <c r="F20" i="7"/>
  <c r="F21" i="7"/>
  <c r="F15" i="7"/>
  <c r="G15" i="7" s="1"/>
  <c r="G19" i="7"/>
  <c r="G20" i="7"/>
  <c r="G21" i="7"/>
  <c r="E16" i="7"/>
  <c r="E17" i="7"/>
  <c r="E18" i="7"/>
  <c r="E19" i="7"/>
  <c r="E20" i="7"/>
  <c r="E21" i="7"/>
  <c r="E15" i="7"/>
  <c r="D23" i="7"/>
  <c r="C23" i="7"/>
  <c r="G4" i="7"/>
  <c r="G5" i="7"/>
  <c r="G6" i="7"/>
  <c r="G7" i="7"/>
  <c r="G8" i="7"/>
  <c r="G9" i="7"/>
  <c r="G3" i="7"/>
  <c r="F4" i="7"/>
  <c r="F5" i="7"/>
  <c r="F6" i="7"/>
  <c r="F7" i="7"/>
  <c r="F8" i="7"/>
  <c r="F9" i="7"/>
  <c r="E4" i="7"/>
  <c r="E5" i="7"/>
  <c r="E6" i="7"/>
  <c r="E7" i="7"/>
  <c r="E8" i="7"/>
  <c r="E9" i="7"/>
  <c r="F3" i="7"/>
  <c r="D11" i="7"/>
  <c r="C11" i="7"/>
  <c r="E3" i="7"/>
  <c r="D27" i="6"/>
  <c r="D33" i="6"/>
  <c r="D32" i="6"/>
  <c r="D30" i="6"/>
  <c r="D28" i="6"/>
  <c r="D31" i="6"/>
  <c r="C27" i="6"/>
  <c r="C33" i="6"/>
  <c r="C32" i="6"/>
  <c r="C30" i="6"/>
  <c r="C28" i="6"/>
  <c r="C31" i="6"/>
  <c r="D29" i="6"/>
  <c r="C29" i="6"/>
  <c r="D23" i="6"/>
  <c r="C23" i="6"/>
  <c r="D11" i="6"/>
  <c r="E11" i="6"/>
  <c r="C11" i="6"/>
  <c r="E4" i="6"/>
  <c r="E5" i="6"/>
  <c r="E6" i="6"/>
  <c r="E7" i="6"/>
  <c r="E8" i="6"/>
  <c r="E9" i="6"/>
  <c r="E3" i="6"/>
  <c r="F23" i="5"/>
  <c r="H20" i="5"/>
  <c r="J20" i="5" s="1"/>
  <c r="K20" i="5" s="1"/>
  <c r="H16" i="5"/>
  <c r="G15" i="5"/>
  <c r="G20" i="5"/>
  <c r="G19" i="5"/>
  <c r="G17" i="5"/>
  <c r="G16" i="5"/>
  <c r="G13" i="5"/>
  <c r="G23" i="5" s="1"/>
  <c r="G18" i="5"/>
  <c r="G21" i="5"/>
  <c r="E15" i="5"/>
  <c r="H15" i="5" s="1"/>
  <c r="E20" i="5"/>
  <c r="I20" i="5" s="1"/>
  <c r="E19" i="5"/>
  <c r="H19" i="5" s="1"/>
  <c r="E17" i="5"/>
  <c r="I17" i="5" s="1"/>
  <c r="E16" i="5"/>
  <c r="I16" i="5" s="1"/>
  <c r="E13" i="5"/>
  <c r="I13" i="5" s="1"/>
  <c r="E18" i="5"/>
  <c r="I18" i="5" s="1"/>
  <c r="E21" i="5"/>
  <c r="H21" i="5" s="1"/>
  <c r="D15" i="5"/>
  <c r="D20" i="5"/>
  <c r="D19" i="5"/>
  <c r="D17" i="5"/>
  <c r="D16" i="5"/>
  <c r="D13" i="5"/>
  <c r="D18" i="5"/>
  <c r="D21" i="5"/>
  <c r="G14" i="5"/>
  <c r="E14" i="5"/>
  <c r="I14" i="5" s="1"/>
  <c r="D14" i="5"/>
  <c r="D9" i="5"/>
  <c r="C9" i="5"/>
  <c r="G4" i="5"/>
  <c r="G5" i="5"/>
  <c r="G6" i="5"/>
  <c r="G7" i="5"/>
  <c r="D4" i="5"/>
  <c r="F4" i="5" s="1"/>
  <c r="D5" i="5"/>
  <c r="F5" i="5" s="1"/>
  <c r="D6" i="5"/>
  <c r="F6" i="5" s="1"/>
  <c r="D7" i="5"/>
  <c r="F7" i="5"/>
  <c r="G3" i="5"/>
  <c r="F3" i="5"/>
  <c r="D3" i="5"/>
  <c r="E25" i="4"/>
  <c r="D25" i="4"/>
  <c r="D20" i="4"/>
  <c r="D17" i="4"/>
  <c r="D16" i="4"/>
  <c r="D22" i="4"/>
  <c r="D18" i="4"/>
  <c r="D19" i="4"/>
  <c r="D23" i="4"/>
  <c r="E20" i="4"/>
  <c r="E17" i="4"/>
  <c r="E16" i="4"/>
  <c r="E22" i="4"/>
  <c r="E18" i="4"/>
  <c r="E19" i="4"/>
  <c r="E23" i="4"/>
  <c r="F20" i="4"/>
  <c r="F17" i="4"/>
  <c r="F16" i="4"/>
  <c r="F22" i="4"/>
  <c r="F18" i="4"/>
  <c r="F19" i="4"/>
  <c r="F23" i="4"/>
  <c r="E21" i="4"/>
  <c r="D21" i="4"/>
  <c r="F21" i="4"/>
  <c r="D12" i="4"/>
  <c r="C12" i="4"/>
  <c r="F4" i="4"/>
  <c r="G20" i="4" s="1"/>
  <c r="F5" i="4"/>
  <c r="G17" i="4" s="1"/>
  <c r="F6" i="4"/>
  <c r="G16" i="4" s="1"/>
  <c r="F7" i="4"/>
  <c r="G22" i="4" s="1"/>
  <c r="F8" i="4"/>
  <c r="G18" i="4" s="1"/>
  <c r="F9" i="4"/>
  <c r="G19" i="4" s="1"/>
  <c r="F10" i="4"/>
  <c r="G23" i="4" s="1"/>
  <c r="E4" i="4"/>
  <c r="E5" i="4"/>
  <c r="E6" i="4"/>
  <c r="E7" i="4"/>
  <c r="E8" i="4"/>
  <c r="E9" i="4"/>
  <c r="E10" i="4"/>
  <c r="F3" i="4"/>
  <c r="G21" i="4" s="1"/>
  <c r="E3" i="4"/>
  <c r="D27" i="3"/>
  <c r="D32" i="3"/>
  <c r="D28" i="3"/>
  <c r="D30" i="3"/>
  <c r="D31" i="3"/>
  <c r="D29" i="3"/>
  <c r="C27" i="3"/>
  <c r="C32" i="3"/>
  <c r="G32" i="3" s="1"/>
  <c r="C28" i="3"/>
  <c r="C30" i="3"/>
  <c r="C31" i="3"/>
  <c r="C29" i="3"/>
  <c r="D33" i="3"/>
  <c r="G33" i="3" s="1"/>
  <c r="C33" i="3"/>
  <c r="E23" i="3"/>
  <c r="F23" i="3"/>
  <c r="D23" i="3"/>
  <c r="E11" i="3"/>
  <c r="F11" i="3"/>
  <c r="D11" i="3"/>
  <c r="G16" i="3"/>
  <c r="G17" i="3"/>
  <c r="G18" i="3"/>
  <c r="G19" i="3"/>
  <c r="G20" i="3"/>
  <c r="G21" i="3"/>
  <c r="F16" i="3"/>
  <c r="F17" i="3"/>
  <c r="F18" i="3"/>
  <c r="F19" i="3"/>
  <c r="F20" i="3"/>
  <c r="F21" i="3"/>
  <c r="G4" i="3"/>
  <c r="G5" i="3"/>
  <c r="G6" i="3"/>
  <c r="G7" i="3"/>
  <c r="G8" i="3"/>
  <c r="G9" i="3"/>
  <c r="G15" i="3"/>
  <c r="G3" i="3"/>
  <c r="F4" i="3"/>
  <c r="F5" i="3"/>
  <c r="F6" i="3"/>
  <c r="F7" i="3"/>
  <c r="F8" i="3"/>
  <c r="F9" i="3"/>
  <c r="F15" i="3"/>
  <c r="F3" i="3"/>
  <c r="D36" i="6" l="1"/>
  <c r="D35" i="6"/>
  <c r="E29" i="6"/>
  <c r="F29" i="6" s="1"/>
  <c r="E31" i="6"/>
  <c r="F31" i="6" s="1"/>
  <c r="C35" i="6"/>
  <c r="E28" i="6"/>
  <c r="F28" i="6" s="1"/>
  <c r="C36" i="6"/>
  <c r="H27" i="6" s="1"/>
  <c r="E30" i="6"/>
  <c r="F30" i="6" s="1"/>
  <c r="E32" i="6"/>
  <c r="F32" i="6" s="1"/>
  <c r="E33" i="6"/>
  <c r="F33" i="6" s="1"/>
  <c r="E27" i="6"/>
  <c r="F27" i="6" s="1"/>
  <c r="F35" i="11"/>
  <c r="F36" i="11"/>
  <c r="E36" i="11"/>
  <c r="G28" i="12"/>
  <c r="G27" i="12"/>
  <c r="H17" i="12"/>
  <c r="D35" i="3"/>
  <c r="C35" i="3"/>
  <c r="I23" i="4"/>
  <c r="J23" i="4" s="1"/>
  <c r="I21" i="4"/>
  <c r="J21" i="4" s="1"/>
  <c r="I19" i="4"/>
  <c r="J19" i="4" s="1"/>
  <c r="I22" i="4"/>
  <c r="J22" i="4" s="1"/>
  <c r="I17" i="4"/>
  <c r="J17" i="4" s="1"/>
  <c r="I20" i="4"/>
  <c r="J20" i="4" s="1"/>
  <c r="F25" i="4"/>
  <c r="F18" i="9"/>
  <c r="I18" i="9" s="1"/>
  <c r="J18" i="9" s="1"/>
  <c r="F17" i="9"/>
  <c r="I17" i="9" s="1"/>
  <c r="J17" i="9" s="1"/>
  <c r="E23" i="9"/>
  <c r="H15" i="9"/>
  <c r="F15" i="9"/>
  <c r="H21" i="9"/>
  <c r="F21" i="9"/>
  <c r="I21" i="9" s="1"/>
  <c r="J21" i="9" s="1"/>
  <c r="H16" i="9"/>
  <c r="I16" i="9" s="1"/>
  <c r="J16" i="9" s="1"/>
  <c r="I19" i="9"/>
  <c r="J19" i="9" s="1"/>
  <c r="H19" i="9"/>
  <c r="I19" i="10"/>
  <c r="K10" i="10"/>
  <c r="G22" i="8"/>
  <c r="J13" i="8"/>
  <c r="G23" i="7"/>
  <c r="G11" i="7"/>
  <c r="F11" i="6"/>
  <c r="E23" i="6"/>
  <c r="F23" i="6"/>
  <c r="J16" i="5"/>
  <c r="K16" i="5" s="1"/>
  <c r="H18" i="5"/>
  <c r="J18" i="5" s="1"/>
  <c r="K18" i="5" s="1"/>
  <c r="I19" i="5"/>
  <c r="J19" i="5" s="1"/>
  <c r="K19" i="5" s="1"/>
  <c r="H13" i="5"/>
  <c r="I15" i="5"/>
  <c r="J15" i="5" s="1"/>
  <c r="K15" i="5" s="1"/>
  <c r="H17" i="5"/>
  <c r="J17" i="5" s="1"/>
  <c r="K17" i="5" s="1"/>
  <c r="H14" i="5"/>
  <c r="J14" i="5" s="1"/>
  <c r="K14" i="5" s="1"/>
  <c r="I21" i="5"/>
  <c r="J21" i="5" s="1"/>
  <c r="K21" i="5" s="1"/>
  <c r="I18" i="4"/>
  <c r="J18" i="4" s="1"/>
  <c r="E29" i="3"/>
  <c r="F29" i="3" s="1"/>
  <c r="E28" i="3"/>
  <c r="F28" i="3" s="1"/>
  <c r="G31" i="3"/>
  <c r="E32" i="3"/>
  <c r="F32" i="3" s="1"/>
  <c r="G30" i="3"/>
  <c r="E33" i="3"/>
  <c r="F33" i="3" s="1"/>
  <c r="E30" i="3"/>
  <c r="F30" i="3" s="1"/>
  <c r="E27" i="3"/>
  <c r="G28" i="3"/>
  <c r="E31" i="3"/>
  <c r="F31" i="3" s="1"/>
  <c r="G29" i="3"/>
  <c r="G27" i="3"/>
  <c r="F25" i="1"/>
  <c r="F24" i="1"/>
  <c r="G15" i="1"/>
  <c r="G20" i="1"/>
  <c r="G14" i="1"/>
  <c r="G22" i="1"/>
  <c r="G18" i="1"/>
  <c r="G21" i="1"/>
  <c r="G17" i="1"/>
  <c r="G19" i="1"/>
  <c r="E15" i="1"/>
  <c r="H15" i="1" s="1"/>
  <c r="I15" i="1" s="1"/>
  <c r="J15" i="1" s="1"/>
  <c r="E20" i="1"/>
  <c r="H20" i="1" s="1"/>
  <c r="I20" i="1" s="1"/>
  <c r="J20" i="1" s="1"/>
  <c r="E14" i="1"/>
  <c r="H14" i="1" s="1"/>
  <c r="I14" i="1" s="1"/>
  <c r="E22" i="1"/>
  <c r="H22" i="1" s="1"/>
  <c r="I22" i="1" s="1"/>
  <c r="J22" i="1" s="1"/>
  <c r="E18" i="1"/>
  <c r="H18" i="1" s="1"/>
  <c r="I18" i="1" s="1"/>
  <c r="J18" i="1" s="1"/>
  <c r="E21" i="1"/>
  <c r="H21" i="1" s="1"/>
  <c r="I21" i="1" s="1"/>
  <c r="J21" i="1" s="1"/>
  <c r="E17" i="1"/>
  <c r="H17" i="1" s="1"/>
  <c r="I17" i="1" s="1"/>
  <c r="J17" i="1" s="1"/>
  <c r="E19" i="1"/>
  <c r="H19" i="1" s="1"/>
  <c r="I19" i="1" s="1"/>
  <c r="J19" i="1" s="1"/>
  <c r="D15" i="1"/>
  <c r="D20" i="1"/>
  <c r="D14" i="1"/>
  <c r="D22" i="1"/>
  <c r="D18" i="1"/>
  <c r="D21" i="1"/>
  <c r="D17" i="1"/>
  <c r="D19" i="1"/>
  <c r="G16" i="1"/>
  <c r="E16" i="1"/>
  <c r="H16" i="1" s="1"/>
  <c r="I16" i="1" s="1"/>
  <c r="J16" i="1" s="1"/>
  <c r="D16" i="1"/>
  <c r="F9" i="1"/>
  <c r="G4" i="1"/>
  <c r="G5" i="1"/>
  <c r="G6" i="1"/>
  <c r="G7" i="1"/>
  <c r="F4" i="1"/>
  <c r="F5" i="1"/>
  <c r="F6" i="1"/>
  <c r="F7" i="1"/>
  <c r="C9" i="1"/>
  <c r="G3" i="1"/>
  <c r="F3" i="1"/>
  <c r="J14" i="1" l="1"/>
  <c r="I25" i="1"/>
  <c r="I24" i="1"/>
  <c r="H29" i="6"/>
  <c r="H31" i="6"/>
  <c r="H33" i="6"/>
  <c r="H32" i="6"/>
  <c r="H30" i="6"/>
  <c r="H28" i="6"/>
  <c r="E35" i="6"/>
  <c r="E36" i="6"/>
  <c r="F36" i="6"/>
  <c r="F35" i="6"/>
  <c r="G33" i="6" s="1"/>
  <c r="H24" i="12"/>
  <c r="H21" i="12"/>
  <c r="H18" i="12"/>
  <c r="H23" i="12"/>
  <c r="H20" i="12"/>
  <c r="H19" i="12"/>
  <c r="H22" i="12"/>
  <c r="H25" i="12"/>
  <c r="H25" i="4"/>
  <c r="I16" i="4"/>
  <c r="F23" i="9"/>
  <c r="H23" i="9"/>
  <c r="I15" i="9"/>
  <c r="K19" i="10"/>
  <c r="L10" i="10"/>
  <c r="J22" i="8"/>
  <c r="K13" i="8"/>
  <c r="H23" i="5"/>
  <c r="J13" i="5"/>
  <c r="I23" i="5"/>
  <c r="E35" i="3"/>
  <c r="F27" i="3"/>
  <c r="F24" i="2"/>
  <c r="F23" i="2"/>
  <c r="J17" i="2"/>
  <c r="J19" i="2"/>
  <c r="G30" i="6" l="1"/>
  <c r="G29" i="6"/>
  <c r="G31" i="6"/>
  <c r="G27" i="6"/>
  <c r="G28" i="6"/>
  <c r="G32" i="6"/>
  <c r="I25" i="4"/>
  <c r="J16" i="4"/>
  <c r="I23" i="9"/>
  <c r="J15" i="9"/>
  <c r="J23" i="5"/>
  <c r="K13" i="5"/>
  <c r="G14" i="2"/>
  <c r="G15" i="2"/>
  <c r="G16" i="2"/>
  <c r="G17" i="2"/>
  <c r="G18" i="2"/>
  <c r="G19" i="2"/>
  <c r="G20" i="2"/>
  <c r="G21" i="2"/>
  <c r="G13" i="2"/>
  <c r="E14" i="2"/>
  <c r="E15" i="2"/>
  <c r="E16" i="2"/>
  <c r="H16" i="2" s="1"/>
  <c r="I16" i="2" s="1"/>
  <c r="E17" i="2"/>
  <c r="H17" i="2" s="1"/>
  <c r="I17" i="2" s="1"/>
  <c r="E18" i="2"/>
  <c r="H18" i="2" s="1"/>
  <c r="I18" i="2" s="1"/>
  <c r="J18" i="2" s="1"/>
  <c r="E19" i="2"/>
  <c r="H19" i="2" s="1"/>
  <c r="I19" i="2" s="1"/>
  <c r="E20" i="2"/>
  <c r="H20" i="2" s="1"/>
  <c r="I20" i="2" s="1"/>
  <c r="J20" i="2" s="1"/>
  <c r="E21" i="2"/>
  <c r="H21" i="2" s="1"/>
  <c r="I21" i="2" s="1"/>
  <c r="J21" i="2" s="1"/>
  <c r="E13" i="2"/>
  <c r="H13" i="2" s="1"/>
  <c r="I13" i="2" s="1"/>
  <c r="J13" i="2" s="1"/>
  <c r="D14" i="2"/>
  <c r="D15" i="2"/>
  <c r="D16" i="2"/>
  <c r="D17" i="2"/>
  <c r="D18" i="2"/>
  <c r="D19" i="2"/>
  <c r="D20" i="2"/>
  <c r="D21" i="2"/>
  <c r="D13" i="2"/>
  <c r="F9" i="2"/>
  <c r="C9" i="2"/>
  <c r="G4" i="2"/>
  <c r="G5" i="2"/>
  <c r="G6" i="2"/>
  <c r="G7" i="2"/>
  <c r="G3" i="2"/>
  <c r="F4" i="2"/>
  <c r="F5" i="2"/>
  <c r="F6" i="2"/>
  <c r="F7" i="2"/>
  <c r="F3" i="2"/>
  <c r="H15" i="2" l="1"/>
  <c r="I15" i="2" s="1"/>
  <c r="J15" i="2" s="1"/>
  <c r="H14" i="2"/>
  <c r="I14" i="2" s="1"/>
  <c r="J14" i="2" s="1"/>
  <c r="J16" i="2"/>
  <c r="I24" i="2" l="1"/>
  <c r="I23" i="2"/>
</calcChain>
</file>

<file path=xl/sharedStrings.xml><?xml version="1.0" encoding="utf-8"?>
<sst xmlns="http://schemas.openxmlformats.org/spreadsheetml/2006/main" count="562" uniqueCount="326">
  <si>
    <t>商品別定価計算表</t>
    <rPh sb="0" eb="3">
      <t>ショウヒンベツ</t>
    </rPh>
    <rPh sb="3" eb="5">
      <t>テイカ</t>
    </rPh>
    <rPh sb="5" eb="8">
      <t>ケイサンヒョウ</t>
    </rPh>
    <phoneticPr fontId="2"/>
  </si>
  <si>
    <t>商CO</t>
    <rPh sb="0" eb="1">
      <t>ショウ</t>
    </rPh>
    <phoneticPr fontId="2"/>
  </si>
  <si>
    <t>商品名</t>
    <rPh sb="0" eb="3">
      <t>ショウヒンメイ</t>
    </rPh>
    <phoneticPr fontId="2"/>
  </si>
  <si>
    <t>仕入数</t>
    <rPh sb="0" eb="3">
      <t>シイレスウ</t>
    </rPh>
    <phoneticPr fontId="2"/>
  </si>
  <si>
    <t>単価</t>
    <rPh sb="0" eb="2">
      <t>タンカ</t>
    </rPh>
    <phoneticPr fontId="2"/>
  </si>
  <si>
    <t>手数料率</t>
    <rPh sb="0" eb="4">
      <t>テスウリョウリツ</t>
    </rPh>
    <phoneticPr fontId="2"/>
  </si>
  <si>
    <t>支払額</t>
    <rPh sb="0" eb="3">
      <t>シハライガク</t>
    </rPh>
    <phoneticPr fontId="2"/>
  </si>
  <si>
    <t>定価</t>
    <rPh sb="0" eb="2">
      <t>テイカ</t>
    </rPh>
    <phoneticPr fontId="2"/>
  </si>
  <si>
    <t>商品V</t>
    <rPh sb="0" eb="2">
      <t>ショウヒン</t>
    </rPh>
    <phoneticPr fontId="2"/>
  </si>
  <si>
    <t>商品W</t>
    <rPh sb="0" eb="2">
      <t>ショウヒン</t>
    </rPh>
    <phoneticPr fontId="2"/>
  </si>
  <si>
    <t>商品X</t>
    <rPh sb="0" eb="2">
      <t>ショウヒン</t>
    </rPh>
    <phoneticPr fontId="2"/>
  </si>
  <si>
    <t>商品Y</t>
    <rPh sb="0" eb="2">
      <t>ショウヒン</t>
    </rPh>
    <phoneticPr fontId="2"/>
  </si>
  <si>
    <t>商品Z</t>
    <rPh sb="0" eb="2">
      <t>ショウヒン</t>
    </rPh>
    <phoneticPr fontId="2"/>
  </si>
  <si>
    <t>合計</t>
    <rPh sb="0" eb="2">
      <t>ゴウケイ</t>
    </rPh>
    <phoneticPr fontId="2"/>
  </si>
  <si>
    <t>C</t>
    <phoneticPr fontId="2"/>
  </si>
  <si>
    <t>B</t>
    <phoneticPr fontId="2"/>
  </si>
  <si>
    <t>A</t>
    <phoneticPr fontId="2"/>
  </si>
  <si>
    <t>得意先別売上一覧表</t>
    <rPh sb="0" eb="9">
      <t>トクイサキベツウリアゲイチランヒョウ</t>
    </rPh>
    <phoneticPr fontId="2"/>
  </si>
  <si>
    <t>得CO</t>
    <rPh sb="0" eb="1">
      <t>トク</t>
    </rPh>
    <phoneticPr fontId="2"/>
  </si>
  <si>
    <t>得意先名</t>
    <rPh sb="0" eb="4">
      <t>トクイサキメイ</t>
    </rPh>
    <phoneticPr fontId="2"/>
  </si>
  <si>
    <t>売上数</t>
    <rPh sb="0" eb="3">
      <t>ウリアゲスウ</t>
    </rPh>
    <phoneticPr fontId="2"/>
  </si>
  <si>
    <t>値引率</t>
    <rPh sb="0" eb="3">
      <t>ネビキリツ</t>
    </rPh>
    <phoneticPr fontId="2"/>
  </si>
  <si>
    <t>売価</t>
    <rPh sb="0" eb="2">
      <t>バイカ</t>
    </rPh>
    <phoneticPr fontId="2"/>
  </si>
  <si>
    <t>売上額</t>
    <rPh sb="0" eb="3">
      <t>ウリアゲガク</t>
    </rPh>
    <phoneticPr fontId="2"/>
  </si>
  <si>
    <t>評価</t>
    <rPh sb="0" eb="2">
      <t>ヒョウカ</t>
    </rPh>
    <phoneticPr fontId="2"/>
  </si>
  <si>
    <t>平均</t>
    <rPh sb="0" eb="2">
      <t>ヘイキン</t>
    </rPh>
    <phoneticPr fontId="2"/>
  </si>
  <si>
    <t>水川ストア</t>
    <rPh sb="0" eb="2">
      <t>ミズカワ</t>
    </rPh>
    <phoneticPr fontId="2"/>
  </si>
  <si>
    <t>マルミ商事</t>
    <rPh sb="3" eb="5">
      <t>ショウジ</t>
    </rPh>
    <phoneticPr fontId="2"/>
  </si>
  <si>
    <t>さかもと屋</t>
    <rPh sb="4" eb="5">
      <t>ヤ</t>
    </rPh>
    <phoneticPr fontId="2"/>
  </si>
  <si>
    <t>中清水企画</t>
    <rPh sb="0" eb="1">
      <t>ナカ</t>
    </rPh>
    <rPh sb="1" eb="3">
      <t>シミズ</t>
    </rPh>
    <rPh sb="3" eb="5">
      <t>キカク</t>
    </rPh>
    <phoneticPr fontId="2"/>
  </si>
  <si>
    <t>南四国総業</t>
    <rPh sb="0" eb="1">
      <t>ミナミ</t>
    </rPh>
    <rPh sb="1" eb="5">
      <t>シコクソウギョウ</t>
    </rPh>
    <phoneticPr fontId="2"/>
  </si>
  <si>
    <t>水前寺商店</t>
    <rPh sb="0" eb="3">
      <t>スイゼンジ</t>
    </rPh>
    <rPh sb="3" eb="5">
      <t>ショウテン</t>
    </rPh>
    <phoneticPr fontId="2"/>
  </si>
  <si>
    <t>長谷川青果</t>
    <rPh sb="0" eb="3">
      <t>ハセガワ</t>
    </rPh>
    <rPh sb="3" eb="5">
      <t>セイカ</t>
    </rPh>
    <phoneticPr fontId="2"/>
  </si>
  <si>
    <t>久保田商会</t>
    <rPh sb="0" eb="3">
      <t>クボタ</t>
    </rPh>
    <rPh sb="3" eb="5">
      <t>ショウカイ</t>
    </rPh>
    <phoneticPr fontId="2"/>
  </si>
  <si>
    <t>ＪＦＣ物産</t>
    <rPh sb="3" eb="5">
      <t>ブッサン</t>
    </rPh>
    <phoneticPr fontId="2"/>
  </si>
  <si>
    <t>販売一覧表（店頭販売）</t>
    <rPh sb="0" eb="5">
      <t>ハンバイイチランヒョウ</t>
    </rPh>
    <rPh sb="6" eb="10">
      <t>テントウハンバイ</t>
    </rPh>
    <phoneticPr fontId="2"/>
  </si>
  <si>
    <t>CO</t>
    <phoneticPr fontId="2"/>
  </si>
  <si>
    <t>原価</t>
    <rPh sb="0" eb="2">
      <t>ゲンカ</t>
    </rPh>
    <phoneticPr fontId="2"/>
  </si>
  <si>
    <t>販売数</t>
    <rPh sb="0" eb="3">
      <t>ハンバイスウ</t>
    </rPh>
    <phoneticPr fontId="2"/>
  </si>
  <si>
    <t>販売額（千）</t>
    <rPh sb="0" eb="3">
      <t>ハンバイガク</t>
    </rPh>
    <rPh sb="4" eb="5">
      <t>セン</t>
    </rPh>
    <phoneticPr fontId="2"/>
  </si>
  <si>
    <t>利益額</t>
    <rPh sb="0" eb="3">
      <t>リエキガク</t>
    </rPh>
    <phoneticPr fontId="2"/>
  </si>
  <si>
    <t>達成指数</t>
    <rPh sb="0" eb="4">
      <t>タッセイシスウ</t>
    </rPh>
    <phoneticPr fontId="2"/>
  </si>
  <si>
    <t>利益額総括表</t>
    <rPh sb="0" eb="3">
      <t>リエキガク</t>
    </rPh>
    <rPh sb="3" eb="6">
      <t>ソウカツヒョウ</t>
    </rPh>
    <phoneticPr fontId="2"/>
  </si>
  <si>
    <t>出張データ一覧表</t>
    <rPh sb="0" eb="2">
      <t>シュッチョウ</t>
    </rPh>
    <rPh sb="5" eb="8">
      <t>イチランヒョウ</t>
    </rPh>
    <phoneticPr fontId="2"/>
  </si>
  <si>
    <t>番号</t>
    <rPh sb="0" eb="2">
      <t>バンゴウ</t>
    </rPh>
    <phoneticPr fontId="2"/>
  </si>
  <si>
    <t>社員名</t>
    <rPh sb="0" eb="3">
      <t>シャインメイ</t>
    </rPh>
    <phoneticPr fontId="2"/>
  </si>
  <si>
    <t>契約数</t>
    <rPh sb="0" eb="3">
      <t>ケイヤクスウ</t>
    </rPh>
    <phoneticPr fontId="2"/>
  </si>
  <si>
    <t>契約額</t>
    <rPh sb="0" eb="3">
      <t>ケイヤクガク</t>
    </rPh>
    <phoneticPr fontId="2"/>
  </si>
  <si>
    <t>平均契約額</t>
    <rPh sb="0" eb="5">
      <t>ヘイキンケイヤクガク</t>
    </rPh>
    <phoneticPr fontId="2"/>
  </si>
  <si>
    <t>三浦　秋江</t>
    <rPh sb="0" eb="2">
      <t>ミウラ</t>
    </rPh>
    <rPh sb="3" eb="5">
      <t>アキエ</t>
    </rPh>
    <phoneticPr fontId="2"/>
  </si>
  <si>
    <t>水口　正秀</t>
    <rPh sb="0" eb="2">
      <t>ミズグチ</t>
    </rPh>
    <rPh sb="3" eb="5">
      <t>マサヒデ</t>
    </rPh>
    <phoneticPr fontId="2"/>
  </si>
  <si>
    <t>山田　和美</t>
    <rPh sb="0" eb="2">
      <t>ヤマダ</t>
    </rPh>
    <rPh sb="3" eb="5">
      <t>カズミ</t>
    </rPh>
    <phoneticPr fontId="2"/>
  </si>
  <si>
    <t>上杉　純一</t>
    <rPh sb="0" eb="2">
      <t>ウエスギ</t>
    </rPh>
    <rPh sb="3" eb="5">
      <t>ジュンイチ</t>
    </rPh>
    <phoneticPr fontId="2"/>
  </si>
  <si>
    <t>谷　ゆかり</t>
    <rPh sb="0" eb="1">
      <t>タニ</t>
    </rPh>
    <phoneticPr fontId="2"/>
  </si>
  <si>
    <t>大古田　明</t>
    <rPh sb="0" eb="3">
      <t>オオコダ</t>
    </rPh>
    <rPh sb="4" eb="5">
      <t>アキラ</t>
    </rPh>
    <phoneticPr fontId="2"/>
  </si>
  <si>
    <t>藤井　由紀</t>
    <rPh sb="0" eb="2">
      <t>フジイ</t>
    </rPh>
    <rPh sb="3" eb="5">
      <t>ユキ</t>
    </rPh>
    <phoneticPr fontId="2"/>
  </si>
  <si>
    <t>島津　正樹</t>
    <rPh sb="0" eb="2">
      <t>シマヅ</t>
    </rPh>
    <rPh sb="3" eb="5">
      <t>マサキ</t>
    </rPh>
    <phoneticPr fontId="2"/>
  </si>
  <si>
    <t>出張諸手当一覧表</t>
    <rPh sb="0" eb="5">
      <t>シュッチョウショテアテ</t>
    </rPh>
    <rPh sb="5" eb="8">
      <t>イチランヒョウ</t>
    </rPh>
    <phoneticPr fontId="2"/>
  </si>
  <si>
    <t>出張日数</t>
    <rPh sb="0" eb="2">
      <t>シュッチョウ</t>
    </rPh>
    <rPh sb="2" eb="4">
      <t>ニッスウ</t>
    </rPh>
    <phoneticPr fontId="2"/>
  </si>
  <si>
    <t>出張手当</t>
    <rPh sb="0" eb="2">
      <t>シュッチョウ</t>
    </rPh>
    <rPh sb="2" eb="4">
      <t>テアテ</t>
    </rPh>
    <phoneticPr fontId="2"/>
  </si>
  <si>
    <t>宿泊費</t>
    <rPh sb="0" eb="3">
      <t>シュクハクヒ</t>
    </rPh>
    <phoneticPr fontId="2"/>
  </si>
  <si>
    <t>営業手当</t>
    <rPh sb="0" eb="4">
      <t>エイギョウテアテ</t>
    </rPh>
    <phoneticPr fontId="2"/>
  </si>
  <si>
    <t>総支給額</t>
    <rPh sb="0" eb="4">
      <t>ソウシキュウガク</t>
    </rPh>
    <phoneticPr fontId="2"/>
  </si>
  <si>
    <t>判定</t>
    <rPh sb="0" eb="2">
      <t>ハンテイ</t>
    </rPh>
    <phoneticPr fontId="2"/>
  </si>
  <si>
    <t>仕入一覧表</t>
    <rPh sb="0" eb="5">
      <t>シイレイチランヒョウ</t>
    </rPh>
    <phoneticPr fontId="2"/>
  </si>
  <si>
    <t>前月販売数</t>
    <rPh sb="0" eb="5">
      <t>ゼンゲツハンバイスウ</t>
    </rPh>
    <phoneticPr fontId="2"/>
  </si>
  <si>
    <t>乗率</t>
    <rPh sb="0" eb="2">
      <t>ジョウリツ</t>
    </rPh>
    <phoneticPr fontId="2"/>
  </si>
  <si>
    <t>得意先別販売一覧表</t>
    <rPh sb="0" eb="4">
      <t>トクイサキベツ</t>
    </rPh>
    <rPh sb="4" eb="9">
      <t>ハンバイイチランヒョウ</t>
    </rPh>
    <phoneticPr fontId="2"/>
  </si>
  <si>
    <t>定価販売数</t>
    <rPh sb="0" eb="5">
      <t>テイカハンバイスウ</t>
    </rPh>
    <phoneticPr fontId="2"/>
  </si>
  <si>
    <t>定価販売額</t>
    <rPh sb="0" eb="5">
      <t>テイカハンバイガク</t>
    </rPh>
    <phoneticPr fontId="2"/>
  </si>
  <si>
    <t>値引販売額</t>
    <rPh sb="0" eb="5">
      <t>ネビキハンバイガク</t>
    </rPh>
    <phoneticPr fontId="2"/>
  </si>
  <si>
    <t>総販売額</t>
    <rPh sb="0" eb="4">
      <t>ソウハンバイガク</t>
    </rPh>
    <phoneticPr fontId="2"/>
  </si>
  <si>
    <t>関西商事</t>
    <rPh sb="0" eb="4">
      <t>カンサイショウジ</t>
    </rPh>
    <phoneticPr fontId="2"/>
  </si>
  <si>
    <t>青木ストア</t>
    <rPh sb="0" eb="2">
      <t>アオキ</t>
    </rPh>
    <phoneticPr fontId="2"/>
  </si>
  <si>
    <t>大洋水産</t>
    <rPh sb="0" eb="2">
      <t>タイヨウ</t>
    </rPh>
    <rPh sb="2" eb="4">
      <t>スイサン</t>
    </rPh>
    <phoneticPr fontId="2"/>
  </si>
  <si>
    <t>かごしま屋</t>
    <rPh sb="4" eb="5">
      <t>ヤ</t>
    </rPh>
    <phoneticPr fontId="2"/>
  </si>
  <si>
    <t>共栄物産</t>
    <rPh sb="0" eb="4">
      <t>キョウエイブッサン</t>
    </rPh>
    <phoneticPr fontId="2"/>
  </si>
  <si>
    <t>長谷川商会</t>
    <rPh sb="0" eb="3">
      <t>ハセガワ</t>
    </rPh>
    <rPh sb="3" eb="5">
      <t>ショウカイ</t>
    </rPh>
    <phoneticPr fontId="2"/>
  </si>
  <si>
    <t>東海企画</t>
    <rPh sb="0" eb="4">
      <t>トウカイキカク</t>
    </rPh>
    <phoneticPr fontId="2"/>
  </si>
  <si>
    <t>大手町商店</t>
    <rPh sb="0" eb="3">
      <t>オオテマチ</t>
    </rPh>
    <rPh sb="3" eb="5">
      <t>ショウテン</t>
    </rPh>
    <phoneticPr fontId="2"/>
  </si>
  <si>
    <t>ＪＫ総業</t>
    <rPh sb="2" eb="4">
      <t>ソウギョウ</t>
    </rPh>
    <phoneticPr fontId="2"/>
  </si>
  <si>
    <t>販売手数料一覧表（A商品）</t>
    <rPh sb="0" eb="5">
      <t>ハンバイテスウリョウ</t>
    </rPh>
    <rPh sb="5" eb="8">
      <t>イチランヒョウ</t>
    </rPh>
    <rPh sb="10" eb="12">
      <t>ショウヒン</t>
    </rPh>
    <phoneticPr fontId="2"/>
  </si>
  <si>
    <t>委託先名</t>
    <rPh sb="0" eb="4">
      <t>イタクサキメイ</t>
    </rPh>
    <phoneticPr fontId="2"/>
  </si>
  <si>
    <t>委託数</t>
    <rPh sb="0" eb="3">
      <t>イタクスウ</t>
    </rPh>
    <phoneticPr fontId="2"/>
  </si>
  <si>
    <t>販売額</t>
    <rPh sb="0" eb="3">
      <t>ハンバイガク</t>
    </rPh>
    <phoneticPr fontId="2"/>
  </si>
  <si>
    <t>手数料</t>
    <rPh sb="0" eb="3">
      <t>テスウリョウ</t>
    </rPh>
    <phoneticPr fontId="2"/>
  </si>
  <si>
    <t>秋山商店</t>
    <rPh sb="0" eb="2">
      <t>アキヤマ</t>
    </rPh>
    <rPh sb="2" eb="4">
      <t>ショウテン</t>
    </rPh>
    <phoneticPr fontId="2"/>
  </si>
  <si>
    <t>夢ストア</t>
    <rPh sb="0" eb="1">
      <t>ユメ</t>
    </rPh>
    <phoneticPr fontId="2"/>
  </si>
  <si>
    <t>山川商事</t>
    <rPh sb="0" eb="2">
      <t>ヤマカワ</t>
    </rPh>
    <rPh sb="2" eb="4">
      <t>ショウジ</t>
    </rPh>
    <phoneticPr fontId="2"/>
  </si>
  <si>
    <t>新栄百貨</t>
    <rPh sb="0" eb="2">
      <t>シンエイ</t>
    </rPh>
    <rPh sb="2" eb="4">
      <t>ヒャッカ</t>
    </rPh>
    <phoneticPr fontId="2"/>
  </si>
  <si>
    <t>鈴木総業</t>
    <rPh sb="0" eb="2">
      <t>スズキ</t>
    </rPh>
    <rPh sb="2" eb="4">
      <t>ソウギョウ</t>
    </rPh>
    <phoneticPr fontId="2"/>
  </si>
  <si>
    <t>松本物産</t>
    <rPh sb="0" eb="2">
      <t>マツモト</t>
    </rPh>
    <rPh sb="2" eb="4">
      <t>ブッサン</t>
    </rPh>
    <phoneticPr fontId="2"/>
  </si>
  <si>
    <t>近藤食品</t>
    <rPh sb="0" eb="2">
      <t>コンドウ</t>
    </rPh>
    <rPh sb="2" eb="4">
      <t>ショクヒン</t>
    </rPh>
    <phoneticPr fontId="2"/>
  </si>
  <si>
    <t>広告費分配一覧表（前期）</t>
    <rPh sb="0" eb="3">
      <t>コウコクヒ</t>
    </rPh>
    <rPh sb="3" eb="8">
      <t>ブンパイイチランヒョウ</t>
    </rPh>
    <rPh sb="9" eb="11">
      <t>ゼンキ</t>
    </rPh>
    <phoneticPr fontId="2"/>
  </si>
  <si>
    <t>加盟店名</t>
    <rPh sb="0" eb="4">
      <t>カメイテンメイ</t>
    </rPh>
    <phoneticPr fontId="2"/>
  </si>
  <si>
    <t>売上額（千）</t>
    <rPh sb="0" eb="3">
      <t>ウリアゲガク</t>
    </rPh>
    <rPh sb="4" eb="5">
      <t>セン</t>
    </rPh>
    <phoneticPr fontId="2"/>
  </si>
  <si>
    <t>達成率</t>
    <rPh sb="0" eb="3">
      <t>タッセイリツ</t>
    </rPh>
    <phoneticPr fontId="2"/>
  </si>
  <si>
    <t>分配割合</t>
    <rPh sb="0" eb="4">
      <t>ブンパイワリアイ</t>
    </rPh>
    <phoneticPr fontId="2"/>
  </si>
  <si>
    <t>広告費</t>
    <rPh sb="0" eb="3">
      <t>コウコクヒ</t>
    </rPh>
    <phoneticPr fontId="2"/>
  </si>
  <si>
    <t>三島</t>
    <rPh sb="0" eb="2">
      <t>ミシマ</t>
    </rPh>
    <phoneticPr fontId="2"/>
  </si>
  <si>
    <t>沼津</t>
    <rPh sb="0" eb="2">
      <t>ヌマヅ</t>
    </rPh>
    <phoneticPr fontId="2"/>
  </si>
  <si>
    <t>富士</t>
    <rPh sb="0" eb="2">
      <t>フジ</t>
    </rPh>
    <phoneticPr fontId="2"/>
  </si>
  <si>
    <t>静岡</t>
    <rPh sb="0" eb="2">
      <t>シズオカ</t>
    </rPh>
    <phoneticPr fontId="2"/>
  </si>
  <si>
    <t>島田</t>
    <rPh sb="0" eb="2">
      <t>シマダ</t>
    </rPh>
    <phoneticPr fontId="2"/>
  </si>
  <si>
    <t>掛川</t>
    <rPh sb="0" eb="2">
      <t>カケガワ</t>
    </rPh>
    <phoneticPr fontId="2"/>
  </si>
  <si>
    <t>浜松</t>
    <rPh sb="0" eb="2">
      <t>ハママツ</t>
    </rPh>
    <phoneticPr fontId="2"/>
  </si>
  <si>
    <t>週料金計算表</t>
    <rPh sb="0" eb="3">
      <t>シュウリョウキン</t>
    </rPh>
    <rPh sb="3" eb="6">
      <t>ケイサンヒョウ</t>
    </rPh>
    <phoneticPr fontId="2"/>
  </si>
  <si>
    <t>取得価格</t>
    <rPh sb="0" eb="2">
      <t>シュトク</t>
    </rPh>
    <rPh sb="2" eb="4">
      <t>カカク</t>
    </rPh>
    <phoneticPr fontId="2"/>
  </si>
  <si>
    <t>償却率</t>
    <rPh sb="0" eb="3">
      <t>ショウキャクリツ</t>
    </rPh>
    <phoneticPr fontId="2"/>
  </si>
  <si>
    <t>基本料金</t>
    <rPh sb="0" eb="4">
      <t>キホンリョウキン</t>
    </rPh>
    <phoneticPr fontId="2"/>
  </si>
  <si>
    <t>補償料金</t>
    <rPh sb="0" eb="4">
      <t>ホショウリョウキン</t>
    </rPh>
    <phoneticPr fontId="2"/>
  </si>
  <si>
    <t>週料金</t>
    <rPh sb="0" eb="3">
      <t>シュウリョウキン</t>
    </rPh>
    <phoneticPr fontId="2"/>
  </si>
  <si>
    <t>会社別請求額一覧表</t>
    <rPh sb="0" eb="3">
      <t>カイシャベツ</t>
    </rPh>
    <rPh sb="3" eb="9">
      <t>セイキュウガクイチランヒョウ</t>
    </rPh>
    <phoneticPr fontId="2"/>
  </si>
  <si>
    <t>会CO</t>
    <rPh sb="0" eb="1">
      <t>カイ</t>
    </rPh>
    <phoneticPr fontId="2"/>
  </si>
  <si>
    <t>会社名</t>
    <rPh sb="0" eb="3">
      <t>カイシャメイ</t>
    </rPh>
    <phoneticPr fontId="2"/>
  </si>
  <si>
    <t>日数</t>
    <rPh sb="0" eb="2">
      <t>ニッスウ</t>
    </rPh>
    <phoneticPr fontId="2"/>
  </si>
  <si>
    <t>超過料金</t>
    <rPh sb="0" eb="4">
      <t>チョウカリョウキン</t>
    </rPh>
    <phoneticPr fontId="2"/>
  </si>
  <si>
    <t>ＯＰ</t>
    <phoneticPr fontId="2"/>
  </si>
  <si>
    <t>ＯＰ料金</t>
    <rPh sb="2" eb="4">
      <t>リョウキン</t>
    </rPh>
    <phoneticPr fontId="2"/>
  </si>
  <si>
    <t>請求額</t>
    <rPh sb="0" eb="3">
      <t>セイキュウガク</t>
    </rPh>
    <phoneticPr fontId="2"/>
  </si>
  <si>
    <t>みどり建設</t>
    <rPh sb="3" eb="5">
      <t>ケンセツ</t>
    </rPh>
    <phoneticPr fontId="2"/>
  </si>
  <si>
    <t>ＳＫＰ商事</t>
    <rPh sb="3" eb="5">
      <t>ショウジ</t>
    </rPh>
    <phoneticPr fontId="2"/>
  </si>
  <si>
    <t>アルプスＫ</t>
    <phoneticPr fontId="2"/>
  </si>
  <si>
    <t>二階堂建築</t>
    <rPh sb="0" eb="3">
      <t>ニカイドウ</t>
    </rPh>
    <rPh sb="3" eb="5">
      <t>ケンチク</t>
    </rPh>
    <phoneticPr fontId="2"/>
  </si>
  <si>
    <t>新光栄住宅</t>
    <rPh sb="0" eb="2">
      <t>シンコウ</t>
    </rPh>
    <rPh sb="2" eb="3">
      <t>エイ</t>
    </rPh>
    <rPh sb="3" eb="5">
      <t>ジュウタク</t>
    </rPh>
    <phoneticPr fontId="2"/>
  </si>
  <si>
    <t>幸福ホーム</t>
    <rPh sb="0" eb="2">
      <t>コウフク</t>
    </rPh>
    <phoneticPr fontId="2"/>
  </si>
  <si>
    <t>ヒノデ工房</t>
    <rPh sb="3" eb="5">
      <t>コウボウ</t>
    </rPh>
    <phoneticPr fontId="2"/>
  </si>
  <si>
    <t>富士ハウス</t>
    <rPh sb="0" eb="2">
      <t>フジ</t>
    </rPh>
    <phoneticPr fontId="2"/>
  </si>
  <si>
    <t>基本料金計算表</t>
    <rPh sb="0" eb="7">
      <t>キホンリョウキンケイサンヒョウ</t>
    </rPh>
    <phoneticPr fontId="2"/>
  </si>
  <si>
    <t>貸CO</t>
    <rPh sb="0" eb="1">
      <t>カシ</t>
    </rPh>
    <phoneticPr fontId="2"/>
  </si>
  <si>
    <t>貸出日</t>
    <rPh sb="0" eb="3">
      <t>カシダシビ</t>
    </rPh>
    <phoneticPr fontId="2"/>
  </si>
  <si>
    <t>返却日</t>
    <rPh sb="0" eb="3">
      <t>ヘンキャクビ</t>
    </rPh>
    <phoneticPr fontId="2"/>
  </si>
  <si>
    <t>貸出先名</t>
    <rPh sb="0" eb="2">
      <t>カシダシ</t>
    </rPh>
    <rPh sb="2" eb="3">
      <t>サキ</t>
    </rPh>
    <rPh sb="3" eb="4">
      <t>メイ</t>
    </rPh>
    <phoneticPr fontId="2"/>
  </si>
  <si>
    <t>サンワ企画</t>
    <rPh sb="3" eb="5">
      <t>キカク</t>
    </rPh>
    <phoneticPr fontId="2"/>
  </si>
  <si>
    <t>ＴＲＹ総業</t>
    <rPh sb="3" eb="5">
      <t>ソウギョウ</t>
    </rPh>
    <phoneticPr fontId="2"/>
  </si>
  <si>
    <t>不二家商事</t>
    <rPh sb="0" eb="3">
      <t>フジヤ</t>
    </rPh>
    <rPh sb="3" eb="5">
      <t>ショウジ</t>
    </rPh>
    <phoneticPr fontId="2"/>
  </si>
  <si>
    <t>新明和物産</t>
    <rPh sb="0" eb="3">
      <t>シンメイワ</t>
    </rPh>
    <rPh sb="3" eb="5">
      <t>ブッサン</t>
    </rPh>
    <phoneticPr fontId="2"/>
  </si>
  <si>
    <t>日の出産業</t>
    <rPh sb="0" eb="1">
      <t>ヒ</t>
    </rPh>
    <rPh sb="2" eb="3">
      <t>デ</t>
    </rPh>
    <rPh sb="3" eb="5">
      <t>サンギョウ</t>
    </rPh>
    <phoneticPr fontId="2"/>
  </si>
  <si>
    <t>長谷川電機</t>
    <rPh sb="0" eb="3">
      <t>ハセガワ</t>
    </rPh>
    <rPh sb="3" eb="5">
      <t>デンキ</t>
    </rPh>
    <phoneticPr fontId="2"/>
  </si>
  <si>
    <t>久保田建設</t>
    <rPh sb="0" eb="3">
      <t>クボタ</t>
    </rPh>
    <rPh sb="3" eb="5">
      <t>ケンセツ</t>
    </rPh>
    <phoneticPr fontId="2"/>
  </si>
  <si>
    <t>請求金額一覧表</t>
    <rPh sb="0" eb="4">
      <t>セイキュウキンガク</t>
    </rPh>
    <rPh sb="4" eb="7">
      <t>イチランヒョウ</t>
    </rPh>
    <phoneticPr fontId="2"/>
  </si>
  <si>
    <t>追加料金</t>
    <rPh sb="0" eb="4">
      <t>ツイカリョウキン</t>
    </rPh>
    <phoneticPr fontId="2"/>
  </si>
  <si>
    <t>補償料</t>
    <rPh sb="0" eb="3">
      <t>ホショウリョウ</t>
    </rPh>
    <phoneticPr fontId="2"/>
  </si>
  <si>
    <t>割引率</t>
    <rPh sb="0" eb="3">
      <t>ワリビキリツ</t>
    </rPh>
    <phoneticPr fontId="2"/>
  </si>
  <si>
    <t>割引額</t>
    <rPh sb="0" eb="3">
      <t>ワリビキガク</t>
    </rPh>
    <phoneticPr fontId="2"/>
  </si>
  <si>
    <t>請求金額</t>
    <rPh sb="0" eb="4">
      <t>セイキュウキンガク</t>
    </rPh>
    <phoneticPr fontId="2"/>
  </si>
  <si>
    <t>加工単価計算表</t>
    <rPh sb="0" eb="4">
      <t>カコウタンカ</t>
    </rPh>
    <rPh sb="4" eb="7">
      <t>ケイサンヒョウ</t>
    </rPh>
    <phoneticPr fontId="2"/>
  </si>
  <si>
    <t>製CO</t>
    <rPh sb="0" eb="1">
      <t>セイ</t>
    </rPh>
    <phoneticPr fontId="2"/>
  </si>
  <si>
    <t>製品名</t>
    <rPh sb="0" eb="3">
      <t>セイヒンメイ</t>
    </rPh>
    <phoneticPr fontId="2"/>
  </si>
  <si>
    <t>製品原価</t>
    <rPh sb="0" eb="4">
      <t>セイヒンゲンカ</t>
    </rPh>
    <phoneticPr fontId="2"/>
  </si>
  <si>
    <t>賃率</t>
    <rPh sb="0" eb="2">
      <t>チンリツ</t>
    </rPh>
    <phoneticPr fontId="2"/>
  </si>
  <si>
    <t>加工単価</t>
    <rPh sb="0" eb="4">
      <t>カコウタンカ</t>
    </rPh>
    <phoneticPr fontId="2"/>
  </si>
  <si>
    <t>製品E</t>
    <rPh sb="0" eb="2">
      <t>セイヒン</t>
    </rPh>
    <phoneticPr fontId="2"/>
  </si>
  <si>
    <t>依頼先別支払額一覧表</t>
    <rPh sb="0" eb="4">
      <t>イライサキベツ</t>
    </rPh>
    <rPh sb="4" eb="7">
      <t>シハライガク</t>
    </rPh>
    <rPh sb="7" eb="10">
      <t>イチランヒョウ</t>
    </rPh>
    <phoneticPr fontId="2"/>
  </si>
  <si>
    <t>依CO</t>
    <rPh sb="0" eb="1">
      <t>イ</t>
    </rPh>
    <phoneticPr fontId="2"/>
  </si>
  <si>
    <t>依頼先名</t>
    <rPh sb="0" eb="4">
      <t>イライサキメイ</t>
    </rPh>
    <phoneticPr fontId="2"/>
  </si>
  <si>
    <t>依頼数</t>
    <rPh sb="0" eb="3">
      <t>イライスウ</t>
    </rPh>
    <phoneticPr fontId="2"/>
  </si>
  <si>
    <t>完成数</t>
    <rPh sb="0" eb="3">
      <t>カンセイスウ</t>
    </rPh>
    <phoneticPr fontId="2"/>
  </si>
  <si>
    <t>完成指数</t>
    <rPh sb="0" eb="4">
      <t>カンセイシスウ</t>
    </rPh>
    <phoneticPr fontId="2"/>
  </si>
  <si>
    <t>割増加工賃</t>
    <rPh sb="0" eb="2">
      <t>ワリマシ</t>
    </rPh>
    <rPh sb="2" eb="5">
      <t>カコウチン</t>
    </rPh>
    <phoneticPr fontId="2"/>
  </si>
  <si>
    <t>横井製作所</t>
    <rPh sb="0" eb="5">
      <t>ヨコイセイサクジョ</t>
    </rPh>
    <phoneticPr fontId="2"/>
  </si>
  <si>
    <t>五十嵐精工</t>
    <rPh sb="0" eb="3">
      <t>イガラシ</t>
    </rPh>
    <rPh sb="3" eb="5">
      <t>セイコウ</t>
    </rPh>
    <phoneticPr fontId="2"/>
  </si>
  <si>
    <t>マルヤ工業</t>
    <rPh sb="3" eb="5">
      <t>コウギョウ</t>
    </rPh>
    <phoneticPr fontId="2"/>
  </si>
  <si>
    <t>ＡＳＫ製作</t>
    <rPh sb="3" eb="5">
      <t>セイサク</t>
    </rPh>
    <phoneticPr fontId="2"/>
  </si>
  <si>
    <t>南関東電工</t>
    <rPh sb="0" eb="5">
      <t>ミナミカントウデンコウ</t>
    </rPh>
    <phoneticPr fontId="2"/>
  </si>
  <si>
    <t>佐々木精密</t>
    <rPh sb="0" eb="3">
      <t>ササキ</t>
    </rPh>
    <rPh sb="3" eb="5">
      <t>セイミツ</t>
    </rPh>
    <phoneticPr fontId="2"/>
  </si>
  <si>
    <t>中西工作所</t>
    <rPh sb="0" eb="2">
      <t>ナカニシ</t>
    </rPh>
    <rPh sb="2" eb="5">
      <t>コウサクジョ</t>
    </rPh>
    <phoneticPr fontId="2"/>
  </si>
  <si>
    <t>北富士電機</t>
    <rPh sb="0" eb="5">
      <t>キタフジデンキ</t>
    </rPh>
    <phoneticPr fontId="2"/>
  </si>
  <si>
    <t>社員名</t>
    <rPh sb="0" eb="3">
      <t>しゃいんめい</t>
    </rPh>
    <phoneticPr fontId="2" type="Hiragana"/>
  </si>
  <si>
    <t>作業数</t>
    <rPh sb="0" eb="3">
      <t>さぎょうすう</t>
    </rPh>
    <phoneticPr fontId="2" type="Hiragana"/>
  </si>
  <si>
    <t>完成数</t>
    <rPh sb="0" eb="3">
      <t>かんせいすう</t>
    </rPh>
    <phoneticPr fontId="2" type="Hiragana"/>
  </si>
  <si>
    <t>完成指数</t>
    <rPh sb="0" eb="4">
      <t>かんせいしすう</t>
    </rPh>
    <phoneticPr fontId="2" type="Hiragana"/>
  </si>
  <si>
    <t>乗率</t>
    <rPh sb="0" eb="2">
      <t>じょうりつ</t>
    </rPh>
    <phoneticPr fontId="2" type="Hiragana"/>
  </si>
  <si>
    <t>支給額</t>
    <rPh sb="0" eb="3">
      <t>しきゅうがく</t>
    </rPh>
    <phoneticPr fontId="2" type="Hiragana"/>
  </si>
  <si>
    <t>合計</t>
    <rPh sb="0" eb="2">
      <t>ごうけい</t>
    </rPh>
    <phoneticPr fontId="2" type="Hiragana"/>
  </si>
  <si>
    <t>小倉　政治</t>
    <rPh sb="0" eb="2">
      <t>おぐら</t>
    </rPh>
    <rPh sb="3" eb="5">
      <t>せいじ</t>
    </rPh>
    <phoneticPr fontId="2" type="Hiragana"/>
  </si>
  <si>
    <t>山下　愛子</t>
    <rPh sb="0" eb="2">
      <t>やました</t>
    </rPh>
    <rPh sb="3" eb="5">
      <t>あいこ</t>
    </rPh>
    <phoneticPr fontId="2" type="Hiragana"/>
  </si>
  <si>
    <t>久保田　勇</t>
    <rPh sb="0" eb="3">
      <t>くぼた</t>
    </rPh>
    <rPh sb="4" eb="5">
      <t>いさむ</t>
    </rPh>
    <phoneticPr fontId="2" type="Hiragana"/>
  </si>
  <si>
    <t>森　ひかり</t>
    <rPh sb="0" eb="1">
      <t>もり</t>
    </rPh>
    <phoneticPr fontId="2" type="Hiragana"/>
  </si>
  <si>
    <t>大川　公平</t>
    <rPh sb="0" eb="2">
      <t>おおかわ</t>
    </rPh>
    <rPh sb="3" eb="5">
      <t>こうへい</t>
    </rPh>
    <phoneticPr fontId="2" type="Hiragana"/>
  </si>
  <si>
    <t>松岡　由香</t>
    <rPh sb="0" eb="2">
      <t>まつおか</t>
    </rPh>
    <rPh sb="3" eb="5">
      <t>ゆか</t>
    </rPh>
    <phoneticPr fontId="2" type="Hiragana"/>
  </si>
  <si>
    <t>佐藤　和雄</t>
    <rPh sb="0" eb="2">
      <t>さとう</t>
    </rPh>
    <rPh sb="3" eb="5">
      <t>かずお</t>
    </rPh>
    <phoneticPr fontId="2" type="Hiragana"/>
  </si>
  <si>
    <t>平均</t>
    <rPh sb="0" eb="2">
      <t>へいきん</t>
    </rPh>
    <phoneticPr fontId="2" type="Hiragana"/>
  </si>
  <si>
    <t>勤勉手当</t>
    <rPh sb="0" eb="4">
      <t>きんべんてあて</t>
    </rPh>
    <phoneticPr fontId="2" type="Hiragana"/>
  </si>
  <si>
    <t>支給総額</t>
    <rPh sb="0" eb="4">
      <t>しきゅうそうがく</t>
    </rPh>
    <phoneticPr fontId="2" type="Hiragana"/>
  </si>
  <si>
    <t>判定</t>
    <rPh sb="0" eb="2">
      <t>はんてい</t>
    </rPh>
    <phoneticPr fontId="2" type="Hiragana"/>
  </si>
  <si>
    <t>取CO</t>
    <rPh sb="0" eb="1">
      <t>とり</t>
    </rPh>
    <phoneticPr fontId="2" type="Hiragana"/>
  </si>
  <si>
    <t>取引先名</t>
    <rPh sb="0" eb="4">
      <t>とりひきさきめい</t>
    </rPh>
    <phoneticPr fontId="2" type="Hiragana"/>
  </si>
  <si>
    <t>商CO</t>
    <rPh sb="0" eb="1">
      <t>しょう</t>
    </rPh>
    <phoneticPr fontId="2" type="Hiragana"/>
  </si>
  <si>
    <t>商品名</t>
    <rPh sb="0" eb="3">
      <t>しょうひんめい</t>
    </rPh>
    <phoneticPr fontId="2" type="Hiragana"/>
  </si>
  <si>
    <t>定価</t>
    <rPh sb="0" eb="2">
      <t>ていか</t>
    </rPh>
    <phoneticPr fontId="2" type="Hiragana"/>
  </si>
  <si>
    <t>売上数</t>
    <rPh sb="0" eb="3">
      <t>うりあげすう</t>
    </rPh>
    <phoneticPr fontId="2" type="Hiragana"/>
  </si>
  <si>
    <t>売価</t>
    <rPh sb="0" eb="2">
      <t>ばいか</t>
    </rPh>
    <phoneticPr fontId="2" type="Hiragana"/>
  </si>
  <si>
    <t>売上額</t>
    <rPh sb="0" eb="3">
      <t>うりあげがく</t>
    </rPh>
    <phoneticPr fontId="2" type="Hiragana"/>
  </si>
  <si>
    <t>野々村商店</t>
    <rPh sb="0" eb="3">
      <t>ののむら</t>
    </rPh>
    <rPh sb="3" eb="5">
      <t>しょうてん</t>
    </rPh>
    <phoneticPr fontId="2" type="Hiragana"/>
  </si>
  <si>
    <t>ＺＥＴ物産</t>
    <rPh sb="3" eb="5">
      <t>ぶっさん</t>
    </rPh>
    <phoneticPr fontId="2" type="Hiragana"/>
  </si>
  <si>
    <t>あけの企画</t>
    <rPh sb="3" eb="5">
      <t>きかく</t>
    </rPh>
    <phoneticPr fontId="2" type="Hiragana"/>
  </si>
  <si>
    <t>ヤマヨ水産</t>
    <rPh sb="3" eb="5">
      <t>すいさん</t>
    </rPh>
    <phoneticPr fontId="2" type="Hiragana"/>
  </si>
  <si>
    <t>スーパー光</t>
    <rPh sb="4" eb="5">
      <t>ひかり</t>
    </rPh>
    <phoneticPr fontId="2" type="Hiragana"/>
  </si>
  <si>
    <t>毎日ストア</t>
    <rPh sb="0" eb="2">
      <t>まいにち</t>
    </rPh>
    <phoneticPr fontId="2" type="Hiragana"/>
  </si>
  <si>
    <t>山手マート</t>
    <rPh sb="0" eb="2">
      <t>やまて</t>
    </rPh>
    <phoneticPr fontId="2" type="Hiragana"/>
  </si>
  <si>
    <t>桜井青果店</t>
    <rPh sb="0" eb="2">
      <t>さくらい</t>
    </rPh>
    <rPh sb="2" eb="5">
      <t>せいかてん</t>
    </rPh>
    <phoneticPr fontId="2" type="Hiragana"/>
  </si>
  <si>
    <t>南三陸商事</t>
    <rPh sb="0" eb="1">
      <t>みなみ</t>
    </rPh>
    <rPh sb="1" eb="3">
      <t>さんりく</t>
    </rPh>
    <rPh sb="3" eb="5">
      <t>しょうじ</t>
    </rPh>
    <phoneticPr fontId="2" type="Hiragana"/>
  </si>
  <si>
    <t>商談数</t>
    <rPh sb="0" eb="2">
      <t>しょうだん</t>
    </rPh>
    <rPh sb="2" eb="3">
      <t>すう</t>
    </rPh>
    <phoneticPr fontId="2" type="Hiragana"/>
  </si>
  <si>
    <t>契約数</t>
    <rPh sb="0" eb="3">
      <t>けいやくすう</t>
    </rPh>
    <phoneticPr fontId="2" type="Hiragana"/>
  </si>
  <si>
    <t>契約率</t>
    <rPh sb="0" eb="3">
      <t>けいやくりつ</t>
    </rPh>
    <phoneticPr fontId="2" type="Hiragana"/>
  </si>
  <si>
    <t>査定値</t>
    <rPh sb="0" eb="2">
      <t>さてい</t>
    </rPh>
    <rPh sb="2" eb="3">
      <t>ち</t>
    </rPh>
    <phoneticPr fontId="2" type="Hiragana"/>
  </si>
  <si>
    <t>星　やまと</t>
    <rPh sb="0" eb="1">
      <t>ほし</t>
    </rPh>
    <phoneticPr fontId="2" type="Hiragana"/>
  </si>
  <si>
    <t>山本　奈緒</t>
    <rPh sb="0" eb="2">
      <t>やまもと</t>
    </rPh>
    <rPh sb="3" eb="5">
      <t>なお</t>
    </rPh>
    <phoneticPr fontId="2" type="Hiragana"/>
  </si>
  <si>
    <t>中村　雄大</t>
    <rPh sb="0" eb="2">
      <t>なかむら</t>
    </rPh>
    <rPh sb="3" eb="5">
      <t>ゆうだい</t>
    </rPh>
    <phoneticPr fontId="2" type="Hiragana"/>
  </si>
  <si>
    <t>小宮山　愛</t>
    <rPh sb="0" eb="3">
      <t>こみやま</t>
    </rPh>
    <rPh sb="4" eb="5">
      <t>あい</t>
    </rPh>
    <phoneticPr fontId="2" type="Hiragana"/>
  </si>
  <si>
    <t>鈴木　正雄</t>
    <rPh sb="0" eb="2">
      <t>すずき</t>
    </rPh>
    <rPh sb="3" eb="5">
      <t>まさお</t>
    </rPh>
    <phoneticPr fontId="2" type="Hiragana"/>
  </si>
  <si>
    <t>安藤　和子</t>
    <rPh sb="0" eb="2">
      <t>あんどう</t>
    </rPh>
    <rPh sb="3" eb="5">
      <t>かずこ</t>
    </rPh>
    <phoneticPr fontId="2" type="Hiragana"/>
  </si>
  <si>
    <t>里田　茂樹</t>
    <rPh sb="0" eb="2">
      <t>さとだ</t>
    </rPh>
    <rPh sb="3" eb="5">
      <t>しげき</t>
    </rPh>
    <phoneticPr fontId="2" type="Hiragana"/>
  </si>
  <si>
    <t>大下　早苗</t>
    <rPh sb="0" eb="2">
      <t>おおした</t>
    </rPh>
    <rPh sb="3" eb="5">
      <t>さなえ</t>
    </rPh>
    <phoneticPr fontId="2" type="Hiragana"/>
  </si>
  <si>
    <t>営業手当</t>
    <rPh sb="0" eb="4">
      <t>えいぎょうてあて</t>
    </rPh>
    <phoneticPr fontId="2" type="Hiragana"/>
  </si>
  <si>
    <t>奨励金</t>
    <rPh sb="0" eb="3">
      <t>しょうれいきん</t>
    </rPh>
    <phoneticPr fontId="2" type="Hiragana"/>
  </si>
  <si>
    <t>売上数</t>
    <rPh sb="0" eb="2">
      <t>ウリアゲ</t>
    </rPh>
    <rPh sb="2" eb="3">
      <t>スウ</t>
    </rPh>
    <phoneticPr fontId="2"/>
  </si>
  <si>
    <t>商品T</t>
    <phoneticPr fontId="2"/>
  </si>
  <si>
    <t>商品U</t>
    <phoneticPr fontId="2"/>
  </si>
  <si>
    <t>商品V</t>
    <phoneticPr fontId="2"/>
  </si>
  <si>
    <t>商品W</t>
    <phoneticPr fontId="2"/>
  </si>
  <si>
    <t>商品X</t>
    <phoneticPr fontId="2"/>
  </si>
  <si>
    <t>商品Y</t>
    <phoneticPr fontId="2"/>
  </si>
  <si>
    <t>商品Z</t>
    <phoneticPr fontId="2"/>
  </si>
  <si>
    <t>店頭販売</t>
    <rPh sb="0" eb="2">
      <t>テントウ</t>
    </rPh>
    <rPh sb="2" eb="4">
      <t>ハンバイ</t>
    </rPh>
    <phoneticPr fontId="2"/>
  </si>
  <si>
    <t>通信販売</t>
  </si>
  <si>
    <t>通信販売</t>
    <rPh sb="0" eb="2">
      <t>ツウシン</t>
    </rPh>
    <rPh sb="2" eb="4">
      <t>ハンバイ</t>
    </rPh>
    <phoneticPr fontId="2"/>
  </si>
  <si>
    <t>利益総額</t>
    <rPh sb="0" eb="2">
      <t>リエキ</t>
    </rPh>
    <rPh sb="2" eb="4">
      <t>ソウガク</t>
    </rPh>
    <phoneticPr fontId="2"/>
  </si>
  <si>
    <t>店頭比率</t>
    <rPh sb="0" eb="2">
      <t>テントウ</t>
    </rPh>
    <rPh sb="2" eb="4">
      <t>ヒリツ</t>
    </rPh>
    <phoneticPr fontId="2"/>
  </si>
  <si>
    <t>利益目標額</t>
  </si>
  <si>
    <t>店頭販売</t>
    <phoneticPr fontId="2"/>
  </si>
  <si>
    <t>販売一覧表（通信販売）</t>
    <rPh sb="0" eb="5">
      <t>ハンバイイチランヒョウ</t>
    </rPh>
    <rPh sb="6" eb="8">
      <t>ツウシン</t>
    </rPh>
    <rPh sb="8" eb="10">
      <t>ハンバイ</t>
    </rPh>
    <phoneticPr fontId="2"/>
  </si>
  <si>
    <t>合計</t>
    <rPh sb="0" eb="2">
      <t>ゴウケイ</t>
    </rPh>
    <phoneticPr fontId="2"/>
  </si>
  <si>
    <t>標準契約額テーブル</t>
    <rPh sb="0" eb="2">
      <t>ヒョウジュン</t>
    </rPh>
    <rPh sb="2" eb="4">
      <t>ケイヤク</t>
    </rPh>
    <rPh sb="4" eb="5">
      <t>ガク</t>
    </rPh>
    <phoneticPr fontId="2"/>
  </si>
  <si>
    <t>標準契約額</t>
  </si>
  <si>
    <t>達成指数</t>
  </si>
  <si>
    <t>商品A</t>
    <phoneticPr fontId="2"/>
  </si>
  <si>
    <t>商品B</t>
    <phoneticPr fontId="2"/>
  </si>
  <si>
    <t>商品C</t>
    <phoneticPr fontId="2"/>
  </si>
  <si>
    <t>商品D</t>
    <phoneticPr fontId="2"/>
  </si>
  <si>
    <t>商品E</t>
    <phoneticPr fontId="2"/>
  </si>
  <si>
    <t>合計</t>
    <phoneticPr fontId="2"/>
  </si>
  <si>
    <t>販売手数料一覧表（B商品）</t>
    <rPh sb="0" eb="5">
      <t>ハンバイテスウリョウ</t>
    </rPh>
    <rPh sb="5" eb="8">
      <t>イチランヒョウ</t>
    </rPh>
    <rPh sb="10" eb="12">
      <t>ショウヒン</t>
    </rPh>
    <phoneticPr fontId="2"/>
  </si>
  <si>
    <t>単価テーブル</t>
    <rPh sb="0" eb="2">
      <t>タンカ</t>
    </rPh>
    <phoneticPr fontId="2"/>
  </si>
  <si>
    <t>単価</t>
    <rPh sb="0" eb="2">
      <t>タンカ</t>
    </rPh>
    <phoneticPr fontId="2"/>
  </si>
  <si>
    <t>A商品</t>
  </si>
  <si>
    <t>A商品</t>
    <rPh sb="1" eb="3">
      <t>ショウヒン</t>
    </rPh>
    <phoneticPr fontId="2"/>
  </si>
  <si>
    <t>B商品</t>
  </si>
  <si>
    <t>B商品</t>
    <phoneticPr fontId="2"/>
  </si>
  <si>
    <t>支払総額一覧表</t>
    <rPh sb="0" eb="2">
      <t>シハライ</t>
    </rPh>
    <rPh sb="2" eb="4">
      <t>ソウガク</t>
    </rPh>
    <rPh sb="4" eb="7">
      <t>イチランヒョウ</t>
    </rPh>
    <phoneticPr fontId="2"/>
  </si>
  <si>
    <t>販売促進金</t>
    <rPh sb="2" eb="4">
      <t>ソクシン</t>
    </rPh>
    <rPh sb="4" eb="5">
      <t>キン</t>
    </rPh>
    <phoneticPr fontId="2"/>
  </si>
  <si>
    <t>支払総額</t>
  </si>
  <si>
    <t>構成比率</t>
    <rPh sb="0" eb="4">
      <t>コウセイヒリツ</t>
    </rPh>
    <phoneticPr fontId="2"/>
  </si>
  <si>
    <t>判定</t>
    <rPh sb="0" eb="2">
      <t>ハンテイ</t>
    </rPh>
    <phoneticPr fontId="2"/>
  </si>
  <si>
    <t>平均</t>
    <rPh sb="0" eb="2">
      <t>ヘイキン</t>
    </rPh>
    <phoneticPr fontId="2"/>
  </si>
  <si>
    <t>標準平均売価</t>
    <rPh sb="0" eb="2">
      <t>ヒョウジュン</t>
    </rPh>
    <rPh sb="2" eb="4">
      <t>ヘイキン</t>
    </rPh>
    <rPh sb="4" eb="6">
      <t>バイカ</t>
    </rPh>
    <phoneticPr fontId="2"/>
  </si>
  <si>
    <t>前期</t>
    <rPh sb="0" eb="2">
      <t>ゼンキ</t>
    </rPh>
    <phoneticPr fontId="2"/>
  </si>
  <si>
    <t>後期</t>
    <rPh sb="0" eb="2">
      <t>コウキ</t>
    </rPh>
    <phoneticPr fontId="2"/>
  </si>
  <si>
    <t>広告費総額</t>
    <rPh sb="0" eb="2">
      <t>コウコク</t>
    </rPh>
    <rPh sb="2" eb="3">
      <t>ヒ</t>
    </rPh>
    <rPh sb="3" eb="5">
      <t>ソウガク</t>
    </rPh>
    <phoneticPr fontId="2"/>
  </si>
  <si>
    <t>広告費分配一覧表（後期）</t>
    <rPh sb="0" eb="3">
      <t>コウコクヒ</t>
    </rPh>
    <rPh sb="3" eb="8">
      <t>ブンパイイチランヒョウ</t>
    </rPh>
    <rPh sb="9" eb="11">
      <t>コウキ</t>
    </rPh>
    <phoneticPr fontId="2"/>
  </si>
  <si>
    <t>J商品</t>
    <rPh sb="1" eb="3">
      <t>ショウヒン</t>
    </rPh>
    <phoneticPr fontId="2"/>
  </si>
  <si>
    <t>K商品</t>
    <rPh sb="1" eb="3">
      <t>ショウヒン</t>
    </rPh>
    <phoneticPr fontId="2"/>
  </si>
  <si>
    <t>L商品</t>
    <rPh sb="1" eb="3">
      <t>ショウヒン</t>
    </rPh>
    <phoneticPr fontId="2"/>
  </si>
  <si>
    <t>M商品</t>
    <rPh sb="1" eb="3">
      <t>ショウヒン</t>
    </rPh>
    <phoneticPr fontId="2"/>
  </si>
  <si>
    <t>N商品</t>
    <rPh sb="1" eb="3">
      <t>ショウヒン</t>
    </rPh>
    <phoneticPr fontId="2"/>
  </si>
  <si>
    <t>商CO</t>
    <phoneticPr fontId="2"/>
  </si>
  <si>
    <t>商品名</t>
  </si>
  <si>
    <t>週料金</t>
  </si>
  <si>
    <t>R商品</t>
    <phoneticPr fontId="2"/>
  </si>
  <si>
    <t>S商品</t>
    <phoneticPr fontId="2"/>
  </si>
  <si>
    <t>T商品</t>
    <phoneticPr fontId="2"/>
  </si>
  <si>
    <t>U商品</t>
    <phoneticPr fontId="2"/>
  </si>
  <si>
    <t>合計</t>
    <phoneticPr fontId="2"/>
  </si>
  <si>
    <t>製品F</t>
    <phoneticPr fontId="2"/>
  </si>
  <si>
    <t>製品G</t>
    <phoneticPr fontId="2"/>
  </si>
  <si>
    <t>製品H</t>
    <phoneticPr fontId="2"/>
  </si>
  <si>
    <t>基本加工賃</t>
    <rPh sb="0" eb="2">
      <t>キホン</t>
    </rPh>
    <phoneticPr fontId="2"/>
  </si>
  <si>
    <t>社員別作業データ表（製品A）</t>
    <rPh sb="0" eb="3">
      <t>しゃいんべつ</t>
    </rPh>
    <rPh sb="3" eb="5">
      <t>さぎょう</t>
    </rPh>
    <rPh sb="8" eb="9">
      <t>ひょう</t>
    </rPh>
    <rPh sb="10" eb="12">
      <t>せいひん</t>
    </rPh>
    <phoneticPr fontId="2" type="Hiragana"/>
  </si>
  <si>
    <t>CO</t>
    <phoneticPr fontId="2" type="Hiragana"/>
  </si>
  <si>
    <t>製品A</t>
    <rPh sb="0" eb="2">
      <t>せいひん</t>
    </rPh>
    <phoneticPr fontId="2" type="Hiragana"/>
  </si>
  <si>
    <t>製品B</t>
  </si>
  <si>
    <t>製品B</t>
    <phoneticPr fontId="2" type="Hiragana"/>
  </si>
  <si>
    <t>単価</t>
    <rPh sb="0" eb="2">
      <t>たんか</t>
    </rPh>
    <phoneticPr fontId="2" type="Hiragana"/>
  </si>
  <si>
    <t>社員別作業データ表（製品B）</t>
    <rPh sb="0" eb="3">
      <t>しゃいんべつ</t>
    </rPh>
    <rPh sb="3" eb="5">
      <t>さぎょう</t>
    </rPh>
    <rPh sb="8" eb="9">
      <t>ひょう</t>
    </rPh>
    <rPh sb="10" eb="12">
      <t>せいひん</t>
    </rPh>
    <phoneticPr fontId="2" type="Hiragana"/>
  </si>
  <si>
    <t>出来高給一覧表</t>
    <rPh sb="0" eb="4">
      <t>できだかきゅう</t>
    </rPh>
    <rPh sb="4" eb="6">
      <t>いちらん</t>
    </rPh>
    <rPh sb="6" eb="7">
      <t>ひょう</t>
    </rPh>
    <phoneticPr fontId="2" type="Hiragana"/>
  </si>
  <si>
    <t>製品A</t>
    <phoneticPr fontId="2" type="Hiragana"/>
  </si>
  <si>
    <t>支給額総括表</t>
    <rPh sb="0" eb="2">
      <t>シキュウ</t>
    </rPh>
    <rPh sb="2" eb="3">
      <t>ガク</t>
    </rPh>
    <rPh sb="3" eb="4">
      <t>ソウ</t>
    </rPh>
    <rPh sb="4" eb="6">
      <t>カツヒョウ</t>
    </rPh>
    <phoneticPr fontId="2"/>
  </si>
  <si>
    <t>CO</t>
    <phoneticPr fontId="2"/>
  </si>
  <si>
    <t>加盟店名</t>
  </si>
  <si>
    <t>前期</t>
    <rPh sb="0" eb="2">
      <t>ゼンキ</t>
    </rPh>
    <phoneticPr fontId="2"/>
  </si>
  <si>
    <t>後期</t>
    <rPh sb="0" eb="2">
      <t>コウキ</t>
    </rPh>
    <phoneticPr fontId="2"/>
  </si>
  <si>
    <t>支給額</t>
    <rPh sb="0" eb="3">
      <t>シキュウガク</t>
    </rPh>
    <phoneticPr fontId="2"/>
  </si>
  <si>
    <t>判定</t>
    <rPh sb="0" eb="2">
      <t>ハンテイ</t>
    </rPh>
    <phoneticPr fontId="2"/>
  </si>
  <si>
    <t>合計</t>
  </si>
  <si>
    <t>輸入品売上一覧表</t>
    <rPh sb="0" eb="3">
      <t>ゆにゅうひん</t>
    </rPh>
    <phoneticPr fontId="2" type="Hiragana"/>
  </si>
  <si>
    <t>原価($)</t>
    <rPh sb="0" eb="2">
      <t>げんか</t>
    </rPh>
    <phoneticPr fontId="2" type="Hiragana"/>
  </si>
  <si>
    <t>A商品</t>
    <phoneticPr fontId="2" type="Hiragana"/>
  </si>
  <si>
    <t>B商品</t>
    <phoneticPr fontId="2" type="Hiragana"/>
  </si>
  <si>
    <t>C商品</t>
    <phoneticPr fontId="2" type="Hiragana"/>
  </si>
  <si>
    <t>D商品</t>
    <phoneticPr fontId="2" type="Hiragana"/>
  </si>
  <si>
    <t>E商品</t>
    <phoneticPr fontId="2" type="Hiragana"/>
  </si>
  <si>
    <t>為替相場</t>
    <rPh sb="0" eb="4">
      <t>かわせそうば</t>
    </rPh>
    <phoneticPr fontId="2" type="Hiragana"/>
  </si>
  <si>
    <t>ＯＰ</t>
  </si>
  <si>
    <t>ＯＰ料金</t>
  </si>
  <si>
    <t>合計</t>
    <rPh sb="0" eb="2">
      <t>ごうけい</t>
    </rPh>
    <phoneticPr fontId="2" type="Hiragana"/>
  </si>
  <si>
    <t>割引率</t>
    <rPh sb="0" eb="3">
      <t>わりびきりつ</t>
    </rPh>
    <phoneticPr fontId="2" type="Hiragana"/>
  </si>
  <si>
    <t>割引額</t>
    <rPh sb="2" eb="3">
      <t>がく</t>
    </rPh>
    <phoneticPr fontId="2" type="Hiragana"/>
  </si>
  <si>
    <t>請求額</t>
    <rPh sb="0" eb="2">
      <t>せいきゅう</t>
    </rPh>
    <rPh sb="2" eb="3">
      <t>がく</t>
    </rPh>
    <phoneticPr fontId="2" type="Hiragana"/>
  </si>
  <si>
    <t>判定</t>
    <rPh sb="0" eb="2">
      <t>はんてい</t>
    </rPh>
    <phoneticPr fontId="2" type="Hiragana"/>
  </si>
  <si>
    <t>請求額一覧表</t>
    <phoneticPr fontId="2" type="Hiragana"/>
  </si>
  <si>
    <t>平均</t>
    <rPh sb="0" eb="2">
      <t>へいきん</t>
    </rPh>
    <phoneticPr fontId="2" type="Hiragana"/>
  </si>
  <si>
    <t>ＣＯ</t>
  </si>
  <si>
    <t>ＣＯ</t>
    <phoneticPr fontId="2" type="Hiragana"/>
  </si>
  <si>
    <t>標準契約率</t>
    <rPh sb="0" eb="2">
      <t>ひょうじゅん</t>
    </rPh>
    <phoneticPr fontId="2" type="Hiragana"/>
  </si>
  <si>
    <t>出張日数</t>
  </si>
  <si>
    <t>出張手当単価</t>
    <rPh sb="4" eb="6">
      <t>たんか</t>
    </rPh>
    <phoneticPr fontId="2" type="Hiragana"/>
  </si>
  <si>
    <t>営業手当単価</t>
    <phoneticPr fontId="2" type="Hiragana"/>
  </si>
  <si>
    <t>出張データ一覧表</t>
    <phoneticPr fontId="2" type="Hiragana"/>
  </si>
  <si>
    <t>支給総額</t>
  </si>
  <si>
    <t>支給総額一覧表</t>
    <phoneticPr fontId="2" type="Hiragana"/>
  </si>
  <si>
    <t>社員名</t>
  </si>
  <si>
    <t>契約額（千）</t>
  </si>
  <si>
    <t>出張手当</t>
    <phoneticPr fontId="2" type="Hiragana"/>
  </si>
  <si>
    <t>特別手当</t>
    <phoneticPr fontId="2" type="Hiragana"/>
  </si>
  <si>
    <t>&lt;利益目標額テーブル&gt;</t>
    <rPh sb="1" eb="3">
      <t>リエキ</t>
    </rPh>
    <rPh sb="3" eb="6">
      <t>モクヒョウガク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</si>
</sst>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6" xfId="1" applyNumberFormat="1" applyFont="1" applyBorder="1">
      <alignment vertical="center"/>
    </xf>
    <xf numFmtId="176" fontId="0" fillId="0" borderId="9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38" fontId="0" fillId="0" borderId="1" xfId="2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6" xfId="2" applyFont="1" applyBorder="1">
      <alignment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0" fontId="0" fillId="0" borderId="3" xfId="0" applyBorder="1">
      <alignment vertical="center"/>
    </xf>
    <xf numFmtId="38" fontId="0" fillId="0" borderId="1" xfId="0" applyNumberFormat="1" applyBorder="1">
      <alignment vertical="center"/>
    </xf>
    <xf numFmtId="38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38" fontId="0" fillId="0" borderId="11" xfId="2" applyFont="1" applyBorder="1">
      <alignment vertical="center"/>
    </xf>
    <xf numFmtId="9" fontId="0" fillId="0" borderId="1" xfId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6" xfId="0" applyNumberFormat="1" applyBorder="1">
      <alignment vertical="center"/>
    </xf>
    <xf numFmtId="38" fontId="0" fillId="0" borderId="9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8" xfId="1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38" fontId="0" fillId="0" borderId="4" xfId="2" applyFont="1" applyBorder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得意先別の売上額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'2-1 完成例'!$I$12</c:f>
              <c:strCache>
                <c:ptCount val="1"/>
                <c:pt idx="0">
                  <c:v>売上額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'2-1 完成例'!$B$13:$B$21</c:f>
              <c:strCache>
                <c:ptCount val="9"/>
                <c:pt idx="0">
                  <c:v>水川ストア</c:v>
                </c:pt>
                <c:pt idx="1">
                  <c:v>マルミ商事</c:v>
                </c:pt>
                <c:pt idx="2">
                  <c:v>さかもと屋</c:v>
                </c:pt>
                <c:pt idx="3">
                  <c:v>中清水企画</c:v>
                </c:pt>
                <c:pt idx="4">
                  <c:v>南四国総業</c:v>
                </c:pt>
                <c:pt idx="5">
                  <c:v>水前寺商店</c:v>
                </c:pt>
                <c:pt idx="6">
                  <c:v>長谷川青果</c:v>
                </c:pt>
                <c:pt idx="7">
                  <c:v>久保田商会</c:v>
                </c:pt>
                <c:pt idx="8">
                  <c:v>ＪＦＣ物産</c:v>
                </c:pt>
              </c:strCache>
            </c:strRef>
          </c:cat>
          <c:val>
            <c:numRef>
              <c:f>'2-1 完成例'!$I$13:$I$21</c:f>
              <c:numCache>
                <c:formatCode>#,##0</c:formatCode>
                <c:ptCount val="9"/>
                <c:pt idx="0">
                  <c:v>622804</c:v>
                </c:pt>
                <c:pt idx="1">
                  <c:v>577096</c:v>
                </c:pt>
                <c:pt idx="2">
                  <c:v>637120</c:v>
                </c:pt>
                <c:pt idx="3">
                  <c:v>401050</c:v>
                </c:pt>
                <c:pt idx="4">
                  <c:v>562650</c:v>
                </c:pt>
                <c:pt idx="5">
                  <c:v>674032</c:v>
                </c:pt>
                <c:pt idx="6">
                  <c:v>488700</c:v>
                </c:pt>
                <c:pt idx="7">
                  <c:v>606860</c:v>
                </c:pt>
                <c:pt idx="8">
                  <c:v>464031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E-4C73-852B-D19400955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5737663"/>
        <c:axId val="911758991"/>
      </c:barChart>
      <c:catAx>
        <c:axId val="90573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1758991"/>
        <c:crosses val="autoZero"/>
        <c:auto val="1"/>
        <c:lblAlgn val="ctr"/>
        <c:lblOffset val="100"/>
        <c:noMultiLvlLbl val="0"/>
      </c:catAx>
      <c:valAx>
        <c:axId val="91175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573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24</xdr:row>
      <xdr:rowOff>219075</xdr:rowOff>
    </xdr:from>
    <xdr:to>
      <xdr:col>9</xdr:col>
      <xdr:colOff>342900</xdr:colOff>
      <xdr:row>38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12FAD8-1FA2-4010-8697-21F00B229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7B64-E3F8-4FA7-9743-A7DED9951497}">
  <dimension ref="A1:J24"/>
  <sheetViews>
    <sheetView topLeftCell="A4" workbookViewId="0">
      <selection sqref="A1:G1"/>
    </sheetView>
  </sheetViews>
  <sheetFormatPr defaultRowHeight="18.75" x14ac:dyDescent="0.4"/>
  <cols>
    <col min="1" max="1" width="6" bestFit="1" customWidth="1"/>
    <col min="2" max="2" width="11" bestFit="1" customWidth="1"/>
    <col min="3" max="4" width="7.125" bestFit="1" customWidth="1"/>
    <col min="6" max="6" width="9.5" bestFit="1" customWidth="1"/>
    <col min="7" max="7" width="7.125" bestFit="1" customWidth="1"/>
    <col min="8" max="8" width="6" bestFit="1" customWidth="1"/>
    <col min="9" max="9" width="9.5" bestFit="1" customWidth="1"/>
    <col min="10" max="10" width="5.5" bestFit="1" customWidth="1"/>
  </cols>
  <sheetData>
    <row r="1" spans="1:10" ht="19.5" thickBot="1" x14ac:dyDescent="0.45">
      <c r="A1" s="54" t="s">
        <v>0</v>
      </c>
      <c r="B1" s="54"/>
      <c r="C1" s="54"/>
      <c r="D1" s="54"/>
      <c r="E1" s="54"/>
      <c r="F1" s="54"/>
      <c r="G1" s="54"/>
    </row>
    <row r="2" spans="1:10" x14ac:dyDescent="0.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10" x14ac:dyDescent="0.4">
      <c r="A3" s="8">
        <v>11</v>
      </c>
      <c r="B3" s="2" t="s">
        <v>8</v>
      </c>
      <c r="C3" s="2">
        <v>751</v>
      </c>
      <c r="D3" s="3">
        <v>1289</v>
      </c>
      <c r="E3" s="4">
        <v>3.6999999999999998E-2</v>
      </c>
      <c r="F3" s="3">
        <f>INT(D3*C3*(1+E3))</f>
        <v>1003856</v>
      </c>
      <c r="G3" s="9">
        <f>ROUNDUP(F3/C3*1.28,0)</f>
        <v>1711</v>
      </c>
      <c r="I3">
        <v>1</v>
      </c>
      <c r="J3" s="1">
        <v>5.8000000000000003E-2</v>
      </c>
    </row>
    <row r="4" spans="1:10" x14ac:dyDescent="0.4">
      <c r="A4" s="8">
        <v>12</v>
      </c>
      <c r="B4" s="2" t="s">
        <v>9</v>
      </c>
      <c r="C4" s="2">
        <v>802</v>
      </c>
      <c r="D4" s="3">
        <v>982</v>
      </c>
      <c r="E4" s="4">
        <v>4.1000000000000002E-2</v>
      </c>
      <c r="F4" s="3">
        <f t="shared" ref="F4:F7" si="0">INT(D4*C4*(1+E4))</f>
        <v>819854</v>
      </c>
      <c r="G4" s="9">
        <f t="shared" ref="G4:G7" si="1">ROUNDUP(F4/C4*1.28,0)</f>
        <v>1309</v>
      </c>
      <c r="I4">
        <v>380</v>
      </c>
      <c r="J4" s="1">
        <v>6.7000000000000004E-2</v>
      </c>
    </row>
    <row r="5" spans="1:10" x14ac:dyDescent="0.4">
      <c r="A5" s="8">
        <v>13</v>
      </c>
      <c r="B5" s="2" t="s">
        <v>10</v>
      </c>
      <c r="C5" s="2">
        <v>463</v>
      </c>
      <c r="D5" s="3">
        <v>1167</v>
      </c>
      <c r="E5" s="4">
        <v>4.9000000000000002E-2</v>
      </c>
      <c r="F5" s="3">
        <f t="shared" si="0"/>
        <v>566796</v>
      </c>
      <c r="G5" s="9">
        <f t="shared" si="1"/>
        <v>1567</v>
      </c>
      <c r="I5">
        <v>440</v>
      </c>
      <c r="J5" s="1">
        <v>7.5999999999999998E-2</v>
      </c>
    </row>
    <row r="6" spans="1:10" x14ac:dyDescent="0.4">
      <c r="A6" s="8">
        <v>14</v>
      </c>
      <c r="B6" s="2" t="s">
        <v>11</v>
      </c>
      <c r="C6" s="2">
        <v>889</v>
      </c>
      <c r="D6" s="3">
        <v>878</v>
      </c>
      <c r="E6" s="4">
        <v>4.4999999999999998E-2</v>
      </c>
      <c r="F6" s="3">
        <f t="shared" si="0"/>
        <v>815666</v>
      </c>
      <c r="G6" s="9">
        <f t="shared" si="1"/>
        <v>1175</v>
      </c>
    </row>
    <row r="7" spans="1:10" x14ac:dyDescent="0.4">
      <c r="A7" s="8">
        <v>15</v>
      </c>
      <c r="B7" s="2" t="s">
        <v>12</v>
      </c>
      <c r="C7" s="2">
        <v>798</v>
      </c>
      <c r="D7" s="3">
        <v>1324</v>
      </c>
      <c r="E7" s="4">
        <v>3.4000000000000002E-2</v>
      </c>
      <c r="F7" s="3">
        <f t="shared" si="0"/>
        <v>1092474</v>
      </c>
      <c r="G7" s="9">
        <f t="shared" si="1"/>
        <v>1753</v>
      </c>
      <c r="I7">
        <v>1</v>
      </c>
      <c r="J7" t="s">
        <v>14</v>
      </c>
    </row>
    <row r="8" spans="1:10" x14ac:dyDescent="0.4">
      <c r="A8" s="8"/>
      <c r="B8" s="2"/>
      <c r="C8" s="2"/>
      <c r="D8" s="2"/>
      <c r="E8" s="2"/>
      <c r="F8" s="2"/>
      <c r="G8" s="10"/>
      <c r="I8">
        <v>550000</v>
      </c>
      <c r="J8" t="s">
        <v>15</v>
      </c>
    </row>
    <row r="9" spans="1:10" ht="19.5" thickBot="1" x14ac:dyDescent="0.45">
      <c r="A9" s="11"/>
      <c r="B9" s="12" t="s">
        <v>13</v>
      </c>
      <c r="C9" s="13">
        <f>SUM(C3:C7)</f>
        <v>3703</v>
      </c>
      <c r="D9" s="13"/>
      <c r="E9" s="13"/>
      <c r="F9" s="13">
        <f t="shared" ref="F9" si="2">SUM(F3:F7)</f>
        <v>4298646</v>
      </c>
      <c r="G9" s="14"/>
      <c r="I9">
        <v>620000</v>
      </c>
      <c r="J9" t="s">
        <v>16</v>
      </c>
    </row>
    <row r="11" spans="1:10" ht="19.5" thickBot="1" x14ac:dyDescent="0.45">
      <c r="A11" s="54" t="s">
        <v>17</v>
      </c>
      <c r="B11" s="54"/>
      <c r="C11" s="54"/>
      <c r="D11" s="54"/>
      <c r="E11" s="54"/>
      <c r="F11" s="54"/>
      <c r="G11" s="54"/>
      <c r="H11" s="54"/>
      <c r="I11" s="54"/>
      <c r="J11" s="54"/>
    </row>
    <row r="12" spans="1:10" x14ac:dyDescent="0.4">
      <c r="A12" s="5" t="s">
        <v>18</v>
      </c>
      <c r="B12" s="6" t="s">
        <v>19</v>
      </c>
      <c r="C12" s="6" t="s">
        <v>1</v>
      </c>
      <c r="D12" s="6" t="s">
        <v>2</v>
      </c>
      <c r="E12" s="6" t="s">
        <v>7</v>
      </c>
      <c r="F12" s="6" t="s">
        <v>20</v>
      </c>
      <c r="G12" s="6" t="s">
        <v>21</v>
      </c>
      <c r="H12" s="6" t="s">
        <v>22</v>
      </c>
      <c r="I12" s="6" t="s">
        <v>23</v>
      </c>
      <c r="J12" s="7" t="s">
        <v>24</v>
      </c>
    </row>
    <row r="13" spans="1:10" x14ac:dyDescent="0.4">
      <c r="A13" s="8">
        <v>101</v>
      </c>
      <c r="B13" s="2" t="s">
        <v>26</v>
      </c>
      <c r="C13" s="2">
        <v>15</v>
      </c>
      <c r="D13" s="2" t="str">
        <f t="shared" ref="D13:D21" si="3">VLOOKUP(C13,$A$3:$G$7,2,0)</f>
        <v>商品Z</v>
      </c>
      <c r="E13" s="3">
        <f t="shared" ref="E13:E21" si="4">VLOOKUP(C13,$A$3:$G$7,7,0)</f>
        <v>1753</v>
      </c>
      <c r="F13" s="2">
        <v>377</v>
      </c>
      <c r="G13" s="4">
        <f t="shared" ref="G13:G21" si="5">VLOOKUP(F13,$I$3:$J$5,2,1)</f>
        <v>5.8000000000000003E-2</v>
      </c>
      <c r="H13" s="3">
        <f t="shared" ref="H13:H21" si="6">ROUNDUP(E13*(1-G13),0)</f>
        <v>1652</v>
      </c>
      <c r="I13" s="3">
        <f t="shared" ref="I13:I21" si="7">H13*F13</f>
        <v>622804</v>
      </c>
      <c r="J13" s="10" t="str">
        <f t="shared" ref="J13:J21" si="8">IF(F13&lt;450,VLOOKUP(I13,$I$7:$J$9,2,1),"C")</f>
        <v>A</v>
      </c>
    </row>
    <row r="14" spans="1:10" x14ac:dyDescent="0.4">
      <c r="A14" s="8">
        <v>102</v>
      </c>
      <c r="B14" s="2" t="s">
        <v>27</v>
      </c>
      <c r="C14" s="2">
        <v>11</v>
      </c>
      <c r="D14" s="2" t="str">
        <f t="shared" si="3"/>
        <v>商品V</v>
      </c>
      <c r="E14" s="3">
        <f t="shared" si="4"/>
        <v>1711</v>
      </c>
      <c r="F14" s="2">
        <v>358</v>
      </c>
      <c r="G14" s="4">
        <f t="shared" si="5"/>
        <v>5.8000000000000003E-2</v>
      </c>
      <c r="H14" s="3">
        <f t="shared" si="6"/>
        <v>1612</v>
      </c>
      <c r="I14" s="3">
        <f t="shared" si="7"/>
        <v>577096</v>
      </c>
      <c r="J14" s="10" t="str">
        <f t="shared" si="8"/>
        <v>B</v>
      </c>
    </row>
    <row r="15" spans="1:10" x14ac:dyDescent="0.4">
      <c r="A15" s="8">
        <v>103</v>
      </c>
      <c r="B15" s="2" t="s">
        <v>28</v>
      </c>
      <c r="C15" s="2">
        <v>13</v>
      </c>
      <c r="D15" s="2" t="str">
        <f t="shared" si="3"/>
        <v>商品X</v>
      </c>
      <c r="E15" s="3">
        <f t="shared" si="4"/>
        <v>1567</v>
      </c>
      <c r="F15" s="2">
        <v>440</v>
      </c>
      <c r="G15" s="4">
        <f t="shared" si="5"/>
        <v>7.5999999999999998E-2</v>
      </c>
      <c r="H15" s="3">
        <f t="shared" si="6"/>
        <v>1448</v>
      </c>
      <c r="I15" s="3">
        <f t="shared" si="7"/>
        <v>637120</v>
      </c>
      <c r="J15" s="10" t="str">
        <f t="shared" si="8"/>
        <v>A</v>
      </c>
    </row>
    <row r="16" spans="1:10" x14ac:dyDescent="0.4">
      <c r="A16" s="8">
        <v>104</v>
      </c>
      <c r="B16" s="2" t="s">
        <v>29</v>
      </c>
      <c r="C16" s="2">
        <v>12</v>
      </c>
      <c r="D16" s="2" t="str">
        <f t="shared" si="3"/>
        <v>商品W</v>
      </c>
      <c r="E16" s="3">
        <f t="shared" si="4"/>
        <v>1309</v>
      </c>
      <c r="F16" s="2">
        <v>325</v>
      </c>
      <c r="G16" s="4">
        <f t="shared" si="5"/>
        <v>5.8000000000000003E-2</v>
      </c>
      <c r="H16" s="3">
        <f t="shared" si="6"/>
        <v>1234</v>
      </c>
      <c r="I16" s="3">
        <f t="shared" si="7"/>
        <v>401050</v>
      </c>
      <c r="J16" s="10" t="str">
        <f t="shared" si="8"/>
        <v>C</v>
      </c>
    </row>
    <row r="17" spans="1:10" x14ac:dyDescent="0.4">
      <c r="A17" s="8">
        <v>105</v>
      </c>
      <c r="B17" s="2" t="s">
        <v>30</v>
      </c>
      <c r="C17" s="2">
        <v>12</v>
      </c>
      <c r="D17" s="2" t="str">
        <f t="shared" si="3"/>
        <v>商品W</v>
      </c>
      <c r="E17" s="3">
        <f t="shared" si="4"/>
        <v>1309</v>
      </c>
      <c r="F17" s="2">
        <v>465</v>
      </c>
      <c r="G17" s="4">
        <f t="shared" si="5"/>
        <v>7.5999999999999998E-2</v>
      </c>
      <c r="H17" s="3">
        <f t="shared" si="6"/>
        <v>1210</v>
      </c>
      <c r="I17" s="3">
        <f t="shared" si="7"/>
        <v>562650</v>
      </c>
      <c r="J17" s="10" t="str">
        <f t="shared" si="8"/>
        <v>C</v>
      </c>
    </row>
    <row r="18" spans="1:10" x14ac:dyDescent="0.4">
      <c r="A18" s="8">
        <v>106</v>
      </c>
      <c r="B18" s="2" t="s">
        <v>31</v>
      </c>
      <c r="C18" s="2">
        <v>15</v>
      </c>
      <c r="D18" s="2" t="str">
        <f t="shared" si="3"/>
        <v>商品Z</v>
      </c>
      <c r="E18" s="3">
        <f t="shared" si="4"/>
        <v>1753</v>
      </c>
      <c r="F18" s="2">
        <v>412</v>
      </c>
      <c r="G18" s="4">
        <f t="shared" si="5"/>
        <v>6.7000000000000004E-2</v>
      </c>
      <c r="H18" s="3">
        <f t="shared" si="6"/>
        <v>1636</v>
      </c>
      <c r="I18" s="3">
        <f t="shared" si="7"/>
        <v>674032</v>
      </c>
      <c r="J18" s="10" t="str">
        <f t="shared" si="8"/>
        <v>A</v>
      </c>
    </row>
    <row r="19" spans="1:10" x14ac:dyDescent="0.4">
      <c r="A19" s="8">
        <v>107</v>
      </c>
      <c r="B19" s="2" t="s">
        <v>32</v>
      </c>
      <c r="C19" s="2">
        <v>14</v>
      </c>
      <c r="D19" s="2" t="str">
        <f t="shared" si="3"/>
        <v>商品Y</v>
      </c>
      <c r="E19" s="3">
        <f t="shared" si="4"/>
        <v>1175</v>
      </c>
      <c r="F19" s="2">
        <v>450</v>
      </c>
      <c r="G19" s="4">
        <f t="shared" si="5"/>
        <v>7.5999999999999998E-2</v>
      </c>
      <c r="H19" s="3">
        <f t="shared" si="6"/>
        <v>1086</v>
      </c>
      <c r="I19" s="3">
        <f t="shared" si="7"/>
        <v>488700</v>
      </c>
      <c r="J19" s="10" t="str">
        <f t="shared" si="8"/>
        <v>C</v>
      </c>
    </row>
    <row r="20" spans="1:10" x14ac:dyDescent="0.4">
      <c r="A20" s="8">
        <v>108</v>
      </c>
      <c r="B20" s="2" t="s">
        <v>33</v>
      </c>
      <c r="C20" s="2">
        <v>11</v>
      </c>
      <c r="D20" s="2" t="str">
        <f t="shared" si="3"/>
        <v>商品V</v>
      </c>
      <c r="E20" s="3">
        <f t="shared" si="4"/>
        <v>1711</v>
      </c>
      <c r="F20" s="2">
        <v>380</v>
      </c>
      <c r="G20" s="4">
        <f t="shared" si="5"/>
        <v>6.7000000000000004E-2</v>
      </c>
      <c r="H20" s="3">
        <f t="shared" si="6"/>
        <v>1597</v>
      </c>
      <c r="I20" s="3">
        <f t="shared" si="7"/>
        <v>606860</v>
      </c>
      <c r="J20" s="10" t="str">
        <f t="shared" si="8"/>
        <v>B</v>
      </c>
    </row>
    <row r="21" spans="1:10" x14ac:dyDescent="0.4">
      <c r="A21" s="8">
        <v>109</v>
      </c>
      <c r="B21" s="2" t="s">
        <v>34</v>
      </c>
      <c r="C21" s="2">
        <v>14</v>
      </c>
      <c r="D21" s="2" t="str">
        <f t="shared" si="3"/>
        <v>商品Y</v>
      </c>
      <c r="E21" s="3">
        <f t="shared" si="4"/>
        <v>1175</v>
      </c>
      <c r="F21" s="2">
        <v>423</v>
      </c>
      <c r="G21" s="4">
        <f t="shared" si="5"/>
        <v>6.7000000000000004E-2</v>
      </c>
      <c r="H21" s="3">
        <f t="shared" si="6"/>
        <v>1097</v>
      </c>
      <c r="I21" s="3">
        <f t="shared" si="7"/>
        <v>464031</v>
      </c>
      <c r="J21" s="10" t="str">
        <f t="shared" si="8"/>
        <v>C</v>
      </c>
    </row>
    <row r="22" spans="1:10" x14ac:dyDescent="0.4">
      <c r="A22" s="8"/>
      <c r="B22" s="2"/>
      <c r="C22" s="2"/>
      <c r="D22" s="2"/>
      <c r="E22" s="2"/>
      <c r="F22" s="2"/>
      <c r="G22" s="2"/>
      <c r="H22" s="2"/>
      <c r="I22" s="2"/>
      <c r="J22" s="10"/>
    </row>
    <row r="23" spans="1:10" x14ac:dyDescent="0.4">
      <c r="A23" s="8"/>
      <c r="B23" s="15" t="s">
        <v>13</v>
      </c>
      <c r="C23" s="2"/>
      <c r="D23" s="2"/>
      <c r="E23" s="2"/>
      <c r="F23" s="3">
        <f>SUM(F13:F21)</f>
        <v>3630</v>
      </c>
      <c r="G23" s="3"/>
      <c r="H23" s="3"/>
      <c r="I23" s="3">
        <f t="shared" ref="I23" si="9">SUM(I13:I21)</f>
        <v>5034343</v>
      </c>
      <c r="J23" s="10"/>
    </row>
    <row r="24" spans="1:10" ht="19.5" thickBot="1" x14ac:dyDescent="0.45">
      <c r="A24" s="11"/>
      <c r="B24" s="12" t="s">
        <v>25</v>
      </c>
      <c r="C24" s="16"/>
      <c r="D24" s="16"/>
      <c r="E24" s="16"/>
      <c r="F24" s="13">
        <f>AVERAGE(F13:F21)</f>
        <v>403.33333333333331</v>
      </c>
      <c r="G24" s="13"/>
      <c r="H24" s="13"/>
      <c r="I24" s="13">
        <f t="shared" ref="I24" si="10">AVERAGE(I13:I21)</f>
        <v>559371.4444444445</v>
      </c>
      <c r="J24" s="14"/>
    </row>
  </sheetData>
  <sortState ref="A13:J21">
    <sortCondition ref="A12"/>
  </sortState>
  <mergeCells count="2">
    <mergeCell ref="A1:G1"/>
    <mergeCell ref="A11:J1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09F5-3B4B-43F5-B3F0-C6EAA39E853F}">
  <dimension ref="A1:J25"/>
  <sheetViews>
    <sheetView workbookViewId="0">
      <selection activeCell="M11" sqref="M11"/>
    </sheetView>
  </sheetViews>
  <sheetFormatPr defaultRowHeight="18.75" x14ac:dyDescent="0.4"/>
  <cols>
    <col min="1" max="1" width="6" bestFit="1" customWidth="1"/>
    <col min="2" max="2" width="11" bestFit="1" customWidth="1"/>
    <col min="3" max="4" width="7.125" bestFit="1" customWidth="1"/>
    <col min="6" max="6" width="9.5" bestFit="1" customWidth="1"/>
    <col min="7" max="7" width="7.125" bestFit="1" customWidth="1"/>
    <col min="8" max="8" width="6" bestFit="1" customWidth="1"/>
    <col min="9" max="9" width="9.5" bestFit="1" customWidth="1"/>
    <col min="10" max="10" width="7.125" bestFit="1" customWidth="1"/>
  </cols>
  <sheetData>
    <row r="1" spans="1:10" ht="19.5" thickBot="1" x14ac:dyDescent="0.45">
      <c r="A1" s="55" t="s">
        <v>0</v>
      </c>
      <c r="B1" s="56"/>
      <c r="C1" s="56"/>
      <c r="D1" s="56"/>
      <c r="E1" s="56"/>
      <c r="F1" s="56"/>
      <c r="G1" s="57"/>
    </row>
    <row r="2" spans="1:10" x14ac:dyDescent="0.4">
      <c r="A2" s="2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26" t="s">
        <v>7</v>
      </c>
      <c r="I2" s="5" t="s">
        <v>217</v>
      </c>
      <c r="J2" s="7" t="s">
        <v>21</v>
      </c>
    </row>
    <row r="3" spans="1:10" x14ac:dyDescent="0.4">
      <c r="A3" s="8">
        <v>11</v>
      </c>
      <c r="B3" s="2" t="s">
        <v>8</v>
      </c>
      <c r="C3" s="21">
        <v>751</v>
      </c>
      <c r="D3" s="21">
        <v>1289</v>
      </c>
      <c r="E3" s="4">
        <v>3.6999999999999998E-2</v>
      </c>
      <c r="F3" s="21">
        <f>INT(D3*C3*(1+E3))</f>
        <v>1003856</v>
      </c>
      <c r="G3" s="27">
        <f>ROUNDUP(F3/C3*1.28,0)</f>
        <v>1711</v>
      </c>
      <c r="I3" s="8">
        <v>1</v>
      </c>
      <c r="J3" s="17">
        <v>5.8000000000000003E-2</v>
      </c>
    </row>
    <row r="4" spans="1:10" x14ac:dyDescent="0.4">
      <c r="A4" s="8">
        <v>12</v>
      </c>
      <c r="B4" s="2" t="s">
        <v>9</v>
      </c>
      <c r="C4" s="21">
        <v>802</v>
      </c>
      <c r="D4" s="21">
        <v>982</v>
      </c>
      <c r="E4" s="4">
        <v>4.1000000000000002E-2</v>
      </c>
      <c r="F4" s="21">
        <f t="shared" ref="F4:F7" si="0">INT(D4*C4*(1+E4))</f>
        <v>819854</v>
      </c>
      <c r="G4" s="27">
        <f t="shared" ref="G4:G7" si="1">ROUNDUP(F4/C4*1.28,0)</f>
        <v>1309</v>
      </c>
      <c r="I4" s="8">
        <v>380</v>
      </c>
      <c r="J4" s="17">
        <v>6.7000000000000004E-2</v>
      </c>
    </row>
    <row r="5" spans="1:10" ht="19.5" thickBot="1" x14ac:dyDescent="0.45">
      <c r="A5" s="8">
        <v>13</v>
      </c>
      <c r="B5" s="2" t="s">
        <v>10</v>
      </c>
      <c r="C5" s="21">
        <v>463</v>
      </c>
      <c r="D5" s="21">
        <v>1167</v>
      </c>
      <c r="E5" s="4">
        <v>4.9000000000000002E-2</v>
      </c>
      <c r="F5" s="21">
        <f t="shared" si="0"/>
        <v>566796</v>
      </c>
      <c r="G5" s="27">
        <f t="shared" si="1"/>
        <v>1567</v>
      </c>
      <c r="I5" s="11">
        <v>440</v>
      </c>
      <c r="J5" s="18">
        <v>7.5999999999999998E-2</v>
      </c>
    </row>
    <row r="6" spans="1:10" x14ac:dyDescent="0.4">
      <c r="A6" s="8">
        <v>14</v>
      </c>
      <c r="B6" s="2" t="s">
        <v>11</v>
      </c>
      <c r="C6" s="21">
        <v>889</v>
      </c>
      <c r="D6" s="21">
        <v>878</v>
      </c>
      <c r="E6" s="4">
        <v>4.4999999999999998E-2</v>
      </c>
      <c r="F6" s="21">
        <f t="shared" si="0"/>
        <v>815666</v>
      </c>
      <c r="G6" s="27">
        <f t="shared" si="1"/>
        <v>1175</v>
      </c>
    </row>
    <row r="7" spans="1:10" x14ac:dyDescent="0.4">
      <c r="A7" s="8">
        <v>15</v>
      </c>
      <c r="B7" s="2" t="s">
        <v>12</v>
      </c>
      <c r="C7" s="21">
        <v>798</v>
      </c>
      <c r="D7" s="21">
        <v>1324</v>
      </c>
      <c r="E7" s="4">
        <v>3.4000000000000002E-2</v>
      </c>
      <c r="F7" s="21">
        <f t="shared" si="0"/>
        <v>1092474</v>
      </c>
      <c r="G7" s="27">
        <f t="shared" si="1"/>
        <v>1753</v>
      </c>
      <c r="I7" s="36"/>
      <c r="J7" s="36"/>
    </row>
    <row r="8" spans="1:10" x14ac:dyDescent="0.4">
      <c r="A8" s="8"/>
      <c r="B8" s="2"/>
      <c r="C8" s="21"/>
      <c r="D8" s="21"/>
      <c r="E8" s="2"/>
      <c r="F8" s="21"/>
      <c r="G8" s="27"/>
      <c r="I8" s="36"/>
      <c r="J8" s="36"/>
    </row>
    <row r="9" spans="1:10" ht="19.5" thickBot="1" x14ac:dyDescent="0.45">
      <c r="A9" s="11"/>
      <c r="B9" s="12" t="s">
        <v>13</v>
      </c>
      <c r="C9" s="28">
        <f>SUM(C3:C7)</f>
        <v>3703</v>
      </c>
      <c r="D9" s="28"/>
      <c r="E9" s="16"/>
      <c r="F9" s="28">
        <f t="shared" ref="F9" si="2">SUM(F3:F7)</f>
        <v>4298646</v>
      </c>
      <c r="G9" s="29"/>
      <c r="I9" s="36"/>
      <c r="J9" s="36"/>
    </row>
    <row r="10" spans="1:10" x14ac:dyDescent="0.4">
      <c r="I10" s="36"/>
      <c r="J10" s="36"/>
    </row>
    <row r="12" spans="1:10" ht="19.5" thickBot="1" x14ac:dyDescent="0.45">
      <c r="A12" s="54" t="s">
        <v>17</v>
      </c>
      <c r="B12" s="54"/>
      <c r="C12" s="54"/>
      <c r="D12" s="54"/>
      <c r="E12" s="54"/>
      <c r="F12" s="54"/>
      <c r="G12" s="54"/>
      <c r="H12" s="54"/>
      <c r="I12" s="54"/>
      <c r="J12" s="54"/>
    </row>
    <row r="13" spans="1:10" x14ac:dyDescent="0.4">
      <c r="A13" s="5" t="s">
        <v>18</v>
      </c>
      <c r="B13" s="6" t="s">
        <v>19</v>
      </c>
      <c r="C13" s="6" t="s">
        <v>1</v>
      </c>
      <c r="D13" s="6" t="s">
        <v>2</v>
      </c>
      <c r="E13" s="6" t="s">
        <v>7</v>
      </c>
      <c r="F13" s="6" t="s">
        <v>20</v>
      </c>
      <c r="G13" s="6" t="s">
        <v>21</v>
      </c>
      <c r="H13" s="6" t="s">
        <v>22</v>
      </c>
      <c r="I13" s="6" t="s">
        <v>23</v>
      </c>
      <c r="J13" s="7" t="s">
        <v>24</v>
      </c>
    </row>
    <row r="14" spans="1:10" x14ac:dyDescent="0.4">
      <c r="A14" s="8">
        <v>104</v>
      </c>
      <c r="B14" s="2" t="s">
        <v>29</v>
      </c>
      <c r="C14" s="2">
        <v>12</v>
      </c>
      <c r="D14" s="2" t="str">
        <f>VLOOKUP(C14,$A$3:$G$7,2,FALSE)</f>
        <v>商品W</v>
      </c>
      <c r="E14" s="21">
        <f>VLOOKUP(C14,$A$3:$G$7,7,FALSE)</f>
        <v>1309</v>
      </c>
      <c r="F14" s="21">
        <v>325</v>
      </c>
      <c r="G14" s="4">
        <f>IF(F14&gt;=440,7.6%,IF(F14&gt;=380,6.7%,5.8%))</f>
        <v>5.7999999999999996E-2</v>
      </c>
      <c r="H14" s="21">
        <f>ROUNDUP(E14*(1-G14),0)</f>
        <v>1234</v>
      </c>
      <c r="I14" s="21">
        <f>H14*F14</f>
        <v>401050</v>
      </c>
      <c r="J14" s="10" t="str">
        <f>IF(AND(F14&lt;450,I14&gt;=620000),"A",IF(AND(F14&lt;450, I14&gt;=550000),"B","C"))</f>
        <v>C</v>
      </c>
    </row>
    <row r="15" spans="1:10" x14ac:dyDescent="0.4">
      <c r="A15" s="8">
        <v>102</v>
      </c>
      <c r="B15" s="2" t="s">
        <v>27</v>
      </c>
      <c r="C15" s="2">
        <v>11</v>
      </c>
      <c r="D15" s="2" t="str">
        <f>VLOOKUP(C15,$A$3:$G$7,2,FALSE)</f>
        <v>商品V</v>
      </c>
      <c r="E15" s="21">
        <f>VLOOKUP(C15,$A$3:$G$7,7,FALSE)</f>
        <v>1711</v>
      </c>
      <c r="F15" s="21">
        <v>358</v>
      </c>
      <c r="G15" s="4">
        <f>IF(F15&gt;=440,7.6%,IF(F15&gt;=380,6.7%,5.8%))</f>
        <v>5.7999999999999996E-2</v>
      </c>
      <c r="H15" s="21">
        <f>ROUNDUP(E15*(1-G15),0)</f>
        <v>1612</v>
      </c>
      <c r="I15" s="21">
        <f>H15*F15</f>
        <v>577096</v>
      </c>
      <c r="J15" s="10" t="str">
        <f>IF(AND(F15&lt;450,I15&gt;=620000),"A",IF(AND(F15&lt;450, I15&gt;=550000),"B","C"))</f>
        <v>B</v>
      </c>
    </row>
    <row r="16" spans="1:10" x14ac:dyDescent="0.4">
      <c r="A16" s="8">
        <v>101</v>
      </c>
      <c r="B16" s="2" t="s">
        <v>26</v>
      </c>
      <c r="C16" s="2">
        <v>15</v>
      </c>
      <c r="D16" s="2" t="str">
        <f>VLOOKUP(C16,$A$3:$G$7,2,FALSE)</f>
        <v>商品Z</v>
      </c>
      <c r="E16" s="21">
        <f>VLOOKUP(C16,$A$3:$G$7,7,FALSE)</f>
        <v>1753</v>
      </c>
      <c r="F16" s="21">
        <v>377</v>
      </c>
      <c r="G16" s="4">
        <f>IF(F16&gt;=440,7.6%,IF(F16&gt;=380,6.7%,5.8%))</f>
        <v>5.7999999999999996E-2</v>
      </c>
      <c r="H16" s="21">
        <f>ROUNDUP(E16*(1-G16),0)</f>
        <v>1652</v>
      </c>
      <c r="I16" s="21">
        <f>H16*F16</f>
        <v>622804</v>
      </c>
      <c r="J16" s="10" t="str">
        <f>IF(AND(F16&lt;450,I16&gt;=620000),"A",IF(AND(F16&lt;450, I16&gt;=550000),"B","C"))</f>
        <v>A</v>
      </c>
    </row>
    <row r="17" spans="1:10" x14ac:dyDescent="0.4">
      <c r="A17" s="8">
        <v>108</v>
      </c>
      <c r="B17" s="2" t="s">
        <v>33</v>
      </c>
      <c r="C17" s="2">
        <v>11</v>
      </c>
      <c r="D17" s="2" t="str">
        <f>VLOOKUP(C17,$A$3:$G$7,2,FALSE)</f>
        <v>商品V</v>
      </c>
      <c r="E17" s="21">
        <f>VLOOKUP(C17,$A$3:$G$7,7,FALSE)</f>
        <v>1711</v>
      </c>
      <c r="F17" s="21">
        <v>380</v>
      </c>
      <c r="G17" s="4">
        <f>IF(F17&gt;=440,7.6%,IF(F17&gt;=380,6.7%,5.8%))</f>
        <v>6.7000000000000004E-2</v>
      </c>
      <c r="H17" s="21">
        <f>ROUNDUP(E17*(1-G17),0)</f>
        <v>1597</v>
      </c>
      <c r="I17" s="21">
        <f>H17*F17</f>
        <v>606860</v>
      </c>
      <c r="J17" s="10" t="str">
        <f>IF(AND(F17&lt;450,I17&gt;=620000),"A",IF(AND(F17&lt;450, I17&gt;=550000),"B","C"))</f>
        <v>B</v>
      </c>
    </row>
    <row r="18" spans="1:10" x14ac:dyDescent="0.4">
      <c r="A18" s="8">
        <v>106</v>
      </c>
      <c r="B18" s="2" t="s">
        <v>31</v>
      </c>
      <c r="C18" s="2">
        <v>15</v>
      </c>
      <c r="D18" s="2" t="str">
        <f>VLOOKUP(C18,$A$3:$G$7,2,FALSE)</f>
        <v>商品Z</v>
      </c>
      <c r="E18" s="21">
        <f>VLOOKUP(C18,$A$3:$G$7,7,FALSE)</f>
        <v>1753</v>
      </c>
      <c r="F18" s="21">
        <v>412</v>
      </c>
      <c r="G18" s="4">
        <f>IF(F18&gt;=440,7.6%,IF(F18&gt;=380,6.7%,5.8%))</f>
        <v>6.7000000000000004E-2</v>
      </c>
      <c r="H18" s="21">
        <f>ROUNDUP(E18*(1-G18),0)</f>
        <v>1636</v>
      </c>
      <c r="I18" s="21">
        <f>H18*F18</f>
        <v>674032</v>
      </c>
      <c r="J18" s="10" t="str">
        <f>IF(AND(F18&lt;450,I18&gt;=620000),"A",IF(AND(F18&lt;450, I18&gt;=550000),"B","C"))</f>
        <v>A</v>
      </c>
    </row>
    <row r="19" spans="1:10" x14ac:dyDescent="0.4">
      <c r="A19" s="8">
        <v>109</v>
      </c>
      <c r="B19" s="2" t="s">
        <v>34</v>
      </c>
      <c r="C19" s="2">
        <v>14</v>
      </c>
      <c r="D19" s="2" t="str">
        <f>VLOOKUP(C19,$A$3:$G$7,2,FALSE)</f>
        <v>商品Y</v>
      </c>
      <c r="E19" s="21">
        <f>VLOOKUP(C19,$A$3:$G$7,7,FALSE)</f>
        <v>1175</v>
      </c>
      <c r="F19" s="21">
        <v>423</v>
      </c>
      <c r="G19" s="4">
        <f>IF(F19&gt;=440,7.6%,IF(F19&gt;=380,6.7%,5.8%))</f>
        <v>6.7000000000000004E-2</v>
      </c>
      <c r="H19" s="21">
        <f>ROUNDUP(E19*(1-G19),0)</f>
        <v>1097</v>
      </c>
      <c r="I19" s="21">
        <f>H19*F19</f>
        <v>464031</v>
      </c>
      <c r="J19" s="10" t="str">
        <f>IF(AND(F19&lt;450,I19&gt;=620000),"A",IF(AND(F19&lt;450, I19&gt;=550000),"B","C"))</f>
        <v>C</v>
      </c>
    </row>
    <row r="20" spans="1:10" x14ac:dyDescent="0.4">
      <c r="A20" s="8">
        <v>103</v>
      </c>
      <c r="B20" s="2" t="s">
        <v>28</v>
      </c>
      <c r="C20" s="2">
        <v>13</v>
      </c>
      <c r="D20" s="2" t="str">
        <f>VLOOKUP(C20,$A$3:$G$7,2,FALSE)</f>
        <v>商品X</v>
      </c>
      <c r="E20" s="21">
        <f>VLOOKUP(C20,$A$3:$G$7,7,FALSE)</f>
        <v>1567</v>
      </c>
      <c r="F20" s="21">
        <v>440</v>
      </c>
      <c r="G20" s="4">
        <f>IF(F20&gt;=440,7.6%,IF(F20&gt;=380,6.7%,5.8%))</f>
        <v>7.5999999999999998E-2</v>
      </c>
      <c r="H20" s="21">
        <f>ROUNDUP(E20*(1-G20),0)</f>
        <v>1448</v>
      </c>
      <c r="I20" s="21">
        <f>H20*F20</f>
        <v>637120</v>
      </c>
      <c r="J20" s="10" t="str">
        <f>IF(AND(F20&lt;450,I20&gt;=620000),"A",IF(AND(F20&lt;450, I20&gt;=550000),"B","C"))</f>
        <v>A</v>
      </c>
    </row>
    <row r="21" spans="1:10" x14ac:dyDescent="0.4">
      <c r="A21" s="8">
        <v>107</v>
      </c>
      <c r="B21" s="2" t="s">
        <v>32</v>
      </c>
      <c r="C21" s="2">
        <v>14</v>
      </c>
      <c r="D21" s="2" t="str">
        <f>VLOOKUP(C21,$A$3:$G$7,2,FALSE)</f>
        <v>商品Y</v>
      </c>
      <c r="E21" s="21">
        <f>VLOOKUP(C21,$A$3:$G$7,7,FALSE)</f>
        <v>1175</v>
      </c>
      <c r="F21" s="21">
        <v>450</v>
      </c>
      <c r="G21" s="4">
        <f>IF(F21&gt;=440,7.6%,IF(F21&gt;=380,6.7%,5.8%))</f>
        <v>7.5999999999999998E-2</v>
      </c>
      <c r="H21" s="21">
        <f>ROUNDUP(E21*(1-G21),0)</f>
        <v>1086</v>
      </c>
      <c r="I21" s="21">
        <f>H21*F21</f>
        <v>488700</v>
      </c>
      <c r="J21" s="10" t="str">
        <f>IF(AND(F21&lt;450,I21&gt;=620000),"A",IF(AND(F21&lt;450, I21&gt;=550000),"B","C"))</f>
        <v>C</v>
      </c>
    </row>
    <row r="22" spans="1:10" x14ac:dyDescent="0.4">
      <c r="A22" s="8">
        <v>105</v>
      </c>
      <c r="B22" s="2" t="s">
        <v>30</v>
      </c>
      <c r="C22" s="2">
        <v>12</v>
      </c>
      <c r="D22" s="2" t="str">
        <f>VLOOKUP(C22,$A$3:$G$7,2,FALSE)</f>
        <v>商品W</v>
      </c>
      <c r="E22" s="21">
        <f>VLOOKUP(C22,$A$3:$G$7,7,FALSE)</f>
        <v>1309</v>
      </c>
      <c r="F22" s="21">
        <v>465</v>
      </c>
      <c r="G22" s="4">
        <f>IF(F22&gt;=440,7.6%,IF(F22&gt;=380,6.7%,5.8%))</f>
        <v>7.5999999999999998E-2</v>
      </c>
      <c r="H22" s="21">
        <f>ROUNDUP(E22*(1-G22),0)</f>
        <v>1210</v>
      </c>
      <c r="I22" s="21">
        <f>H22*F22</f>
        <v>562650</v>
      </c>
      <c r="J22" s="10" t="str">
        <f>IF(AND(F22&lt;450,I22&gt;=620000),"A",IF(AND(F22&lt;450, I22&gt;=550000),"B","C"))</f>
        <v>C</v>
      </c>
    </row>
    <row r="23" spans="1:10" x14ac:dyDescent="0.4">
      <c r="A23" s="8"/>
      <c r="B23" s="2"/>
      <c r="C23" s="2"/>
      <c r="D23" s="2"/>
      <c r="E23" s="21"/>
      <c r="F23" s="21"/>
      <c r="G23" s="2"/>
      <c r="H23" s="21"/>
      <c r="I23" s="21"/>
      <c r="J23" s="10"/>
    </row>
    <row r="24" spans="1:10" x14ac:dyDescent="0.4">
      <c r="A24" s="8"/>
      <c r="B24" s="15" t="s">
        <v>13</v>
      </c>
      <c r="C24" s="2"/>
      <c r="D24" s="2"/>
      <c r="E24" s="21"/>
      <c r="F24" s="21">
        <f>SUM(F14:F22)</f>
        <v>3630</v>
      </c>
      <c r="G24" s="21"/>
      <c r="H24" s="21"/>
      <c r="I24" s="21">
        <f t="shared" ref="I24" si="3">SUM(I14:I22)</f>
        <v>5034343</v>
      </c>
      <c r="J24" s="10"/>
    </row>
    <row r="25" spans="1:10" ht="19.5" thickBot="1" x14ac:dyDescent="0.45">
      <c r="A25" s="11"/>
      <c r="B25" s="12" t="s">
        <v>25</v>
      </c>
      <c r="C25" s="16"/>
      <c r="D25" s="16"/>
      <c r="E25" s="28"/>
      <c r="F25" s="28">
        <f>AVERAGE(F14:F22)</f>
        <v>403.33333333333331</v>
      </c>
      <c r="G25" s="28"/>
      <c r="H25" s="28"/>
      <c r="I25" s="28">
        <f t="shared" ref="I25" si="4">AVERAGE(I14:I22)</f>
        <v>559371.4444444445</v>
      </c>
      <c r="J25" s="14"/>
    </row>
  </sheetData>
  <sortState ref="A14:J22">
    <sortCondition ref="F13"/>
  </sortState>
  <mergeCells count="2">
    <mergeCell ref="A12:J12"/>
    <mergeCell ref="A1:G1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03BE-16B1-43B7-B030-01114039E0DC}">
  <dimension ref="A1:J35"/>
  <sheetViews>
    <sheetView zoomScaleNormal="100" workbookViewId="0">
      <selection activeCell="I9" sqref="I9"/>
    </sheetView>
  </sheetViews>
  <sheetFormatPr defaultRowHeight="18.75" x14ac:dyDescent="0.4"/>
  <cols>
    <col min="1" max="1" width="4.5" bestFit="1" customWidth="1"/>
    <col min="2" max="2" width="7.125" bestFit="1" customWidth="1"/>
    <col min="3" max="4" width="9.5" bestFit="1" customWidth="1"/>
    <col min="5" max="5" width="13" bestFit="1" customWidth="1"/>
    <col min="6" max="6" width="9.5" bestFit="1" customWidth="1"/>
    <col min="7" max="7" width="9" bestFit="1" customWidth="1"/>
    <col min="9" max="9" width="9" bestFit="1" customWidth="1"/>
    <col min="10" max="10" width="11" bestFit="1" customWidth="1"/>
  </cols>
  <sheetData>
    <row r="1" spans="1:10" ht="19.5" thickBot="1" x14ac:dyDescent="0.45">
      <c r="A1" s="54" t="s">
        <v>35</v>
      </c>
      <c r="B1" s="54"/>
      <c r="C1" s="54"/>
      <c r="D1" s="54"/>
      <c r="E1" s="54"/>
      <c r="F1" s="54"/>
      <c r="G1" s="54"/>
    </row>
    <row r="2" spans="1:10" ht="19.5" thickBot="1" x14ac:dyDescent="0.45">
      <c r="A2" s="22" t="s">
        <v>36</v>
      </c>
      <c r="B2" s="23" t="s">
        <v>2</v>
      </c>
      <c r="C2" s="23" t="s">
        <v>37</v>
      </c>
      <c r="D2" s="23" t="s">
        <v>38</v>
      </c>
      <c r="E2" s="23" t="s">
        <v>39</v>
      </c>
      <c r="F2" s="23" t="s">
        <v>40</v>
      </c>
      <c r="G2" s="24" t="s">
        <v>41</v>
      </c>
      <c r="I2" s="58" t="s">
        <v>325</v>
      </c>
      <c r="J2" s="58"/>
    </row>
    <row r="3" spans="1:10" x14ac:dyDescent="0.4">
      <c r="A3" s="8">
        <v>101</v>
      </c>
      <c r="B3" s="2" t="s">
        <v>218</v>
      </c>
      <c r="C3" s="21">
        <v>1820</v>
      </c>
      <c r="D3" s="21">
        <v>721</v>
      </c>
      <c r="E3" s="21">
        <v>1538</v>
      </c>
      <c r="F3" s="21">
        <f>E3*1000-C3*D3</f>
        <v>225780</v>
      </c>
      <c r="G3" s="27">
        <f>ROUNDUP(F3/$J$4*100,0)</f>
        <v>106</v>
      </c>
      <c r="I3" s="19"/>
      <c r="J3" s="51" t="s">
        <v>230</v>
      </c>
    </row>
    <row r="4" spans="1:10" x14ac:dyDescent="0.4">
      <c r="A4" s="8">
        <v>102</v>
      </c>
      <c r="B4" s="2" t="s">
        <v>219</v>
      </c>
      <c r="C4" s="21">
        <v>1960</v>
      </c>
      <c r="D4" s="21">
        <v>547</v>
      </c>
      <c r="E4" s="21">
        <v>1281</v>
      </c>
      <c r="F4" s="21">
        <f t="shared" ref="F4:F9" si="0">E4*1000-C4*D4</f>
        <v>208880</v>
      </c>
      <c r="G4" s="27">
        <f t="shared" ref="G4:G9" si="1">ROUNDUP(F4/$J$4*100,0)</f>
        <v>99</v>
      </c>
      <c r="I4" s="25" t="s">
        <v>231</v>
      </c>
      <c r="J4" s="10">
        <v>213000</v>
      </c>
    </row>
    <row r="5" spans="1:10" ht="19.5" thickBot="1" x14ac:dyDescent="0.45">
      <c r="A5" s="8">
        <v>103</v>
      </c>
      <c r="B5" s="2" t="s">
        <v>220</v>
      </c>
      <c r="C5" s="21">
        <v>1730</v>
      </c>
      <c r="D5" s="21">
        <v>568</v>
      </c>
      <c r="E5" s="21">
        <v>1164</v>
      </c>
      <c r="F5" s="21">
        <f t="shared" si="0"/>
        <v>181360</v>
      </c>
      <c r="G5" s="27">
        <f t="shared" si="1"/>
        <v>86</v>
      </c>
      <c r="I5" s="52" t="s">
        <v>226</v>
      </c>
      <c r="J5" s="14">
        <v>227000</v>
      </c>
    </row>
    <row r="6" spans="1:10" x14ac:dyDescent="0.4">
      <c r="A6" s="8">
        <v>104</v>
      </c>
      <c r="B6" s="2" t="s">
        <v>221</v>
      </c>
      <c r="C6" s="21">
        <v>2310</v>
      </c>
      <c r="D6" s="21">
        <v>526</v>
      </c>
      <c r="E6" s="21">
        <v>1467</v>
      </c>
      <c r="F6" s="21">
        <f t="shared" si="0"/>
        <v>251940</v>
      </c>
      <c r="G6" s="27">
        <f t="shared" si="1"/>
        <v>119</v>
      </c>
    </row>
    <row r="7" spans="1:10" x14ac:dyDescent="0.4">
      <c r="A7" s="8">
        <v>105</v>
      </c>
      <c r="B7" s="2" t="s">
        <v>222</v>
      </c>
      <c r="C7" s="21">
        <v>1670</v>
      </c>
      <c r="D7" s="21">
        <v>634</v>
      </c>
      <c r="E7" s="21">
        <v>1236</v>
      </c>
      <c r="F7" s="21">
        <f t="shared" si="0"/>
        <v>177220</v>
      </c>
      <c r="G7" s="27">
        <f t="shared" si="1"/>
        <v>84</v>
      </c>
    </row>
    <row r="8" spans="1:10" x14ac:dyDescent="0.4">
      <c r="A8" s="8">
        <v>106</v>
      </c>
      <c r="B8" s="2" t="s">
        <v>223</v>
      </c>
      <c r="C8" s="21">
        <v>2140</v>
      </c>
      <c r="D8" s="21">
        <v>579</v>
      </c>
      <c r="E8" s="21">
        <v>1467</v>
      </c>
      <c r="F8" s="21">
        <f t="shared" si="0"/>
        <v>227940</v>
      </c>
      <c r="G8" s="27">
        <f t="shared" si="1"/>
        <v>108</v>
      </c>
      <c r="I8" s="36"/>
      <c r="J8" s="36"/>
    </row>
    <row r="9" spans="1:10" x14ac:dyDescent="0.4">
      <c r="A9" s="8">
        <v>107</v>
      </c>
      <c r="B9" s="2" t="s">
        <v>224</v>
      </c>
      <c r="C9" s="21">
        <v>2080</v>
      </c>
      <c r="D9" s="21">
        <v>672</v>
      </c>
      <c r="E9" s="21">
        <v>1619</v>
      </c>
      <c r="F9" s="21">
        <f t="shared" si="0"/>
        <v>221240</v>
      </c>
      <c r="G9" s="27">
        <f t="shared" si="1"/>
        <v>104</v>
      </c>
      <c r="I9" s="36"/>
      <c r="J9" s="36"/>
    </row>
    <row r="10" spans="1:10" x14ac:dyDescent="0.4">
      <c r="A10" s="8"/>
      <c r="B10" s="2"/>
      <c r="C10" s="21"/>
      <c r="D10" s="21"/>
      <c r="E10" s="21"/>
      <c r="F10" s="21"/>
      <c r="G10" s="27"/>
      <c r="I10" s="36"/>
      <c r="J10" s="36"/>
    </row>
    <row r="11" spans="1:10" ht="19.5" thickBot="1" x14ac:dyDescent="0.45">
      <c r="A11" s="11"/>
      <c r="B11" s="12" t="s">
        <v>13</v>
      </c>
      <c r="C11" s="28"/>
      <c r="D11" s="28">
        <f>SUM(D3:D9)</f>
        <v>4247</v>
      </c>
      <c r="E11" s="28">
        <f t="shared" ref="E11:F11" si="2">SUM(E3:E9)</f>
        <v>9772</v>
      </c>
      <c r="F11" s="28">
        <f t="shared" si="2"/>
        <v>1494360</v>
      </c>
      <c r="G11" s="29"/>
    </row>
    <row r="13" spans="1:10" ht="19.5" thickBot="1" x14ac:dyDescent="0.45">
      <c r="A13" s="54" t="s">
        <v>232</v>
      </c>
      <c r="B13" s="54"/>
      <c r="C13" s="54"/>
      <c r="D13" s="54"/>
      <c r="E13" s="54"/>
      <c r="F13" s="54"/>
      <c r="G13" s="54"/>
    </row>
    <row r="14" spans="1:10" x14ac:dyDescent="0.4">
      <c r="A14" s="22" t="s">
        <v>36</v>
      </c>
      <c r="B14" s="23" t="s">
        <v>2</v>
      </c>
      <c r="C14" s="23" t="s">
        <v>37</v>
      </c>
      <c r="D14" s="23" t="s">
        <v>38</v>
      </c>
      <c r="E14" s="23" t="s">
        <v>39</v>
      </c>
      <c r="F14" s="23" t="s">
        <v>40</v>
      </c>
      <c r="G14" s="24" t="s">
        <v>41</v>
      </c>
    </row>
    <row r="15" spans="1:10" x14ac:dyDescent="0.4">
      <c r="A15" s="8">
        <v>101</v>
      </c>
      <c r="B15" s="2" t="s">
        <v>218</v>
      </c>
      <c r="C15" s="21">
        <v>1820</v>
      </c>
      <c r="D15" s="21">
        <v>759</v>
      </c>
      <c r="E15" s="21">
        <v>1597</v>
      </c>
      <c r="F15" s="21">
        <f>E15*1000-C15*D15</f>
        <v>215620</v>
      </c>
      <c r="G15" s="27">
        <f>ROUNDUP(F15/$J$5*100,0)</f>
        <v>95</v>
      </c>
    </row>
    <row r="16" spans="1:10" x14ac:dyDescent="0.4">
      <c r="A16" s="8">
        <v>102</v>
      </c>
      <c r="B16" s="2" t="s">
        <v>219</v>
      </c>
      <c r="C16" s="21">
        <v>1960</v>
      </c>
      <c r="D16" s="21">
        <v>681</v>
      </c>
      <c r="E16" s="21">
        <v>1579</v>
      </c>
      <c r="F16" s="21">
        <f t="shared" ref="F16:F21" si="3">E16*1000-C16*D16</f>
        <v>244240</v>
      </c>
      <c r="G16" s="27">
        <f t="shared" ref="G16:G21" si="4">ROUNDUP(F16/$J$5*100,0)</f>
        <v>108</v>
      </c>
    </row>
    <row r="17" spans="1:7" x14ac:dyDescent="0.4">
      <c r="A17" s="8">
        <v>103</v>
      </c>
      <c r="B17" s="2" t="s">
        <v>220</v>
      </c>
      <c r="C17" s="21">
        <v>1730</v>
      </c>
      <c r="D17" s="21">
        <v>758</v>
      </c>
      <c r="E17" s="21">
        <v>1501</v>
      </c>
      <c r="F17" s="21">
        <f t="shared" si="3"/>
        <v>189660</v>
      </c>
      <c r="G17" s="27">
        <f t="shared" si="4"/>
        <v>84</v>
      </c>
    </row>
    <row r="18" spans="1:7" x14ac:dyDescent="0.4">
      <c r="A18" s="8">
        <v>104</v>
      </c>
      <c r="B18" s="2" t="s">
        <v>221</v>
      </c>
      <c r="C18" s="21">
        <v>2310</v>
      </c>
      <c r="D18" s="21">
        <v>613</v>
      </c>
      <c r="E18" s="21">
        <v>1702</v>
      </c>
      <c r="F18" s="21">
        <f t="shared" si="3"/>
        <v>285970</v>
      </c>
      <c r="G18" s="27">
        <f t="shared" si="4"/>
        <v>126</v>
      </c>
    </row>
    <row r="19" spans="1:7" x14ac:dyDescent="0.4">
      <c r="A19" s="8">
        <v>105</v>
      </c>
      <c r="B19" s="2" t="s">
        <v>222</v>
      </c>
      <c r="C19" s="21">
        <v>1670</v>
      </c>
      <c r="D19" s="21">
        <v>714</v>
      </c>
      <c r="E19" s="21">
        <v>1386</v>
      </c>
      <c r="F19" s="21">
        <f t="shared" si="3"/>
        <v>193620</v>
      </c>
      <c r="G19" s="27">
        <f t="shared" si="4"/>
        <v>86</v>
      </c>
    </row>
    <row r="20" spans="1:7" x14ac:dyDescent="0.4">
      <c r="A20" s="8">
        <v>106</v>
      </c>
      <c r="B20" s="2" t="s">
        <v>223</v>
      </c>
      <c r="C20" s="21">
        <v>2140</v>
      </c>
      <c r="D20" s="21">
        <v>586</v>
      </c>
      <c r="E20" s="21">
        <v>1495</v>
      </c>
      <c r="F20" s="21">
        <f t="shared" si="3"/>
        <v>240960</v>
      </c>
      <c r="G20" s="27">
        <f t="shared" si="4"/>
        <v>107</v>
      </c>
    </row>
    <row r="21" spans="1:7" x14ac:dyDescent="0.4">
      <c r="A21" s="8">
        <v>107</v>
      </c>
      <c r="B21" s="2" t="s">
        <v>224</v>
      </c>
      <c r="C21" s="21">
        <v>2080</v>
      </c>
      <c r="D21" s="21">
        <v>717</v>
      </c>
      <c r="E21" s="21">
        <v>1741</v>
      </c>
      <c r="F21" s="21">
        <f t="shared" si="3"/>
        <v>249640</v>
      </c>
      <c r="G21" s="27">
        <f t="shared" si="4"/>
        <v>110</v>
      </c>
    </row>
    <row r="22" spans="1:7" x14ac:dyDescent="0.4">
      <c r="A22" s="8"/>
      <c r="B22" s="2"/>
      <c r="C22" s="21"/>
      <c r="D22" s="21"/>
      <c r="E22" s="21"/>
      <c r="F22" s="21"/>
      <c r="G22" s="27"/>
    </row>
    <row r="23" spans="1:7" ht="19.5" thickBot="1" x14ac:dyDescent="0.45">
      <c r="A23" s="11"/>
      <c r="B23" s="12" t="s">
        <v>13</v>
      </c>
      <c r="C23" s="28"/>
      <c r="D23" s="28">
        <f>SUM(D15:D21)</f>
        <v>4828</v>
      </c>
      <c r="E23" s="28">
        <f t="shared" ref="E23:F23" si="5">SUM(E15:E21)</f>
        <v>11001</v>
      </c>
      <c r="F23" s="28">
        <f t="shared" si="5"/>
        <v>1619710</v>
      </c>
      <c r="G23" s="29"/>
    </row>
    <row r="25" spans="1:7" ht="19.5" thickBot="1" x14ac:dyDescent="0.45">
      <c r="A25" s="54" t="s">
        <v>42</v>
      </c>
      <c r="B25" s="54"/>
      <c r="C25" s="54"/>
      <c r="D25" s="54"/>
      <c r="E25" s="54"/>
      <c r="F25" s="54"/>
      <c r="G25" s="54"/>
    </row>
    <row r="26" spans="1:7" x14ac:dyDescent="0.4">
      <c r="A26" s="22" t="s">
        <v>36</v>
      </c>
      <c r="B26" s="23" t="s">
        <v>2</v>
      </c>
      <c r="C26" s="23" t="s">
        <v>225</v>
      </c>
      <c r="D26" s="23" t="s">
        <v>227</v>
      </c>
      <c r="E26" s="23" t="s">
        <v>228</v>
      </c>
      <c r="F26" s="23" t="s">
        <v>229</v>
      </c>
      <c r="G26" s="24" t="s">
        <v>24</v>
      </c>
    </row>
    <row r="27" spans="1:7" x14ac:dyDescent="0.4">
      <c r="A27" s="8">
        <v>102</v>
      </c>
      <c r="B27" s="2" t="s">
        <v>219</v>
      </c>
      <c r="C27" s="21">
        <f t="shared" ref="C27:C33" si="6">VLOOKUP(A27,$A$3:$G$9,6,FALSE)</f>
        <v>208880</v>
      </c>
      <c r="D27" s="21">
        <f t="shared" ref="D27:D33" si="7">VLOOKUP(A27,$A$15:$G$21,6,FALSE)</f>
        <v>244240</v>
      </c>
      <c r="E27" s="21">
        <f t="shared" ref="E27:E33" si="8">C27+D27</f>
        <v>453120</v>
      </c>
      <c r="F27" s="4">
        <f t="shared" ref="F27:F33" si="9">C27/E27</f>
        <v>0.4609816384180791</v>
      </c>
      <c r="G27" s="10" t="str">
        <f t="shared" ref="G27:G33" si="10">IF(AND(C27&gt;=220000,D27&gt;=220000),"***",IF(OR(C27&gt;=220000,D27&gt;=220000),"**","*"))</f>
        <v>**</v>
      </c>
    </row>
    <row r="28" spans="1:7" x14ac:dyDescent="0.4">
      <c r="A28" s="8">
        <v>104</v>
      </c>
      <c r="B28" s="2" t="s">
        <v>221</v>
      </c>
      <c r="C28" s="21">
        <f t="shared" si="6"/>
        <v>251940</v>
      </c>
      <c r="D28" s="21">
        <f t="shared" si="7"/>
        <v>285970</v>
      </c>
      <c r="E28" s="21">
        <f t="shared" si="8"/>
        <v>537910</v>
      </c>
      <c r="F28" s="4">
        <f t="shared" si="9"/>
        <v>0.46836831440203752</v>
      </c>
      <c r="G28" s="10" t="str">
        <f t="shared" si="10"/>
        <v>***</v>
      </c>
    </row>
    <row r="29" spans="1:7" x14ac:dyDescent="0.4">
      <c r="A29" s="8">
        <v>107</v>
      </c>
      <c r="B29" s="2" t="s">
        <v>224</v>
      </c>
      <c r="C29" s="21">
        <f t="shared" si="6"/>
        <v>221240</v>
      </c>
      <c r="D29" s="21">
        <f t="shared" si="7"/>
        <v>249640</v>
      </c>
      <c r="E29" s="21">
        <f t="shared" si="8"/>
        <v>470880</v>
      </c>
      <c r="F29" s="4">
        <f t="shared" si="9"/>
        <v>0.46984369690791711</v>
      </c>
      <c r="G29" s="10" t="str">
        <f t="shared" si="10"/>
        <v>***</v>
      </c>
    </row>
    <row r="30" spans="1:7" x14ac:dyDescent="0.4">
      <c r="A30" s="8">
        <v>105</v>
      </c>
      <c r="B30" s="2" t="s">
        <v>222</v>
      </c>
      <c r="C30" s="21">
        <f t="shared" si="6"/>
        <v>177220</v>
      </c>
      <c r="D30" s="21">
        <f t="shared" si="7"/>
        <v>193620</v>
      </c>
      <c r="E30" s="21">
        <f t="shared" si="8"/>
        <v>370840</v>
      </c>
      <c r="F30" s="4">
        <f t="shared" si="9"/>
        <v>0.47788803796785678</v>
      </c>
      <c r="G30" s="10" t="str">
        <f t="shared" si="10"/>
        <v>*</v>
      </c>
    </row>
    <row r="31" spans="1:7" x14ac:dyDescent="0.4">
      <c r="A31" s="8">
        <v>106</v>
      </c>
      <c r="B31" s="2" t="s">
        <v>223</v>
      </c>
      <c r="C31" s="21">
        <f t="shared" si="6"/>
        <v>227940</v>
      </c>
      <c r="D31" s="21">
        <f t="shared" si="7"/>
        <v>240960</v>
      </c>
      <c r="E31" s="21">
        <f t="shared" si="8"/>
        <v>468900</v>
      </c>
      <c r="F31" s="4">
        <f t="shared" si="9"/>
        <v>0.48611644273832372</v>
      </c>
      <c r="G31" s="10" t="str">
        <f t="shared" si="10"/>
        <v>***</v>
      </c>
    </row>
    <row r="32" spans="1:7" x14ac:dyDescent="0.4">
      <c r="A32" s="8">
        <v>103</v>
      </c>
      <c r="B32" s="2" t="s">
        <v>220</v>
      </c>
      <c r="C32" s="21">
        <f t="shared" si="6"/>
        <v>181360</v>
      </c>
      <c r="D32" s="21">
        <f t="shared" si="7"/>
        <v>189660</v>
      </c>
      <c r="E32" s="21">
        <f t="shared" si="8"/>
        <v>371020</v>
      </c>
      <c r="F32" s="4">
        <f t="shared" si="9"/>
        <v>0.4888146191579969</v>
      </c>
      <c r="G32" s="10" t="str">
        <f t="shared" si="10"/>
        <v>*</v>
      </c>
    </row>
    <row r="33" spans="1:7" x14ac:dyDescent="0.4">
      <c r="A33" s="8">
        <v>101</v>
      </c>
      <c r="B33" s="2" t="s">
        <v>218</v>
      </c>
      <c r="C33" s="21">
        <f t="shared" si="6"/>
        <v>225780</v>
      </c>
      <c r="D33" s="21">
        <f t="shared" si="7"/>
        <v>215620</v>
      </c>
      <c r="E33" s="21">
        <f t="shared" si="8"/>
        <v>441400</v>
      </c>
      <c r="F33" s="4">
        <f t="shared" si="9"/>
        <v>0.51150883552333481</v>
      </c>
      <c r="G33" s="10" t="str">
        <f t="shared" si="10"/>
        <v>**</v>
      </c>
    </row>
    <row r="34" spans="1:7" x14ac:dyDescent="0.4">
      <c r="A34" s="8"/>
      <c r="B34" s="2"/>
      <c r="C34" s="2"/>
      <c r="D34" s="2"/>
      <c r="E34" s="2"/>
      <c r="F34" s="2"/>
      <c r="G34" s="10"/>
    </row>
    <row r="35" spans="1:7" ht="19.5" thickBot="1" x14ac:dyDescent="0.45">
      <c r="A35" s="11"/>
      <c r="B35" s="12" t="s">
        <v>233</v>
      </c>
      <c r="C35" s="32">
        <f>SUM(C27:C33)</f>
        <v>1494360</v>
      </c>
      <c r="D35" s="32">
        <f t="shared" ref="D35:E35" si="11">SUM(D27:D33)</f>
        <v>1619710</v>
      </c>
      <c r="E35" s="32">
        <f t="shared" si="11"/>
        <v>3114070</v>
      </c>
      <c r="F35" s="16"/>
      <c r="G35" s="14"/>
    </row>
  </sheetData>
  <sortState ref="A27:G33">
    <sortCondition ref="F26"/>
  </sortState>
  <mergeCells count="4">
    <mergeCell ref="A1:G1"/>
    <mergeCell ref="A13:G13"/>
    <mergeCell ref="A25:G25"/>
    <mergeCell ref="I2:J2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670B-F522-4C5F-8886-27FFFDA4B1BA}">
  <dimension ref="A1:J25"/>
  <sheetViews>
    <sheetView workbookViewId="0">
      <selection activeCell="E26" sqref="E26"/>
    </sheetView>
  </sheetViews>
  <sheetFormatPr defaultRowHeight="18.75" x14ac:dyDescent="0.4"/>
  <cols>
    <col min="1" max="1" width="5.25" bestFit="1" customWidth="1"/>
    <col min="2" max="2" width="11" bestFit="1" customWidth="1"/>
    <col min="4" max="4" width="10.5" bestFit="1" customWidth="1"/>
    <col min="5" max="5" width="11" bestFit="1" customWidth="1"/>
    <col min="8" max="8" width="11" bestFit="1" customWidth="1"/>
    <col min="9" max="9" width="24.75" bestFit="1" customWidth="1"/>
    <col min="10" max="10" width="5.25" bestFit="1" customWidth="1"/>
  </cols>
  <sheetData>
    <row r="1" spans="1:10" ht="19.5" thickBot="1" x14ac:dyDescent="0.45">
      <c r="A1" s="54" t="s">
        <v>43</v>
      </c>
      <c r="B1" s="54"/>
      <c r="C1" s="54"/>
      <c r="D1" s="54"/>
      <c r="E1" s="54"/>
      <c r="F1" s="54"/>
    </row>
    <row r="2" spans="1:10" ht="19.5" thickBot="1" x14ac:dyDescent="0.45">
      <c r="A2" s="22" t="s">
        <v>44</v>
      </c>
      <c r="B2" s="23" t="s">
        <v>45</v>
      </c>
      <c r="C2" s="23" t="s">
        <v>46</v>
      </c>
      <c r="D2" s="23" t="s">
        <v>47</v>
      </c>
      <c r="E2" s="23" t="s">
        <v>48</v>
      </c>
      <c r="F2" s="24" t="s">
        <v>41</v>
      </c>
      <c r="H2" s="58" t="s">
        <v>234</v>
      </c>
      <c r="I2" s="58"/>
    </row>
    <row r="3" spans="1:10" ht="19.5" thickBot="1" x14ac:dyDescent="0.45">
      <c r="A3" s="8">
        <v>1</v>
      </c>
      <c r="B3" s="2" t="s">
        <v>49</v>
      </c>
      <c r="C3" s="21">
        <v>90</v>
      </c>
      <c r="D3" s="21">
        <v>2153000</v>
      </c>
      <c r="E3" s="21">
        <f>INT(D3/C3)</f>
        <v>23922</v>
      </c>
      <c r="F3" s="10">
        <f>ROUND(E3/$I$3*100,0)</f>
        <v>96</v>
      </c>
      <c r="H3" s="33" t="s">
        <v>235</v>
      </c>
      <c r="I3" s="34">
        <v>25000</v>
      </c>
    </row>
    <row r="4" spans="1:10" x14ac:dyDescent="0.4">
      <c r="A4" s="8">
        <v>2</v>
      </c>
      <c r="B4" s="2" t="s">
        <v>50</v>
      </c>
      <c r="C4" s="2">
        <v>98</v>
      </c>
      <c r="D4" s="21">
        <v>2418000</v>
      </c>
      <c r="E4" s="21">
        <f t="shared" ref="E4:E10" si="0">INT(D4/C4)</f>
        <v>24673</v>
      </c>
      <c r="F4" s="10">
        <f t="shared" ref="F4:F10" si="1">ROUND(E4/$I$3*100,0)</f>
        <v>99</v>
      </c>
    </row>
    <row r="5" spans="1:10" x14ac:dyDescent="0.4">
      <c r="A5" s="8">
        <v>3</v>
      </c>
      <c r="B5" s="2" t="s">
        <v>51</v>
      </c>
      <c r="C5" s="2">
        <v>110</v>
      </c>
      <c r="D5" s="21">
        <v>2931000</v>
      </c>
      <c r="E5" s="21">
        <f t="shared" si="0"/>
        <v>26645</v>
      </c>
      <c r="F5" s="10">
        <f t="shared" si="1"/>
        <v>107</v>
      </c>
      <c r="H5" s="59"/>
      <c r="I5" s="59"/>
      <c r="J5" s="59"/>
    </row>
    <row r="6" spans="1:10" x14ac:dyDescent="0.4">
      <c r="A6" s="8">
        <v>4</v>
      </c>
      <c r="B6" s="2" t="s">
        <v>52</v>
      </c>
      <c r="C6" s="2">
        <v>67</v>
      </c>
      <c r="D6" s="21">
        <v>1862000</v>
      </c>
      <c r="E6" s="21">
        <f t="shared" si="0"/>
        <v>27791</v>
      </c>
      <c r="F6" s="10">
        <f t="shared" si="1"/>
        <v>111</v>
      </c>
      <c r="H6" s="46"/>
      <c r="I6" s="46"/>
      <c r="J6" s="36"/>
    </row>
    <row r="7" spans="1:10" x14ac:dyDescent="0.4">
      <c r="A7" s="8">
        <v>5</v>
      </c>
      <c r="B7" s="2" t="s">
        <v>53</v>
      </c>
      <c r="C7" s="2">
        <v>136</v>
      </c>
      <c r="D7" s="21">
        <v>3178000</v>
      </c>
      <c r="E7" s="21">
        <f t="shared" si="0"/>
        <v>23367</v>
      </c>
      <c r="F7" s="10">
        <f t="shared" si="1"/>
        <v>93</v>
      </c>
      <c r="H7" s="36"/>
      <c r="I7" s="36"/>
      <c r="J7" s="36"/>
    </row>
    <row r="8" spans="1:10" x14ac:dyDescent="0.4">
      <c r="A8" s="8">
        <v>6</v>
      </c>
      <c r="B8" s="2" t="s">
        <v>54</v>
      </c>
      <c r="C8" s="2">
        <v>75</v>
      </c>
      <c r="D8" s="21">
        <v>1937000</v>
      </c>
      <c r="E8" s="21">
        <f t="shared" si="0"/>
        <v>25826</v>
      </c>
      <c r="F8" s="10">
        <f t="shared" si="1"/>
        <v>103</v>
      </c>
      <c r="H8" s="36"/>
      <c r="I8" s="36"/>
      <c r="J8" s="36"/>
    </row>
    <row r="9" spans="1:10" x14ac:dyDescent="0.4">
      <c r="A9" s="8">
        <v>7</v>
      </c>
      <c r="B9" s="2" t="s">
        <v>55</v>
      </c>
      <c r="C9" s="2">
        <v>120</v>
      </c>
      <c r="D9" s="21">
        <v>3046000</v>
      </c>
      <c r="E9" s="21">
        <f t="shared" si="0"/>
        <v>25383</v>
      </c>
      <c r="F9" s="10">
        <f t="shared" si="1"/>
        <v>102</v>
      </c>
    </row>
    <row r="10" spans="1:10" x14ac:dyDescent="0.4">
      <c r="A10" s="8">
        <v>8</v>
      </c>
      <c r="B10" s="2" t="s">
        <v>56</v>
      </c>
      <c r="C10" s="2">
        <v>121</v>
      </c>
      <c r="D10" s="21">
        <v>2735000</v>
      </c>
      <c r="E10" s="21">
        <f t="shared" si="0"/>
        <v>22603</v>
      </c>
      <c r="F10" s="10">
        <f t="shared" si="1"/>
        <v>90</v>
      </c>
    </row>
    <row r="11" spans="1:10" x14ac:dyDescent="0.4">
      <c r="A11" s="8"/>
      <c r="B11" s="2"/>
      <c r="C11" s="2"/>
      <c r="D11" s="2"/>
      <c r="E11" s="2"/>
      <c r="F11" s="10"/>
    </row>
    <row r="12" spans="1:10" ht="19.5" thickBot="1" x14ac:dyDescent="0.45">
      <c r="A12" s="11"/>
      <c r="B12" s="12" t="s">
        <v>13</v>
      </c>
      <c r="C12" s="32">
        <f>SUM(C3:C10)</f>
        <v>817</v>
      </c>
      <c r="D12" s="32">
        <f>SUM(D3:D10)</f>
        <v>20260000</v>
      </c>
      <c r="E12" s="16"/>
      <c r="F12" s="14"/>
    </row>
    <row r="14" spans="1:10" ht="19.5" thickBot="1" x14ac:dyDescent="0.45">
      <c r="A14" s="54" t="s">
        <v>57</v>
      </c>
      <c r="B14" s="54"/>
      <c r="C14" s="54"/>
      <c r="D14" s="54"/>
      <c r="E14" s="54"/>
      <c r="F14" s="54"/>
      <c r="G14" s="54"/>
      <c r="H14" s="54"/>
      <c r="I14" s="54"/>
      <c r="J14" s="54"/>
    </row>
    <row r="15" spans="1:10" x14ac:dyDescent="0.4">
      <c r="A15" s="22" t="s">
        <v>44</v>
      </c>
      <c r="B15" s="23" t="s">
        <v>45</v>
      </c>
      <c r="C15" s="23" t="s">
        <v>58</v>
      </c>
      <c r="D15" s="23" t="s">
        <v>59</v>
      </c>
      <c r="E15" s="23" t="s">
        <v>60</v>
      </c>
      <c r="F15" s="23" t="s">
        <v>46</v>
      </c>
      <c r="G15" s="30" t="s">
        <v>236</v>
      </c>
      <c r="H15" s="30" t="s">
        <v>61</v>
      </c>
      <c r="I15" s="30" t="s">
        <v>62</v>
      </c>
      <c r="J15" s="20" t="s">
        <v>63</v>
      </c>
    </row>
    <row r="16" spans="1:10" x14ac:dyDescent="0.4">
      <c r="A16" s="8">
        <v>4</v>
      </c>
      <c r="B16" s="2" t="s">
        <v>52</v>
      </c>
      <c r="C16" s="2">
        <v>6</v>
      </c>
      <c r="D16" s="21">
        <f t="shared" ref="D16:D23" si="2">2370*C16</f>
        <v>14220</v>
      </c>
      <c r="E16" s="21">
        <f t="shared" ref="E16:E23" si="3">5800*(C16-1)</f>
        <v>29000</v>
      </c>
      <c r="F16" s="21">
        <f t="shared" ref="F16:F23" si="4">VLOOKUP(A16,$A$3:$F$10,3,FALSE)</f>
        <v>67</v>
      </c>
      <c r="G16" s="21">
        <f t="shared" ref="G16:G23" si="5">VLOOKUP(A16,$A$3:$F$10,6,FALSE)</f>
        <v>111</v>
      </c>
      <c r="H16" s="21">
        <f>ROUNDUP(IF(F16&gt;=110, 510*F16*G16/100, 490*F16*G16/100),0)</f>
        <v>36442</v>
      </c>
      <c r="I16" s="31">
        <f t="shared" ref="I16:I23" si="6">D16+E16+H16</f>
        <v>79662</v>
      </c>
      <c r="J16" s="10" t="str">
        <f t="shared" ref="J16:J23" si="7">IF(AND(G16&gt;=100,I16&gt;=140000),"***", IF(OR(G16&gt;=100,I16&gt;=140000),"**", "*"))</f>
        <v>**</v>
      </c>
    </row>
    <row r="17" spans="1:10" x14ac:dyDescent="0.4">
      <c r="A17" s="8">
        <v>3</v>
      </c>
      <c r="B17" s="2" t="s">
        <v>51</v>
      </c>
      <c r="C17" s="2">
        <v>11</v>
      </c>
      <c r="D17" s="21">
        <f t="shared" si="2"/>
        <v>26070</v>
      </c>
      <c r="E17" s="21">
        <f t="shared" si="3"/>
        <v>58000</v>
      </c>
      <c r="F17" s="21">
        <f t="shared" si="4"/>
        <v>110</v>
      </c>
      <c r="G17" s="21">
        <f t="shared" si="5"/>
        <v>107</v>
      </c>
      <c r="H17" s="21">
        <f t="shared" ref="H17:H23" si="8">ROUNDUP(IF(F17&gt;=110, 510*F17*G17/100, 490*F17*G17/100),0)</f>
        <v>60027</v>
      </c>
      <c r="I17" s="31">
        <f t="shared" si="6"/>
        <v>144097</v>
      </c>
      <c r="J17" s="10" t="str">
        <f t="shared" si="7"/>
        <v>***</v>
      </c>
    </row>
    <row r="18" spans="1:10" x14ac:dyDescent="0.4">
      <c r="A18" s="8">
        <v>6</v>
      </c>
      <c r="B18" s="2" t="s">
        <v>54</v>
      </c>
      <c r="C18" s="2">
        <v>7</v>
      </c>
      <c r="D18" s="21">
        <f t="shared" si="2"/>
        <v>16590</v>
      </c>
      <c r="E18" s="21">
        <f t="shared" si="3"/>
        <v>34800</v>
      </c>
      <c r="F18" s="21">
        <f t="shared" si="4"/>
        <v>75</v>
      </c>
      <c r="G18" s="21">
        <f t="shared" si="5"/>
        <v>103</v>
      </c>
      <c r="H18" s="21">
        <f t="shared" si="8"/>
        <v>37853</v>
      </c>
      <c r="I18" s="31">
        <f t="shared" si="6"/>
        <v>89243</v>
      </c>
      <c r="J18" s="10" t="str">
        <f t="shared" si="7"/>
        <v>**</v>
      </c>
    </row>
    <row r="19" spans="1:10" x14ac:dyDescent="0.4">
      <c r="A19" s="8">
        <v>7</v>
      </c>
      <c r="B19" s="2" t="s">
        <v>55</v>
      </c>
      <c r="C19" s="2">
        <v>12</v>
      </c>
      <c r="D19" s="21">
        <f t="shared" si="2"/>
        <v>28440</v>
      </c>
      <c r="E19" s="21">
        <f t="shared" si="3"/>
        <v>63800</v>
      </c>
      <c r="F19" s="21">
        <f t="shared" si="4"/>
        <v>120</v>
      </c>
      <c r="G19" s="21">
        <f t="shared" si="5"/>
        <v>102</v>
      </c>
      <c r="H19" s="21">
        <f t="shared" si="8"/>
        <v>62424</v>
      </c>
      <c r="I19" s="31">
        <f t="shared" si="6"/>
        <v>154664</v>
      </c>
      <c r="J19" s="10" t="str">
        <f t="shared" si="7"/>
        <v>***</v>
      </c>
    </row>
    <row r="20" spans="1:10" x14ac:dyDescent="0.4">
      <c r="A20" s="8">
        <v>2</v>
      </c>
      <c r="B20" s="2" t="s">
        <v>50</v>
      </c>
      <c r="C20" s="2">
        <v>9</v>
      </c>
      <c r="D20" s="21">
        <f t="shared" si="2"/>
        <v>21330</v>
      </c>
      <c r="E20" s="21">
        <f t="shared" si="3"/>
        <v>46400</v>
      </c>
      <c r="F20" s="21">
        <f t="shared" si="4"/>
        <v>98</v>
      </c>
      <c r="G20" s="21">
        <f t="shared" si="5"/>
        <v>99</v>
      </c>
      <c r="H20" s="21">
        <f t="shared" si="8"/>
        <v>47540</v>
      </c>
      <c r="I20" s="31">
        <f t="shared" si="6"/>
        <v>115270</v>
      </c>
      <c r="J20" s="10" t="str">
        <f t="shared" si="7"/>
        <v>*</v>
      </c>
    </row>
    <row r="21" spans="1:10" x14ac:dyDescent="0.4">
      <c r="A21" s="8">
        <v>1</v>
      </c>
      <c r="B21" s="2" t="s">
        <v>49</v>
      </c>
      <c r="C21" s="2">
        <v>8</v>
      </c>
      <c r="D21" s="21">
        <f t="shared" si="2"/>
        <v>18960</v>
      </c>
      <c r="E21" s="21">
        <f t="shared" si="3"/>
        <v>40600</v>
      </c>
      <c r="F21" s="21">
        <f t="shared" si="4"/>
        <v>90</v>
      </c>
      <c r="G21" s="21">
        <f t="shared" si="5"/>
        <v>96</v>
      </c>
      <c r="H21" s="21">
        <f t="shared" si="8"/>
        <v>42336</v>
      </c>
      <c r="I21" s="31">
        <f t="shared" si="6"/>
        <v>101896</v>
      </c>
      <c r="J21" s="10" t="str">
        <f t="shared" si="7"/>
        <v>*</v>
      </c>
    </row>
    <row r="22" spans="1:10" x14ac:dyDescent="0.4">
      <c r="A22" s="8">
        <v>5</v>
      </c>
      <c r="B22" s="2" t="s">
        <v>53</v>
      </c>
      <c r="C22" s="2">
        <v>13</v>
      </c>
      <c r="D22" s="21">
        <f t="shared" si="2"/>
        <v>30810</v>
      </c>
      <c r="E22" s="21">
        <f t="shared" si="3"/>
        <v>69600</v>
      </c>
      <c r="F22" s="21">
        <f t="shared" si="4"/>
        <v>136</v>
      </c>
      <c r="G22" s="21">
        <f t="shared" si="5"/>
        <v>93</v>
      </c>
      <c r="H22" s="21">
        <f t="shared" si="8"/>
        <v>64505</v>
      </c>
      <c r="I22" s="31">
        <f t="shared" si="6"/>
        <v>164915</v>
      </c>
      <c r="J22" s="10" t="str">
        <f t="shared" si="7"/>
        <v>**</v>
      </c>
    </row>
    <row r="23" spans="1:10" x14ac:dyDescent="0.4">
      <c r="A23" s="8">
        <v>8</v>
      </c>
      <c r="B23" s="2" t="s">
        <v>56</v>
      </c>
      <c r="C23" s="2">
        <v>10</v>
      </c>
      <c r="D23" s="21">
        <f t="shared" si="2"/>
        <v>23700</v>
      </c>
      <c r="E23" s="21">
        <f t="shared" si="3"/>
        <v>52200</v>
      </c>
      <c r="F23" s="21">
        <f t="shared" si="4"/>
        <v>121</v>
      </c>
      <c r="G23" s="21">
        <f t="shared" si="5"/>
        <v>90</v>
      </c>
      <c r="H23" s="21">
        <f t="shared" si="8"/>
        <v>55539</v>
      </c>
      <c r="I23" s="31">
        <f t="shared" si="6"/>
        <v>131439</v>
      </c>
      <c r="J23" s="10" t="str">
        <f t="shared" si="7"/>
        <v>*</v>
      </c>
    </row>
    <row r="24" spans="1:10" x14ac:dyDescent="0.4">
      <c r="A24" s="8"/>
      <c r="B24" s="2"/>
      <c r="C24" s="2"/>
      <c r="D24" s="2"/>
      <c r="E24" s="2"/>
      <c r="F24" s="2"/>
      <c r="G24" s="2"/>
      <c r="H24" s="2"/>
      <c r="I24" s="2"/>
      <c r="J24" s="10"/>
    </row>
    <row r="25" spans="1:10" ht="19.5" thickBot="1" x14ac:dyDescent="0.45">
      <c r="A25" s="11"/>
      <c r="B25" s="12" t="s">
        <v>13</v>
      </c>
      <c r="C25" s="16"/>
      <c r="D25" s="32">
        <f>SUM(D16:D23)</f>
        <v>180120</v>
      </c>
      <c r="E25" s="32">
        <f t="shared" ref="E25:I25" si="9">SUM(E16:E23)</f>
        <v>394400</v>
      </c>
      <c r="F25" s="32">
        <f t="shared" si="9"/>
        <v>817</v>
      </c>
      <c r="G25" s="32"/>
      <c r="H25" s="32">
        <f t="shared" si="9"/>
        <v>406666</v>
      </c>
      <c r="I25" s="32">
        <f t="shared" si="9"/>
        <v>981186</v>
      </c>
      <c r="J25" s="14"/>
    </row>
  </sheetData>
  <sortState ref="A16:J23">
    <sortCondition descending="1" ref="G15"/>
  </sortState>
  <mergeCells count="4">
    <mergeCell ref="A1:F1"/>
    <mergeCell ref="H2:I2"/>
    <mergeCell ref="H5:J5"/>
    <mergeCell ref="A14:J14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7BB1-A9E6-4770-A073-3E2893185823}">
  <dimension ref="A1:K23"/>
  <sheetViews>
    <sheetView workbookViewId="0">
      <selection activeCell="F12" sqref="F12"/>
    </sheetView>
  </sheetViews>
  <sheetFormatPr defaultRowHeight="18.75" x14ac:dyDescent="0.4"/>
  <cols>
    <col min="1" max="1" width="6" bestFit="1" customWidth="1"/>
    <col min="2" max="3" width="11" bestFit="1" customWidth="1"/>
    <col min="4" max="4" width="7.125" bestFit="1" customWidth="1"/>
    <col min="5" max="5" width="6" bestFit="1" customWidth="1"/>
    <col min="6" max="6" width="7.125" bestFit="1" customWidth="1"/>
    <col min="7" max="9" width="11" bestFit="1" customWidth="1"/>
    <col min="10" max="10" width="9.5" bestFit="1" customWidth="1"/>
    <col min="11" max="11" width="5.25" bestFit="1" customWidth="1"/>
  </cols>
  <sheetData>
    <row r="1" spans="1:11" ht="19.5" thickBot="1" x14ac:dyDescent="0.45">
      <c r="A1" s="54" t="s">
        <v>64</v>
      </c>
      <c r="B1" s="54"/>
      <c r="C1" s="54"/>
      <c r="D1" s="54"/>
      <c r="E1" s="54"/>
      <c r="F1" s="54"/>
      <c r="G1" s="54"/>
    </row>
    <row r="2" spans="1:11" x14ac:dyDescent="0.4">
      <c r="A2" s="22" t="s">
        <v>1</v>
      </c>
      <c r="B2" s="23" t="s">
        <v>2</v>
      </c>
      <c r="C2" s="23" t="s">
        <v>65</v>
      </c>
      <c r="D2" s="23" t="s">
        <v>3</v>
      </c>
      <c r="E2" s="23" t="s">
        <v>37</v>
      </c>
      <c r="F2" s="23" t="s">
        <v>66</v>
      </c>
      <c r="G2" s="24" t="s">
        <v>7</v>
      </c>
    </row>
    <row r="3" spans="1:11" x14ac:dyDescent="0.4">
      <c r="A3" s="8">
        <v>11</v>
      </c>
      <c r="B3" s="2" t="s">
        <v>237</v>
      </c>
      <c r="C3" s="21">
        <v>709</v>
      </c>
      <c r="D3" s="21">
        <f>INT(C3*1.06)</f>
        <v>751</v>
      </c>
      <c r="E3" s="2">
        <v>1127</v>
      </c>
      <c r="F3" s="35">
        <f>IF(OR(D3&gt;=800, E3&gt;=1200),23%,22%)</f>
        <v>0.22</v>
      </c>
      <c r="G3" s="27">
        <f>ROUNDUP(E3*(1+F3),0)</f>
        <v>1375</v>
      </c>
    </row>
    <row r="4" spans="1:11" x14ac:dyDescent="0.4">
      <c r="A4" s="8">
        <v>12</v>
      </c>
      <c r="B4" s="2" t="s">
        <v>238</v>
      </c>
      <c r="C4" s="21">
        <v>756</v>
      </c>
      <c r="D4" s="21">
        <f t="shared" ref="D4:D7" si="0">INT(C4*1.06)</f>
        <v>801</v>
      </c>
      <c r="E4" s="2">
        <v>913</v>
      </c>
      <c r="F4" s="35">
        <f t="shared" ref="F4:F7" si="1">IF(OR(D4&gt;=800, E4&gt;=1200),23%,22%)</f>
        <v>0.23</v>
      </c>
      <c r="G4" s="27">
        <f t="shared" ref="G4:G7" si="2">ROUNDUP(E4*(1+F4),0)</f>
        <v>1123</v>
      </c>
    </row>
    <row r="5" spans="1:11" x14ac:dyDescent="0.4">
      <c r="A5" s="8">
        <v>13</v>
      </c>
      <c r="B5" s="2" t="s">
        <v>239</v>
      </c>
      <c r="C5" s="21">
        <v>437</v>
      </c>
      <c r="D5" s="21">
        <f t="shared" si="0"/>
        <v>463</v>
      </c>
      <c r="E5" s="2">
        <v>1034</v>
      </c>
      <c r="F5" s="35">
        <f t="shared" si="1"/>
        <v>0.22</v>
      </c>
      <c r="G5" s="27">
        <f t="shared" si="2"/>
        <v>1262</v>
      </c>
    </row>
    <row r="6" spans="1:11" x14ac:dyDescent="0.4">
      <c r="A6" s="8">
        <v>14</v>
      </c>
      <c r="B6" s="2" t="s">
        <v>240</v>
      </c>
      <c r="C6" s="21">
        <v>834</v>
      </c>
      <c r="D6" s="21">
        <f t="shared" si="0"/>
        <v>884</v>
      </c>
      <c r="E6" s="2">
        <v>856</v>
      </c>
      <c r="F6" s="35">
        <f t="shared" si="1"/>
        <v>0.23</v>
      </c>
      <c r="G6" s="27">
        <f t="shared" si="2"/>
        <v>1053</v>
      </c>
    </row>
    <row r="7" spans="1:11" x14ac:dyDescent="0.4">
      <c r="A7" s="8">
        <v>15</v>
      </c>
      <c r="B7" s="2" t="s">
        <v>241</v>
      </c>
      <c r="C7" s="21">
        <v>752</v>
      </c>
      <c r="D7" s="21">
        <f t="shared" si="0"/>
        <v>797</v>
      </c>
      <c r="E7" s="2">
        <v>1218</v>
      </c>
      <c r="F7" s="35">
        <f t="shared" si="1"/>
        <v>0.23</v>
      </c>
      <c r="G7" s="27">
        <f t="shared" si="2"/>
        <v>1499</v>
      </c>
    </row>
    <row r="8" spans="1:11" x14ac:dyDescent="0.4">
      <c r="A8" s="8"/>
      <c r="B8" s="2"/>
      <c r="C8" s="21"/>
      <c r="D8" s="2"/>
      <c r="E8" s="2"/>
      <c r="F8" s="2"/>
      <c r="G8" s="10"/>
    </row>
    <row r="9" spans="1:11" ht="19.5" thickBot="1" x14ac:dyDescent="0.45">
      <c r="A9" s="11"/>
      <c r="B9" s="12" t="s">
        <v>13</v>
      </c>
      <c r="C9" s="28">
        <f>SUM(C3:C7)</f>
        <v>3488</v>
      </c>
      <c r="D9" s="28">
        <f>SUM(D3:D7)</f>
        <v>3696</v>
      </c>
      <c r="E9" s="16"/>
      <c r="F9" s="16"/>
      <c r="G9" s="14"/>
    </row>
    <row r="11" spans="1:11" ht="19.5" thickBot="1" x14ac:dyDescent="0.45">
      <c r="A11" s="54" t="s">
        <v>67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</row>
    <row r="12" spans="1:11" x14ac:dyDescent="0.4">
      <c r="A12" s="22" t="s">
        <v>18</v>
      </c>
      <c r="B12" s="23" t="s">
        <v>19</v>
      </c>
      <c r="C12" s="23" t="s">
        <v>1</v>
      </c>
      <c r="D12" s="23" t="s">
        <v>2</v>
      </c>
      <c r="E12" s="23" t="s">
        <v>7</v>
      </c>
      <c r="F12" s="23" t="s">
        <v>38</v>
      </c>
      <c r="G12" s="23" t="s">
        <v>68</v>
      </c>
      <c r="H12" s="23" t="s">
        <v>69</v>
      </c>
      <c r="I12" s="23" t="s">
        <v>70</v>
      </c>
      <c r="J12" s="23" t="s">
        <v>71</v>
      </c>
      <c r="K12" s="24" t="s">
        <v>24</v>
      </c>
    </row>
    <row r="13" spans="1:11" x14ac:dyDescent="0.4">
      <c r="A13" s="8">
        <v>107</v>
      </c>
      <c r="B13" s="2" t="s">
        <v>78</v>
      </c>
      <c r="C13" s="2">
        <v>12</v>
      </c>
      <c r="D13" s="2" t="str">
        <f t="shared" ref="D13:D21" si="3">VLOOKUP(C13,$A$3:$G$7,2,FALSE)</f>
        <v>商品B</v>
      </c>
      <c r="E13" s="21">
        <f t="shared" ref="E13:E21" si="4">VLOOKUP(C13,$A$3:$G$7,7,FALSE)</f>
        <v>1123</v>
      </c>
      <c r="F13" s="21">
        <v>319</v>
      </c>
      <c r="G13" s="21">
        <f t="shared" ref="G13:G21" si="5">INT(F13*0.7)</f>
        <v>223</v>
      </c>
      <c r="H13" s="21">
        <f t="shared" ref="H13:H21" si="6">E13*G13</f>
        <v>250429</v>
      </c>
      <c r="I13" s="21">
        <f t="shared" ref="I13:I21" si="7">INT(E13*(F13-G13)*80%)</f>
        <v>86246</v>
      </c>
      <c r="J13" s="31">
        <f t="shared" ref="J13:J21" si="8">H13+I13</f>
        <v>336675</v>
      </c>
      <c r="K13" s="10" t="str">
        <f t="shared" ref="K13:K21" si="9">IF(AND(NOT(C13=12),J13&gt;=480000),"A",IF(OR(NOT(C13=12),J13&gt;=480000),"B","C"))</f>
        <v>C</v>
      </c>
    </row>
    <row r="14" spans="1:11" x14ac:dyDescent="0.4">
      <c r="A14" s="8">
        <v>101</v>
      </c>
      <c r="B14" s="2" t="s">
        <v>72</v>
      </c>
      <c r="C14" s="2">
        <v>11</v>
      </c>
      <c r="D14" s="2" t="str">
        <f t="shared" si="3"/>
        <v>商品A</v>
      </c>
      <c r="E14" s="21">
        <f t="shared" si="4"/>
        <v>1375</v>
      </c>
      <c r="F14" s="21">
        <v>356</v>
      </c>
      <c r="G14" s="21">
        <f t="shared" si="5"/>
        <v>249</v>
      </c>
      <c r="H14" s="21">
        <f t="shared" si="6"/>
        <v>342375</v>
      </c>
      <c r="I14" s="21">
        <f t="shared" si="7"/>
        <v>117700</v>
      </c>
      <c r="J14" s="31">
        <f t="shared" si="8"/>
        <v>460075</v>
      </c>
      <c r="K14" s="10" t="str">
        <f t="shared" si="9"/>
        <v>B</v>
      </c>
    </row>
    <row r="15" spans="1:11" x14ac:dyDescent="0.4">
      <c r="A15" s="8">
        <v>102</v>
      </c>
      <c r="B15" s="2" t="s">
        <v>73</v>
      </c>
      <c r="C15" s="2">
        <v>15</v>
      </c>
      <c r="D15" s="2" t="str">
        <f t="shared" si="3"/>
        <v>商品E</v>
      </c>
      <c r="E15" s="21">
        <f t="shared" si="4"/>
        <v>1499</v>
      </c>
      <c r="F15" s="21">
        <v>370</v>
      </c>
      <c r="G15" s="21">
        <f t="shared" si="5"/>
        <v>259</v>
      </c>
      <c r="H15" s="21">
        <f t="shared" si="6"/>
        <v>388241</v>
      </c>
      <c r="I15" s="21">
        <f t="shared" si="7"/>
        <v>133111</v>
      </c>
      <c r="J15" s="31">
        <f t="shared" si="8"/>
        <v>521352</v>
      </c>
      <c r="K15" s="10" t="str">
        <f t="shared" si="9"/>
        <v>A</v>
      </c>
    </row>
    <row r="16" spans="1:11" x14ac:dyDescent="0.4">
      <c r="A16" s="8">
        <v>106</v>
      </c>
      <c r="B16" s="2" t="s">
        <v>77</v>
      </c>
      <c r="C16" s="2">
        <v>11</v>
      </c>
      <c r="D16" s="2" t="str">
        <f t="shared" si="3"/>
        <v>商品A</v>
      </c>
      <c r="E16" s="21">
        <f t="shared" si="4"/>
        <v>1375</v>
      </c>
      <c r="F16" s="21">
        <v>381</v>
      </c>
      <c r="G16" s="21">
        <f t="shared" si="5"/>
        <v>266</v>
      </c>
      <c r="H16" s="21">
        <f t="shared" si="6"/>
        <v>365750</v>
      </c>
      <c r="I16" s="21">
        <f t="shared" si="7"/>
        <v>126500</v>
      </c>
      <c r="J16" s="31">
        <f t="shared" si="8"/>
        <v>492250</v>
      </c>
      <c r="K16" s="10" t="str">
        <f t="shared" si="9"/>
        <v>A</v>
      </c>
    </row>
    <row r="17" spans="1:11" x14ac:dyDescent="0.4">
      <c r="A17" s="8">
        <v>105</v>
      </c>
      <c r="B17" s="2" t="s">
        <v>76</v>
      </c>
      <c r="C17" s="2">
        <v>14</v>
      </c>
      <c r="D17" s="2" t="str">
        <f t="shared" si="3"/>
        <v>商品D</v>
      </c>
      <c r="E17" s="21">
        <f t="shared" si="4"/>
        <v>1053</v>
      </c>
      <c r="F17" s="21">
        <v>415</v>
      </c>
      <c r="G17" s="21">
        <f t="shared" si="5"/>
        <v>290</v>
      </c>
      <c r="H17" s="21">
        <f t="shared" si="6"/>
        <v>305370</v>
      </c>
      <c r="I17" s="21">
        <f t="shared" si="7"/>
        <v>105300</v>
      </c>
      <c r="J17" s="31">
        <f t="shared" si="8"/>
        <v>410670</v>
      </c>
      <c r="K17" s="10" t="str">
        <f t="shared" si="9"/>
        <v>B</v>
      </c>
    </row>
    <row r="18" spans="1:11" x14ac:dyDescent="0.4">
      <c r="A18" s="8">
        <v>108</v>
      </c>
      <c r="B18" s="2" t="s">
        <v>79</v>
      </c>
      <c r="C18" s="2">
        <v>15</v>
      </c>
      <c r="D18" s="2" t="str">
        <f t="shared" si="3"/>
        <v>商品E</v>
      </c>
      <c r="E18" s="21">
        <f t="shared" si="4"/>
        <v>1499</v>
      </c>
      <c r="F18" s="21">
        <v>416</v>
      </c>
      <c r="G18" s="21">
        <f t="shared" si="5"/>
        <v>291</v>
      </c>
      <c r="H18" s="21">
        <f t="shared" si="6"/>
        <v>436209</v>
      </c>
      <c r="I18" s="21">
        <f t="shared" si="7"/>
        <v>149900</v>
      </c>
      <c r="J18" s="31">
        <f t="shared" si="8"/>
        <v>586109</v>
      </c>
      <c r="K18" s="10" t="str">
        <f t="shared" si="9"/>
        <v>A</v>
      </c>
    </row>
    <row r="19" spans="1:11" x14ac:dyDescent="0.4">
      <c r="A19" s="8">
        <v>104</v>
      </c>
      <c r="B19" s="2" t="s">
        <v>75</v>
      </c>
      <c r="C19" s="2">
        <v>13</v>
      </c>
      <c r="D19" s="2" t="str">
        <f t="shared" si="3"/>
        <v>商品C</v>
      </c>
      <c r="E19" s="21">
        <f t="shared" si="4"/>
        <v>1262</v>
      </c>
      <c r="F19" s="21">
        <v>434</v>
      </c>
      <c r="G19" s="21">
        <f t="shared" si="5"/>
        <v>303</v>
      </c>
      <c r="H19" s="21">
        <f t="shared" si="6"/>
        <v>382386</v>
      </c>
      <c r="I19" s="21">
        <f t="shared" si="7"/>
        <v>132257</v>
      </c>
      <c r="J19" s="31">
        <f t="shared" si="8"/>
        <v>514643</v>
      </c>
      <c r="K19" s="10" t="str">
        <f t="shared" si="9"/>
        <v>A</v>
      </c>
    </row>
    <row r="20" spans="1:11" x14ac:dyDescent="0.4">
      <c r="A20" s="8">
        <v>103</v>
      </c>
      <c r="B20" s="2" t="s">
        <v>74</v>
      </c>
      <c r="C20" s="2">
        <v>14</v>
      </c>
      <c r="D20" s="2" t="str">
        <f t="shared" si="3"/>
        <v>商品D</v>
      </c>
      <c r="E20" s="21">
        <f t="shared" si="4"/>
        <v>1053</v>
      </c>
      <c r="F20" s="21">
        <v>452</v>
      </c>
      <c r="G20" s="21">
        <f t="shared" si="5"/>
        <v>316</v>
      </c>
      <c r="H20" s="21">
        <f t="shared" si="6"/>
        <v>332748</v>
      </c>
      <c r="I20" s="21">
        <f t="shared" si="7"/>
        <v>114566</v>
      </c>
      <c r="J20" s="31">
        <f t="shared" si="8"/>
        <v>447314</v>
      </c>
      <c r="K20" s="10" t="str">
        <f t="shared" si="9"/>
        <v>B</v>
      </c>
    </row>
    <row r="21" spans="1:11" x14ac:dyDescent="0.4">
      <c r="A21" s="8">
        <v>109</v>
      </c>
      <c r="B21" s="2" t="s">
        <v>80</v>
      </c>
      <c r="C21" s="2">
        <v>12</v>
      </c>
      <c r="D21" s="2" t="str">
        <f t="shared" si="3"/>
        <v>商品B</v>
      </c>
      <c r="E21" s="21">
        <f t="shared" si="4"/>
        <v>1123</v>
      </c>
      <c r="F21" s="21">
        <v>460</v>
      </c>
      <c r="G21" s="21">
        <f t="shared" si="5"/>
        <v>322</v>
      </c>
      <c r="H21" s="21">
        <f t="shared" si="6"/>
        <v>361606</v>
      </c>
      <c r="I21" s="21">
        <f t="shared" si="7"/>
        <v>123979</v>
      </c>
      <c r="J21" s="31">
        <f t="shared" si="8"/>
        <v>485585</v>
      </c>
      <c r="K21" s="10" t="str">
        <f t="shared" si="9"/>
        <v>B</v>
      </c>
    </row>
    <row r="22" spans="1:11" x14ac:dyDescent="0.4">
      <c r="A22" s="8"/>
      <c r="B22" s="2"/>
      <c r="C22" s="2"/>
      <c r="D22" s="2"/>
      <c r="E22" s="2"/>
      <c r="F22" s="2"/>
      <c r="G22" s="2"/>
      <c r="H22" s="2"/>
      <c r="I22" s="2"/>
      <c r="J22" s="2"/>
      <c r="K22" s="10"/>
    </row>
    <row r="23" spans="1:11" ht="19.5" thickBot="1" x14ac:dyDescent="0.45">
      <c r="A23" s="11"/>
      <c r="B23" s="12" t="s">
        <v>242</v>
      </c>
      <c r="C23" s="16"/>
      <c r="D23" s="16"/>
      <c r="E23" s="16"/>
      <c r="F23" s="32">
        <f>SUM(F13:F21)</f>
        <v>3603</v>
      </c>
      <c r="G23" s="32">
        <f t="shared" ref="G23:J23" si="10">SUM(G13:G21)</f>
        <v>2519</v>
      </c>
      <c r="H23" s="32">
        <f t="shared" si="10"/>
        <v>3165114</v>
      </c>
      <c r="I23" s="32">
        <f t="shared" si="10"/>
        <v>1089559</v>
      </c>
      <c r="J23" s="32">
        <f t="shared" si="10"/>
        <v>4254673</v>
      </c>
      <c r="K23" s="14"/>
    </row>
  </sheetData>
  <sortState ref="A13:K21">
    <sortCondition ref="F12"/>
  </sortState>
  <mergeCells count="2">
    <mergeCell ref="A1:G1"/>
    <mergeCell ref="A11:K1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80BF-A42C-40E8-955B-CC5875815182}">
  <sheetPr>
    <tabColor theme="7" tint="0.59999389629810485"/>
  </sheetPr>
  <dimension ref="A1:J36"/>
  <sheetViews>
    <sheetView topLeftCell="A13" workbookViewId="0">
      <selection activeCell="C26" sqref="C26"/>
    </sheetView>
  </sheetViews>
  <sheetFormatPr defaultRowHeight="18.75" x14ac:dyDescent="0.4"/>
  <cols>
    <col min="1" max="1" width="4.5" bestFit="1" customWidth="1"/>
    <col min="3" max="4" width="9.5" bestFit="1" customWidth="1"/>
    <col min="5" max="5" width="11" bestFit="1" customWidth="1"/>
    <col min="6" max="6" width="9.5" bestFit="1" customWidth="1"/>
    <col min="8" max="8" width="6.5" bestFit="1" customWidth="1"/>
    <col min="9" max="9" width="5.25" bestFit="1" customWidth="1"/>
    <col min="12" max="12" width="10.5" bestFit="1" customWidth="1"/>
    <col min="13" max="13" width="9.5" bestFit="1" customWidth="1"/>
  </cols>
  <sheetData>
    <row r="1" spans="1:10" ht="19.5" thickBot="1" x14ac:dyDescent="0.45">
      <c r="A1" s="54" t="s">
        <v>81</v>
      </c>
      <c r="B1" s="54"/>
      <c r="C1" s="54"/>
      <c r="D1" s="54"/>
      <c r="E1" s="54"/>
      <c r="F1" s="54"/>
    </row>
    <row r="2" spans="1:10" ht="19.5" thickBot="1" x14ac:dyDescent="0.45">
      <c r="A2" s="22" t="s">
        <v>36</v>
      </c>
      <c r="B2" s="23" t="s">
        <v>82</v>
      </c>
      <c r="C2" s="23" t="s">
        <v>83</v>
      </c>
      <c r="D2" s="23" t="s">
        <v>38</v>
      </c>
      <c r="E2" s="23" t="s">
        <v>84</v>
      </c>
      <c r="F2" s="24" t="s">
        <v>85</v>
      </c>
      <c r="H2" s="54" t="s">
        <v>244</v>
      </c>
      <c r="I2" s="54"/>
    </row>
    <row r="3" spans="1:10" x14ac:dyDescent="0.4">
      <c r="A3" s="8">
        <v>101</v>
      </c>
      <c r="B3" s="2" t="s">
        <v>86</v>
      </c>
      <c r="C3" s="21">
        <v>3112</v>
      </c>
      <c r="D3" s="21">
        <v>3032</v>
      </c>
      <c r="E3" s="21">
        <f t="shared" ref="E3:E9" si="0">$I$4*D3</f>
        <v>2207296</v>
      </c>
      <c r="F3" s="27">
        <f>ROUNDUP(IF(E3&gt;=2000000,E3*11.4%,E3*12.3% ),0)</f>
        <v>251632</v>
      </c>
      <c r="H3" s="19"/>
      <c r="I3" s="20" t="s">
        <v>245</v>
      </c>
    </row>
    <row r="4" spans="1:10" x14ac:dyDescent="0.4">
      <c r="A4" s="8">
        <v>102</v>
      </c>
      <c r="B4" s="2" t="s">
        <v>87</v>
      </c>
      <c r="C4" s="21">
        <v>3324</v>
      </c>
      <c r="D4" s="21">
        <v>3261</v>
      </c>
      <c r="E4" s="21">
        <f t="shared" si="0"/>
        <v>2374008</v>
      </c>
      <c r="F4" s="27">
        <f t="shared" ref="F4:F9" si="1">ROUNDUP(IF(E4&gt;=2000000,E4*11.4%,E4*12.3% ),0)</f>
        <v>270637</v>
      </c>
      <c r="H4" s="8" t="s">
        <v>247</v>
      </c>
      <c r="I4" s="10">
        <v>728</v>
      </c>
    </row>
    <row r="5" spans="1:10" ht="19.5" thickBot="1" x14ac:dyDescent="0.45">
      <c r="A5" s="8">
        <v>103</v>
      </c>
      <c r="B5" s="2" t="s">
        <v>88</v>
      </c>
      <c r="C5" s="21">
        <v>2296</v>
      </c>
      <c r="D5" s="21">
        <v>2225</v>
      </c>
      <c r="E5" s="21">
        <f t="shared" si="0"/>
        <v>1619800</v>
      </c>
      <c r="F5" s="27">
        <f t="shared" si="1"/>
        <v>199236</v>
      </c>
      <c r="H5" s="11" t="s">
        <v>249</v>
      </c>
      <c r="I5" s="14">
        <v>816</v>
      </c>
    </row>
    <row r="6" spans="1:10" x14ac:dyDescent="0.4">
      <c r="A6" s="8">
        <v>104</v>
      </c>
      <c r="B6" s="2" t="s">
        <v>89</v>
      </c>
      <c r="C6" s="21">
        <v>2676</v>
      </c>
      <c r="D6" s="21">
        <v>2609</v>
      </c>
      <c r="E6" s="21">
        <f t="shared" si="0"/>
        <v>1899352</v>
      </c>
      <c r="F6" s="27">
        <f t="shared" si="1"/>
        <v>233621</v>
      </c>
    </row>
    <row r="7" spans="1:10" x14ac:dyDescent="0.4">
      <c r="A7" s="8">
        <v>105</v>
      </c>
      <c r="B7" s="2" t="s">
        <v>90</v>
      </c>
      <c r="C7" s="21">
        <v>2808</v>
      </c>
      <c r="D7" s="21">
        <v>2716</v>
      </c>
      <c r="E7" s="21">
        <f t="shared" si="0"/>
        <v>1977248</v>
      </c>
      <c r="F7" s="27">
        <f t="shared" si="1"/>
        <v>243202</v>
      </c>
      <c r="H7" s="37"/>
      <c r="I7" s="37"/>
      <c r="J7" s="36"/>
    </row>
    <row r="8" spans="1:10" x14ac:dyDescent="0.4">
      <c r="A8" s="8">
        <v>106</v>
      </c>
      <c r="B8" s="2" t="s">
        <v>91</v>
      </c>
      <c r="C8" s="21">
        <v>3319</v>
      </c>
      <c r="D8" s="21">
        <v>3260</v>
      </c>
      <c r="E8" s="21">
        <f t="shared" si="0"/>
        <v>2373280</v>
      </c>
      <c r="F8" s="27">
        <f t="shared" si="1"/>
        <v>270554</v>
      </c>
      <c r="H8" s="36"/>
      <c r="I8" s="36"/>
      <c r="J8" s="36"/>
    </row>
    <row r="9" spans="1:10" x14ac:dyDescent="0.4">
      <c r="A9" s="8">
        <v>107</v>
      </c>
      <c r="B9" s="2" t="s">
        <v>92</v>
      </c>
      <c r="C9" s="21">
        <v>2740</v>
      </c>
      <c r="D9" s="21">
        <v>2643</v>
      </c>
      <c r="E9" s="21">
        <f t="shared" si="0"/>
        <v>1924104</v>
      </c>
      <c r="F9" s="27">
        <f t="shared" si="1"/>
        <v>236665</v>
      </c>
      <c r="H9" s="36"/>
      <c r="I9" s="36"/>
      <c r="J9" s="36"/>
    </row>
    <row r="10" spans="1:10" x14ac:dyDescent="0.4">
      <c r="A10" s="8"/>
      <c r="B10" s="2"/>
      <c r="C10" s="21"/>
      <c r="D10" s="21"/>
      <c r="E10" s="2"/>
      <c r="F10" s="10"/>
      <c r="H10" s="36"/>
      <c r="I10" s="36"/>
      <c r="J10" s="36"/>
    </row>
    <row r="11" spans="1:10" ht="19.5" thickBot="1" x14ac:dyDescent="0.45">
      <c r="A11" s="11"/>
      <c r="B11" s="12" t="s">
        <v>13</v>
      </c>
      <c r="C11" s="28">
        <f>SUM(C3:C9)</f>
        <v>20275</v>
      </c>
      <c r="D11" s="28">
        <f t="shared" ref="D11:F11" si="2">SUM(D3:D9)</f>
        <v>19746</v>
      </c>
      <c r="E11" s="28">
        <f t="shared" si="2"/>
        <v>14375088</v>
      </c>
      <c r="F11" s="29">
        <f t="shared" si="2"/>
        <v>1705547</v>
      </c>
    </row>
    <row r="13" spans="1:10" ht="19.5" thickBot="1" x14ac:dyDescent="0.45">
      <c r="A13" s="54" t="s">
        <v>243</v>
      </c>
      <c r="B13" s="54"/>
      <c r="C13" s="54"/>
      <c r="D13" s="54"/>
      <c r="E13" s="54"/>
      <c r="F13" s="54"/>
    </row>
    <row r="14" spans="1:10" x14ac:dyDescent="0.4">
      <c r="A14" s="22" t="s">
        <v>36</v>
      </c>
      <c r="B14" s="23" t="s">
        <v>82</v>
      </c>
      <c r="C14" s="23" t="s">
        <v>83</v>
      </c>
      <c r="D14" s="23" t="s">
        <v>38</v>
      </c>
      <c r="E14" s="23" t="s">
        <v>84</v>
      </c>
      <c r="F14" s="24" t="s">
        <v>85</v>
      </c>
    </row>
    <row r="15" spans="1:10" x14ac:dyDescent="0.4">
      <c r="A15" s="8">
        <v>101</v>
      </c>
      <c r="B15" s="2" t="s">
        <v>86</v>
      </c>
      <c r="C15" s="21">
        <v>2771</v>
      </c>
      <c r="D15" s="21">
        <v>2683</v>
      </c>
      <c r="E15" s="21">
        <f>$I$5*D15</f>
        <v>2189328</v>
      </c>
      <c r="F15" s="27">
        <f>ROUNDUP(IF(E15&gt;=2000000,E15*11.4%,E15*12.3% ),0)</f>
        <v>249584</v>
      </c>
    </row>
    <row r="16" spans="1:10" x14ac:dyDescent="0.4">
      <c r="A16" s="8">
        <v>102</v>
      </c>
      <c r="B16" s="2" t="s">
        <v>87</v>
      </c>
      <c r="C16" s="21">
        <v>2937</v>
      </c>
      <c r="D16" s="21">
        <v>2873</v>
      </c>
      <c r="E16" s="21">
        <f t="shared" ref="E16:E21" si="3">$I$5*D16</f>
        <v>2344368</v>
      </c>
      <c r="F16" s="27">
        <f t="shared" ref="F16:F21" si="4">ROUNDUP(IF(E16&gt;=2000000,E16*11.4%,E16*12.3% ),0)</f>
        <v>267258</v>
      </c>
    </row>
    <row r="17" spans="1:8" x14ac:dyDescent="0.4">
      <c r="A17" s="8">
        <v>103</v>
      </c>
      <c r="B17" s="2" t="s">
        <v>88</v>
      </c>
      <c r="C17" s="21">
        <v>2657</v>
      </c>
      <c r="D17" s="21">
        <v>2596</v>
      </c>
      <c r="E17" s="21">
        <f t="shared" si="3"/>
        <v>2118336</v>
      </c>
      <c r="F17" s="27">
        <f t="shared" si="4"/>
        <v>241491</v>
      </c>
    </row>
    <row r="18" spans="1:8" x14ac:dyDescent="0.4">
      <c r="A18" s="8">
        <v>104</v>
      </c>
      <c r="B18" s="2" t="s">
        <v>89</v>
      </c>
      <c r="C18" s="21">
        <v>2223</v>
      </c>
      <c r="D18" s="21">
        <v>2150</v>
      </c>
      <c r="E18" s="21">
        <f t="shared" si="3"/>
        <v>1754400</v>
      </c>
      <c r="F18" s="27">
        <f t="shared" si="4"/>
        <v>215792</v>
      </c>
    </row>
    <row r="19" spans="1:8" x14ac:dyDescent="0.4">
      <c r="A19" s="8">
        <v>105</v>
      </c>
      <c r="B19" s="2" t="s">
        <v>90</v>
      </c>
      <c r="C19" s="21">
        <v>3304</v>
      </c>
      <c r="D19" s="21">
        <v>3214</v>
      </c>
      <c r="E19" s="21">
        <f t="shared" si="3"/>
        <v>2622624</v>
      </c>
      <c r="F19" s="27">
        <f t="shared" si="4"/>
        <v>298980</v>
      </c>
    </row>
    <row r="20" spans="1:8" x14ac:dyDescent="0.4">
      <c r="A20" s="8">
        <v>106</v>
      </c>
      <c r="B20" s="2" t="s">
        <v>91</v>
      </c>
      <c r="C20" s="21">
        <v>2139</v>
      </c>
      <c r="D20" s="21">
        <v>2078</v>
      </c>
      <c r="E20" s="21">
        <f t="shared" si="3"/>
        <v>1695648</v>
      </c>
      <c r="F20" s="27">
        <f t="shared" si="4"/>
        <v>208565</v>
      </c>
    </row>
    <row r="21" spans="1:8" x14ac:dyDescent="0.4">
      <c r="A21" s="8">
        <v>107</v>
      </c>
      <c r="B21" s="2" t="s">
        <v>92</v>
      </c>
      <c r="C21" s="21">
        <v>2455</v>
      </c>
      <c r="D21" s="21">
        <v>2375</v>
      </c>
      <c r="E21" s="21">
        <f t="shared" si="3"/>
        <v>1938000</v>
      </c>
      <c r="F21" s="27">
        <f t="shared" si="4"/>
        <v>238374</v>
      </c>
    </row>
    <row r="22" spans="1:8" x14ac:dyDescent="0.4">
      <c r="A22" s="8"/>
      <c r="B22" s="2"/>
      <c r="C22" s="21"/>
      <c r="D22" s="21"/>
      <c r="E22" s="2"/>
      <c r="F22" s="10"/>
    </row>
    <row r="23" spans="1:8" ht="19.5" thickBot="1" x14ac:dyDescent="0.45">
      <c r="A23" s="11"/>
      <c r="B23" s="12" t="s">
        <v>13</v>
      </c>
      <c r="C23" s="28">
        <f>SUM(C15:C21)</f>
        <v>18486</v>
      </c>
      <c r="D23" s="28">
        <f t="shared" ref="D23:F23" si="5">SUM(D15:D21)</f>
        <v>17969</v>
      </c>
      <c r="E23" s="28">
        <f t="shared" si="5"/>
        <v>14662704</v>
      </c>
      <c r="F23" s="29">
        <f t="shared" si="5"/>
        <v>1720044</v>
      </c>
    </row>
    <row r="25" spans="1:8" ht="19.5" thickBot="1" x14ac:dyDescent="0.45">
      <c r="A25" s="54" t="s">
        <v>250</v>
      </c>
      <c r="B25" s="54"/>
      <c r="C25" s="54"/>
      <c r="D25" s="54"/>
      <c r="E25" s="54"/>
      <c r="F25" s="54"/>
      <c r="G25" s="54"/>
      <c r="H25" s="54"/>
    </row>
    <row r="26" spans="1:8" x14ac:dyDescent="0.4">
      <c r="A26" s="22" t="s">
        <v>36</v>
      </c>
      <c r="B26" s="23" t="s">
        <v>82</v>
      </c>
      <c r="C26" s="23" t="s">
        <v>246</v>
      </c>
      <c r="D26" s="23" t="s">
        <v>248</v>
      </c>
      <c r="E26" s="23" t="s">
        <v>251</v>
      </c>
      <c r="F26" s="23" t="s">
        <v>252</v>
      </c>
      <c r="G26" s="23" t="s">
        <v>253</v>
      </c>
      <c r="H26" s="24" t="s">
        <v>254</v>
      </c>
    </row>
    <row r="27" spans="1:8" x14ac:dyDescent="0.4">
      <c r="A27" s="8">
        <v>102</v>
      </c>
      <c r="B27" s="2" t="s">
        <v>87</v>
      </c>
      <c r="C27" s="21">
        <f>VLOOKUP(A27,$A$3:$F$9,6,0)</f>
        <v>270637</v>
      </c>
      <c r="D27" s="21">
        <f>VLOOKUP(A27,$A$15:$F$21,6,0)</f>
        <v>267258</v>
      </c>
      <c r="E27" s="21">
        <f>INT((C27+D27)*5.7%)</f>
        <v>30660</v>
      </c>
      <c r="F27" s="31">
        <f>C27+D27+E27</f>
        <v>568555</v>
      </c>
      <c r="G27" s="4">
        <f>F27/$F$35</f>
        <v>0.15702265243463753</v>
      </c>
      <c r="H27" s="10" t="str">
        <f>IF(AND(C27&gt;=$C$36,D27&gt;=$D$36),"###",IF(OR(C27&gt;=$C$36,D27&gt;=$D$36),"##", "#"))</f>
        <v>###</v>
      </c>
    </row>
    <row r="28" spans="1:8" x14ac:dyDescent="0.4">
      <c r="A28" s="8">
        <v>106</v>
      </c>
      <c r="B28" s="2" t="s">
        <v>91</v>
      </c>
      <c r="C28" s="21">
        <f>VLOOKUP(A28,$A$3:$F$9,6,0)</f>
        <v>270554</v>
      </c>
      <c r="D28" s="21">
        <f>VLOOKUP(A28,$A$15:$F$21,6,0)</f>
        <v>208565</v>
      </c>
      <c r="E28" s="21">
        <f>INT((C28+D28)*5.7%)</f>
        <v>27309</v>
      </c>
      <c r="F28" s="31">
        <f>C28+D28+E28</f>
        <v>506428</v>
      </c>
      <c r="G28" s="4">
        <f>F28/$F$35</f>
        <v>0.13986451236409603</v>
      </c>
      <c r="H28" s="10" t="str">
        <f>IF(AND(C28&gt;=$C$36,D28&gt;=$D$36),"###",IF(OR(C28&gt;=$C$36,D28&gt;=$D$36),"##", "#"))</f>
        <v>##</v>
      </c>
    </row>
    <row r="29" spans="1:8" x14ac:dyDescent="0.4">
      <c r="A29" s="8">
        <v>101</v>
      </c>
      <c r="B29" s="2" t="s">
        <v>86</v>
      </c>
      <c r="C29" s="21">
        <f>VLOOKUP(A29,$A$3:$F$9,6,0)</f>
        <v>251632</v>
      </c>
      <c r="D29" s="21">
        <f>VLOOKUP(A29,$A$15:$F$21,6,0)</f>
        <v>249584</v>
      </c>
      <c r="E29" s="21">
        <f>INT((C29+D29)*5.7%)</f>
        <v>28569</v>
      </c>
      <c r="F29" s="31">
        <f>C29+D29+E29</f>
        <v>529785</v>
      </c>
      <c r="G29" s="4">
        <f>F29/$F$35</f>
        <v>0.14631521298745845</v>
      </c>
      <c r="H29" s="10" t="str">
        <f>IF(AND(C29&gt;=$C$36,D29&gt;=$D$36),"###",IF(OR(C29&gt;=$C$36,D29&gt;=$D$36),"##", "#"))</f>
        <v>###</v>
      </c>
    </row>
    <row r="30" spans="1:8" x14ac:dyDescent="0.4">
      <c r="A30" s="8">
        <v>105</v>
      </c>
      <c r="B30" s="2" t="s">
        <v>90</v>
      </c>
      <c r="C30" s="21">
        <f>VLOOKUP(A30,$A$3:$F$9,6,0)</f>
        <v>243202</v>
      </c>
      <c r="D30" s="21">
        <f>VLOOKUP(A30,$A$15:$F$21,6,0)</f>
        <v>298980</v>
      </c>
      <c r="E30" s="21">
        <f>INT((C30+D30)*5.7%)</f>
        <v>30904</v>
      </c>
      <c r="F30" s="31">
        <f>C30+D30+E30</f>
        <v>573086</v>
      </c>
      <c r="G30" s="4">
        <f>F30/$F$35</f>
        <v>0.15827401710152347</v>
      </c>
      <c r="H30" s="10" t="str">
        <f>IF(AND(C30&gt;=$C$36,D30&gt;=$D$36),"###",IF(OR(C30&gt;=$C$36,D30&gt;=$D$36),"##", "#"))</f>
        <v>##</v>
      </c>
    </row>
    <row r="31" spans="1:8" x14ac:dyDescent="0.4">
      <c r="A31" s="8">
        <v>107</v>
      </c>
      <c r="B31" s="2" t="s">
        <v>92</v>
      </c>
      <c r="C31" s="21">
        <f>VLOOKUP(A31,$A$3:$F$9,6,0)</f>
        <v>236665</v>
      </c>
      <c r="D31" s="21">
        <f>VLOOKUP(A31,$A$15:$F$21,6,0)</f>
        <v>238374</v>
      </c>
      <c r="E31" s="21">
        <f>INT((C31+D31)*5.7%)</f>
        <v>27077</v>
      </c>
      <c r="F31" s="31">
        <f>C31+D31+E31</f>
        <v>502116</v>
      </c>
      <c r="G31" s="4">
        <f>F31/$F$35</f>
        <v>0.13867363078307368</v>
      </c>
      <c r="H31" s="10" t="str">
        <f>IF(AND(C31&gt;=$C$36,D31&gt;=$D$36),"###",IF(OR(C31&gt;=$C$36,D31&gt;=$D$36),"##", "#"))</f>
        <v>#</v>
      </c>
    </row>
    <row r="32" spans="1:8" x14ac:dyDescent="0.4">
      <c r="A32" s="8">
        <v>104</v>
      </c>
      <c r="B32" s="2" t="s">
        <v>89</v>
      </c>
      <c r="C32" s="21">
        <f>VLOOKUP(A32,$A$3:$F$9,6,0)</f>
        <v>233621</v>
      </c>
      <c r="D32" s="21">
        <f>VLOOKUP(A32,$A$15:$F$21,6,0)</f>
        <v>215792</v>
      </c>
      <c r="E32" s="21">
        <f>INT((C32+D32)*5.7%)</f>
        <v>25616</v>
      </c>
      <c r="F32" s="31">
        <f>C32+D32+E32</f>
        <v>475029</v>
      </c>
      <c r="G32" s="4">
        <f>F32/$F$35</f>
        <v>0.13119278445071</v>
      </c>
      <c r="H32" s="10" t="str">
        <f>IF(AND(C32&gt;=$C$36,D32&gt;=$D$36),"###",IF(OR(C32&gt;=$C$36,D32&gt;=$D$36),"##", "#"))</f>
        <v>#</v>
      </c>
    </row>
    <row r="33" spans="1:8" x14ac:dyDescent="0.4">
      <c r="A33" s="8">
        <v>103</v>
      </c>
      <c r="B33" s="2" t="s">
        <v>88</v>
      </c>
      <c r="C33" s="21">
        <f>VLOOKUP(A33,$A$3:$F$9,6,0)</f>
        <v>199236</v>
      </c>
      <c r="D33" s="21">
        <f>VLOOKUP(A33,$A$15:$F$21,6,0)</f>
        <v>241491</v>
      </c>
      <c r="E33" s="21">
        <f>INT((C33+D33)*5.7%)</f>
        <v>25121</v>
      </c>
      <c r="F33" s="31">
        <f>C33+D33+E33</f>
        <v>465848</v>
      </c>
      <c r="G33" s="4">
        <f>F33/$F$35</f>
        <v>0.12865718987850081</v>
      </c>
      <c r="H33" s="10" t="str">
        <f>IF(AND(C33&gt;=$C$36,D33&gt;=$D$36),"###",IF(OR(C33&gt;=$C$36,D33&gt;=$D$36),"##", "#"))</f>
        <v>#</v>
      </c>
    </row>
    <row r="34" spans="1:8" x14ac:dyDescent="0.4">
      <c r="A34" s="8"/>
      <c r="B34" s="2"/>
      <c r="C34" s="2"/>
      <c r="D34" s="2"/>
      <c r="E34" s="2"/>
      <c r="F34" s="2"/>
      <c r="G34" s="2"/>
      <c r="H34" s="10"/>
    </row>
    <row r="35" spans="1:8" x14ac:dyDescent="0.4">
      <c r="A35" s="8"/>
      <c r="B35" s="15" t="s">
        <v>242</v>
      </c>
      <c r="C35" s="31">
        <f>SUM(C27:C33)</f>
        <v>1705547</v>
      </c>
      <c r="D35" s="31">
        <f t="shared" ref="D35:F35" si="6">SUM(D27:D33)</f>
        <v>1720044</v>
      </c>
      <c r="E35" s="31">
        <f t="shared" si="6"/>
        <v>195256</v>
      </c>
      <c r="F35" s="31">
        <f t="shared" si="6"/>
        <v>3620847</v>
      </c>
      <c r="G35" s="2"/>
      <c r="H35" s="10"/>
    </row>
    <row r="36" spans="1:8" ht="19.5" thickBot="1" x14ac:dyDescent="0.45">
      <c r="A36" s="11"/>
      <c r="B36" s="12" t="s">
        <v>255</v>
      </c>
      <c r="C36" s="32">
        <f>AVERAGE(C27:C33)</f>
        <v>243649.57142857142</v>
      </c>
      <c r="D36" s="32">
        <f t="shared" ref="D36:F36" si="7">AVERAGE(D27:D33)</f>
        <v>245720.57142857142</v>
      </c>
      <c r="E36" s="32">
        <f t="shared" si="7"/>
        <v>27893.714285714286</v>
      </c>
      <c r="F36" s="32">
        <f t="shared" si="7"/>
        <v>517263.85714285716</v>
      </c>
      <c r="G36" s="16"/>
      <c r="H36" s="14"/>
    </row>
  </sheetData>
  <sortState ref="A27:H33">
    <sortCondition descending="1" ref="C26"/>
  </sortState>
  <mergeCells count="4">
    <mergeCell ref="H2:I2"/>
    <mergeCell ref="A1:F1"/>
    <mergeCell ref="A13:F13"/>
    <mergeCell ref="A25:H2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9ECE-1961-4AA3-8EA2-6D160CA93FE3}">
  <sheetPr>
    <tabColor theme="7" tint="0.59999389629810485"/>
  </sheetPr>
  <dimension ref="A1:J35"/>
  <sheetViews>
    <sheetView topLeftCell="A10" workbookViewId="0">
      <selection activeCell="N31" sqref="N31"/>
    </sheetView>
  </sheetViews>
  <sheetFormatPr defaultRowHeight="18.75" x14ac:dyDescent="0.4"/>
  <cols>
    <col min="1" max="1" width="4.125" bestFit="1" customWidth="1"/>
    <col min="3" max="3" width="9.5" bestFit="1" customWidth="1"/>
    <col min="4" max="4" width="13" bestFit="1" customWidth="1"/>
    <col min="5" max="5" width="9.5" bestFit="1" customWidth="1"/>
    <col min="7" max="7" width="9.5" bestFit="1" customWidth="1"/>
    <col min="9" max="9" width="5.25" bestFit="1" customWidth="1"/>
    <col min="10" max="10" width="13" bestFit="1" customWidth="1"/>
  </cols>
  <sheetData>
    <row r="1" spans="1:10" ht="19.5" thickBot="1" x14ac:dyDescent="0.45">
      <c r="A1" s="54" t="s">
        <v>93</v>
      </c>
      <c r="B1" s="54"/>
      <c r="C1" s="54"/>
      <c r="D1" s="54"/>
      <c r="E1" s="54"/>
      <c r="F1" s="54"/>
      <c r="G1" s="54"/>
    </row>
    <row r="2" spans="1:10" ht="19.5" thickBot="1" x14ac:dyDescent="0.45">
      <c r="A2" s="22" t="s">
        <v>36</v>
      </c>
      <c r="B2" s="23" t="s">
        <v>94</v>
      </c>
      <c r="C2" s="23" t="s">
        <v>20</v>
      </c>
      <c r="D2" s="23" t="s">
        <v>95</v>
      </c>
      <c r="E2" s="23" t="s">
        <v>96</v>
      </c>
      <c r="F2" s="23" t="s">
        <v>97</v>
      </c>
      <c r="G2" s="24" t="s">
        <v>98</v>
      </c>
    </row>
    <row r="3" spans="1:10" x14ac:dyDescent="0.4">
      <c r="A3" s="8">
        <v>11</v>
      </c>
      <c r="B3" s="2" t="s">
        <v>99</v>
      </c>
      <c r="C3" s="21">
        <v>412</v>
      </c>
      <c r="D3" s="21">
        <v>6014</v>
      </c>
      <c r="E3" s="35">
        <f>D3*1000/C3/$J$4</f>
        <v>1.1280593028315902</v>
      </c>
      <c r="F3" s="2">
        <f>ROUND(D3/$D$11*100,0)</f>
        <v>16</v>
      </c>
      <c r="G3" s="27">
        <f>$J$9*F3/100</f>
        <v>384000</v>
      </c>
      <c r="I3" s="19"/>
      <c r="J3" s="20" t="s">
        <v>256</v>
      </c>
    </row>
    <row r="4" spans="1:10" x14ac:dyDescent="0.4">
      <c r="A4" s="8">
        <v>12</v>
      </c>
      <c r="B4" s="2" t="s">
        <v>100</v>
      </c>
      <c r="C4" s="21">
        <v>335</v>
      </c>
      <c r="D4" s="21">
        <v>4408</v>
      </c>
      <c r="E4" s="35">
        <f t="shared" ref="E4:E9" si="0">D4*1000/C4/$J$4</f>
        <v>1.0168631340976724</v>
      </c>
      <c r="F4" s="2">
        <f t="shared" ref="F4:F9" si="1">ROUND(D4/$D$11*100,0)</f>
        <v>11</v>
      </c>
      <c r="G4" s="27">
        <f t="shared" ref="G4:G9" si="2">$J$9*F4/100</f>
        <v>264000</v>
      </c>
      <c r="I4" s="8" t="s">
        <v>257</v>
      </c>
      <c r="J4" s="27">
        <v>12940</v>
      </c>
    </row>
    <row r="5" spans="1:10" ht="19.5" thickBot="1" x14ac:dyDescent="0.45">
      <c r="A5" s="8">
        <v>13</v>
      </c>
      <c r="B5" s="2" t="s">
        <v>101</v>
      </c>
      <c r="C5" s="21">
        <v>424</v>
      </c>
      <c r="D5" s="21">
        <v>5266</v>
      </c>
      <c r="E5" s="35">
        <f t="shared" si="0"/>
        <v>0.9597999475080925</v>
      </c>
      <c r="F5" s="2">
        <f t="shared" si="1"/>
        <v>14</v>
      </c>
      <c r="G5" s="27">
        <f t="shared" si="2"/>
        <v>336000</v>
      </c>
      <c r="I5" s="11" t="s">
        <v>258</v>
      </c>
      <c r="J5" s="29">
        <v>13667</v>
      </c>
    </row>
    <row r="6" spans="1:10" x14ac:dyDescent="0.4">
      <c r="A6" s="8">
        <v>14</v>
      </c>
      <c r="B6" s="2" t="s">
        <v>102</v>
      </c>
      <c r="C6" s="21">
        <v>336</v>
      </c>
      <c r="D6" s="21">
        <v>4032</v>
      </c>
      <c r="E6" s="35">
        <f t="shared" si="0"/>
        <v>0.92735703245749612</v>
      </c>
      <c r="F6" s="2">
        <f t="shared" si="1"/>
        <v>10</v>
      </c>
      <c r="G6" s="27">
        <f t="shared" si="2"/>
        <v>240000</v>
      </c>
    </row>
    <row r="7" spans="1:10" ht="19.5" thickBot="1" x14ac:dyDescent="0.45">
      <c r="A7" s="8">
        <v>15</v>
      </c>
      <c r="B7" s="2" t="s">
        <v>103</v>
      </c>
      <c r="C7" s="21">
        <v>440</v>
      </c>
      <c r="D7" s="21">
        <v>6105</v>
      </c>
      <c r="E7" s="35">
        <f t="shared" si="0"/>
        <v>1.07225656877898</v>
      </c>
      <c r="F7" s="2">
        <f t="shared" si="1"/>
        <v>16</v>
      </c>
      <c r="G7" s="27">
        <f t="shared" si="2"/>
        <v>384000</v>
      </c>
    </row>
    <row r="8" spans="1:10" x14ac:dyDescent="0.4">
      <c r="A8" s="8">
        <v>16</v>
      </c>
      <c r="B8" s="2" t="s">
        <v>104</v>
      </c>
      <c r="C8" s="21">
        <v>449</v>
      </c>
      <c r="D8" s="21">
        <v>5697</v>
      </c>
      <c r="E8" s="35">
        <f t="shared" si="0"/>
        <v>0.98054064846146161</v>
      </c>
      <c r="F8" s="2">
        <f t="shared" si="1"/>
        <v>15</v>
      </c>
      <c r="G8" s="27">
        <f t="shared" si="2"/>
        <v>360000</v>
      </c>
      <c r="I8" s="19"/>
      <c r="J8" s="20" t="s">
        <v>259</v>
      </c>
    </row>
    <row r="9" spans="1:10" x14ac:dyDescent="0.4">
      <c r="A9" s="8">
        <v>17</v>
      </c>
      <c r="B9" s="2" t="s">
        <v>105</v>
      </c>
      <c r="C9" s="21">
        <v>598</v>
      </c>
      <c r="D9" s="21">
        <v>7080</v>
      </c>
      <c r="E9" s="35">
        <f t="shared" si="0"/>
        <v>0.91495091831090758</v>
      </c>
      <c r="F9" s="2">
        <f t="shared" si="1"/>
        <v>18</v>
      </c>
      <c r="G9" s="27">
        <f t="shared" si="2"/>
        <v>432000</v>
      </c>
      <c r="I9" s="8" t="s">
        <v>257</v>
      </c>
      <c r="J9" s="27">
        <v>2400000</v>
      </c>
    </row>
    <row r="10" spans="1:10" ht="19.5" thickBot="1" x14ac:dyDescent="0.45">
      <c r="A10" s="8"/>
      <c r="B10" s="2"/>
      <c r="C10" s="21"/>
      <c r="D10" s="21"/>
      <c r="E10" s="2"/>
      <c r="F10" s="2"/>
      <c r="G10" s="10"/>
      <c r="I10" s="11" t="s">
        <v>258</v>
      </c>
      <c r="J10" s="29">
        <v>2800000</v>
      </c>
    </row>
    <row r="11" spans="1:10" ht="19.5" thickBot="1" x14ac:dyDescent="0.45">
      <c r="A11" s="11"/>
      <c r="B11" s="12" t="s">
        <v>13</v>
      </c>
      <c r="C11" s="28">
        <f>SUM(C3:C9)</f>
        <v>2994</v>
      </c>
      <c r="D11" s="28">
        <f>SUM(D3:D9)</f>
        <v>38602</v>
      </c>
      <c r="E11" s="28"/>
      <c r="F11" s="28"/>
      <c r="G11" s="29">
        <f t="shared" ref="G11" si="3">SUM(G3:G9)</f>
        <v>2400000</v>
      </c>
    </row>
    <row r="13" spans="1:10" ht="19.5" thickBot="1" x14ac:dyDescent="0.45">
      <c r="A13" s="54" t="s">
        <v>260</v>
      </c>
      <c r="B13" s="54"/>
      <c r="C13" s="54"/>
      <c r="D13" s="54"/>
      <c r="E13" s="54"/>
      <c r="F13" s="54"/>
      <c r="G13" s="54"/>
    </row>
    <row r="14" spans="1:10" x14ac:dyDescent="0.4">
      <c r="A14" s="22" t="s">
        <v>36</v>
      </c>
      <c r="B14" s="23" t="s">
        <v>94</v>
      </c>
      <c r="C14" s="23" t="s">
        <v>20</v>
      </c>
      <c r="D14" s="23" t="s">
        <v>95</v>
      </c>
      <c r="E14" s="23" t="s">
        <v>96</v>
      </c>
      <c r="F14" s="23" t="s">
        <v>97</v>
      </c>
      <c r="G14" s="24" t="s">
        <v>98</v>
      </c>
    </row>
    <row r="15" spans="1:10" x14ac:dyDescent="0.4">
      <c r="A15" s="8">
        <v>11</v>
      </c>
      <c r="B15" s="2" t="s">
        <v>99</v>
      </c>
      <c r="C15" s="21">
        <v>455</v>
      </c>
      <c r="D15" s="21">
        <v>6403</v>
      </c>
      <c r="E15" s="35">
        <f>D15*1000/C15/$J$5</f>
        <v>1.0296720181844934</v>
      </c>
      <c r="F15" s="2">
        <f>ROUND(D15/$D$23*100,0)</f>
        <v>16</v>
      </c>
      <c r="G15" s="27">
        <f>$J$10*F15/100</f>
        <v>448000</v>
      </c>
    </row>
    <row r="16" spans="1:10" x14ac:dyDescent="0.4">
      <c r="A16" s="8">
        <v>12</v>
      </c>
      <c r="B16" s="2" t="s">
        <v>100</v>
      </c>
      <c r="C16" s="21">
        <v>362</v>
      </c>
      <c r="D16" s="21">
        <v>5295</v>
      </c>
      <c r="E16" s="35">
        <f t="shared" ref="E16:E21" si="4">D16*1000/C16/$J$5</f>
        <v>1.0702474444431418</v>
      </c>
      <c r="F16" s="2">
        <f t="shared" ref="F16:F21" si="5">ROUND(D16/$D$23*100,0)</f>
        <v>13</v>
      </c>
      <c r="G16" s="27">
        <f t="shared" ref="G16:G21" si="6">$J$10*F16/100</f>
        <v>364000</v>
      </c>
    </row>
    <row r="17" spans="1:7" x14ac:dyDescent="0.4">
      <c r="A17" s="8">
        <v>13</v>
      </c>
      <c r="B17" s="2" t="s">
        <v>101</v>
      </c>
      <c r="C17" s="21">
        <v>443</v>
      </c>
      <c r="D17" s="21">
        <v>5931</v>
      </c>
      <c r="E17" s="35">
        <f t="shared" si="4"/>
        <v>0.97960502312254338</v>
      </c>
      <c r="F17" s="2">
        <f t="shared" si="5"/>
        <v>15</v>
      </c>
      <c r="G17" s="27">
        <f t="shared" si="6"/>
        <v>420000</v>
      </c>
    </row>
    <row r="18" spans="1:7" x14ac:dyDescent="0.4">
      <c r="A18" s="8">
        <v>14</v>
      </c>
      <c r="B18" s="2" t="s">
        <v>102</v>
      </c>
      <c r="C18" s="21">
        <v>321</v>
      </c>
      <c r="D18" s="21">
        <v>4529</v>
      </c>
      <c r="E18" s="35">
        <f t="shared" si="4"/>
        <v>1.0323431819647892</v>
      </c>
      <c r="F18" s="2">
        <f t="shared" si="5"/>
        <v>11</v>
      </c>
      <c r="G18" s="27">
        <f t="shared" si="6"/>
        <v>308000</v>
      </c>
    </row>
    <row r="19" spans="1:7" x14ac:dyDescent="0.4">
      <c r="A19" s="8">
        <v>15</v>
      </c>
      <c r="B19" s="2" t="s">
        <v>103</v>
      </c>
      <c r="C19" s="21">
        <v>387</v>
      </c>
      <c r="D19" s="21">
        <v>4967</v>
      </c>
      <c r="E19" s="35">
        <f t="shared" si="4"/>
        <v>0.93909602129197445</v>
      </c>
      <c r="F19" s="2">
        <f t="shared" si="5"/>
        <v>12</v>
      </c>
      <c r="G19" s="27">
        <f t="shared" si="6"/>
        <v>336000</v>
      </c>
    </row>
    <row r="20" spans="1:7" x14ac:dyDescent="0.4">
      <c r="A20" s="8">
        <v>16</v>
      </c>
      <c r="B20" s="2" t="s">
        <v>104</v>
      </c>
      <c r="C20" s="21">
        <v>464</v>
      </c>
      <c r="D20" s="21">
        <v>6012</v>
      </c>
      <c r="E20" s="35">
        <f t="shared" si="4"/>
        <v>0.94804247835839162</v>
      </c>
      <c r="F20" s="2">
        <f t="shared" si="5"/>
        <v>15</v>
      </c>
      <c r="G20" s="27">
        <f t="shared" si="6"/>
        <v>420000</v>
      </c>
    </row>
    <row r="21" spans="1:7" x14ac:dyDescent="0.4">
      <c r="A21" s="8">
        <v>17</v>
      </c>
      <c r="B21" s="2" t="s">
        <v>105</v>
      </c>
      <c r="C21" s="21">
        <v>538</v>
      </c>
      <c r="D21" s="21">
        <v>7359</v>
      </c>
      <c r="E21" s="35">
        <f t="shared" si="4"/>
        <v>1.0008369548335434</v>
      </c>
      <c r="F21" s="2">
        <f t="shared" si="5"/>
        <v>18</v>
      </c>
      <c r="G21" s="27">
        <f t="shared" si="6"/>
        <v>504000</v>
      </c>
    </row>
    <row r="22" spans="1:7" x14ac:dyDescent="0.4">
      <c r="A22" s="8"/>
      <c r="B22" s="2"/>
      <c r="C22" s="21"/>
      <c r="D22" s="21"/>
      <c r="E22" s="2"/>
      <c r="F22" s="2"/>
      <c r="G22" s="10"/>
    </row>
    <row r="23" spans="1:7" ht="19.5" thickBot="1" x14ac:dyDescent="0.45">
      <c r="A23" s="11"/>
      <c r="B23" s="12" t="s">
        <v>13</v>
      </c>
      <c r="C23" s="28">
        <f>SUM(C15:C21)</f>
        <v>2970</v>
      </c>
      <c r="D23" s="28">
        <f>SUM(D15:D21)</f>
        <v>40496</v>
      </c>
      <c r="E23" s="28"/>
      <c r="F23" s="28"/>
      <c r="G23" s="29">
        <f t="shared" ref="G23" si="7">SUM(G15:G21)</f>
        <v>2800000</v>
      </c>
    </row>
    <row r="25" spans="1:7" ht="19.5" thickBot="1" x14ac:dyDescent="0.45">
      <c r="A25" s="54" t="s">
        <v>287</v>
      </c>
      <c r="B25" s="54"/>
      <c r="C25" s="54"/>
      <c r="D25" s="54"/>
      <c r="E25" s="54"/>
      <c r="F25" s="54"/>
      <c r="G25" s="54"/>
    </row>
    <row r="26" spans="1:7" x14ac:dyDescent="0.4">
      <c r="A26" s="41" t="s">
        <v>288</v>
      </c>
      <c r="B26" s="42" t="s">
        <v>289</v>
      </c>
      <c r="C26" s="42" t="s">
        <v>290</v>
      </c>
      <c r="D26" s="42" t="s">
        <v>291</v>
      </c>
      <c r="E26" s="42" t="s">
        <v>292</v>
      </c>
      <c r="F26" s="43" t="s">
        <v>293</v>
      </c>
    </row>
    <row r="27" spans="1:7" x14ac:dyDescent="0.4">
      <c r="A27" s="8">
        <v>17</v>
      </c>
      <c r="B27" s="2" t="s">
        <v>105</v>
      </c>
      <c r="C27" s="21">
        <f t="shared" ref="C27:C33" si="8">VLOOKUP(A27,$A$3:$G$9,7,0)</f>
        <v>432000</v>
      </c>
      <c r="D27" s="21">
        <f t="shared" ref="D27:D33" si="9">VLOOKUP(A27,$A$15:$G$21,7,0)</f>
        <v>504000</v>
      </c>
      <c r="E27" s="31">
        <f t="shared" ref="E27:E33" si="10">C27+D27</f>
        <v>936000</v>
      </c>
      <c r="F27" s="10" t="str">
        <f t="shared" ref="F27:F33" si="11">IF(AND(C27&gt;=380000,D27&gt;=420000),"***", IF(OR(C27&gt;=380000,D27&gt;=420000),"**","*"))</f>
        <v>***</v>
      </c>
    </row>
    <row r="28" spans="1:7" x14ac:dyDescent="0.4">
      <c r="A28" s="8">
        <v>11</v>
      </c>
      <c r="B28" s="2" t="s">
        <v>99</v>
      </c>
      <c r="C28" s="21">
        <f t="shared" si="8"/>
        <v>384000</v>
      </c>
      <c r="D28" s="21">
        <f t="shared" si="9"/>
        <v>448000</v>
      </c>
      <c r="E28" s="31">
        <f t="shared" si="10"/>
        <v>832000</v>
      </c>
      <c r="F28" s="10" t="str">
        <f t="shared" si="11"/>
        <v>***</v>
      </c>
    </row>
    <row r="29" spans="1:7" x14ac:dyDescent="0.4">
      <c r="A29" s="8">
        <v>16</v>
      </c>
      <c r="B29" s="2" t="s">
        <v>104</v>
      </c>
      <c r="C29" s="21">
        <f t="shared" si="8"/>
        <v>360000</v>
      </c>
      <c r="D29" s="21">
        <f t="shared" si="9"/>
        <v>420000</v>
      </c>
      <c r="E29" s="31">
        <f t="shared" si="10"/>
        <v>780000</v>
      </c>
      <c r="F29" s="10" t="str">
        <f t="shared" si="11"/>
        <v>**</v>
      </c>
    </row>
    <row r="30" spans="1:7" x14ac:dyDescent="0.4">
      <c r="A30" s="8">
        <v>13</v>
      </c>
      <c r="B30" s="2" t="s">
        <v>101</v>
      </c>
      <c r="C30" s="21">
        <f t="shared" si="8"/>
        <v>336000</v>
      </c>
      <c r="D30" s="21">
        <f t="shared" si="9"/>
        <v>420000</v>
      </c>
      <c r="E30" s="31">
        <f t="shared" si="10"/>
        <v>756000</v>
      </c>
      <c r="F30" s="10" t="str">
        <f t="shared" si="11"/>
        <v>**</v>
      </c>
    </row>
    <row r="31" spans="1:7" x14ac:dyDescent="0.4">
      <c r="A31" s="8">
        <v>15</v>
      </c>
      <c r="B31" s="2" t="s">
        <v>103</v>
      </c>
      <c r="C31" s="21">
        <f t="shared" si="8"/>
        <v>384000</v>
      </c>
      <c r="D31" s="21">
        <f t="shared" si="9"/>
        <v>336000</v>
      </c>
      <c r="E31" s="31">
        <f t="shared" si="10"/>
        <v>720000</v>
      </c>
      <c r="F31" s="10" t="str">
        <f t="shared" si="11"/>
        <v>**</v>
      </c>
    </row>
    <row r="32" spans="1:7" x14ac:dyDescent="0.4">
      <c r="A32" s="8">
        <v>12</v>
      </c>
      <c r="B32" s="2" t="s">
        <v>100</v>
      </c>
      <c r="C32" s="21">
        <f t="shared" si="8"/>
        <v>264000</v>
      </c>
      <c r="D32" s="21">
        <f t="shared" si="9"/>
        <v>364000</v>
      </c>
      <c r="E32" s="31">
        <f t="shared" si="10"/>
        <v>628000</v>
      </c>
      <c r="F32" s="10" t="str">
        <f t="shared" si="11"/>
        <v>*</v>
      </c>
    </row>
    <row r="33" spans="1:6" x14ac:dyDescent="0.4">
      <c r="A33" s="8">
        <v>14</v>
      </c>
      <c r="B33" s="2" t="s">
        <v>102</v>
      </c>
      <c r="C33" s="21">
        <f t="shared" si="8"/>
        <v>240000</v>
      </c>
      <c r="D33" s="21">
        <f t="shared" si="9"/>
        <v>308000</v>
      </c>
      <c r="E33" s="31">
        <f t="shared" si="10"/>
        <v>548000</v>
      </c>
      <c r="F33" s="10" t="str">
        <f t="shared" si="11"/>
        <v>*</v>
      </c>
    </row>
    <row r="34" spans="1:6" x14ac:dyDescent="0.4">
      <c r="A34" s="8"/>
      <c r="B34" s="2"/>
      <c r="C34" s="2"/>
      <c r="D34" s="2"/>
      <c r="E34" s="2"/>
      <c r="F34" s="10"/>
    </row>
    <row r="35" spans="1:6" ht="19.5" thickBot="1" x14ac:dyDescent="0.45">
      <c r="A35" s="11"/>
      <c r="B35" s="12" t="s">
        <v>294</v>
      </c>
      <c r="C35" s="32">
        <f>SUM(C27:C33)</f>
        <v>2400000</v>
      </c>
      <c r="D35" s="32">
        <f t="shared" ref="D35:E35" si="12">SUM(D27:D33)</f>
        <v>2800000</v>
      </c>
      <c r="E35" s="32">
        <f t="shared" si="12"/>
        <v>5200000</v>
      </c>
      <c r="F35" s="14"/>
    </row>
  </sheetData>
  <sortState ref="A27:G33">
    <sortCondition descending="1" ref="E26"/>
  </sortState>
  <mergeCells count="3">
    <mergeCell ref="A1:G1"/>
    <mergeCell ref="A13:G13"/>
    <mergeCell ref="A25:G25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0F61-0180-4160-BAE6-311A67D6259F}">
  <dimension ref="A1:K22"/>
  <sheetViews>
    <sheetView workbookViewId="0">
      <selection activeCell="H24" sqref="H24"/>
    </sheetView>
  </sheetViews>
  <sheetFormatPr defaultRowHeight="18.75" x14ac:dyDescent="0.4"/>
  <cols>
    <col min="1" max="1" width="6" bestFit="1" customWidth="1"/>
    <col min="2" max="2" width="11" bestFit="1" customWidth="1"/>
    <col min="3" max="3" width="9.5" bestFit="1" customWidth="1"/>
    <col min="4" max="4" width="7.125" bestFit="1" customWidth="1"/>
    <col min="8" max="8" width="5.25" bestFit="1" customWidth="1"/>
    <col min="10" max="10" width="8" bestFit="1" customWidth="1"/>
    <col min="11" max="11" width="5.25" bestFit="1" customWidth="1"/>
  </cols>
  <sheetData>
    <row r="1" spans="1:11" ht="19.5" thickBot="1" x14ac:dyDescent="0.45">
      <c r="A1" s="59" t="s">
        <v>106</v>
      </c>
      <c r="B1" s="59"/>
      <c r="C1" s="59"/>
      <c r="D1" s="59"/>
      <c r="E1" s="59"/>
      <c r="F1" s="59"/>
      <c r="G1" s="59"/>
    </row>
    <row r="2" spans="1:11" x14ac:dyDescent="0.4">
      <c r="A2" s="38" t="s">
        <v>1</v>
      </c>
      <c r="B2" s="39" t="s">
        <v>2</v>
      </c>
      <c r="C2" s="39" t="s">
        <v>107</v>
      </c>
      <c r="D2" s="39" t="s">
        <v>108</v>
      </c>
      <c r="E2" s="39" t="s">
        <v>109</v>
      </c>
      <c r="F2" s="39" t="s">
        <v>110</v>
      </c>
      <c r="G2" s="40" t="s">
        <v>111</v>
      </c>
      <c r="I2" s="49" t="s">
        <v>303</v>
      </c>
      <c r="J2" s="51" t="s">
        <v>304</v>
      </c>
    </row>
    <row r="3" spans="1:11" x14ac:dyDescent="0.4">
      <c r="A3" s="8">
        <v>11</v>
      </c>
      <c r="B3" s="2" t="s">
        <v>261</v>
      </c>
      <c r="C3" s="21">
        <v>2784500</v>
      </c>
      <c r="D3" s="4">
        <f>IF(C3&gt;=2900000,2.9%,IF(C3&gt;=2200000,2.7%,2.5%))</f>
        <v>2.7000000000000003E-2</v>
      </c>
      <c r="E3" s="21">
        <f>ROUNDUP(C3*D3,0)</f>
        <v>75182</v>
      </c>
      <c r="F3" s="21">
        <f>INT(E3*4.6%)</f>
        <v>3458</v>
      </c>
      <c r="G3" s="44">
        <f>E3+F3</f>
        <v>78640</v>
      </c>
      <c r="I3" s="8">
        <v>1</v>
      </c>
      <c r="J3" s="10">
        <v>8650</v>
      </c>
    </row>
    <row r="4" spans="1:11" x14ac:dyDescent="0.4">
      <c r="A4" s="8">
        <v>12</v>
      </c>
      <c r="B4" s="2" t="s">
        <v>262</v>
      </c>
      <c r="C4" s="21">
        <v>1966600</v>
      </c>
      <c r="D4" s="4">
        <f t="shared" ref="D4:D7" si="0">IF(C4&gt;=2900000,2.9%,IF(C4&gt;=2200000,2.7%,2.5%))</f>
        <v>2.5000000000000001E-2</v>
      </c>
      <c r="E4" s="21">
        <f t="shared" ref="E4:E7" si="1">ROUNDUP(C4*D4,0)</f>
        <v>49165</v>
      </c>
      <c r="F4" s="21">
        <f t="shared" ref="F4:F7" si="2">INT(E4*4.6%)</f>
        <v>2261</v>
      </c>
      <c r="G4" s="44">
        <f t="shared" ref="G4:G7" si="3">E4+F4</f>
        <v>51426</v>
      </c>
      <c r="I4" s="8">
        <v>2</v>
      </c>
      <c r="J4" s="10">
        <v>7920</v>
      </c>
    </row>
    <row r="5" spans="1:11" ht="19.5" thickBot="1" x14ac:dyDescent="0.45">
      <c r="A5" s="8">
        <v>13</v>
      </c>
      <c r="B5" s="2" t="s">
        <v>263</v>
      </c>
      <c r="C5" s="21">
        <v>3107900</v>
      </c>
      <c r="D5" s="4">
        <f t="shared" si="0"/>
        <v>2.8999999999999998E-2</v>
      </c>
      <c r="E5" s="21">
        <f t="shared" si="1"/>
        <v>90130</v>
      </c>
      <c r="F5" s="21">
        <f t="shared" si="2"/>
        <v>4145</v>
      </c>
      <c r="G5" s="44">
        <f t="shared" si="3"/>
        <v>94275</v>
      </c>
      <c r="I5" s="11">
        <v>3</v>
      </c>
      <c r="J5" s="14">
        <v>6480</v>
      </c>
    </row>
    <row r="6" spans="1:11" x14ac:dyDescent="0.4">
      <c r="A6" s="8">
        <v>14</v>
      </c>
      <c r="B6" s="2" t="s">
        <v>264</v>
      </c>
      <c r="C6" s="21">
        <v>2345300</v>
      </c>
      <c r="D6" s="4">
        <f t="shared" si="0"/>
        <v>2.7000000000000003E-2</v>
      </c>
      <c r="E6" s="21">
        <f t="shared" si="1"/>
        <v>63324</v>
      </c>
      <c r="F6" s="21">
        <f t="shared" si="2"/>
        <v>2912</v>
      </c>
      <c r="G6" s="44">
        <f t="shared" si="3"/>
        <v>66236</v>
      </c>
    </row>
    <row r="7" spans="1:11" x14ac:dyDescent="0.4">
      <c r="A7" s="8">
        <v>15</v>
      </c>
      <c r="B7" s="2" t="s">
        <v>265</v>
      </c>
      <c r="C7" s="21">
        <v>3271200</v>
      </c>
      <c r="D7" s="4">
        <f t="shared" si="0"/>
        <v>2.8999999999999998E-2</v>
      </c>
      <c r="E7" s="21">
        <f t="shared" si="1"/>
        <v>94865</v>
      </c>
      <c r="F7" s="21">
        <f t="shared" si="2"/>
        <v>4363</v>
      </c>
      <c r="G7" s="44">
        <f t="shared" si="3"/>
        <v>99228</v>
      </c>
    </row>
    <row r="8" spans="1:11" x14ac:dyDescent="0.4">
      <c r="A8" s="8"/>
      <c r="B8" s="2"/>
      <c r="C8" s="2"/>
      <c r="D8" s="2"/>
      <c r="E8" s="2"/>
      <c r="F8" s="2"/>
      <c r="G8" s="10"/>
    </row>
    <row r="9" spans="1:11" ht="19.5" thickBot="1" x14ac:dyDescent="0.45">
      <c r="A9" s="11"/>
      <c r="B9" s="12" t="s">
        <v>25</v>
      </c>
      <c r="C9" s="32">
        <f>AVERAGE(C3:C7)</f>
        <v>2695100</v>
      </c>
      <c r="D9" s="32"/>
      <c r="E9" s="32">
        <f t="shared" ref="E9:G9" si="4">AVERAGE(E3:E7)</f>
        <v>74533.2</v>
      </c>
      <c r="F9" s="32">
        <f t="shared" si="4"/>
        <v>3427.8</v>
      </c>
      <c r="G9" s="45">
        <f t="shared" si="4"/>
        <v>77961</v>
      </c>
    </row>
    <row r="11" spans="1:11" ht="19.5" thickBot="1" x14ac:dyDescent="0.45">
      <c r="A11" s="54" t="s">
        <v>112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</row>
    <row r="12" spans="1:11" x14ac:dyDescent="0.4">
      <c r="A12" s="38" t="s">
        <v>113</v>
      </c>
      <c r="B12" s="39" t="s">
        <v>114</v>
      </c>
      <c r="C12" s="39" t="s">
        <v>266</v>
      </c>
      <c r="D12" s="39" t="s">
        <v>267</v>
      </c>
      <c r="E12" s="39" t="s">
        <v>115</v>
      </c>
      <c r="F12" s="39" t="s">
        <v>268</v>
      </c>
      <c r="G12" s="39" t="s">
        <v>116</v>
      </c>
      <c r="H12" s="39" t="s">
        <v>117</v>
      </c>
      <c r="I12" s="39" t="s">
        <v>118</v>
      </c>
      <c r="J12" s="39" t="s">
        <v>119</v>
      </c>
      <c r="K12" s="40" t="s">
        <v>63</v>
      </c>
    </row>
    <row r="13" spans="1:11" x14ac:dyDescent="0.4">
      <c r="A13" s="8">
        <v>105</v>
      </c>
      <c r="B13" s="2" t="s">
        <v>124</v>
      </c>
      <c r="C13" s="2">
        <v>12</v>
      </c>
      <c r="D13" s="2" t="str">
        <f t="shared" ref="D13:D18" si="5">VLOOKUP(C13,$A$3:$G$7,2,)</f>
        <v>K商品</v>
      </c>
      <c r="E13" s="2">
        <v>9</v>
      </c>
      <c r="F13" s="21">
        <f t="shared" ref="F13:F20" si="6">VLOOKUP(C13,$A$3:$G$7,7,FALSE )</f>
        <v>51426</v>
      </c>
      <c r="G13" s="21">
        <f t="shared" ref="G13:G20" si="7">ROUNDUP(F13/7*(E13-7)*0.45, 0)</f>
        <v>6612</v>
      </c>
      <c r="H13" s="2">
        <v>3</v>
      </c>
      <c r="I13" s="21">
        <f>VLOOKUP(H13,$I$3:$J$5,2,0)</f>
        <v>6480</v>
      </c>
      <c r="J13" s="31">
        <f t="shared" ref="J13:J20" si="8">F13+G13+I13</f>
        <v>64518</v>
      </c>
      <c r="K13" s="10" t="str">
        <f t="shared" ref="K13:K20" si="9">IF(AND(NOT(H13=2),J13&gt;=120000),"V",IF(AND(NOT(H13=2),J13&gt;=100000),"W","X"))</f>
        <v>X</v>
      </c>
    </row>
    <row r="14" spans="1:11" x14ac:dyDescent="0.4">
      <c r="A14" s="8">
        <v>102</v>
      </c>
      <c r="B14" s="2" t="s">
        <v>121</v>
      </c>
      <c r="C14" s="2">
        <v>12</v>
      </c>
      <c r="D14" s="2" t="str">
        <f t="shared" si="5"/>
        <v>K商品</v>
      </c>
      <c r="E14" s="2">
        <v>10</v>
      </c>
      <c r="F14" s="21">
        <f t="shared" si="6"/>
        <v>51426</v>
      </c>
      <c r="G14" s="21">
        <f t="shared" si="7"/>
        <v>9918</v>
      </c>
      <c r="H14" s="2">
        <v>1</v>
      </c>
      <c r="I14" s="21">
        <f t="shared" ref="I14:I20" si="10">VLOOKUP(H14,$I$3:$J$5,2,0)</f>
        <v>8650</v>
      </c>
      <c r="J14" s="31">
        <f t="shared" si="8"/>
        <v>69994</v>
      </c>
      <c r="K14" s="10" t="str">
        <f t="shared" si="9"/>
        <v>X</v>
      </c>
    </row>
    <row r="15" spans="1:11" x14ac:dyDescent="0.4">
      <c r="A15" s="8">
        <v>108</v>
      </c>
      <c r="B15" s="2" t="s">
        <v>127</v>
      </c>
      <c r="C15" s="2">
        <v>14</v>
      </c>
      <c r="D15" s="2" t="str">
        <f t="shared" si="5"/>
        <v>M商品</v>
      </c>
      <c r="E15" s="2">
        <v>13</v>
      </c>
      <c r="F15" s="21">
        <f t="shared" si="6"/>
        <v>66236</v>
      </c>
      <c r="G15" s="21">
        <f t="shared" si="7"/>
        <v>25549</v>
      </c>
      <c r="H15" s="2">
        <v>1</v>
      </c>
      <c r="I15" s="21">
        <f t="shared" si="10"/>
        <v>8650</v>
      </c>
      <c r="J15" s="31">
        <f t="shared" si="8"/>
        <v>100435</v>
      </c>
      <c r="K15" s="10" t="str">
        <f t="shared" si="9"/>
        <v>W</v>
      </c>
    </row>
    <row r="16" spans="1:11" x14ac:dyDescent="0.4">
      <c r="A16" s="8">
        <v>106</v>
      </c>
      <c r="B16" s="2" t="s">
        <v>125</v>
      </c>
      <c r="C16" s="2">
        <v>15</v>
      </c>
      <c r="D16" s="2" t="str">
        <f t="shared" si="5"/>
        <v>N商品</v>
      </c>
      <c r="E16" s="2">
        <v>7</v>
      </c>
      <c r="F16" s="21">
        <f t="shared" si="6"/>
        <v>99228</v>
      </c>
      <c r="G16" s="21">
        <f t="shared" si="7"/>
        <v>0</v>
      </c>
      <c r="H16" s="2">
        <v>2</v>
      </c>
      <c r="I16" s="21">
        <f t="shared" si="10"/>
        <v>7920</v>
      </c>
      <c r="J16" s="31">
        <f t="shared" si="8"/>
        <v>107148</v>
      </c>
      <c r="K16" s="10" t="str">
        <f t="shared" si="9"/>
        <v>X</v>
      </c>
    </row>
    <row r="17" spans="1:11" x14ac:dyDescent="0.4">
      <c r="A17" s="8">
        <v>104</v>
      </c>
      <c r="B17" s="2" t="s">
        <v>123</v>
      </c>
      <c r="C17" s="2">
        <v>13</v>
      </c>
      <c r="D17" s="2" t="str">
        <f t="shared" si="5"/>
        <v>L商品</v>
      </c>
      <c r="E17" s="2">
        <v>8</v>
      </c>
      <c r="F17" s="21">
        <f t="shared" si="6"/>
        <v>94275</v>
      </c>
      <c r="G17" s="21">
        <f t="shared" si="7"/>
        <v>6061</v>
      </c>
      <c r="H17" s="2">
        <v>1</v>
      </c>
      <c r="I17" s="21">
        <f t="shared" si="10"/>
        <v>8650</v>
      </c>
      <c r="J17" s="31">
        <f t="shared" si="8"/>
        <v>108986</v>
      </c>
      <c r="K17" s="10" t="str">
        <f t="shared" si="9"/>
        <v>W</v>
      </c>
    </row>
    <row r="18" spans="1:11" x14ac:dyDescent="0.4">
      <c r="A18" s="8">
        <v>107</v>
      </c>
      <c r="B18" s="2" t="s">
        <v>126</v>
      </c>
      <c r="C18" s="2">
        <v>11</v>
      </c>
      <c r="D18" s="2" t="str">
        <f t="shared" si="5"/>
        <v>J商品</v>
      </c>
      <c r="E18" s="2">
        <v>14</v>
      </c>
      <c r="F18" s="21">
        <f t="shared" si="6"/>
        <v>78640</v>
      </c>
      <c r="G18" s="21">
        <f t="shared" si="7"/>
        <v>35388</v>
      </c>
      <c r="H18" s="2">
        <v>3</v>
      </c>
      <c r="I18" s="21">
        <f t="shared" si="10"/>
        <v>6480</v>
      </c>
      <c r="J18" s="31">
        <f t="shared" si="8"/>
        <v>120508</v>
      </c>
      <c r="K18" s="10" t="str">
        <f t="shared" si="9"/>
        <v>V</v>
      </c>
    </row>
    <row r="19" spans="1:11" x14ac:dyDescent="0.4">
      <c r="A19" s="8">
        <v>101</v>
      </c>
      <c r="B19" s="2" t="s">
        <v>120</v>
      </c>
      <c r="C19" s="2">
        <v>13</v>
      </c>
      <c r="D19" s="2" t="str">
        <f>VLOOKUP(C19,$A$3:$G$7,2,FALSE)</f>
        <v>L商品</v>
      </c>
      <c r="E19" s="2">
        <v>11</v>
      </c>
      <c r="F19" s="21">
        <f t="shared" si="6"/>
        <v>94275</v>
      </c>
      <c r="G19" s="21">
        <f t="shared" si="7"/>
        <v>24243</v>
      </c>
      <c r="H19" s="2">
        <v>3</v>
      </c>
      <c r="I19" s="21">
        <f t="shared" si="10"/>
        <v>6480</v>
      </c>
      <c r="J19" s="31">
        <f t="shared" si="8"/>
        <v>124998</v>
      </c>
      <c r="K19" s="10" t="str">
        <f t="shared" si="9"/>
        <v>V</v>
      </c>
    </row>
    <row r="20" spans="1:11" x14ac:dyDescent="0.4">
      <c r="A20" s="8">
        <v>103</v>
      </c>
      <c r="B20" s="2" t="s">
        <v>122</v>
      </c>
      <c r="C20" s="2">
        <v>15</v>
      </c>
      <c r="D20" s="2" t="str">
        <f>VLOOKUP(C20,$A$3:$G$7,2,)</f>
        <v>N商品</v>
      </c>
      <c r="E20" s="2">
        <v>12</v>
      </c>
      <c r="F20" s="21">
        <f t="shared" si="6"/>
        <v>99228</v>
      </c>
      <c r="G20" s="21">
        <f t="shared" si="7"/>
        <v>31895</v>
      </c>
      <c r="H20" s="2">
        <v>2</v>
      </c>
      <c r="I20" s="21">
        <f t="shared" si="10"/>
        <v>7920</v>
      </c>
      <c r="J20" s="31">
        <f t="shared" si="8"/>
        <v>139043</v>
      </c>
      <c r="K20" s="10" t="str">
        <f t="shared" si="9"/>
        <v>X</v>
      </c>
    </row>
    <row r="21" spans="1:11" x14ac:dyDescent="0.4">
      <c r="A21" s="8"/>
      <c r="B21" s="2"/>
      <c r="C21" s="2"/>
      <c r="D21" s="2"/>
      <c r="E21" s="2"/>
      <c r="F21" s="2"/>
      <c r="G21" s="2"/>
      <c r="H21" s="2"/>
      <c r="I21" s="2"/>
      <c r="J21" s="2"/>
      <c r="K21" s="10"/>
    </row>
    <row r="22" spans="1:11" ht="19.5" thickBot="1" x14ac:dyDescent="0.45">
      <c r="A22" s="11"/>
      <c r="B22" s="12" t="s">
        <v>13</v>
      </c>
      <c r="C22" s="16"/>
      <c r="D22" s="16"/>
      <c r="E22" s="28">
        <f>SUM(E13:E20)</f>
        <v>84</v>
      </c>
      <c r="F22" s="28">
        <f t="shared" ref="F22:J22" si="11">SUM(F13:F20)</f>
        <v>634734</v>
      </c>
      <c r="G22" s="28">
        <f t="shared" si="11"/>
        <v>139666</v>
      </c>
      <c r="H22" s="28"/>
      <c r="I22" s="28">
        <f t="shared" si="11"/>
        <v>61230</v>
      </c>
      <c r="J22" s="28">
        <f t="shared" si="11"/>
        <v>835630</v>
      </c>
      <c r="K22" s="14"/>
    </row>
  </sheetData>
  <sortState ref="A13:K20">
    <sortCondition ref="J13"/>
  </sortState>
  <mergeCells count="2">
    <mergeCell ref="A1:G1"/>
    <mergeCell ref="A11:K11"/>
  </mergeCells>
  <phoneticPr fontId="2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3F0D-8FD8-447D-80A7-F07ADEA2BF34}">
  <dimension ref="A1:N23"/>
  <sheetViews>
    <sheetView workbookViewId="0">
      <selection activeCell="D3" sqref="D3"/>
    </sheetView>
  </sheetViews>
  <sheetFormatPr defaultRowHeight="18.75" x14ac:dyDescent="0.4"/>
  <cols>
    <col min="1" max="1" width="6" bestFit="1" customWidth="1"/>
    <col min="2" max="2" width="11" bestFit="1" customWidth="1"/>
    <col min="3" max="3" width="6" bestFit="1" customWidth="1"/>
    <col min="6" max="8" width="7.125" bestFit="1" customWidth="1"/>
    <col min="10" max="10" width="5.25" bestFit="1" customWidth="1"/>
    <col min="11" max="11" width="5.25" customWidth="1"/>
    <col min="12" max="12" width="6" bestFit="1" customWidth="1"/>
    <col min="13" max="13" width="7.125" bestFit="1" customWidth="1"/>
    <col min="14" max="14" width="6" bestFit="1" customWidth="1"/>
  </cols>
  <sheetData>
    <row r="1" spans="1:14" ht="19.5" thickBot="1" x14ac:dyDescent="0.45">
      <c r="A1" s="54" t="s">
        <v>128</v>
      </c>
      <c r="B1" s="54"/>
      <c r="C1" s="54"/>
      <c r="D1" s="54"/>
      <c r="E1" s="54"/>
      <c r="F1" s="54"/>
      <c r="G1" s="54"/>
      <c r="H1" s="54"/>
      <c r="I1" s="54"/>
    </row>
    <row r="2" spans="1:14" x14ac:dyDescent="0.4">
      <c r="A2" s="38" t="s">
        <v>129</v>
      </c>
      <c r="B2" s="39" t="s">
        <v>132</v>
      </c>
      <c r="C2" s="39" t="s">
        <v>1</v>
      </c>
      <c r="D2" s="39" t="s">
        <v>2</v>
      </c>
      <c r="E2" s="39" t="s">
        <v>4</v>
      </c>
      <c r="F2" s="39" t="s">
        <v>130</v>
      </c>
      <c r="G2" s="39" t="s">
        <v>131</v>
      </c>
      <c r="H2" s="39" t="s">
        <v>115</v>
      </c>
      <c r="I2" s="40" t="s">
        <v>109</v>
      </c>
      <c r="L2" s="38" t="s">
        <v>1</v>
      </c>
      <c r="M2" s="39" t="s">
        <v>2</v>
      </c>
      <c r="N2" s="40" t="s">
        <v>4</v>
      </c>
    </row>
    <row r="3" spans="1:14" x14ac:dyDescent="0.4">
      <c r="A3" s="8">
        <v>101</v>
      </c>
      <c r="B3" s="2" t="s">
        <v>133</v>
      </c>
      <c r="C3" s="2">
        <v>12</v>
      </c>
      <c r="D3" s="2" t="str">
        <f>VLOOKUP(C3,$L$3:$N$6,2,0)</f>
        <v>S商品</v>
      </c>
      <c r="E3" s="21">
        <f>VLOOKUP(C3,$L$3:$N$6,3,0)</f>
        <v>7340</v>
      </c>
      <c r="F3" s="47">
        <v>45109</v>
      </c>
      <c r="G3" s="47">
        <v>45117</v>
      </c>
      <c r="H3" s="2">
        <f>G3-F3+1</f>
        <v>9</v>
      </c>
      <c r="I3" s="27">
        <f>INT(IF(H3&lt;=7,E3*7,E3*7*0.92))</f>
        <v>47269</v>
      </c>
      <c r="L3" s="8">
        <v>11</v>
      </c>
      <c r="M3" s="2" t="s">
        <v>269</v>
      </c>
      <c r="N3" s="27">
        <v>8670</v>
      </c>
    </row>
    <row r="4" spans="1:14" x14ac:dyDescent="0.4">
      <c r="A4" s="8">
        <v>102</v>
      </c>
      <c r="B4" s="2" t="s">
        <v>134</v>
      </c>
      <c r="C4" s="2">
        <v>13</v>
      </c>
      <c r="D4" s="2" t="str">
        <f t="shared" ref="D4:D9" si="0">VLOOKUP(C4,$L$3:$N$6,2,0)</f>
        <v>T商品</v>
      </c>
      <c r="E4" s="21">
        <f t="shared" ref="E4:E9" si="1">VLOOKUP(C4,$L$3:$N$6,3,0)</f>
        <v>8280</v>
      </c>
      <c r="F4" s="47">
        <v>45112</v>
      </c>
      <c r="G4" s="47">
        <v>45120</v>
      </c>
      <c r="H4" s="2">
        <f t="shared" ref="H4:H9" si="2">G4-F4+1</f>
        <v>9</v>
      </c>
      <c r="I4" s="27">
        <f t="shared" ref="I4:I9" si="3">INT(IF(H4&lt;=7,E4*7,E4*7*0.92))</f>
        <v>53323</v>
      </c>
      <c r="L4" s="8">
        <v>12</v>
      </c>
      <c r="M4" s="2" t="s">
        <v>270</v>
      </c>
      <c r="N4" s="27">
        <v>7340</v>
      </c>
    </row>
    <row r="5" spans="1:14" x14ac:dyDescent="0.4">
      <c r="A5" s="8">
        <v>103</v>
      </c>
      <c r="B5" s="2" t="s">
        <v>135</v>
      </c>
      <c r="C5" s="2">
        <v>11</v>
      </c>
      <c r="D5" s="2" t="str">
        <f t="shared" si="0"/>
        <v>R商品</v>
      </c>
      <c r="E5" s="21">
        <f t="shared" si="1"/>
        <v>8670</v>
      </c>
      <c r="F5" s="47">
        <v>45114</v>
      </c>
      <c r="G5" s="47">
        <v>45121</v>
      </c>
      <c r="H5" s="2">
        <f t="shared" si="2"/>
        <v>8</v>
      </c>
      <c r="I5" s="27">
        <f t="shared" si="3"/>
        <v>55834</v>
      </c>
      <c r="L5" s="8">
        <v>13</v>
      </c>
      <c r="M5" s="2" t="s">
        <v>271</v>
      </c>
      <c r="N5" s="27">
        <v>8280</v>
      </c>
    </row>
    <row r="6" spans="1:14" ht="19.5" thickBot="1" x14ac:dyDescent="0.45">
      <c r="A6" s="8">
        <v>104</v>
      </c>
      <c r="B6" s="2" t="s">
        <v>136</v>
      </c>
      <c r="C6" s="2">
        <v>13</v>
      </c>
      <c r="D6" s="2" t="str">
        <f t="shared" si="0"/>
        <v>T商品</v>
      </c>
      <c r="E6" s="21">
        <f t="shared" si="1"/>
        <v>8280</v>
      </c>
      <c r="F6" s="47">
        <v>45117</v>
      </c>
      <c r="G6" s="47">
        <v>45123</v>
      </c>
      <c r="H6" s="2">
        <f t="shared" si="2"/>
        <v>7</v>
      </c>
      <c r="I6" s="27">
        <f t="shared" si="3"/>
        <v>57960</v>
      </c>
      <c r="L6" s="11">
        <v>14</v>
      </c>
      <c r="M6" s="16" t="s">
        <v>272</v>
      </c>
      <c r="N6" s="29">
        <v>9630</v>
      </c>
    </row>
    <row r="7" spans="1:14" x14ac:dyDescent="0.4">
      <c r="A7" s="8">
        <v>105</v>
      </c>
      <c r="B7" s="2" t="s">
        <v>137</v>
      </c>
      <c r="C7" s="2">
        <v>12</v>
      </c>
      <c r="D7" s="2" t="str">
        <f t="shared" si="0"/>
        <v>S商品</v>
      </c>
      <c r="E7" s="21">
        <f t="shared" si="1"/>
        <v>7340</v>
      </c>
      <c r="F7" s="47">
        <v>45120</v>
      </c>
      <c r="G7" s="47">
        <v>45132</v>
      </c>
      <c r="H7" s="2">
        <f t="shared" si="2"/>
        <v>13</v>
      </c>
      <c r="I7" s="27">
        <f t="shared" si="3"/>
        <v>47269</v>
      </c>
    </row>
    <row r="8" spans="1:14" x14ac:dyDescent="0.4">
      <c r="A8" s="8">
        <v>106</v>
      </c>
      <c r="B8" s="2" t="s">
        <v>138</v>
      </c>
      <c r="C8" s="2">
        <v>14</v>
      </c>
      <c r="D8" s="2" t="str">
        <f t="shared" si="0"/>
        <v>U商品</v>
      </c>
      <c r="E8" s="21">
        <f t="shared" si="1"/>
        <v>9630</v>
      </c>
      <c r="F8" s="47">
        <v>45122</v>
      </c>
      <c r="G8" s="47">
        <v>45133</v>
      </c>
      <c r="H8" s="2">
        <f t="shared" si="2"/>
        <v>12</v>
      </c>
      <c r="I8" s="27">
        <f t="shared" si="3"/>
        <v>62017</v>
      </c>
    </row>
    <row r="9" spans="1:14" x14ac:dyDescent="0.4">
      <c r="A9" s="8">
        <v>107</v>
      </c>
      <c r="B9" s="2" t="s">
        <v>139</v>
      </c>
      <c r="C9" s="2">
        <v>11</v>
      </c>
      <c r="D9" s="2" t="str">
        <f t="shared" si="0"/>
        <v>R商品</v>
      </c>
      <c r="E9" s="21">
        <f t="shared" si="1"/>
        <v>8670</v>
      </c>
      <c r="F9" s="47">
        <v>45125</v>
      </c>
      <c r="G9" s="47">
        <v>45135</v>
      </c>
      <c r="H9" s="2">
        <f t="shared" si="2"/>
        <v>11</v>
      </c>
      <c r="I9" s="27">
        <f t="shared" si="3"/>
        <v>55834</v>
      </c>
    </row>
    <row r="10" spans="1:14" x14ac:dyDescent="0.4">
      <c r="A10" s="8"/>
      <c r="B10" s="2"/>
      <c r="C10" s="2"/>
      <c r="D10" s="2"/>
      <c r="E10" s="2"/>
      <c r="F10" s="2"/>
      <c r="G10" s="2"/>
      <c r="H10" s="2"/>
      <c r="I10" s="10"/>
    </row>
    <row r="11" spans="1:14" ht="19.5" thickBot="1" x14ac:dyDescent="0.45">
      <c r="A11" s="11"/>
      <c r="B11" s="12" t="s">
        <v>13</v>
      </c>
      <c r="C11" s="16"/>
      <c r="D11" s="16"/>
      <c r="E11" s="32"/>
      <c r="F11" s="32"/>
      <c r="G11" s="32"/>
      <c r="H11" s="32">
        <f t="shared" ref="H11:I11" si="4">SUM(H3:H9)</f>
        <v>69</v>
      </c>
      <c r="I11" s="45">
        <f t="shared" si="4"/>
        <v>379506</v>
      </c>
    </row>
    <row r="13" spans="1:14" ht="19.5" thickBot="1" x14ac:dyDescent="0.45">
      <c r="A13" s="54" t="s">
        <v>140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4" x14ac:dyDescent="0.4">
      <c r="A14" s="38" t="s">
        <v>129</v>
      </c>
      <c r="B14" s="39" t="s">
        <v>132</v>
      </c>
      <c r="C14" s="39" t="s">
        <v>115</v>
      </c>
      <c r="D14" s="39" t="s">
        <v>109</v>
      </c>
      <c r="E14" s="39" t="s">
        <v>141</v>
      </c>
      <c r="F14" s="39" t="s">
        <v>142</v>
      </c>
      <c r="G14" s="39" t="s">
        <v>143</v>
      </c>
      <c r="H14" s="39" t="s">
        <v>144</v>
      </c>
      <c r="I14" s="39" t="s">
        <v>145</v>
      </c>
      <c r="J14" s="40" t="s">
        <v>24</v>
      </c>
    </row>
    <row r="15" spans="1:14" x14ac:dyDescent="0.4">
      <c r="A15" s="8">
        <v>104</v>
      </c>
      <c r="B15" s="2" t="s">
        <v>136</v>
      </c>
      <c r="C15" s="2">
        <f t="shared" ref="C15:C21" si="5">VLOOKUP(A15,$A$3:$I$9,8,0)</f>
        <v>7</v>
      </c>
      <c r="D15" s="21">
        <f t="shared" ref="D15:D21" si="6">VLOOKUP(A15,$A$3:$I$9,9,0)</f>
        <v>57960</v>
      </c>
      <c r="E15" s="21">
        <f t="shared" ref="E15:E21" si="7">ROUNDUP(D15/7*(C15-7)*0.86,0)</f>
        <v>0</v>
      </c>
      <c r="F15" s="21">
        <f t="shared" ref="F15:F21" si="8">ROUNDUP((D15+E15)*3.4%,0)</f>
        <v>1971</v>
      </c>
      <c r="G15" s="4">
        <f t="shared" ref="G15:G21" si="9">IF(C15&gt;=11,5.8%,IF(C15&gt;=8,4.6%,3.4%))</f>
        <v>3.4000000000000002E-2</v>
      </c>
      <c r="H15" s="21">
        <f t="shared" ref="H15:H21" si="10">INT((D15+E15)*G15)</f>
        <v>1970</v>
      </c>
      <c r="I15" s="31">
        <f t="shared" ref="I15:I21" si="11">D15+E15+F15-H15</f>
        <v>57961</v>
      </c>
      <c r="J15" s="10" t="str">
        <f t="shared" ref="J15:J21" si="12">IF(AND(C15&lt;13,I15&gt;=70000),"***",IF(AND(C15&lt;13,I15&gt;=60000),"**","*"))</f>
        <v>*</v>
      </c>
    </row>
    <row r="16" spans="1:14" x14ac:dyDescent="0.4">
      <c r="A16" s="8">
        <v>101</v>
      </c>
      <c r="B16" s="2" t="s">
        <v>133</v>
      </c>
      <c r="C16" s="2">
        <f t="shared" si="5"/>
        <v>9</v>
      </c>
      <c r="D16" s="21">
        <f t="shared" si="6"/>
        <v>47269</v>
      </c>
      <c r="E16" s="21">
        <f t="shared" si="7"/>
        <v>11615</v>
      </c>
      <c r="F16" s="21">
        <f t="shared" si="8"/>
        <v>2003</v>
      </c>
      <c r="G16" s="4">
        <f t="shared" si="9"/>
        <v>4.5999999999999999E-2</v>
      </c>
      <c r="H16" s="21">
        <f t="shared" si="10"/>
        <v>2708</v>
      </c>
      <c r="I16" s="31">
        <f t="shared" si="11"/>
        <v>58179</v>
      </c>
      <c r="J16" s="10" t="str">
        <f t="shared" si="12"/>
        <v>*</v>
      </c>
    </row>
    <row r="17" spans="1:10" x14ac:dyDescent="0.4">
      <c r="A17" s="8">
        <v>103</v>
      </c>
      <c r="B17" s="2" t="s">
        <v>135</v>
      </c>
      <c r="C17" s="2">
        <f t="shared" si="5"/>
        <v>8</v>
      </c>
      <c r="D17" s="21">
        <f t="shared" si="6"/>
        <v>55834</v>
      </c>
      <c r="E17" s="21">
        <f t="shared" si="7"/>
        <v>6860</v>
      </c>
      <c r="F17" s="21">
        <f t="shared" si="8"/>
        <v>2132</v>
      </c>
      <c r="G17" s="4">
        <f t="shared" si="9"/>
        <v>4.5999999999999999E-2</v>
      </c>
      <c r="H17" s="21">
        <f t="shared" si="10"/>
        <v>2883</v>
      </c>
      <c r="I17" s="31">
        <f t="shared" si="11"/>
        <v>61943</v>
      </c>
      <c r="J17" s="10" t="str">
        <f t="shared" si="12"/>
        <v>**</v>
      </c>
    </row>
    <row r="18" spans="1:10" x14ac:dyDescent="0.4">
      <c r="A18" s="8">
        <v>102</v>
      </c>
      <c r="B18" s="2" t="s">
        <v>134</v>
      </c>
      <c r="C18" s="2">
        <f t="shared" si="5"/>
        <v>9</v>
      </c>
      <c r="D18" s="21">
        <f t="shared" si="6"/>
        <v>53323</v>
      </c>
      <c r="E18" s="21">
        <f t="shared" si="7"/>
        <v>13103</v>
      </c>
      <c r="F18" s="21">
        <f t="shared" si="8"/>
        <v>2259</v>
      </c>
      <c r="G18" s="4">
        <f t="shared" si="9"/>
        <v>4.5999999999999999E-2</v>
      </c>
      <c r="H18" s="21">
        <f t="shared" si="10"/>
        <v>3055</v>
      </c>
      <c r="I18" s="31">
        <f t="shared" si="11"/>
        <v>65630</v>
      </c>
      <c r="J18" s="10" t="str">
        <f t="shared" si="12"/>
        <v>**</v>
      </c>
    </row>
    <row r="19" spans="1:10" x14ac:dyDescent="0.4">
      <c r="A19" s="8">
        <v>105</v>
      </c>
      <c r="B19" s="2" t="s">
        <v>137</v>
      </c>
      <c r="C19" s="2">
        <f t="shared" si="5"/>
        <v>13</v>
      </c>
      <c r="D19" s="21">
        <f t="shared" si="6"/>
        <v>47269</v>
      </c>
      <c r="E19" s="21">
        <f t="shared" si="7"/>
        <v>34845</v>
      </c>
      <c r="F19" s="21">
        <f t="shared" si="8"/>
        <v>2792</v>
      </c>
      <c r="G19" s="4">
        <f t="shared" si="9"/>
        <v>5.7999999999999996E-2</v>
      </c>
      <c r="H19" s="21">
        <f t="shared" si="10"/>
        <v>4762</v>
      </c>
      <c r="I19" s="31">
        <f t="shared" si="11"/>
        <v>80144</v>
      </c>
      <c r="J19" s="10" t="str">
        <f t="shared" si="12"/>
        <v>*</v>
      </c>
    </row>
    <row r="20" spans="1:10" x14ac:dyDescent="0.4">
      <c r="A20" s="8">
        <v>107</v>
      </c>
      <c r="B20" s="2" t="s">
        <v>139</v>
      </c>
      <c r="C20" s="2">
        <f t="shared" si="5"/>
        <v>11</v>
      </c>
      <c r="D20" s="21">
        <f t="shared" si="6"/>
        <v>55834</v>
      </c>
      <c r="E20" s="21">
        <f t="shared" si="7"/>
        <v>27439</v>
      </c>
      <c r="F20" s="21">
        <f t="shared" si="8"/>
        <v>2832</v>
      </c>
      <c r="G20" s="4">
        <f t="shared" si="9"/>
        <v>5.7999999999999996E-2</v>
      </c>
      <c r="H20" s="21">
        <f t="shared" si="10"/>
        <v>4829</v>
      </c>
      <c r="I20" s="31">
        <f t="shared" si="11"/>
        <v>81276</v>
      </c>
      <c r="J20" s="10" t="str">
        <f t="shared" si="12"/>
        <v>***</v>
      </c>
    </row>
    <row r="21" spans="1:10" x14ac:dyDescent="0.4">
      <c r="A21" s="8">
        <v>106</v>
      </c>
      <c r="B21" s="2" t="s">
        <v>138</v>
      </c>
      <c r="C21" s="2">
        <f t="shared" si="5"/>
        <v>12</v>
      </c>
      <c r="D21" s="21">
        <f t="shared" si="6"/>
        <v>62017</v>
      </c>
      <c r="E21" s="21">
        <f t="shared" si="7"/>
        <v>38097</v>
      </c>
      <c r="F21" s="21">
        <f t="shared" si="8"/>
        <v>3404</v>
      </c>
      <c r="G21" s="4">
        <f t="shared" si="9"/>
        <v>5.7999999999999996E-2</v>
      </c>
      <c r="H21" s="21">
        <f t="shared" si="10"/>
        <v>5806</v>
      </c>
      <c r="I21" s="31">
        <f t="shared" si="11"/>
        <v>97712</v>
      </c>
      <c r="J21" s="10" t="str">
        <f t="shared" si="12"/>
        <v>***</v>
      </c>
    </row>
    <row r="22" spans="1:10" x14ac:dyDescent="0.4">
      <c r="A22" s="8"/>
      <c r="B22" s="2"/>
      <c r="C22" s="2"/>
      <c r="D22" s="2"/>
      <c r="E22" s="2"/>
      <c r="F22" s="2"/>
      <c r="G22" s="2"/>
      <c r="H22" s="2"/>
      <c r="I22" s="2"/>
      <c r="J22" s="10"/>
    </row>
    <row r="23" spans="1:10" ht="19.5" thickBot="1" x14ac:dyDescent="0.45">
      <c r="A23" s="11"/>
      <c r="B23" s="16" t="s">
        <v>273</v>
      </c>
      <c r="C23" s="28">
        <f>SUM(C15:C21)</f>
        <v>69</v>
      </c>
      <c r="D23" s="28">
        <f t="shared" ref="D23:I23" si="13">SUM(D15:D21)</f>
        <v>379506</v>
      </c>
      <c r="E23" s="28">
        <f t="shared" si="13"/>
        <v>131959</v>
      </c>
      <c r="F23" s="28">
        <f t="shared" si="13"/>
        <v>17393</v>
      </c>
      <c r="G23" s="28"/>
      <c r="H23" s="28">
        <f t="shared" si="13"/>
        <v>26013</v>
      </c>
      <c r="I23" s="28">
        <f t="shared" si="13"/>
        <v>502845</v>
      </c>
      <c r="J23" s="14"/>
    </row>
  </sheetData>
  <sortState ref="A15:J21">
    <sortCondition ref="I14"/>
  </sortState>
  <mergeCells count="2">
    <mergeCell ref="A1:I1"/>
    <mergeCell ref="A13:J13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A2A-1F18-416B-946C-0BCCA10D14D4}">
  <dimension ref="A1:L19"/>
  <sheetViews>
    <sheetView workbookViewId="0">
      <selection activeCell="D3" sqref="D3"/>
    </sheetView>
  </sheetViews>
  <sheetFormatPr defaultRowHeight="18.75" x14ac:dyDescent="0.4"/>
  <cols>
    <col min="1" max="1" width="6" bestFit="1" customWidth="1"/>
    <col min="2" max="2" width="11" bestFit="1" customWidth="1"/>
    <col min="4" max="4" width="7.125" bestFit="1" customWidth="1"/>
    <col min="6" max="7" width="7.125" bestFit="1" customWidth="1"/>
    <col min="8" max="8" width="9" bestFit="1" customWidth="1"/>
    <col min="9" max="10" width="11" bestFit="1" customWidth="1"/>
    <col min="11" max="11" width="9.5" bestFit="1" customWidth="1"/>
    <col min="12" max="12" width="5.25" bestFit="1" customWidth="1"/>
  </cols>
  <sheetData>
    <row r="1" spans="1:12" ht="19.5" thickBot="1" x14ac:dyDescent="0.45">
      <c r="A1" s="54" t="s">
        <v>146</v>
      </c>
      <c r="B1" s="54"/>
      <c r="C1" s="54"/>
      <c r="D1" s="54"/>
      <c r="E1" s="54"/>
    </row>
    <row r="2" spans="1:12" x14ac:dyDescent="0.4">
      <c r="A2" s="38" t="s">
        <v>147</v>
      </c>
      <c r="B2" s="39" t="s">
        <v>148</v>
      </c>
      <c r="C2" s="39" t="s">
        <v>149</v>
      </c>
      <c r="D2" s="39" t="s">
        <v>150</v>
      </c>
      <c r="E2" s="40" t="s">
        <v>151</v>
      </c>
    </row>
    <row r="3" spans="1:12" x14ac:dyDescent="0.4">
      <c r="A3" s="8">
        <v>11</v>
      </c>
      <c r="B3" s="2" t="s">
        <v>152</v>
      </c>
      <c r="C3" s="21">
        <v>29380</v>
      </c>
      <c r="D3" s="4">
        <f>IF(C3&gt;=27000,16.8%,IF(C3&gt;=25000,17.6%, 18.4%))</f>
        <v>0.16800000000000001</v>
      </c>
      <c r="E3" s="27">
        <f>INT(C3*D3)</f>
        <v>4935</v>
      </c>
    </row>
    <row r="4" spans="1:12" x14ac:dyDescent="0.4">
      <c r="A4" s="8">
        <v>12</v>
      </c>
      <c r="B4" s="2" t="s">
        <v>274</v>
      </c>
      <c r="C4" s="21">
        <v>25340</v>
      </c>
      <c r="D4" s="4">
        <f t="shared" ref="D4:D6" si="0">IF(C4&gt;=27000,16.8%,IF(C4&gt;=25000,17.6%, 18.4%))</f>
        <v>0.17600000000000002</v>
      </c>
      <c r="E4" s="27">
        <f t="shared" ref="E4:E6" si="1">INT(C4*D4)</f>
        <v>4459</v>
      </c>
    </row>
    <row r="5" spans="1:12" x14ac:dyDescent="0.4">
      <c r="A5" s="8">
        <v>13</v>
      </c>
      <c r="B5" s="2" t="s">
        <v>275</v>
      </c>
      <c r="C5" s="21">
        <v>27730</v>
      </c>
      <c r="D5" s="4">
        <f t="shared" si="0"/>
        <v>0.16800000000000001</v>
      </c>
      <c r="E5" s="27">
        <f t="shared" si="1"/>
        <v>4658</v>
      </c>
    </row>
    <row r="6" spans="1:12" ht="19.5" thickBot="1" x14ac:dyDescent="0.45">
      <c r="A6" s="11">
        <v>14</v>
      </c>
      <c r="B6" s="16" t="s">
        <v>276</v>
      </c>
      <c r="C6" s="28">
        <v>23160</v>
      </c>
      <c r="D6" s="48">
        <f t="shared" si="0"/>
        <v>0.184</v>
      </c>
      <c r="E6" s="29">
        <f t="shared" si="1"/>
        <v>4261</v>
      </c>
    </row>
    <row r="8" spans="1:12" ht="19.5" thickBot="1" x14ac:dyDescent="0.45">
      <c r="A8" s="54" t="s">
        <v>153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</row>
    <row r="9" spans="1:12" x14ac:dyDescent="0.4">
      <c r="A9" s="38" t="s">
        <v>154</v>
      </c>
      <c r="B9" s="39" t="s">
        <v>155</v>
      </c>
      <c r="C9" s="39" t="s">
        <v>147</v>
      </c>
      <c r="D9" s="39" t="s">
        <v>148</v>
      </c>
      <c r="E9" s="39" t="s">
        <v>151</v>
      </c>
      <c r="F9" s="39" t="s">
        <v>156</v>
      </c>
      <c r="G9" s="39" t="s">
        <v>157</v>
      </c>
      <c r="H9" s="39" t="s">
        <v>158</v>
      </c>
      <c r="I9" s="39" t="s">
        <v>277</v>
      </c>
      <c r="J9" s="39" t="s">
        <v>159</v>
      </c>
      <c r="K9" s="39" t="s">
        <v>6</v>
      </c>
      <c r="L9" s="40" t="s">
        <v>24</v>
      </c>
    </row>
    <row r="10" spans="1:12" x14ac:dyDescent="0.4">
      <c r="A10" s="8">
        <v>107</v>
      </c>
      <c r="B10" s="2" t="s">
        <v>166</v>
      </c>
      <c r="C10" s="2">
        <v>13</v>
      </c>
      <c r="D10" s="2" t="str">
        <f t="shared" ref="D10:D17" si="2">VLOOKUP(C10,$A$3:$E$6,2,0)</f>
        <v>製品G</v>
      </c>
      <c r="E10" s="21">
        <f t="shared" ref="E10:E17" si="3">VLOOKUP(C10,$A$3:$E$6,5,0)</f>
        <v>4658</v>
      </c>
      <c r="F10" s="2">
        <v>280</v>
      </c>
      <c r="G10" s="2">
        <v>260</v>
      </c>
      <c r="H10" s="2">
        <f t="shared" ref="H10:H17" si="4">ROUNDUP(G10/F10*100,0)</f>
        <v>93</v>
      </c>
      <c r="I10" s="21">
        <f t="shared" ref="I10:I17" si="5">ROUNDUP(E10*180*H10/100,0)</f>
        <v>779750</v>
      </c>
      <c r="J10" s="21">
        <f t="shared" ref="J10:J17" si="6">INT(E10*1.08*(G10-180))</f>
        <v>402451</v>
      </c>
      <c r="K10" s="31">
        <f t="shared" ref="K10:K17" si="7">I10+J10</f>
        <v>1182201</v>
      </c>
      <c r="L10" s="10" t="str">
        <f t="shared" ref="L10:L17" si="8">IF(AND(H10&gt;=90,K10&gt;=1000000),"A",IF(AND(H10&gt;=90,K10&gt;=860000),"B","C"))</f>
        <v>A</v>
      </c>
    </row>
    <row r="11" spans="1:12" x14ac:dyDescent="0.4">
      <c r="A11" s="8">
        <v>106</v>
      </c>
      <c r="B11" s="2" t="s">
        <v>165</v>
      </c>
      <c r="C11" s="2">
        <v>11</v>
      </c>
      <c r="D11" s="2" t="str">
        <f t="shared" si="2"/>
        <v>製品E</v>
      </c>
      <c r="E11" s="21">
        <f t="shared" si="3"/>
        <v>4935</v>
      </c>
      <c r="F11" s="2">
        <v>259</v>
      </c>
      <c r="G11" s="2">
        <v>236</v>
      </c>
      <c r="H11" s="2">
        <f t="shared" si="4"/>
        <v>92</v>
      </c>
      <c r="I11" s="21">
        <f t="shared" si="5"/>
        <v>817236</v>
      </c>
      <c r="J11" s="21">
        <f t="shared" si="6"/>
        <v>298468</v>
      </c>
      <c r="K11" s="31">
        <f t="shared" si="7"/>
        <v>1115704</v>
      </c>
      <c r="L11" s="10" t="str">
        <f t="shared" si="8"/>
        <v>A</v>
      </c>
    </row>
    <row r="12" spans="1:12" x14ac:dyDescent="0.4">
      <c r="A12" s="8">
        <v>101</v>
      </c>
      <c r="B12" s="2" t="s">
        <v>160</v>
      </c>
      <c r="C12" s="2">
        <v>14</v>
      </c>
      <c r="D12" s="2" t="str">
        <f t="shared" si="2"/>
        <v>製品H</v>
      </c>
      <c r="E12" s="21">
        <f t="shared" si="3"/>
        <v>4261</v>
      </c>
      <c r="F12" s="2">
        <v>291</v>
      </c>
      <c r="G12" s="2">
        <v>258</v>
      </c>
      <c r="H12" s="2">
        <f t="shared" si="4"/>
        <v>89</v>
      </c>
      <c r="I12" s="21">
        <f t="shared" si="5"/>
        <v>682613</v>
      </c>
      <c r="J12" s="21">
        <f t="shared" si="6"/>
        <v>358946</v>
      </c>
      <c r="K12" s="31">
        <f t="shared" si="7"/>
        <v>1041559</v>
      </c>
      <c r="L12" s="10" t="str">
        <f t="shared" si="8"/>
        <v>C</v>
      </c>
    </row>
    <row r="13" spans="1:12" x14ac:dyDescent="0.4">
      <c r="A13" s="8">
        <v>108</v>
      </c>
      <c r="B13" s="2" t="s">
        <v>167</v>
      </c>
      <c r="C13" s="2">
        <v>12</v>
      </c>
      <c r="D13" s="2" t="str">
        <f t="shared" si="2"/>
        <v>製品F</v>
      </c>
      <c r="E13" s="21">
        <f t="shared" si="3"/>
        <v>4459</v>
      </c>
      <c r="F13" s="2">
        <v>226</v>
      </c>
      <c r="G13" s="2">
        <v>216</v>
      </c>
      <c r="H13" s="2">
        <f t="shared" si="4"/>
        <v>96</v>
      </c>
      <c r="I13" s="21">
        <f t="shared" si="5"/>
        <v>770516</v>
      </c>
      <c r="J13" s="21">
        <f t="shared" si="6"/>
        <v>173365</v>
      </c>
      <c r="K13" s="31">
        <f t="shared" si="7"/>
        <v>943881</v>
      </c>
      <c r="L13" s="10" t="str">
        <f t="shared" si="8"/>
        <v>B</v>
      </c>
    </row>
    <row r="14" spans="1:12" x14ac:dyDescent="0.4">
      <c r="A14" s="8">
        <v>103</v>
      </c>
      <c r="B14" s="2" t="s">
        <v>162</v>
      </c>
      <c r="C14" s="2">
        <v>12</v>
      </c>
      <c r="D14" s="2" t="str">
        <f t="shared" si="2"/>
        <v>製品F</v>
      </c>
      <c r="E14" s="21">
        <f t="shared" si="3"/>
        <v>4459</v>
      </c>
      <c r="F14" s="2">
        <v>238</v>
      </c>
      <c r="G14" s="2">
        <v>215</v>
      </c>
      <c r="H14" s="2">
        <f t="shared" si="4"/>
        <v>91</v>
      </c>
      <c r="I14" s="21">
        <f t="shared" si="5"/>
        <v>730385</v>
      </c>
      <c r="J14" s="21">
        <f t="shared" si="6"/>
        <v>168550</v>
      </c>
      <c r="K14" s="31">
        <f t="shared" si="7"/>
        <v>898935</v>
      </c>
      <c r="L14" s="10" t="str">
        <f t="shared" si="8"/>
        <v>B</v>
      </c>
    </row>
    <row r="15" spans="1:12" x14ac:dyDescent="0.4">
      <c r="A15" s="8">
        <v>102</v>
      </c>
      <c r="B15" s="2" t="s">
        <v>161</v>
      </c>
      <c r="C15" s="2">
        <v>11</v>
      </c>
      <c r="D15" s="2" t="str">
        <f t="shared" si="2"/>
        <v>製品E</v>
      </c>
      <c r="E15" s="21">
        <f t="shared" si="3"/>
        <v>4935</v>
      </c>
      <c r="F15" s="2">
        <v>195</v>
      </c>
      <c r="G15" s="2">
        <v>185</v>
      </c>
      <c r="H15" s="2">
        <f t="shared" si="4"/>
        <v>95</v>
      </c>
      <c r="I15" s="21">
        <f t="shared" si="5"/>
        <v>843885</v>
      </c>
      <c r="J15" s="21">
        <f t="shared" si="6"/>
        <v>26649</v>
      </c>
      <c r="K15" s="31">
        <f t="shared" si="7"/>
        <v>870534</v>
      </c>
      <c r="L15" s="10" t="str">
        <f t="shared" si="8"/>
        <v>B</v>
      </c>
    </row>
    <row r="16" spans="1:12" x14ac:dyDescent="0.4">
      <c r="A16" s="8">
        <v>105</v>
      </c>
      <c r="B16" s="2" t="s">
        <v>164</v>
      </c>
      <c r="C16" s="2">
        <v>13</v>
      </c>
      <c r="D16" s="2" t="str">
        <f t="shared" si="2"/>
        <v>製品G</v>
      </c>
      <c r="E16" s="21">
        <f t="shared" si="3"/>
        <v>4658</v>
      </c>
      <c r="F16" s="2">
        <v>192</v>
      </c>
      <c r="G16" s="2">
        <v>180</v>
      </c>
      <c r="H16" s="2">
        <f t="shared" si="4"/>
        <v>94</v>
      </c>
      <c r="I16" s="21">
        <f t="shared" si="5"/>
        <v>788134</v>
      </c>
      <c r="J16" s="21">
        <f t="shared" si="6"/>
        <v>0</v>
      </c>
      <c r="K16" s="31">
        <f t="shared" si="7"/>
        <v>788134</v>
      </c>
      <c r="L16" s="10" t="str">
        <f t="shared" si="8"/>
        <v>C</v>
      </c>
    </row>
    <row r="17" spans="1:12" x14ac:dyDescent="0.4">
      <c r="A17" s="8">
        <v>104</v>
      </c>
      <c r="B17" s="2" t="s">
        <v>163</v>
      </c>
      <c r="C17" s="2">
        <v>14</v>
      </c>
      <c r="D17" s="2" t="str">
        <f t="shared" si="2"/>
        <v>製品H</v>
      </c>
      <c r="E17" s="21">
        <f t="shared" si="3"/>
        <v>4261</v>
      </c>
      <c r="F17" s="2">
        <v>214</v>
      </c>
      <c r="G17" s="2">
        <v>192</v>
      </c>
      <c r="H17" s="2">
        <f t="shared" si="4"/>
        <v>90</v>
      </c>
      <c r="I17" s="21">
        <f t="shared" si="5"/>
        <v>690282</v>
      </c>
      <c r="J17" s="21">
        <f t="shared" si="6"/>
        <v>55222</v>
      </c>
      <c r="K17" s="31">
        <f t="shared" si="7"/>
        <v>745504</v>
      </c>
      <c r="L17" s="10" t="str">
        <f t="shared" si="8"/>
        <v>C</v>
      </c>
    </row>
    <row r="18" spans="1:12" x14ac:dyDescent="0.4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10"/>
    </row>
    <row r="19" spans="1:12" ht="19.5" thickBot="1" x14ac:dyDescent="0.45">
      <c r="A19" s="11"/>
      <c r="B19" s="12" t="s">
        <v>13</v>
      </c>
      <c r="C19" s="16"/>
      <c r="D19" s="16"/>
      <c r="E19" s="16"/>
      <c r="F19" s="28">
        <f>SUM(F10:F17)</f>
        <v>1895</v>
      </c>
      <c r="G19" s="28">
        <f t="shared" ref="G19:K19" si="9">SUM(G10:G17)</f>
        <v>1742</v>
      </c>
      <c r="H19" s="28"/>
      <c r="I19" s="28">
        <f t="shared" si="9"/>
        <v>6102801</v>
      </c>
      <c r="J19" s="28">
        <f t="shared" si="9"/>
        <v>1483651</v>
      </c>
      <c r="K19" s="28">
        <f t="shared" si="9"/>
        <v>7586452</v>
      </c>
      <c r="L19" s="14"/>
    </row>
  </sheetData>
  <sortState ref="A10:L17">
    <sortCondition descending="1" ref="K9"/>
  </sortState>
  <mergeCells count="2">
    <mergeCell ref="A1:E1"/>
    <mergeCell ref="A8:L8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5FAE-AB67-4210-ABF0-0FE2B6D1C8CD}">
  <sheetPr>
    <tabColor theme="7" tint="0.59999389629810485"/>
  </sheetPr>
  <dimension ref="A1:J36"/>
  <sheetViews>
    <sheetView workbookViewId="0">
      <selection activeCell="F26" sqref="F26"/>
    </sheetView>
  </sheetViews>
  <sheetFormatPr defaultRowHeight="18.75" x14ac:dyDescent="0.4"/>
  <cols>
    <col min="1" max="1" width="11" bestFit="1" customWidth="1"/>
    <col min="2" max="2" width="19.25" bestFit="1" customWidth="1"/>
    <col min="8" max="8" width="6.625" customWidth="1"/>
    <col min="13" max="13" width="31.125" customWidth="1"/>
    <col min="14" max="14" width="45.375" customWidth="1"/>
  </cols>
  <sheetData>
    <row r="1" spans="1:10" ht="19.5" thickBot="1" x14ac:dyDescent="0.45">
      <c r="A1" s="54" t="s">
        <v>278</v>
      </c>
      <c r="B1" s="54"/>
      <c r="C1" s="54"/>
      <c r="D1" s="54"/>
      <c r="E1" s="54"/>
      <c r="F1" s="54"/>
      <c r="G1" s="54"/>
    </row>
    <row r="2" spans="1:10" ht="19.5" thickBot="1" x14ac:dyDescent="0.45">
      <c r="A2" s="41" t="s">
        <v>279</v>
      </c>
      <c r="B2" s="42" t="s">
        <v>168</v>
      </c>
      <c r="C2" s="42" t="s">
        <v>169</v>
      </c>
      <c r="D2" s="42" t="s">
        <v>170</v>
      </c>
      <c r="E2" s="42" t="s">
        <v>171</v>
      </c>
      <c r="F2" s="42" t="s">
        <v>172</v>
      </c>
      <c r="G2" s="43" t="s">
        <v>173</v>
      </c>
    </row>
    <row r="3" spans="1:10" x14ac:dyDescent="0.4">
      <c r="A3" s="8">
        <v>101</v>
      </c>
      <c r="B3" s="2" t="s">
        <v>175</v>
      </c>
      <c r="C3" s="21">
        <v>12521</v>
      </c>
      <c r="D3" s="21">
        <v>12203</v>
      </c>
      <c r="E3" s="2">
        <f>ROUNDDOWN(D3/C3*100,1)</f>
        <v>97.4</v>
      </c>
      <c r="F3" s="35">
        <f>IF(OR(D3&gt;=10000, E3&gt;=98),105%, 102%)</f>
        <v>1.05</v>
      </c>
      <c r="G3" s="27">
        <f>ROUNDUP($J$4*D3*F3,0)</f>
        <v>137101</v>
      </c>
      <c r="I3" s="19"/>
      <c r="J3" s="43" t="s">
        <v>283</v>
      </c>
    </row>
    <row r="4" spans="1:10" x14ac:dyDescent="0.4">
      <c r="A4" s="8">
        <v>102</v>
      </c>
      <c r="B4" s="2" t="s">
        <v>176</v>
      </c>
      <c r="C4" s="21">
        <v>6705</v>
      </c>
      <c r="D4" s="21">
        <v>6562</v>
      </c>
      <c r="E4" s="2">
        <f t="shared" ref="E4:E9" si="0">ROUNDDOWN(D4/C4*100,1)</f>
        <v>97.8</v>
      </c>
      <c r="F4" s="35">
        <f t="shared" ref="F4:F9" si="1">IF(OR(D4&gt;=10000, E4&gt;=98),105%, 102%)</f>
        <v>1.02</v>
      </c>
      <c r="G4" s="27">
        <f t="shared" ref="G4:G9" si="2">ROUNDUP($J$4*D4*F4,0)</f>
        <v>71618</v>
      </c>
      <c r="I4" s="25" t="s">
        <v>280</v>
      </c>
      <c r="J4" s="10">
        <v>10.7</v>
      </c>
    </row>
    <row r="5" spans="1:10" ht="19.5" thickBot="1" x14ac:dyDescent="0.45">
      <c r="A5" s="8">
        <v>103</v>
      </c>
      <c r="B5" s="2" t="s">
        <v>177</v>
      </c>
      <c r="C5" s="21">
        <v>8695</v>
      </c>
      <c r="D5" s="21">
        <v>8346</v>
      </c>
      <c r="E5" s="2">
        <f t="shared" si="0"/>
        <v>95.9</v>
      </c>
      <c r="F5" s="35">
        <f t="shared" si="1"/>
        <v>1.02</v>
      </c>
      <c r="G5" s="27">
        <f t="shared" si="2"/>
        <v>91089</v>
      </c>
      <c r="I5" s="52" t="s">
        <v>282</v>
      </c>
      <c r="J5" s="14">
        <v>11.4</v>
      </c>
    </row>
    <row r="6" spans="1:10" x14ac:dyDescent="0.4">
      <c r="A6" s="8">
        <v>104</v>
      </c>
      <c r="B6" s="2" t="s">
        <v>178</v>
      </c>
      <c r="C6" s="21">
        <v>9540</v>
      </c>
      <c r="D6" s="21">
        <v>9367</v>
      </c>
      <c r="E6" s="2">
        <f t="shared" si="0"/>
        <v>98.1</v>
      </c>
      <c r="F6" s="35">
        <f t="shared" si="1"/>
        <v>1.05</v>
      </c>
      <c r="G6" s="27">
        <f t="shared" si="2"/>
        <v>105239</v>
      </c>
    </row>
    <row r="7" spans="1:10" x14ac:dyDescent="0.4">
      <c r="A7" s="8">
        <v>105</v>
      </c>
      <c r="B7" s="2" t="s">
        <v>179</v>
      </c>
      <c r="C7" s="21">
        <v>4824</v>
      </c>
      <c r="D7" s="21">
        <v>4728</v>
      </c>
      <c r="E7" s="2">
        <f t="shared" si="0"/>
        <v>98</v>
      </c>
      <c r="F7" s="35">
        <f t="shared" si="1"/>
        <v>1.05</v>
      </c>
      <c r="G7" s="27">
        <f t="shared" si="2"/>
        <v>53120</v>
      </c>
    </row>
    <row r="8" spans="1:10" x14ac:dyDescent="0.4">
      <c r="A8" s="8">
        <v>106</v>
      </c>
      <c r="B8" s="2" t="s">
        <v>180</v>
      </c>
      <c r="C8" s="21">
        <v>7356</v>
      </c>
      <c r="D8" s="21">
        <v>7125</v>
      </c>
      <c r="E8" s="2">
        <f t="shared" si="0"/>
        <v>96.8</v>
      </c>
      <c r="F8" s="35">
        <f t="shared" si="1"/>
        <v>1.02</v>
      </c>
      <c r="G8" s="27">
        <f t="shared" si="2"/>
        <v>77763</v>
      </c>
    </row>
    <row r="9" spans="1:10" x14ac:dyDescent="0.4">
      <c r="A9" s="8">
        <v>107</v>
      </c>
      <c r="B9" s="2" t="s">
        <v>181</v>
      </c>
      <c r="C9" s="21">
        <v>8942</v>
      </c>
      <c r="D9" s="21">
        <v>8574</v>
      </c>
      <c r="E9" s="2">
        <f t="shared" si="0"/>
        <v>95.8</v>
      </c>
      <c r="F9" s="35">
        <f t="shared" si="1"/>
        <v>1.02</v>
      </c>
      <c r="G9" s="27">
        <f t="shared" si="2"/>
        <v>93577</v>
      </c>
    </row>
    <row r="10" spans="1:10" x14ac:dyDescent="0.4">
      <c r="A10" s="8"/>
      <c r="B10" s="2"/>
      <c r="C10" s="2"/>
      <c r="D10" s="2"/>
      <c r="E10" s="2"/>
      <c r="F10" s="2"/>
      <c r="G10" s="10"/>
    </row>
    <row r="11" spans="1:10" ht="19.5" thickBot="1" x14ac:dyDescent="0.45">
      <c r="A11" s="11"/>
      <c r="B11" s="12" t="s">
        <v>174</v>
      </c>
      <c r="C11" s="32">
        <f>SUM(C3:C9)</f>
        <v>58583</v>
      </c>
      <c r="D11" s="32">
        <f t="shared" ref="D11:G11" si="3">SUM(D3:D9)</f>
        <v>56905</v>
      </c>
      <c r="E11" s="32"/>
      <c r="F11" s="32"/>
      <c r="G11" s="45">
        <f t="shared" si="3"/>
        <v>629507</v>
      </c>
    </row>
    <row r="13" spans="1:10" ht="19.5" thickBot="1" x14ac:dyDescent="0.45">
      <c r="A13" s="54" t="s">
        <v>284</v>
      </c>
      <c r="B13" s="54"/>
      <c r="C13" s="54"/>
      <c r="D13" s="54"/>
      <c r="E13" s="54"/>
      <c r="F13" s="54"/>
      <c r="G13" s="54"/>
    </row>
    <row r="14" spans="1:10" x14ac:dyDescent="0.4">
      <c r="A14" s="41" t="s">
        <v>279</v>
      </c>
      <c r="B14" s="42" t="s">
        <v>168</v>
      </c>
      <c r="C14" s="42" t="s">
        <v>169</v>
      </c>
      <c r="D14" s="42" t="s">
        <v>170</v>
      </c>
      <c r="E14" s="42" t="s">
        <v>171</v>
      </c>
      <c r="F14" s="42" t="s">
        <v>172</v>
      </c>
      <c r="G14" s="43" t="s">
        <v>173</v>
      </c>
    </row>
    <row r="15" spans="1:10" x14ac:dyDescent="0.4">
      <c r="A15" s="8">
        <v>101</v>
      </c>
      <c r="B15" s="2" t="s">
        <v>175</v>
      </c>
      <c r="C15" s="21">
        <v>4926</v>
      </c>
      <c r="D15" s="21">
        <v>4831</v>
      </c>
      <c r="E15" s="2">
        <f>ROUNDDOWN(D15/C15*100,1)</f>
        <v>98</v>
      </c>
      <c r="F15" s="35">
        <f>IF(OR(D15&gt;=10000, E15&gt;=98),105%, 102%)</f>
        <v>1.05</v>
      </c>
      <c r="G15" s="27">
        <f>ROUNDUP($J$5*D15*F15,0)</f>
        <v>57828</v>
      </c>
    </row>
    <row r="16" spans="1:10" x14ac:dyDescent="0.4">
      <c r="A16" s="8">
        <v>102</v>
      </c>
      <c r="B16" s="2" t="s">
        <v>176</v>
      </c>
      <c r="C16" s="21">
        <v>7968</v>
      </c>
      <c r="D16" s="21">
        <v>7713</v>
      </c>
      <c r="E16" s="2">
        <f t="shared" ref="E16:E21" si="4">ROUNDDOWN(D16/C16*100,1)</f>
        <v>96.7</v>
      </c>
      <c r="F16" s="35">
        <f t="shared" ref="F16:F21" si="5">IF(OR(D16&gt;=10000, E16&gt;=98),105%, 102%)</f>
        <v>1.02</v>
      </c>
      <c r="G16" s="27">
        <f t="shared" ref="G16:G21" si="6">ROUNDUP($J$5*D16*F16,0)</f>
        <v>89687</v>
      </c>
    </row>
    <row r="17" spans="1:7" x14ac:dyDescent="0.4">
      <c r="A17" s="8">
        <v>103</v>
      </c>
      <c r="B17" s="2" t="s">
        <v>177</v>
      </c>
      <c r="C17" s="21">
        <v>10520</v>
      </c>
      <c r="D17" s="21">
        <v>10284</v>
      </c>
      <c r="E17" s="2">
        <f t="shared" si="4"/>
        <v>97.7</v>
      </c>
      <c r="F17" s="35">
        <f t="shared" si="5"/>
        <v>1.05</v>
      </c>
      <c r="G17" s="27">
        <f t="shared" si="6"/>
        <v>123100</v>
      </c>
    </row>
    <row r="18" spans="1:7" x14ac:dyDescent="0.4">
      <c r="A18" s="8">
        <v>104</v>
      </c>
      <c r="B18" s="2" t="s">
        <v>178</v>
      </c>
      <c r="C18" s="21">
        <v>3952</v>
      </c>
      <c r="D18" s="21">
        <v>3902</v>
      </c>
      <c r="E18" s="2">
        <f t="shared" si="4"/>
        <v>98.7</v>
      </c>
      <c r="F18" s="35">
        <f t="shared" si="5"/>
        <v>1.05</v>
      </c>
      <c r="G18" s="27">
        <f t="shared" si="6"/>
        <v>46707</v>
      </c>
    </row>
    <row r="19" spans="1:7" x14ac:dyDescent="0.4">
      <c r="A19" s="8">
        <v>105</v>
      </c>
      <c r="B19" s="2" t="s">
        <v>179</v>
      </c>
      <c r="C19" s="21">
        <v>11769</v>
      </c>
      <c r="D19" s="21">
        <v>11318</v>
      </c>
      <c r="E19" s="2">
        <f t="shared" si="4"/>
        <v>96.1</v>
      </c>
      <c r="F19" s="35">
        <f t="shared" si="5"/>
        <v>1.05</v>
      </c>
      <c r="G19" s="27">
        <f t="shared" si="6"/>
        <v>135477</v>
      </c>
    </row>
    <row r="20" spans="1:7" x14ac:dyDescent="0.4">
      <c r="A20" s="8">
        <v>106</v>
      </c>
      <c r="B20" s="2" t="s">
        <v>180</v>
      </c>
      <c r="C20" s="21">
        <v>8437</v>
      </c>
      <c r="D20" s="21">
        <v>8085</v>
      </c>
      <c r="E20" s="2">
        <f t="shared" si="4"/>
        <v>95.8</v>
      </c>
      <c r="F20" s="35">
        <f t="shared" si="5"/>
        <v>1.02</v>
      </c>
      <c r="G20" s="27">
        <f t="shared" si="6"/>
        <v>94013</v>
      </c>
    </row>
    <row r="21" spans="1:7" x14ac:dyDescent="0.4">
      <c r="A21" s="8">
        <v>107</v>
      </c>
      <c r="B21" s="2" t="s">
        <v>181</v>
      </c>
      <c r="C21" s="21">
        <v>9871</v>
      </c>
      <c r="D21" s="21">
        <v>9587</v>
      </c>
      <c r="E21" s="2">
        <f t="shared" si="4"/>
        <v>97.1</v>
      </c>
      <c r="F21" s="35">
        <f t="shared" si="5"/>
        <v>1.02</v>
      </c>
      <c r="G21" s="27">
        <f t="shared" si="6"/>
        <v>111478</v>
      </c>
    </row>
    <row r="22" spans="1:7" x14ac:dyDescent="0.4">
      <c r="A22" s="8"/>
      <c r="B22" s="2"/>
      <c r="C22" s="2"/>
      <c r="D22" s="2"/>
      <c r="E22" s="2"/>
      <c r="F22" s="2"/>
      <c r="G22" s="10"/>
    </row>
    <row r="23" spans="1:7" ht="19.5" thickBot="1" x14ac:dyDescent="0.45">
      <c r="A23" s="11"/>
      <c r="B23" s="12" t="s">
        <v>174</v>
      </c>
      <c r="C23" s="32">
        <f>SUM(C15:C21)</f>
        <v>57443</v>
      </c>
      <c r="D23" s="32">
        <f t="shared" ref="D23" si="7">SUM(D15:D21)</f>
        <v>55720</v>
      </c>
      <c r="E23" s="32"/>
      <c r="F23" s="32"/>
      <c r="G23" s="45">
        <f t="shared" ref="G23" si="8">SUM(G15:G21)</f>
        <v>658290</v>
      </c>
    </row>
    <row r="25" spans="1:7" ht="19.5" thickBot="1" x14ac:dyDescent="0.45">
      <c r="A25" s="54" t="s">
        <v>285</v>
      </c>
      <c r="B25" s="54"/>
      <c r="C25" s="54"/>
      <c r="D25" s="54"/>
      <c r="E25" s="54"/>
      <c r="F25" s="54"/>
      <c r="G25" s="54"/>
    </row>
    <row r="26" spans="1:7" x14ac:dyDescent="0.4">
      <c r="A26" s="41" t="s">
        <v>279</v>
      </c>
      <c r="B26" s="42" t="s">
        <v>168</v>
      </c>
      <c r="C26" s="42" t="s">
        <v>286</v>
      </c>
      <c r="D26" s="42" t="s">
        <v>281</v>
      </c>
      <c r="E26" s="42" t="s">
        <v>183</v>
      </c>
      <c r="F26" s="42" t="s">
        <v>184</v>
      </c>
      <c r="G26" s="43" t="s">
        <v>185</v>
      </c>
    </row>
    <row r="27" spans="1:7" x14ac:dyDescent="0.4">
      <c r="A27" s="8">
        <v>104</v>
      </c>
      <c r="B27" s="2" t="s">
        <v>178</v>
      </c>
      <c r="C27" s="21">
        <f>VLOOKUP(A27, $A$3:$G$9,7, 0)</f>
        <v>105239</v>
      </c>
      <c r="D27" s="21">
        <f>VLOOKUP(A27,$A$15:$G$21,7,0)</f>
        <v>46707</v>
      </c>
      <c r="E27" s="21">
        <f>INT((C27+D27)*5.7%)</f>
        <v>8660</v>
      </c>
      <c r="F27" s="31">
        <f>C27+D27+E27</f>
        <v>160606</v>
      </c>
      <c r="G27" s="10" t="str">
        <f>IF(AND(C27&gt;=$C$36,D27&gt;=$D$36),"###",IF(OR(C27&gt;=$C$36,D27&gt;=$D$36),"##","#"))</f>
        <v>##</v>
      </c>
    </row>
    <row r="28" spans="1:7" x14ac:dyDescent="0.4">
      <c r="A28" s="8">
        <v>102</v>
      </c>
      <c r="B28" s="2" t="s">
        <v>176</v>
      </c>
      <c r="C28" s="21">
        <f>VLOOKUP(A28, $A$3:$G$9,7, 0)</f>
        <v>71618</v>
      </c>
      <c r="D28" s="21">
        <f>VLOOKUP(A28,$A$15:$G$21,7,0)</f>
        <v>89687</v>
      </c>
      <c r="E28" s="21">
        <f>INT((C28+D28)*5.7%)</f>
        <v>9194</v>
      </c>
      <c r="F28" s="31">
        <f>C28+D28+E28</f>
        <v>170499</v>
      </c>
      <c r="G28" s="10" t="str">
        <f>IF(AND(C28&gt;=$C$36,D28&gt;=$D$36),"###",IF(OR(C28&gt;=$C$36,D28&gt;=$D$36),"##","#"))</f>
        <v>#</v>
      </c>
    </row>
    <row r="29" spans="1:7" x14ac:dyDescent="0.4">
      <c r="A29" s="8">
        <v>106</v>
      </c>
      <c r="B29" s="2" t="s">
        <v>180</v>
      </c>
      <c r="C29" s="21">
        <f>VLOOKUP(A29, $A$3:$G$9,7, 0)</f>
        <v>77763</v>
      </c>
      <c r="D29" s="21">
        <f>VLOOKUP(A29,$A$15:$G$21,7,0)</f>
        <v>94013</v>
      </c>
      <c r="E29" s="21">
        <f>INT((C29+D29)*5.7%)</f>
        <v>9791</v>
      </c>
      <c r="F29" s="31">
        <f>C29+D29+E29</f>
        <v>181567</v>
      </c>
      <c r="G29" s="10" t="str">
        <f>IF(AND(C29&gt;=$C$36,D29&gt;=$D$36),"###",IF(OR(C29&gt;=$C$36,D29&gt;=$D$36),"##","#"))</f>
        <v>#</v>
      </c>
    </row>
    <row r="30" spans="1:7" x14ac:dyDescent="0.4">
      <c r="A30" s="8">
        <v>105</v>
      </c>
      <c r="B30" s="2" t="s">
        <v>179</v>
      </c>
      <c r="C30" s="21">
        <f>VLOOKUP(A30, $A$3:$G$9,7, 0)</f>
        <v>53120</v>
      </c>
      <c r="D30" s="21">
        <f>VLOOKUP(A30,$A$15:$G$21,7,0)</f>
        <v>135477</v>
      </c>
      <c r="E30" s="21">
        <f>INT((C30+D30)*5.7%)</f>
        <v>10750</v>
      </c>
      <c r="F30" s="31">
        <f>C30+D30+E30</f>
        <v>199347</v>
      </c>
      <c r="G30" s="10" t="str">
        <f>IF(AND(C30&gt;=$C$36,D30&gt;=$D$36),"###",IF(OR(C30&gt;=$C$36,D30&gt;=$D$36),"##","#"))</f>
        <v>##</v>
      </c>
    </row>
    <row r="31" spans="1:7" x14ac:dyDescent="0.4">
      <c r="A31" s="8">
        <v>101</v>
      </c>
      <c r="B31" s="2" t="s">
        <v>175</v>
      </c>
      <c r="C31" s="21">
        <f>VLOOKUP(A31, $A$3:$G$9,7, 0)</f>
        <v>137101</v>
      </c>
      <c r="D31" s="21">
        <f>VLOOKUP(A31,$A$15:$G$21,7,0)</f>
        <v>57828</v>
      </c>
      <c r="E31" s="21">
        <f>INT((C31+D31)*5.7%)</f>
        <v>11110</v>
      </c>
      <c r="F31" s="31">
        <f>C31+D31+E31</f>
        <v>206039</v>
      </c>
      <c r="G31" s="10" t="str">
        <f>IF(AND(C31&gt;=$C$36,D31&gt;=$D$36),"###",IF(OR(C31&gt;=$C$36,D31&gt;=$D$36),"##","#"))</f>
        <v>##</v>
      </c>
    </row>
    <row r="32" spans="1:7" x14ac:dyDescent="0.4">
      <c r="A32" s="8">
        <v>107</v>
      </c>
      <c r="B32" s="2" t="s">
        <v>181</v>
      </c>
      <c r="C32" s="21">
        <f>VLOOKUP(A32, $A$3:$G$9,7, 0)</f>
        <v>93577</v>
      </c>
      <c r="D32" s="21">
        <f>VLOOKUP(A32,$A$15:$G$21,7,0)</f>
        <v>111478</v>
      </c>
      <c r="E32" s="21">
        <f>INT((C32+D32)*5.7%)</f>
        <v>11688</v>
      </c>
      <c r="F32" s="31">
        <f>C32+D32+E32</f>
        <v>216743</v>
      </c>
      <c r="G32" s="10" t="str">
        <f>IF(AND(C32&gt;=$C$36,D32&gt;=$D$36),"###",IF(OR(C32&gt;=$C$36,D32&gt;=$D$36),"##","#"))</f>
        <v>###</v>
      </c>
    </row>
    <row r="33" spans="1:7" x14ac:dyDescent="0.4">
      <c r="A33" s="8">
        <v>103</v>
      </c>
      <c r="B33" s="2" t="s">
        <v>177</v>
      </c>
      <c r="C33" s="21">
        <f>VLOOKUP(A33, $A$3:$G$9,7, 0)</f>
        <v>91089</v>
      </c>
      <c r="D33" s="21">
        <f>VLOOKUP(A33,$A$15:$G$21,7,0)</f>
        <v>123100</v>
      </c>
      <c r="E33" s="21">
        <f>INT((C33+D33)*5.7%)</f>
        <v>12208</v>
      </c>
      <c r="F33" s="31">
        <f>C33+D33+E33</f>
        <v>226397</v>
      </c>
      <c r="G33" s="10" t="str">
        <f>IF(AND(C33&gt;=$C$36,D33&gt;=$D$36),"###",IF(OR(C33&gt;=$C$36,D33&gt;=$D$36),"##","#"))</f>
        <v>###</v>
      </c>
    </row>
    <row r="34" spans="1:7" x14ac:dyDescent="0.4">
      <c r="A34" s="8"/>
      <c r="B34" s="2"/>
      <c r="C34" s="2"/>
      <c r="D34" s="2"/>
      <c r="E34" s="2"/>
      <c r="F34" s="2"/>
      <c r="G34" s="10"/>
    </row>
    <row r="35" spans="1:7" x14ac:dyDescent="0.4">
      <c r="A35" s="8"/>
      <c r="B35" s="15" t="s">
        <v>174</v>
      </c>
      <c r="C35" s="31">
        <f>SUM(C27:C33)</f>
        <v>629507</v>
      </c>
      <c r="D35" s="31">
        <f t="shared" ref="D35:F35" si="9">SUM(D27:D33)</f>
        <v>658290</v>
      </c>
      <c r="E35" s="31">
        <f t="shared" si="9"/>
        <v>73401</v>
      </c>
      <c r="F35" s="31">
        <f t="shared" si="9"/>
        <v>1361198</v>
      </c>
      <c r="G35" s="10"/>
    </row>
    <row r="36" spans="1:7" ht="19.5" thickBot="1" x14ac:dyDescent="0.45">
      <c r="A36" s="11"/>
      <c r="B36" s="12" t="s">
        <v>182</v>
      </c>
      <c r="C36" s="32">
        <f>AVERAGE(C27:C33)</f>
        <v>89929.571428571435</v>
      </c>
      <c r="D36" s="32">
        <f t="shared" ref="D36:F36" si="10">AVERAGE(D27:D33)</f>
        <v>94041.428571428565</v>
      </c>
      <c r="E36" s="32">
        <f t="shared" si="10"/>
        <v>10485.857142857143</v>
      </c>
      <c r="F36" s="32">
        <f t="shared" si="10"/>
        <v>194456.85714285713</v>
      </c>
      <c r="G36" s="14"/>
    </row>
  </sheetData>
  <sortState ref="A27:G33">
    <sortCondition ref="F26"/>
  </sortState>
  <mergeCells count="3">
    <mergeCell ref="A1:G1"/>
    <mergeCell ref="A13:G13"/>
    <mergeCell ref="A25:G25"/>
  </mergeCells>
  <phoneticPr fontId="2" type="Hiragana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197C-B496-43B0-9144-B70071B0A6DD}">
  <dimension ref="A1:M28"/>
  <sheetViews>
    <sheetView topLeftCell="A10" workbookViewId="0">
      <selection activeCell="E27" sqref="E27:E28"/>
    </sheetView>
  </sheetViews>
  <sheetFormatPr defaultRowHeight="18.75" x14ac:dyDescent="0.4"/>
  <cols>
    <col min="1" max="1" width="6" bestFit="1" customWidth="1"/>
    <col min="2" max="2" width="11" bestFit="1" customWidth="1"/>
    <col min="3" max="3" width="7.125" bestFit="1" customWidth="1"/>
    <col min="4" max="4" width="10.5" bestFit="1" customWidth="1"/>
    <col min="5" max="5" width="7.875" bestFit="1" customWidth="1"/>
    <col min="6" max="6" width="9.5" bestFit="1" customWidth="1"/>
    <col min="7" max="7" width="10.5" bestFit="1" customWidth="1"/>
    <col min="8" max="8" width="6" bestFit="1" customWidth="1"/>
    <col min="9" max="9" width="10.5" bestFit="1" customWidth="1"/>
    <col min="10" max="10" width="4" customWidth="1"/>
    <col min="12" max="12" width="7.5" bestFit="1" customWidth="1"/>
    <col min="13" max="13" width="7.875" bestFit="1" customWidth="1"/>
  </cols>
  <sheetData>
    <row r="1" spans="1:13" ht="19.5" thickBot="1" x14ac:dyDescent="0.45">
      <c r="A1" s="54" t="s">
        <v>295</v>
      </c>
      <c r="B1" s="54"/>
      <c r="C1" s="54"/>
      <c r="D1" s="54"/>
      <c r="E1" s="54"/>
      <c r="F1" s="54"/>
      <c r="G1" s="54"/>
      <c r="H1" s="54"/>
      <c r="I1" s="54"/>
    </row>
    <row r="2" spans="1:13" ht="19.5" thickBot="1" x14ac:dyDescent="0.45">
      <c r="A2" s="49" t="s">
        <v>186</v>
      </c>
      <c r="B2" s="50" t="s">
        <v>187</v>
      </c>
      <c r="C2" s="50" t="s">
        <v>188</v>
      </c>
      <c r="D2" s="50" t="s">
        <v>189</v>
      </c>
      <c r="E2" s="50" t="s">
        <v>296</v>
      </c>
      <c r="F2" s="50" t="s">
        <v>190</v>
      </c>
      <c r="G2" s="50" t="s">
        <v>191</v>
      </c>
      <c r="H2" s="50" t="s">
        <v>192</v>
      </c>
      <c r="I2" s="51" t="s">
        <v>193</v>
      </c>
    </row>
    <row r="3" spans="1:13" x14ac:dyDescent="0.4">
      <c r="A3" s="8">
        <v>101</v>
      </c>
      <c r="B3" s="2" t="s">
        <v>194</v>
      </c>
      <c r="C3" s="2">
        <v>11</v>
      </c>
      <c r="D3" s="2" t="str">
        <f>VLOOKUP(C3,$K$4:$M$8,2,0)</f>
        <v>A商品</v>
      </c>
      <c r="E3" s="2">
        <f>VLOOKUP(C3,$K$4:$M$8,3,0)</f>
        <v>29.54</v>
      </c>
      <c r="F3" s="21">
        <f>INT(E3*1.27*$L$11)</f>
        <v>5466</v>
      </c>
      <c r="G3" s="21">
        <v>372</v>
      </c>
      <c r="H3" s="21">
        <f>ROUNDUP(IF(G3&lt;450,F3*0.89,F3*0.87),0)</f>
        <v>4865</v>
      </c>
      <c r="I3" s="27">
        <f>H3*G3</f>
        <v>1809780</v>
      </c>
      <c r="K3" s="41" t="s">
        <v>188</v>
      </c>
      <c r="L3" s="42" t="s">
        <v>189</v>
      </c>
      <c r="M3" s="43" t="s">
        <v>296</v>
      </c>
    </row>
    <row r="4" spans="1:13" x14ac:dyDescent="0.4">
      <c r="A4" s="8">
        <v>102</v>
      </c>
      <c r="B4" s="2" t="s">
        <v>195</v>
      </c>
      <c r="C4" s="2">
        <v>14</v>
      </c>
      <c r="D4" s="2" t="str">
        <f t="shared" ref="D4:D11" si="0">VLOOKUP(C4,$K$4:$M$8,2,0)</f>
        <v>D商品</v>
      </c>
      <c r="E4" s="2">
        <f t="shared" ref="E4:E11" si="1">VLOOKUP(C4,$K$4:$M$8,3,0)</f>
        <v>32.96</v>
      </c>
      <c r="F4" s="21">
        <f t="shared" ref="F4:F11" si="2">INT(E4*1.27*$L$11)</f>
        <v>6099</v>
      </c>
      <c r="G4" s="21">
        <v>459</v>
      </c>
      <c r="H4" s="21">
        <f t="shared" ref="H4:H11" si="3">ROUNDUP(IF(G4&lt;450,F4*0.89,F4*0.87),0)</f>
        <v>5307</v>
      </c>
      <c r="I4" s="27">
        <f t="shared" ref="I4:I11" si="4">H4*G4</f>
        <v>2435913</v>
      </c>
      <c r="K4" s="8">
        <v>11</v>
      </c>
      <c r="L4" s="2" t="s">
        <v>297</v>
      </c>
      <c r="M4" s="10">
        <v>29.54</v>
      </c>
    </row>
    <row r="5" spans="1:13" x14ac:dyDescent="0.4">
      <c r="A5" s="8">
        <v>103</v>
      </c>
      <c r="B5" s="2" t="s">
        <v>196</v>
      </c>
      <c r="C5" s="2">
        <v>12</v>
      </c>
      <c r="D5" s="2" t="str">
        <f t="shared" si="0"/>
        <v>B商品</v>
      </c>
      <c r="E5" s="2">
        <f t="shared" si="1"/>
        <v>37.61</v>
      </c>
      <c r="F5" s="21">
        <f t="shared" si="2"/>
        <v>6960</v>
      </c>
      <c r="G5" s="21">
        <v>427</v>
      </c>
      <c r="H5" s="21">
        <f t="shared" si="3"/>
        <v>6195</v>
      </c>
      <c r="I5" s="27">
        <f t="shared" si="4"/>
        <v>2645265</v>
      </c>
      <c r="K5" s="8">
        <v>12</v>
      </c>
      <c r="L5" s="2" t="s">
        <v>298</v>
      </c>
      <c r="M5" s="10">
        <v>37.61</v>
      </c>
    </row>
    <row r="6" spans="1:13" x14ac:dyDescent="0.4">
      <c r="A6" s="8">
        <v>104</v>
      </c>
      <c r="B6" s="2" t="s">
        <v>197</v>
      </c>
      <c r="C6" s="2">
        <v>13</v>
      </c>
      <c r="D6" s="2" t="str">
        <f t="shared" si="0"/>
        <v>C商品</v>
      </c>
      <c r="E6" s="2">
        <f t="shared" si="1"/>
        <v>26.18</v>
      </c>
      <c r="F6" s="21">
        <f t="shared" si="2"/>
        <v>4844</v>
      </c>
      <c r="G6" s="21">
        <v>384</v>
      </c>
      <c r="H6" s="21">
        <f t="shared" si="3"/>
        <v>4312</v>
      </c>
      <c r="I6" s="27">
        <f t="shared" si="4"/>
        <v>1655808</v>
      </c>
      <c r="K6" s="8">
        <v>13</v>
      </c>
      <c r="L6" s="2" t="s">
        <v>299</v>
      </c>
      <c r="M6" s="10">
        <v>26.18</v>
      </c>
    </row>
    <row r="7" spans="1:13" x14ac:dyDescent="0.4">
      <c r="A7" s="8">
        <v>105</v>
      </c>
      <c r="B7" s="2" t="s">
        <v>198</v>
      </c>
      <c r="C7" s="2">
        <v>15</v>
      </c>
      <c r="D7" s="2" t="str">
        <f t="shared" si="0"/>
        <v>E商品</v>
      </c>
      <c r="E7" s="2">
        <f t="shared" si="1"/>
        <v>36.47</v>
      </c>
      <c r="F7" s="21">
        <f t="shared" si="2"/>
        <v>6749</v>
      </c>
      <c r="G7" s="21">
        <v>512</v>
      </c>
      <c r="H7" s="21">
        <f t="shared" si="3"/>
        <v>5872</v>
      </c>
      <c r="I7" s="27">
        <f t="shared" si="4"/>
        <v>3006464</v>
      </c>
      <c r="K7" s="8">
        <v>14</v>
      </c>
      <c r="L7" s="2" t="s">
        <v>300</v>
      </c>
      <c r="M7" s="10">
        <v>32.96</v>
      </c>
    </row>
    <row r="8" spans="1:13" ht="19.5" thickBot="1" x14ac:dyDescent="0.45">
      <c r="A8" s="8">
        <v>106</v>
      </c>
      <c r="B8" s="2" t="s">
        <v>199</v>
      </c>
      <c r="C8" s="2">
        <v>11</v>
      </c>
      <c r="D8" s="2" t="str">
        <f t="shared" si="0"/>
        <v>A商品</v>
      </c>
      <c r="E8" s="2">
        <f t="shared" si="1"/>
        <v>29.54</v>
      </c>
      <c r="F8" s="21">
        <f t="shared" si="2"/>
        <v>5466</v>
      </c>
      <c r="G8" s="21">
        <v>481</v>
      </c>
      <c r="H8" s="21">
        <f t="shared" si="3"/>
        <v>4756</v>
      </c>
      <c r="I8" s="27">
        <f t="shared" si="4"/>
        <v>2287636</v>
      </c>
      <c r="K8" s="11">
        <v>15</v>
      </c>
      <c r="L8" s="16" t="s">
        <v>301</v>
      </c>
      <c r="M8" s="14">
        <v>36.47</v>
      </c>
    </row>
    <row r="9" spans="1:13" x14ac:dyDescent="0.4">
      <c r="A9" s="8">
        <v>107</v>
      </c>
      <c r="B9" s="2" t="s">
        <v>200</v>
      </c>
      <c r="C9" s="2">
        <v>13</v>
      </c>
      <c r="D9" s="2" t="str">
        <f t="shared" si="0"/>
        <v>C商品</v>
      </c>
      <c r="E9" s="2">
        <f t="shared" si="1"/>
        <v>26.18</v>
      </c>
      <c r="F9" s="21">
        <f t="shared" si="2"/>
        <v>4844</v>
      </c>
      <c r="G9" s="21">
        <v>450</v>
      </c>
      <c r="H9" s="21">
        <f t="shared" si="3"/>
        <v>4215</v>
      </c>
      <c r="I9" s="27">
        <f t="shared" si="4"/>
        <v>1896750</v>
      </c>
    </row>
    <row r="10" spans="1:13" ht="19.5" thickBot="1" x14ac:dyDescent="0.45">
      <c r="A10" s="8">
        <v>108</v>
      </c>
      <c r="B10" s="2" t="s">
        <v>201</v>
      </c>
      <c r="C10" s="2">
        <v>12</v>
      </c>
      <c r="D10" s="2" t="str">
        <f t="shared" si="0"/>
        <v>B商品</v>
      </c>
      <c r="E10" s="2">
        <f t="shared" si="1"/>
        <v>37.61</v>
      </c>
      <c r="F10" s="21">
        <f t="shared" si="2"/>
        <v>6960</v>
      </c>
      <c r="G10" s="21">
        <v>468</v>
      </c>
      <c r="H10" s="21">
        <f t="shared" si="3"/>
        <v>6056</v>
      </c>
      <c r="I10" s="27">
        <f t="shared" si="4"/>
        <v>2834208</v>
      </c>
    </row>
    <row r="11" spans="1:13" ht="19.5" thickBot="1" x14ac:dyDescent="0.45">
      <c r="A11" s="8">
        <v>109</v>
      </c>
      <c r="B11" s="2" t="s">
        <v>202</v>
      </c>
      <c r="C11" s="2">
        <v>14</v>
      </c>
      <c r="D11" s="2" t="str">
        <f t="shared" si="0"/>
        <v>D商品</v>
      </c>
      <c r="E11" s="2">
        <f t="shared" si="1"/>
        <v>32.96</v>
      </c>
      <c r="F11" s="21">
        <f t="shared" si="2"/>
        <v>6099</v>
      </c>
      <c r="G11" s="21">
        <v>396</v>
      </c>
      <c r="H11" s="21">
        <f t="shared" si="3"/>
        <v>5429</v>
      </c>
      <c r="I11" s="27">
        <f t="shared" si="4"/>
        <v>2149884</v>
      </c>
      <c r="K11" s="33" t="s">
        <v>302</v>
      </c>
      <c r="L11" s="53">
        <v>145.72</v>
      </c>
    </row>
    <row r="12" spans="1:13" x14ac:dyDescent="0.4">
      <c r="A12" s="8"/>
      <c r="B12" s="2"/>
      <c r="C12" s="2"/>
      <c r="D12" s="2"/>
      <c r="E12" s="2"/>
      <c r="F12" s="2"/>
      <c r="G12" s="2"/>
      <c r="H12" s="2"/>
      <c r="I12" s="10"/>
    </row>
    <row r="13" spans="1:13" ht="19.5" thickBot="1" x14ac:dyDescent="0.45">
      <c r="A13" s="11"/>
      <c r="B13" s="12" t="s">
        <v>305</v>
      </c>
      <c r="C13" s="16"/>
      <c r="D13" s="16"/>
      <c r="E13" s="16"/>
      <c r="F13" s="16"/>
      <c r="G13" s="28">
        <f>SUM(G3:G11)</f>
        <v>3949</v>
      </c>
      <c r="H13" s="28"/>
      <c r="I13" s="29">
        <f t="shared" ref="H13:I13" si="5">SUM(I3:I11)</f>
        <v>20721708</v>
      </c>
    </row>
    <row r="15" spans="1:13" ht="19.5" thickBot="1" x14ac:dyDescent="0.45">
      <c r="A15" s="54" t="s">
        <v>310</v>
      </c>
      <c r="B15" s="54"/>
      <c r="C15" s="54"/>
      <c r="D15" s="54"/>
      <c r="E15" s="54"/>
      <c r="F15" s="54"/>
      <c r="G15" s="54"/>
      <c r="H15" s="54"/>
    </row>
    <row r="16" spans="1:13" x14ac:dyDescent="0.4">
      <c r="A16" s="49" t="s">
        <v>186</v>
      </c>
      <c r="B16" s="50" t="s">
        <v>187</v>
      </c>
      <c r="C16" s="50" t="s">
        <v>191</v>
      </c>
      <c r="D16" s="50" t="s">
        <v>193</v>
      </c>
      <c r="E16" s="50" t="s">
        <v>306</v>
      </c>
      <c r="F16" s="50" t="s">
        <v>307</v>
      </c>
      <c r="G16" s="50" t="s">
        <v>308</v>
      </c>
      <c r="H16" s="51" t="s">
        <v>309</v>
      </c>
    </row>
    <row r="17" spans="1:8" x14ac:dyDescent="0.4">
      <c r="A17" s="8">
        <v>105</v>
      </c>
      <c r="B17" s="2" t="s">
        <v>198</v>
      </c>
      <c r="C17" s="21">
        <f>VLOOKUP(A17,$A$3:$I$11,7,0)</f>
        <v>512</v>
      </c>
      <c r="D17" s="21">
        <f>VLOOKUP(A17,$A$3:$I$11,9,0)</f>
        <v>3006464</v>
      </c>
      <c r="E17" s="4">
        <f>IF(D17&gt;=2500000,6.5%,IF(D17&gt;=1900000,5.7%,4.8%))</f>
        <v>6.5000000000000002E-2</v>
      </c>
      <c r="F17" s="21">
        <f>ROUNDUP(D17*E17,0)</f>
        <v>195421</v>
      </c>
      <c r="G17" s="31">
        <f>D17-F17</f>
        <v>2811043</v>
      </c>
      <c r="H17" s="10" t="str">
        <f>IF(AND(C17&gt;=450,G17&gt;=$G$28),"A","")</f>
        <v>A</v>
      </c>
    </row>
    <row r="18" spans="1:8" x14ac:dyDescent="0.4">
      <c r="A18" s="8">
        <v>106</v>
      </c>
      <c r="B18" s="2" t="s">
        <v>199</v>
      </c>
      <c r="C18" s="21">
        <f>VLOOKUP(A18,$A$3:$I$11,7,0)</f>
        <v>481</v>
      </c>
      <c r="D18" s="21">
        <f>VLOOKUP(A18,$A$3:$I$11,9,0)</f>
        <v>2287636</v>
      </c>
      <c r="E18" s="4">
        <f>IF(D18&gt;=2500000,6.5%,IF(D18&gt;=1900000,5.7%,4.8%))</f>
        <v>5.7000000000000002E-2</v>
      </c>
      <c r="F18" s="21">
        <f>ROUNDUP(D18*E18,0)</f>
        <v>130396</v>
      </c>
      <c r="G18" s="31">
        <f>D18-F18</f>
        <v>2157240</v>
      </c>
      <c r="H18" s="10" t="str">
        <f>IF(AND(C18&gt;=450,G18&gt;=$G$28),"A","")</f>
        <v/>
      </c>
    </row>
    <row r="19" spans="1:8" x14ac:dyDescent="0.4">
      <c r="A19" s="8">
        <v>108</v>
      </c>
      <c r="B19" s="2" t="s">
        <v>201</v>
      </c>
      <c r="C19" s="21">
        <f>VLOOKUP(A19,$A$3:$I$11,7,0)</f>
        <v>468</v>
      </c>
      <c r="D19" s="21">
        <f>VLOOKUP(A19,$A$3:$I$11,9,0)</f>
        <v>2834208</v>
      </c>
      <c r="E19" s="4">
        <f>IF(D19&gt;=2500000,6.5%,IF(D19&gt;=1900000,5.7%,4.8%))</f>
        <v>6.5000000000000002E-2</v>
      </c>
      <c r="F19" s="21">
        <f>ROUNDUP(D19*E19,0)</f>
        <v>184224</v>
      </c>
      <c r="G19" s="31">
        <f>D19-F19</f>
        <v>2649984</v>
      </c>
      <c r="H19" s="10" t="str">
        <f>IF(AND(C19&gt;=450,G19&gt;=$G$28),"A","")</f>
        <v>A</v>
      </c>
    </row>
    <row r="20" spans="1:8" x14ac:dyDescent="0.4">
      <c r="A20" s="8">
        <v>102</v>
      </c>
      <c r="B20" s="2" t="s">
        <v>195</v>
      </c>
      <c r="C20" s="21">
        <f>VLOOKUP(A20,$A$3:$I$11,7,0)</f>
        <v>459</v>
      </c>
      <c r="D20" s="21">
        <f>VLOOKUP(A20,$A$3:$I$11,9,0)</f>
        <v>2435913</v>
      </c>
      <c r="E20" s="4">
        <f>IF(D20&gt;=2500000,6.5%,IF(D20&gt;=1900000,5.7%,4.8%))</f>
        <v>5.7000000000000002E-2</v>
      </c>
      <c r="F20" s="21">
        <f>ROUNDUP(D20*E20,0)</f>
        <v>138848</v>
      </c>
      <c r="G20" s="31">
        <f>D20-F20</f>
        <v>2297065</v>
      </c>
      <c r="H20" s="10" t="str">
        <f>IF(AND(C20&gt;=450,G20&gt;=$G$28),"A","")</f>
        <v>A</v>
      </c>
    </row>
    <row r="21" spans="1:8" x14ac:dyDescent="0.4">
      <c r="A21" s="8">
        <v>107</v>
      </c>
      <c r="B21" s="2" t="s">
        <v>200</v>
      </c>
      <c r="C21" s="21">
        <f>VLOOKUP(A21,$A$3:$I$11,7,0)</f>
        <v>450</v>
      </c>
      <c r="D21" s="21">
        <f>VLOOKUP(A21,$A$3:$I$11,9,0)</f>
        <v>1896750</v>
      </c>
      <c r="E21" s="4">
        <f>IF(D21&gt;=2500000,6.5%,IF(D21&gt;=1900000,5.7%,4.8%))</f>
        <v>4.8000000000000001E-2</v>
      </c>
      <c r="F21" s="21">
        <f>ROUNDUP(D21*E21,0)</f>
        <v>91044</v>
      </c>
      <c r="G21" s="31">
        <f>D21-F21</f>
        <v>1805706</v>
      </c>
      <c r="H21" s="10" t="str">
        <f>IF(AND(C21&gt;=450,G21&gt;=$G$28),"A","")</f>
        <v/>
      </c>
    </row>
    <row r="22" spans="1:8" x14ac:dyDescent="0.4">
      <c r="A22" s="8">
        <v>103</v>
      </c>
      <c r="B22" s="2" t="s">
        <v>196</v>
      </c>
      <c r="C22" s="21">
        <f>VLOOKUP(A22,$A$3:$I$11,7,0)</f>
        <v>427</v>
      </c>
      <c r="D22" s="21">
        <f>VLOOKUP(A22,$A$3:$I$11,9,0)</f>
        <v>2645265</v>
      </c>
      <c r="E22" s="4">
        <f>IF(D22&gt;=2500000,6.5%,IF(D22&gt;=1900000,5.7%,4.8%))</f>
        <v>6.5000000000000002E-2</v>
      </c>
      <c r="F22" s="21">
        <f>ROUNDUP(D22*E22,0)</f>
        <v>171943</v>
      </c>
      <c r="G22" s="31">
        <f>D22-F22</f>
        <v>2473322</v>
      </c>
      <c r="H22" s="10" t="str">
        <f>IF(AND(C22&gt;=450,G22&gt;=$G$28),"A","")</f>
        <v/>
      </c>
    </row>
    <row r="23" spans="1:8" x14ac:dyDescent="0.4">
      <c r="A23" s="8">
        <v>109</v>
      </c>
      <c r="B23" s="2" t="s">
        <v>202</v>
      </c>
      <c r="C23" s="21">
        <f>VLOOKUP(A23,$A$3:$I$11,7,0)</f>
        <v>396</v>
      </c>
      <c r="D23" s="21">
        <f>VLOOKUP(A23,$A$3:$I$11,9,0)</f>
        <v>2149884</v>
      </c>
      <c r="E23" s="4">
        <f>IF(D23&gt;=2500000,6.5%,IF(D23&gt;=1900000,5.7%,4.8%))</f>
        <v>5.7000000000000002E-2</v>
      </c>
      <c r="F23" s="21">
        <f>ROUNDUP(D23*E23,0)</f>
        <v>122544</v>
      </c>
      <c r="G23" s="31">
        <f>D23-F23</f>
        <v>2027340</v>
      </c>
      <c r="H23" s="10" t="str">
        <f>IF(AND(C23&gt;=450,G23&gt;=$G$28),"A","")</f>
        <v/>
      </c>
    </row>
    <row r="24" spans="1:8" x14ac:dyDescent="0.4">
      <c r="A24" s="8">
        <v>104</v>
      </c>
      <c r="B24" s="2" t="s">
        <v>197</v>
      </c>
      <c r="C24" s="21">
        <f>VLOOKUP(A24,$A$3:$I$11,7,0)</f>
        <v>384</v>
      </c>
      <c r="D24" s="21">
        <f>VLOOKUP(A24,$A$3:$I$11,9,0)</f>
        <v>1655808</v>
      </c>
      <c r="E24" s="4">
        <f>IF(D24&gt;=2500000,6.5%,IF(D24&gt;=1900000,5.7%,4.8%))</f>
        <v>4.8000000000000001E-2</v>
      </c>
      <c r="F24" s="21">
        <f>ROUNDUP(D24*E24,0)</f>
        <v>79479</v>
      </c>
      <c r="G24" s="31">
        <f>D24-F24</f>
        <v>1576329</v>
      </c>
      <c r="H24" s="10" t="str">
        <f>IF(AND(C24&gt;=450,G24&gt;=$G$28),"A","")</f>
        <v/>
      </c>
    </row>
    <row r="25" spans="1:8" x14ac:dyDescent="0.4">
      <c r="A25" s="8">
        <v>101</v>
      </c>
      <c r="B25" s="2" t="s">
        <v>194</v>
      </c>
      <c r="C25" s="21">
        <f>VLOOKUP(A25,$A$3:$I$11,7,0)</f>
        <v>372</v>
      </c>
      <c r="D25" s="21">
        <f>VLOOKUP(A25,$A$3:$I$11,9,0)</f>
        <v>1809780</v>
      </c>
      <c r="E25" s="4">
        <f>IF(D25&gt;=2500000,6.5%,IF(D25&gt;=1900000,5.7%,4.8%))</f>
        <v>4.8000000000000001E-2</v>
      </c>
      <c r="F25" s="21">
        <f>ROUNDUP(D25*E25,0)</f>
        <v>86870</v>
      </c>
      <c r="G25" s="31">
        <f>D25-F25</f>
        <v>1722910</v>
      </c>
      <c r="H25" s="10" t="str">
        <f>IF(AND(C25&gt;=450,G25&gt;=$G$28),"A","")</f>
        <v/>
      </c>
    </row>
    <row r="26" spans="1:8" x14ac:dyDescent="0.4">
      <c r="A26" s="8"/>
      <c r="B26" s="2"/>
      <c r="C26" s="2"/>
      <c r="D26" s="2"/>
      <c r="E26" s="2"/>
      <c r="F26" s="2"/>
      <c r="G26" s="2"/>
      <c r="H26" s="10"/>
    </row>
    <row r="27" spans="1:8" x14ac:dyDescent="0.4">
      <c r="A27" s="8"/>
      <c r="B27" s="15" t="s">
        <v>305</v>
      </c>
      <c r="C27" s="31">
        <f>SUM(C17:C25)</f>
        <v>3949</v>
      </c>
      <c r="D27" s="31">
        <f t="shared" ref="D27:G27" si="6">SUM(D17:D25)</f>
        <v>20721708</v>
      </c>
      <c r="E27" s="31"/>
      <c r="F27" s="31">
        <f t="shared" si="6"/>
        <v>1200769</v>
      </c>
      <c r="G27" s="31">
        <f t="shared" si="6"/>
        <v>19520939</v>
      </c>
      <c r="H27" s="10"/>
    </row>
    <row r="28" spans="1:8" ht="19.5" thickBot="1" x14ac:dyDescent="0.45">
      <c r="A28" s="11"/>
      <c r="B28" s="12" t="s">
        <v>311</v>
      </c>
      <c r="C28" s="32">
        <f>AVERAGE(C17:C25)</f>
        <v>438.77777777777777</v>
      </c>
      <c r="D28" s="32">
        <f t="shared" ref="D28:G28" si="7">AVERAGE(D17:D25)</f>
        <v>2302412</v>
      </c>
      <c r="E28" s="32"/>
      <c r="F28" s="32">
        <f t="shared" si="7"/>
        <v>133418.77777777778</v>
      </c>
      <c r="G28" s="32">
        <f t="shared" si="7"/>
        <v>2168993.222222222</v>
      </c>
      <c r="H28" s="14"/>
    </row>
  </sheetData>
  <sortState ref="A17:H25">
    <sortCondition descending="1" ref="C16"/>
  </sortState>
  <mergeCells count="2">
    <mergeCell ref="A1:I1"/>
    <mergeCell ref="A15:H15"/>
  </mergeCells>
  <phoneticPr fontId="2" type="Hiragana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B24F-B8C6-490A-B628-E497009D2F34}">
  <dimension ref="A1:K25"/>
  <sheetViews>
    <sheetView tabSelected="1" workbookViewId="0">
      <selection activeCell="A2" sqref="A1:K1048576"/>
    </sheetView>
  </sheetViews>
  <sheetFormatPr defaultRowHeight="18.75" x14ac:dyDescent="0.4"/>
  <cols>
    <col min="1" max="1" width="5.25" bestFit="1" customWidth="1"/>
    <col min="2" max="2" width="11" bestFit="1" customWidth="1"/>
    <col min="3" max="3" width="13" bestFit="1" customWidth="1"/>
    <col min="6" max="6" width="7.125" bestFit="1" customWidth="1"/>
    <col min="8" max="8" width="13" bestFit="1" customWidth="1"/>
    <col min="10" max="10" width="7.125" bestFit="1" customWidth="1"/>
    <col min="18" max="18" width="17.875" customWidth="1"/>
  </cols>
  <sheetData>
    <row r="1" spans="1:11" ht="19.5" thickBot="1" x14ac:dyDescent="0.45">
      <c r="A1" s="54" t="s">
        <v>318</v>
      </c>
      <c r="B1" s="54"/>
      <c r="C1" s="54"/>
      <c r="D1" s="54"/>
      <c r="E1" s="54"/>
      <c r="F1" s="54"/>
    </row>
    <row r="2" spans="1:11" ht="19.5" thickBot="1" x14ac:dyDescent="0.45">
      <c r="A2" s="49" t="s">
        <v>313</v>
      </c>
      <c r="B2" s="50" t="s">
        <v>168</v>
      </c>
      <c r="C2" s="50" t="s">
        <v>203</v>
      </c>
      <c r="D2" s="50" t="s">
        <v>204</v>
      </c>
      <c r="E2" s="50" t="s">
        <v>205</v>
      </c>
      <c r="F2" s="51" t="s">
        <v>206</v>
      </c>
    </row>
    <row r="3" spans="1:11" ht="19.5" thickBot="1" x14ac:dyDescent="0.45">
      <c r="A3" s="8">
        <v>101</v>
      </c>
      <c r="B3" s="2" t="s">
        <v>207</v>
      </c>
      <c r="C3" s="2">
        <v>98</v>
      </c>
      <c r="D3" s="2">
        <v>38</v>
      </c>
      <c r="E3" s="4">
        <f>ROUNDDOWN(D3/C3,3)</f>
        <v>0.38700000000000001</v>
      </c>
      <c r="F3" s="10">
        <f>ROUNDUP(E3/$I$3*100,0)</f>
        <v>106</v>
      </c>
      <c r="H3" s="60" t="s">
        <v>314</v>
      </c>
      <c r="I3" s="61">
        <v>0.36699999999999999</v>
      </c>
    </row>
    <row r="4" spans="1:11" x14ac:dyDescent="0.4">
      <c r="A4" s="8">
        <v>102</v>
      </c>
      <c r="B4" s="2" t="s">
        <v>208</v>
      </c>
      <c r="C4" s="2">
        <v>86</v>
      </c>
      <c r="D4" s="2">
        <v>35</v>
      </c>
      <c r="E4" s="4">
        <f t="shared" ref="E4:E10" si="0">ROUNDDOWN(D4/C4,3)</f>
        <v>0.40600000000000003</v>
      </c>
      <c r="F4" s="10">
        <f t="shared" ref="F4:F10" si="1">ROUNDUP(E4/$I$3*100,0)</f>
        <v>111</v>
      </c>
    </row>
    <row r="5" spans="1:11" ht="19.5" thickBot="1" x14ac:dyDescent="0.45">
      <c r="A5" s="8">
        <v>103</v>
      </c>
      <c r="B5" s="2" t="s">
        <v>209</v>
      </c>
      <c r="C5" s="2">
        <v>147</v>
      </c>
      <c r="D5" s="2">
        <v>52</v>
      </c>
      <c r="E5" s="4">
        <f t="shared" si="0"/>
        <v>0.35299999999999998</v>
      </c>
      <c r="F5" s="10">
        <f t="shared" si="1"/>
        <v>97</v>
      </c>
    </row>
    <row r="6" spans="1:11" x14ac:dyDescent="0.4">
      <c r="A6" s="8">
        <v>104</v>
      </c>
      <c r="B6" s="2" t="s">
        <v>210</v>
      </c>
      <c r="C6" s="2">
        <v>72</v>
      </c>
      <c r="D6" s="2">
        <v>25</v>
      </c>
      <c r="E6" s="4">
        <f t="shared" si="0"/>
        <v>0.34699999999999998</v>
      </c>
      <c r="F6" s="10">
        <f t="shared" si="1"/>
        <v>95</v>
      </c>
      <c r="H6" s="49" t="s">
        <v>316</v>
      </c>
      <c r="I6" s="62">
        <v>2600</v>
      </c>
    </row>
    <row r="7" spans="1:11" ht="19.5" thickBot="1" x14ac:dyDescent="0.45">
      <c r="A7" s="8">
        <v>105</v>
      </c>
      <c r="B7" s="2" t="s">
        <v>211</v>
      </c>
      <c r="C7" s="2">
        <v>78</v>
      </c>
      <c r="D7" s="2">
        <v>29</v>
      </c>
      <c r="E7" s="4">
        <f t="shared" si="0"/>
        <v>0.371</v>
      </c>
      <c r="F7" s="10">
        <f t="shared" si="1"/>
        <v>102</v>
      </c>
      <c r="H7" s="52" t="s">
        <v>317</v>
      </c>
      <c r="I7" s="29">
        <v>490</v>
      </c>
    </row>
    <row r="8" spans="1:11" x14ac:dyDescent="0.4">
      <c r="A8" s="8">
        <v>106</v>
      </c>
      <c r="B8" s="2" t="s">
        <v>212</v>
      </c>
      <c r="C8" s="2">
        <v>107</v>
      </c>
      <c r="D8" s="2">
        <v>43</v>
      </c>
      <c r="E8" s="4">
        <f t="shared" si="0"/>
        <v>0.40100000000000002</v>
      </c>
      <c r="F8" s="10">
        <f t="shared" si="1"/>
        <v>110</v>
      </c>
    </row>
    <row r="9" spans="1:11" x14ac:dyDescent="0.4">
      <c r="A9" s="8">
        <v>107</v>
      </c>
      <c r="B9" s="2" t="s">
        <v>213</v>
      </c>
      <c r="C9" s="2">
        <v>123</v>
      </c>
      <c r="D9" s="2">
        <v>47</v>
      </c>
      <c r="E9" s="4">
        <f t="shared" si="0"/>
        <v>0.38200000000000001</v>
      </c>
      <c r="F9" s="10">
        <f t="shared" si="1"/>
        <v>105</v>
      </c>
    </row>
    <row r="10" spans="1:11" x14ac:dyDescent="0.4">
      <c r="A10" s="8">
        <v>108</v>
      </c>
      <c r="B10" s="2" t="s">
        <v>214</v>
      </c>
      <c r="C10" s="2">
        <v>186</v>
      </c>
      <c r="D10" s="2">
        <v>57</v>
      </c>
      <c r="E10" s="4">
        <f t="shared" si="0"/>
        <v>0.30599999999999999</v>
      </c>
      <c r="F10" s="10">
        <f t="shared" si="1"/>
        <v>84</v>
      </c>
    </row>
    <row r="11" spans="1:11" x14ac:dyDescent="0.4">
      <c r="A11" s="8"/>
      <c r="B11" s="2"/>
      <c r="C11" s="2"/>
      <c r="D11" s="2"/>
      <c r="E11" s="2"/>
      <c r="F11" s="10"/>
    </row>
    <row r="12" spans="1:11" ht="19.5" thickBot="1" x14ac:dyDescent="0.45">
      <c r="A12" s="11"/>
      <c r="B12" s="12" t="s">
        <v>182</v>
      </c>
      <c r="C12" s="16">
        <f>ROUND(AVERAGE(C3:C10),0)</f>
        <v>112</v>
      </c>
      <c r="D12" s="16">
        <f>ROUND(AVERAGE(D3:D10),0)</f>
        <v>41</v>
      </c>
      <c r="E12" s="16"/>
      <c r="F12" s="14"/>
    </row>
    <row r="14" spans="1:11" ht="19.5" thickBot="1" x14ac:dyDescent="0.45">
      <c r="A14" s="54" t="s">
        <v>320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</row>
    <row r="15" spans="1:11" x14ac:dyDescent="0.4">
      <c r="A15" s="49" t="s">
        <v>312</v>
      </c>
      <c r="B15" s="50" t="s">
        <v>321</v>
      </c>
      <c r="C15" s="50" t="s">
        <v>322</v>
      </c>
      <c r="D15" s="50" t="s">
        <v>315</v>
      </c>
      <c r="E15" s="50" t="s">
        <v>323</v>
      </c>
      <c r="F15" s="50" t="s">
        <v>204</v>
      </c>
      <c r="G15" s="50" t="s">
        <v>215</v>
      </c>
      <c r="H15" s="50" t="s">
        <v>206</v>
      </c>
      <c r="I15" s="50" t="s">
        <v>324</v>
      </c>
      <c r="J15" s="50" t="s">
        <v>216</v>
      </c>
      <c r="K15" s="51" t="s">
        <v>319</v>
      </c>
    </row>
    <row r="16" spans="1:11" x14ac:dyDescent="0.4">
      <c r="A16" s="8">
        <v>108</v>
      </c>
      <c r="B16" s="2" t="s">
        <v>214</v>
      </c>
      <c r="C16" s="21">
        <v>16829</v>
      </c>
      <c r="D16" s="21">
        <v>14</v>
      </c>
      <c r="E16" s="21">
        <f>$I$6*D16</f>
        <v>36400</v>
      </c>
      <c r="F16" s="2">
        <f>VLOOKUP(A16,$A$3:$F$10,4,0)</f>
        <v>57</v>
      </c>
      <c r="G16" s="21">
        <f>$I$7*F16</f>
        <v>27930</v>
      </c>
      <c r="H16" s="2">
        <f>VLOOKUP(A16,$A$3:$F$10,6,0)</f>
        <v>84</v>
      </c>
      <c r="I16" s="21">
        <f>130*H16</f>
        <v>10920</v>
      </c>
      <c r="J16" s="21">
        <f>IF(OR(C16&gt;10000,H16&gt;=110),H16*35,H16*25)</f>
        <v>2940</v>
      </c>
      <c r="K16" s="44">
        <f>E16+G16+I16+J16</f>
        <v>78190</v>
      </c>
    </row>
    <row r="17" spans="1:11" x14ac:dyDescent="0.4">
      <c r="A17" s="8">
        <v>103</v>
      </c>
      <c r="B17" s="2" t="s">
        <v>209</v>
      </c>
      <c r="C17" s="21">
        <v>14726</v>
      </c>
      <c r="D17" s="21">
        <v>13</v>
      </c>
      <c r="E17" s="21">
        <f>$I$6*D17</f>
        <v>33800</v>
      </c>
      <c r="F17" s="2">
        <f>VLOOKUP(A17,$A$3:$F$10,4,0)</f>
        <v>52</v>
      </c>
      <c r="G17" s="21">
        <f>$I$7*F17</f>
        <v>25480</v>
      </c>
      <c r="H17" s="2">
        <f>VLOOKUP(A17,$A$3:$F$10,6,0)</f>
        <v>97</v>
      </c>
      <c r="I17" s="21">
        <f>130*H17</f>
        <v>12610</v>
      </c>
      <c r="J17" s="21">
        <f>IF(OR(C17&gt;10000,H17&gt;=110),H17*35,H17*25)</f>
        <v>3395</v>
      </c>
      <c r="K17" s="44">
        <f>E17+G17+I17+J17</f>
        <v>75285</v>
      </c>
    </row>
    <row r="18" spans="1:11" x14ac:dyDescent="0.4">
      <c r="A18" s="8">
        <v>107</v>
      </c>
      <c r="B18" s="2" t="s">
        <v>213</v>
      </c>
      <c r="C18" s="21">
        <v>12507</v>
      </c>
      <c r="D18" s="21">
        <v>12</v>
      </c>
      <c r="E18" s="21">
        <f>$I$6*D18</f>
        <v>31200</v>
      </c>
      <c r="F18" s="2">
        <f>VLOOKUP(A18,$A$3:$F$10,4,0)</f>
        <v>47</v>
      </c>
      <c r="G18" s="21">
        <f>$I$7*F18</f>
        <v>23030</v>
      </c>
      <c r="H18" s="2">
        <f>VLOOKUP(A18,$A$3:$F$10,6,0)</f>
        <v>105</v>
      </c>
      <c r="I18" s="21">
        <f>130*H18</f>
        <v>13650</v>
      </c>
      <c r="J18" s="21">
        <f>IF(OR(C18&gt;10000,H18&gt;=110),H18*35,H18*25)</f>
        <v>3675</v>
      </c>
      <c r="K18" s="44">
        <f>E18+G18+I18+J18</f>
        <v>71555</v>
      </c>
    </row>
    <row r="19" spans="1:11" x14ac:dyDescent="0.4">
      <c r="A19" s="8">
        <v>106</v>
      </c>
      <c r="B19" s="2" t="s">
        <v>212</v>
      </c>
      <c r="C19" s="21">
        <v>10631</v>
      </c>
      <c r="D19" s="21">
        <v>11</v>
      </c>
      <c r="E19" s="21">
        <f>$I$6*D19</f>
        <v>28600</v>
      </c>
      <c r="F19" s="2">
        <f>VLOOKUP(A19,$A$3:$F$10,4,0)</f>
        <v>43</v>
      </c>
      <c r="G19" s="21">
        <f>$I$7*F19</f>
        <v>21070</v>
      </c>
      <c r="H19" s="2">
        <f>VLOOKUP(A19,$A$3:$F$10,6,0)</f>
        <v>110</v>
      </c>
      <c r="I19" s="21">
        <f>130*H19</f>
        <v>14300</v>
      </c>
      <c r="J19" s="21">
        <f>IF(OR(C19&gt;10000,H19&gt;=110),H19*35,H19*25)</f>
        <v>3850</v>
      </c>
      <c r="K19" s="44">
        <f>E19+G19+I19+J19</f>
        <v>67820</v>
      </c>
    </row>
    <row r="20" spans="1:11" x14ac:dyDescent="0.4">
      <c r="A20" s="8">
        <v>101</v>
      </c>
      <c r="B20" s="2" t="s">
        <v>207</v>
      </c>
      <c r="C20" s="21">
        <v>9875</v>
      </c>
      <c r="D20" s="21">
        <v>9</v>
      </c>
      <c r="E20" s="21">
        <f>$I$6*D20</f>
        <v>23400</v>
      </c>
      <c r="F20" s="2">
        <f>VLOOKUP(A20,$A$3:$F$10,4,0)</f>
        <v>38</v>
      </c>
      <c r="G20" s="21">
        <f>$I$7*F20</f>
        <v>18620</v>
      </c>
      <c r="H20" s="2">
        <f>VLOOKUP(A20,$A$3:$F$10,6,0)</f>
        <v>106</v>
      </c>
      <c r="I20" s="21">
        <f>130*H20</f>
        <v>13780</v>
      </c>
      <c r="J20" s="21">
        <f>IF(OR(C20&gt;10000,H20&gt;=110),H20*35,H20*25)</f>
        <v>2650</v>
      </c>
      <c r="K20" s="44">
        <f>E20+G20+I20+J20</f>
        <v>58450</v>
      </c>
    </row>
    <row r="21" spans="1:11" x14ac:dyDescent="0.4">
      <c r="A21" s="8">
        <v>102</v>
      </c>
      <c r="B21" s="2" t="s">
        <v>208</v>
      </c>
      <c r="C21" s="21">
        <v>8534</v>
      </c>
      <c r="D21" s="21">
        <v>8</v>
      </c>
      <c r="E21" s="21">
        <f>$I$6*D21</f>
        <v>20800</v>
      </c>
      <c r="F21" s="2">
        <f>VLOOKUP(A21,$A$3:$F$10,4,0)</f>
        <v>35</v>
      </c>
      <c r="G21" s="21">
        <f>$I$7*F21</f>
        <v>17150</v>
      </c>
      <c r="H21" s="2">
        <f>VLOOKUP(A21,$A$3:$F$10,6,0)</f>
        <v>111</v>
      </c>
      <c r="I21" s="21">
        <f>130*H21</f>
        <v>14430</v>
      </c>
      <c r="J21" s="21">
        <f>IF(OR(C21&gt;10000,H21&gt;=110),H21*35,H21*25)</f>
        <v>3885</v>
      </c>
      <c r="K21" s="44">
        <f>E21+G21+I21+J21</f>
        <v>56265</v>
      </c>
    </row>
    <row r="22" spans="1:11" x14ac:dyDescent="0.4">
      <c r="A22" s="8">
        <v>105</v>
      </c>
      <c r="B22" s="2" t="s">
        <v>211</v>
      </c>
      <c r="C22" s="21">
        <v>7920</v>
      </c>
      <c r="D22" s="21">
        <v>7</v>
      </c>
      <c r="E22" s="21">
        <f>$I$6*D22</f>
        <v>18200</v>
      </c>
      <c r="F22" s="2">
        <f>VLOOKUP(A22,$A$3:$F$10,4,0)</f>
        <v>29</v>
      </c>
      <c r="G22" s="21">
        <f>$I$7*F22</f>
        <v>14210</v>
      </c>
      <c r="H22" s="2">
        <f>VLOOKUP(A22,$A$3:$F$10,6,0)</f>
        <v>102</v>
      </c>
      <c r="I22" s="21">
        <f>130*H22</f>
        <v>13260</v>
      </c>
      <c r="J22" s="21">
        <f>IF(OR(C22&gt;10000,H22&gt;=110),H22*35,H22*25)</f>
        <v>2550</v>
      </c>
      <c r="K22" s="44">
        <f>E22+G22+I22+J22</f>
        <v>48220</v>
      </c>
    </row>
    <row r="23" spans="1:11" x14ac:dyDescent="0.4">
      <c r="A23" s="8">
        <v>104</v>
      </c>
      <c r="B23" s="2" t="s">
        <v>210</v>
      </c>
      <c r="C23" s="21">
        <v>7053</v>
      </c>
      <c r="D23" s="21">
        <v>6</v>
      </c>
      <c r="E23" s="21">
        <f>$I$6*D23</f>
        <v>15600</v>
      </c>
      <c r="F23" s="2">
        <f>VLOOKUP(A23,$A$3:$F$10,4,0)</f>
        <v>25</v>
      </c>
      <c r="G23" s="21">
        <f>$I$7*F23</f>
        <v>12250</v>
      </c>
      <c r="H23" s="2">
        <f>VLOOKUP(A23,$A$3:$F$10,6,0)</f>
        <v>95</v>
      </c>
      <c r="I23" s="21">
        <f>130*H23</f>
        <v>12350</v>
      </c>
      <c r="J23" s="21">
        <f>IF(OR(C23&gt;10000,H23&gt;=110),H23*35,H23*25)</f>
        <v>2375</v>
      </c>
      <c r="K23" s="44">
        <f>E23+G23+I23+J23</f>
        <v>42575</v>
      </c>
    </row>
    <row r="24" spans="1:11" x14ac:dyDescent="0.4">
      <c r="A24" s="8"/>
      <c r="B24" s="2"/>
      <c r="C24" s="2"/>
      <c r="D24" s="2"/>
      <c r="E24" s="2"/>
      <c r="F24" s="2"/>
      <c r="G24" s="2"/>
      <c r="H24" s="2"/>
      <c r="I24" s="2"/>
      <c r="J24" s="2"/>
      <c r="K24" s="10"/>
    </row>
    <row r="25" spans="1:11" ht="19.5" thickBot="1" x14ac:dyDescent="0.45">
      <c r="A25" s="11"/>
      <c r="B25" s="12" t="s">
        <v>294</v>
      </c>
      <c r="C25" s="32">
        <f>SUM(C16:C23)</f>
        <v>88075</v>
      </c>
      <c r="D25" s="32">
        <f t="shared" ref="D25:K25" si="2">SUM(D16:D23)</f>
        <v>80</v>
      </c>
      <c r="E25" s="32">
        <f t="shared" si="2"/>
        <v>208000</v>
      </c>
      <c r="F25" s="32">
        <f t="shared" si="2"/>
        <v>326</v>
      </c>
      <c r="G25" s="32">
        <f t="shared" si="2"/>
        <v>159740</v>
      </c>
      <c r="H25" s="32"/>
      <c r="I25" s="32">
        <f t="shared" si="2"/>
        <v>105300</v>
      </c>
      <c r="J25" s="32">
        <f t="shared" si="2"/>
        <v>25320</v>
      </c>
      <c r="K25" s="45">
        <f t="shared" si="2"/>
        <v>498360</v>
      </c>
    </row>
  </sheetData>
  <sortState ref="A16:K23">
    <sortCondition descending="1" ref="G15"/>
  </sortState>
  <mergeCells count="2">
    <mergeCell ref="A1:F1"/>
    <mergeCell ref="A14:K14"/>
  </mergeCells>
  <phoneticPr fontId="2" type="Hiragana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2-1 完成例</vt:lpstr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</dc:creator>
  <cp:lastModifiedBy>seito</cp:lastModifiedBy>
  <dcterms:created xsi:type="dcterms:W3CDTF">2023-05-11T04:14:43Z</dcterms:created>
  <dcterms:modified xsi:type="dcterms:W3CDTF">2023-07-20T02:07:40Z</dcterms:modified>
</cp:coreProperties>
</file>