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to\Desktop\"/>
    </mc:Choice>
  </mc:AlternateContent>
  <xr:revisionPtr revIDLastSave="0" documentId="13_ncr:1_{DD9036B8-B5B9-4CB4-BBE4-230A96D24AD1}" xr6:coauthVersionLast="36" xr6:coauthVersionMax="36" xr10:uidLastSave="{00000000-0000-0000-0000-000000000000}"/>
  <bookViews>
    <workbookView xWindow="0" yWindow="0" windowWidth="21300" windowHeight="11385" activeTab="1" xr2:uid="{6938B9A6-A1C3-4CD3-8EA0-D78ABC7ECD84}"/>
  </bookViews>
  <sheets>
    <sheet name="準2級" sheetId="1" r:id="rId1"/>
    <sheet name="2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D28" i="2"/>
  <c r="D30" i="2"/>
  <c r="D33" i="2"/>
  <c r="D31" i="2"/>
  <c r="D27" i="2"/>
  <c r="D35" i="2" s="1"/>
  <c r="D32" i="2"/>
  <c r="C28" i="2"/>
  <c r="H28" i="2" s="1"/>
  <c r="C30" i="2"/>
  <c r="H30" i="2" s="1"/>
  <c r="C33" i="2"/>
  <c r="H33" i="2" s="1"/>
  <c r="C31" i="2"/>
  <c r="H31" i="2" s="1"/>
  <c r="C27" i="2"/>
  <c r="H27" i="2" s="1"/>
  <c r="C32" i="2"/>
  <c r="H32" i="2" s="1"/>
  <c r="E29" i="2"/>
  <c r="D29" i="2"/>
  <c r="C29" i="2"/>
  <c r="D23" i="2"/>
  <c r="C23" i="2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D11" i="2"/>
  <c r="F11" i="2"/>
  <c r="G11" i="2"/>
  <c r="C11" i="2"/>
  <c r="G4" i="2"/>
  <c r="G5" i="2"/>
  <c r="G6" i="2"/>
  <c r="G7" i="2"/>
  <c r="G8" i="2"/>
  <c r="G9" i="2"/>
  <c r="F4" i="2"/>
  <c r="F5" i="2"/>
  <c r="F6" i="2"/>
  <c r="F7" i="2"/>
  <c r="F8" i="2"/>
  <c r="F9" i="2"/>
  <c r="E4" i="2"/>
  <c r="E5" i="2"/>
  <c r="E6" i="2"/>
  <c r="E7" i="2"/>
  <c r="E8" i="2"/>
  <c r="E9" i="2"/>
  <c r="G3" i="2"/>
  <c r="F3" i="2"/>
  <c r="E3" i="2"/>
  <c r="D18" i="1"/>
  <c r="D17" i="1"/>
  <c r="C18" i="1"/>
  <c r="C17" i="1"/>
  <c r="D16" i="1"/>
  <c r="C16" i="1"/>
  <c r="B16" i="1"/>
  <c r="B18" i="1"/>
  <c r="B17" i="1"/>
  <c r="J3" i="1"/>
  <c r="J4" i="1"/>
  <c r="J10" i="1"/>
  <c r="J7" i="1"/>
  <c r="J6" i="1"/>
  <c r="I8" i="1"/>
  <c r="J8" i="1" s="1"/>
  <c r="I3" i="1"/>
  <c r="I4" i="1"/>
  <c r="I10" i="1"/>
  <c r="I9" i="1"/>
  <c r="J9" i="1" s="1"/>
  <c r="I7" i="1"/>
  <c r="I6" i="1"/>
  <c r="F8" i="1"/>
  <c r="K8" i="1" s="1"/>
  <c r="F3" i="1"/>
  <c r="K3" i="1" s="1"/>
  <c r="F10" i="1"/>
  <c r="K10" i="1" s="1"/>
  <c r="F9" i="1"/>
  <c r="K9" i="1" s="1"/>
  <c r="F7" i="1"/>
  <c r="K7" i="1" s="1"/>
  <c r="E8" i="1"/>
  <c r="E3" i="1"/>
  <c r="E4" i="1"/>
  <c r="F4" i="1" s="1"/>
  <c r="K4" i="1" s="1"/>
  <c r="E10" i="1"/>
  <c r="E9" i="1"/>
  <c r="E7" i="1"/>
  <c r="E6" i="1"/>
  <c r="F6" i="1" s="1"/>
  <c r="K6" i="1" s="1"/>
  <c r="D8" i="1"/>
  <c r="D3" i="1"/>
  <c r="D4" i="1"/>
  <c r="D10" i="1"/>
  <c r="D9" i="1"/>
  <c r="D7" i="1"/>
  <c r="D6" i="1"/>
  <c r="H12" i="1"/>
  <c r="G12" i="1"/>
  <c r="I5" i="1"/>
  <c r="J5" i="1" s="1"/>
  <c r="E5" i="1"/>
  <c r="F5" i="1" s="1"/>
  <c r="K5" i="1" s="1"/>
  <c r="D5" i="1"/>
  <c r="E31" i="2" l="1"/>
  <c r="C35" i="2"/>
  <c r="F29" i="2"/>
  <c r="E33" i="2"/>
  <c r="E32" i="2"/>
  <c r="E30" i="2"/>
  <c r="E27" i="2"/>
  <c r="E28" i="2"/>
  <c r="F23" i="2"/>
  <c r="G15" i="2"/>
  <c r="G23" i="2" s="1"/>
  <c r="K12" i="1"/>
  <c r="E35" i="2" l="1"/>
  <c r="G29" i="2" s="1"/>
  <c r="G27" i="2"/>
  <c r="F27" i="2"/>
  <c r="G30" i="2"/>
  <c r="F30" i="2"/>
  <c r="G32" i="2"/>
  <c r="F32" i="2"/>
  <c r="G31" i="2"/>
  <c r="F31" i="2"/>
  <c r="G28" i="2"/>
  <c r="F28" i="2"/>
  <c r="G33" i="2"/>
  <c r="F33" i="2"/>
  <c r="F35" i="2" l="1"/>
</calcChain>
</file>

<file path=xl/sharedStrings.xml><?xml version="1.0" encoding="utf-8"?>
<sst xmlns="http://schemas.openxmlformats.org/spreadsheetml/2006/main" count="83" uniqueCount="56">
  <si>
    <t>委託販売手数料一覧表</t>
    <rPh sb="0" eb="2">
      <t>イタク</t>
    </rPh>
    <rPh sb="2" eb="4">
      <t>ハンバイ</t>
    </rPh>
    <rPh sb="4" eb="7">
      <t>テスウリョウ</t>
    </rPh>
    <rPh sb="7" eb="10">
      <t>イチランヒョウ</t>
    </rPh>
    <phoneticPr fontId="1"/>
  </si>
  <si>
    <t>委ＣＯ</t>
    <rPh sb="0" eb="1">
      <t>イ</t>
    </rPh>
    <phoneticPr fontId="1"/>
  </si>
  <si>
    <t>委託先名</t>
    <rPh sb="0" eb="4">
      <t>イタクサキメイ</t>
    </rPh>
    <phoneticPr fontId="1"/>
  </si>
  <si>
    <t>商ＣＯ</t>
    <rPh sb="0" eb="1">
      <t>ショウ</t>
    </rPh>
    <phoneticPr fontId="1"/>
  </si>
  <si>
    <t>商品名</t>
    <rPh sb="0" eb="3">
      <t>ショウヒンメイ</t>
    </rPh>
    <phoneticPr fontId="1"/>
  </si>
  <si>
    <t>定価</t>
    <rPh sb="0" eb="2">
      <t>テイカ</t>
    </rPh>
    <phoneticPr fontId="1"/>
  </si>
  <si>
    <t>売価</t>
    <rPh sb="0" eb="2">
      <t>バイカ</t>
    </rPh>
    <phoneticPr fontId="1"/>
  </si>
  <si>
    <t>委託数</t>
  </si>
  <si>
    <t>委託数</t>
    <rPh sb="0" eb="3">
      <t>イタクスウ</t>
    </rPh>
    <phoneticPr fontId="1"/>
  </si>
  <si>
    <t>販売数</t>
    <rPh sb="0" eb="3">
      <t>ハンバイスウ</t>
    </rPh>
    <phoneticPr fontId="1"/>
  </si>
  <si>
    <t>販売指数</t>
    <rPh sb="0" eb="2">
      <t>ハンバイ</t>
    </rPh>
    <rPh sb="2" eb="4">
      <t>シスウ</t>
    </rPh>
    <phoneticPr fontId="1"/>
  </si>
  <si>
    <t>手数料率</t>
    <rPh sb="0" eb="3">
      <t>テスウリョウ</t>
    </rPh>
    <rPh sb="3" eb="4">
      <t>リツ</t>
    </rPh>
    <phoneticPr fontId="1"/>
  </si>
  <si>
    <t>手数料</t>
    <rPh sb="0" eb="3">
      <t>テスウリョウ</t>
    </rPh>
    <phoneticPr fontId="1"/>
  </si>
  <si>
    <t>久保田商店</t>
    <rPh sb="0" eb="5">
      <t>クボタショウテン</t>
    </rPh>
    <phoneticPr fontId="1"/>
  </si>
  <si>
    <t>ヤマト食品</t>
    <rPh sb="3" eb="5">
      <t>ショクヒン</t>
    </rPh>
    <phoneticPr fontId="1"/>
  </si>
  <si>
    <t>東海百貨店</t>
    <rPh sb="0" eb="5">
      <t>トウカイヒャッカテン</t>
    </rPh>
    <phoneticPr fontId="1"/>
  </si>
  <si>
    <t>ＭＫストア</t>
    <phoneticPr fontId="1"/>
  </si>
  <si>
    <t>佐久間水産</t>
    <rPh sb="0" eb="3">
      <t>サクマ</t>
    </rPh>
    <rPh sb="3" eb="5">
      <t>スイサン</t>
    </rPh>
    <phoneticPr fontId="1"/>
  </si>
  <si>
    <t>れいわ商事</t>
    <rPh sb="3" eb="5">
      <t>ショウジ</t>
    </rPh>
    <phoneticPr fontId="1"/>
  </si>
  <si>
    <t>新明和総業</t>
    <rPh sb="0" eb="2">
      <t>シンメイ</t>
    </rPh>
    <rPh sb="2" eb="3">
      <t>ワ</t>
    </rPh>
    <rPh sb="3" eb="5">
      <t>ソウギョウ</t>
    </rPh>
    <phoneticPr fontId="1"/>
  </si>
  <si>
    <t>スーパー栄</t>
    <rPh sb="4" eb="5">
      <t>サカエ</t>
    </rPh>
    <phoneticPr fontId="1"/>
  </si>
  <si>
    <t>商品A</t>
    <phoneticPr fontId="1"/>
  </si>
  <si>
    <t>商品B</t>
    <phoneticPr fontId="1"/>
  </si>
  <si>
    <t>商品C</t>
    <phoneticPr fontId="1"/>
  </si>
  <si>
    <t>商品D</t>
    <phoneticPr fontId="1"/>
  </si>
  <si>
    <t>合計</t>
    <rPh sb="0" eb="2">
      <t>ゴウケイ</t>
    </rPh>
    <phoneticPr fontId="1"/>
  </si>
  <si>
    <t>販売数</t>
    <phoneticPr fontId="1"/>
  </si>
  <si>
    <t>手数料</t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</si>
  <si>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</si>
  <si>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</si>
  <si>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</si>
  <si>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請求額一覧表（上期）</t>
    <rPh sb="0" eb="3">
      <t>セイキュウガク</t>
    </rPh>
    <rPh sb="3" eb="6">
      <t>イチランヒョウ</t>
    </rPh>
    <rPh sb="7" eb="9">
      <t>カミキ</t>
    </rPh>
    <phoneticPr fontId="1"/>
  </si>
  <si>
    <t>ＣＯ</t>
  </si>
  <si>
    <t>ＣＯ</t>
    <phoneticPr fontId="1"/>
  </si>
  <si>
    <t>販売先名</t>
    <rPh sb="0" eb="4">
      <t>ハンバイサキメイ</t>
    </rPh>
    <phoneticPr fontId="1"/>
  </si>
  <si>
    <t>販売額</t>
    <rPh sb="0" eb="3">
      <t>ハンバイガク</t>
    </rPh>
    <phoneticPr fontId="1"/>
  </si>
  <si>
    <t>値引率</t>
    <rPh sb="0" eb="3">
      <t>ネビキリツ</t>
    </rPh>
    <phoneticPr fontId="1"/>
  </si>
  <si>
    <t>値引額</t>
    <rPh sb="0" eb="3">
      <t>ネビキガク</t>
    </rPh>
    <phoneticPr fontId="1"/>
  </si>
  <si>
    <t>請求額</t>
    <rPh sb="0" eb="3">
      <t>セイキュウガク</t>
    </rPh>
    <phoneticPr fontId="1"/>
  </si>
  <si>
    <t>中川商事</t>
    <rPh sb="0" eb="2">
      <t>ナカガワ</t>
    </rPh>
    <rPh sb="2" eb="4">
      <t>ショウジ</t>
    </rPh>
    <phoneticPr fontId="1"/>
  </si>
  <si>
    <t>山田ストア</t>
    <rPh sb="0" eb="2">
      <t>ヤマダ</t>
    </rPh>
    <phoneticPr fontId="1"/>
  </si>
  <si>
    <t>たかはし</t>
    <phoneticPr fontId="1"/>
  </si>
  <si>
    <t>久保田商店</t>
    <rPh sb="0" eb="3">
      <t>クボタ</t>
    </rPh>
    <rPh sb="3" eb="5">
      <t>ショウテン</t>
    </rPh>
    <phoneticPr fontId="1"/>
  </si>
  <si>
    <t>川本総業</t>
    <rPh sb="0" eb="2">
      <t>カワモト</t>
    </rPh>
    <rPh sb="2" eb="4">
      <t>ソウギョウ</t>
    </rPh>
    <phoneticPr fontId="1"/>
  </si>
  <si>
    <t>ヤマセ商会</t>
    <rPh sb="3" eb="5">
      <t>ショウカイ</t>
    </rPh>
    <phoneticPr fontId="1"/>
  </si>
  <si>
    <t>ＪＡＫ食品</t>
    <rPh sb="3" eb="5">
      <t>ショクヒン</t>
    </rPh>
    <phoneticPr fontId="1"/>
  </si>
  <si>
    <t>請求額一覧表（下期）</t>
    <rPh sb="0" eb="3">
      <t>セイキュウガク</t>
    </rPh>
    <rPh sb="3" eb="6">
      <t>イチランヒョウ</t>
    </rPh>
    <rPh sb="7" eb="9">
      <t>シモキ</t>
    </rPh>
    <phoneticPr fontId="1"/>
  </si>
  <si>
    <t>年間請求額一覧表</t>
    <rPh sb="0" eb="2">
      <t>ネンカン</t>
    </rPh>
    <rPh sb="2" eb="5">
      <t>セイキュウガク</t>
    </rPh>
    <rPh sb="5" eb="8">
      <t>イチランヒョウ</t>
    </rPh>
    <phoneticPr fontId="1"/>
  </si>
  <si>
    <t>販売先名</t>
    <phoneticPr fontId="1"/>
  </si>
  <si>
    <t>上期</t>
    <rPh sb="0" eb="2">
      <t>カミキ</t>
    </rPh>
    <phoneticPr fontId="1"/>
  </si>
  <si>
    <t>下期</t>
    <rPh sb="0" eb="2">
      <t>シモキ</t>
    </rPh>
    <phoneticPr fontId="1"/>
  </si>
  <si>
    <t>年間</t>
    <rPh sb="0" eb="2">
      <t>ネンカン</t>
    </rPh>
    <phoneticPr fontId="1"/>
  </si>
  <si>
    <t>ポイント</t>
    <phoneticPr fontId="1"/>
  </si>
  <si>
    <t>構成比率</t>
    <rPh sb="0" eb="4">
      <t>コウセイヒリツ</t>
    </rPh>
    <phoneticPr fontId="1"/>
  </si>
  <si>
    <t>判定</t>
    <rPh sb="0" eb="2">
      <t>ハンテイ</t>
    </rPh>
    <phoneticPr fontId="1"/>
  </si>
  <si>
    <t>合計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</si>
</sst>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38" fontId="0" fillId="0" borderId="6" xfId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177" fontId="0" fillId="0" borderId="9" xfId="0" applyNumberFormat="1" applyBorder="1">
      <alignment vertical="center"/>
    </xf>
    <xf numFmtId="38" fontId="0" fillId="0" borderId="1" xfId="0" applyNumberFormat="1" applyBorder="1">
      <alignment vertical="center"/>
    </xf>
    <xf numFmtId="38" fontId="0" fillId="0" borderId="6" xfId="0" applyNumberFormat="1" applyBorder="1">
      <alignment vertical="center"/>
    </xf>
    <xf numFmtId="38" fontId="0" fillId="0" borderId="8" xfId="0" applyNumberFormat="1" applyBorder="1">
      <alignment vertical="center"/>
    </xf>
    <xf numFmtId="0" fontId="0" fillId="0" borderId="9" xfId="0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委託先別の手数料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準2級!$K$2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準2級!$B$3:$B$10</c:f>
              <c:strCache>
                <c:ptCount val="8"/>
                <c:pt idx="0">
                  <c:v>東海百貨店</c:v>
                </c:pt>
                <c:pt idx="1">
                  <c:v>ＭＫストア</c:v>
                </c:pt>
                <c:pt idx="2">
                  <c:v>久保田商店</c:v>
                </c:pt>
                <c:pt idx="3">
                  <c:v>スーパー栄</c:v>
                </c:pt>
                <c:pt idx="4">
                  <c:v>新明和総業</c:v>
                </c:pt>
                <c:pt idx="5">
                  <c:v>ヤマト食品</c:v>
                </c:pt>
                <c:pt idx="6">
                  <c:v>れいわ商事</c:v>
                </c:pt>
                <c:pt idx="7">
                  <c:v>佐久間水産</c:v>
                </c:pt>
              </c:strCache>
            </c:strRef>
          </c:cat>
          <c:val>
            <c:numRef>
              <c:f>準2級!$K$3:$K$10</c:f>
              <c:numCache>
                <c:formatCode>#,##0_);[Red]\(#,##0\)</c:formatCode>
                <c:ptCount val="8"/>
                <c:pt idx="0">
                  <c:v>100110</c:v>
                </c:pt>
                <c:pt idx="1">
                  <c:v>112977</c:v>
                </c:pt>
                <c:pt idx="2">
                  <c:v>103929</c:v>
                </c:pt>
                <c:pt idx="3">
                  <c:v>133023</c:v>
                </c:pt>
                <c:pt idx="4">
                  <c:v>108835</c:v>
                </c:pt>
                <c:pt idx="5">
                  <c:v>132627</c:v>
                </c:pt>
                <c:pt idx="6">
                  <c:v>127100</c:v>
                </c:pt>
                <c:pt idx="7">
                  <c:v>138931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401-9F14-DE617C89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4986127"/>
        <c:axId val="1624801935"/>
      </c:barChart>
      <c:catAx>
        <c:axId val="162498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801935"/>
        <c:crosses val="autoZero"/>
        <c:auto val="1"/>
        <c:lblAlgn val="ctr"/>
        <c:lblOffset val="100"/>
        <c:noMultiLvlLbl val="0"/>
      </c:catAx>
      <c:valAx>
        <c:axId val="16248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9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販売先別の比較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'2級'!$C$26</c:f>
              <c:strCache>
                <c:ptCount val="1"/>
                <c:pt idx="0">
                  <c:v>上期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'2級'!$B$27:$B$33</c:f>
              <c:strCache>
                <c:ptCount val="7"/>
                <c:pt idx="0">
                  <c:v>ヤマセ商会</c:v>
                </c:pt>
                <c:pt idx="1">
                  <c:v>山田ストア</c:v>
                </c:pt>
                <c:pt idx="2">
                  <c:v>中川商事</c:v>
                </c:pt>
                <c:pt idx="3">
                  <c:v>たかはし</c:v>
                </c:pt>
                <c:pt idx="4">
                  <c:v>川本総業</c:v>
                </c:pt>
                <c:pt idx="5">
                  <c:v>ＪＡＫ食品</c:v>
                </c:pt>
                <c:pt idx="6">
                  <c:v>久保田商店</c:v>
                </c:pt>
              </c:strCache>
            </c:strRef>
          </c:cat>
          <c:val>
            <c:numRef>
              <c:f>'2級'!$C$27:$C$33</c:f>
              <c:numCache>
                <c:formatCode>#,##0_);[Red]\(#,##0\)</c:formatCode>
                <c:ptCount val="7"/>
                <c:pt idx="0">
                  <c:v>614694</c:v>
                </c:pt>
                <c:pt idx="1">
                  <c:v>544428</c:v>
                </c:pt>
                <c:pt idx="2">
                  <c:v>722426</c:v>
                </c:pt>
                <c:pt idx="3">
                  <c:v>731867</c:v>
                </c:pt>
                <c:pt idx="4">
                  <c:v>575482</c:v>
                </c:pt>
                <c:pt idx="5">
                  <c:v>721329</c:v>
                </c:pt>
                <c:pt idx="6">
                  <c:v>774067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C-45EC-BB8C-F7EB20C8286D}"/>
            </c:ext>
          </c:extLst>
        </c:ser>
        <c:ser>
          <c:idx val="1"/>
          <c:order val="1"/>
          <c:tx>
            <c:strRef>
              <c:f>'2級'!$D$26</c:f>
              <c:strCache>
                <c:ptCount val="1"/>
                <c:pt idx="0">
                  <c:v>下期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'2級'!$B$27:$B$33</c:f>
              <c:strCache>
                <c:ptCount val="7"/>
                <c:pt idx="0">
                  <c:v>ヤマセ商会</c:v>
                </c:pt>
                <c:pt idx="1">
                  <c:v>山田ストア</c:v>
                </c:pt>
                <c:pt idx="2">
                  <c:v>中川商事</c:v>
                </c:pt>
                <c:pt idx="3">
                  <c:v>たかはし</c:v>
                </c:pt>
                <c:pt idx="4">
                  <c:v>川本総業</c:v>
                </c:pt>
                <c:pt idx="5">
                  <c:v>ＪＡＫ食品</c:v>
                </c:pt>
                <c:pt idx="6">
                  <c:v>久保田商店</c:v>
                </c:pt>
              </c:strCache>
            </c:strRef>
          </c:cat>
          <c:val>
            <c:numRef>
              <c:f>'2級'!$D$27:$D$33</c:f>
              <c:numCache>
                <c:formatCode>#,##0_);[Red]\(#,##0\)</c:formatCode>
                <c:ptCount val="7"/>
                <c:pt idx="0">
                  <c:v>531264</c:v>
                </c:pt>
                <c:pt idx="1">
                  <c:v>591890</c:v>
                </c:pt>
                <c:pt idx="2">
                  <c:v>687877</c:v>
                </c:pt>
                <c:pt idx="3">
                  <c:v>704706</c:v>
                </c:pt>
                <c:pt idx="4">
                  <c:v>721512</c:v>
                </c:pt>
                <c:pt idx="5">
                  <c:v>733394</c:v>
                </c:pt>
                <c:pt idx="6">
                  <c:v>805874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C-45EC-BB8C-F7EB20C8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208847"/>
        <c:axId val="1624811919"/>
      </c:barChart>
      <c:catAx>
        <c:axId val="16322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811919"/>
        <c:crosses val="autoZero"/>
        <c:auto val="1"/>
        <c:lblAlgn val="ctr"/>
        <c:lblOffset val="100"/>
        <c:noMultiLvlLbl val="0"/>
      </c:catAx>
      <c:valAx>
        <c:axId val="16248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22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28575</xdr:colOff>
      <xdr:row>0</xdr:row>
      <xdr:rowOff>28575</xdr:rowOff>
    </xdr:from>
    <xdr:to>
      <xdr:col>20</xdr:col>
      <xdr:colOff>533758</xdr:colOff>
      <xdr:row>25</xdr:row>
      <xdr:rowOff>77043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4F0568C-D0BD-4B0D-AD2E-777EADD9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28575"/>
          <a:ext cx="2562583" cy="60396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228600</xdr:rowOff>
    </xdr:from>
    <xdr:to>
      <xdr:col>10</xdr:col>
      <xdr:colOff>600075</xdr:colOff>
      <xdr:row>31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E989FC7-CFD0-4C2C-9456-C536EEC7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0</xdr:row>
      <xdr:rowOff>66675</xdr:rowOff>
    </xdr:from>
    <xdr:to>
      <xdr:col>18</xdr:col>
      <xdr:colOff>381332</xdr:colOff>
      <xdr:row>24</xdr:row>
      <xdr:rowOff>124636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53D017-0830-492F-A738-891083738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66675"/>
          <a:ext cx="2381582" cy="581106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8</xdr:col>
      <xdr:colOff>19050</xdr:colOff>
      <xdr:row>48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0EBDD-0FA4-4E8B-A8FE-E2AD5F4E7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BBB8-7A1D-44FC-8256-645E9CEDD907}">
  <dimension ref="A1:O18"/>
  <sheetViews>
    <sheetView workbookViewId="0">
      <selection activeCell="N32" sqref="N32"/>
    </sheetView>
  </sheetViews>
  <sheetFormatPr defaultRowHeight="18.75" x14ac:dyDescent="0.4"/>
  <cols>
    <col min="1" max="1" width="7.125" bestFit="1" customWidth="1"/>
    <col min="2" max="2" width="11" bestFit="1" customWidth="1"/>
    <col min="3" max="3" width="7.125" bestFit="1" customWidth="1"/>
    <col min="4" max="4" width="9.875" bestFit="1" customWidth="1"/>
    <col min="5" max="6" width="6" bestFit="1" customWidth="1"/>
    <col min="7" max="8" width="7.125" bestFit="1" customWidth="1"/>
    <col min="11" max="11" width="8" bestFit="1" customWidth="1"/>
    <col min="13" max="14" width="7.125" bestFit="1" customWidth="1"/>
    <col min="15" max="15" width="6" bestFit="1" customWidth="1"/>
  </cols>
  <sheetData>
    <row r="1" spans="1:15" ht="19.5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8</v>
      </c>
      <c r="H2" s="7" t="s">
        <v>9</v>
      </c>
      <c r="I2" s="7" t="s">
        <v>10</v>
      </c>
      <c r="J2" s="7" t="s">
        <v>11</v>
      </c>
      <c r="K2" s="8" t="s">
        <v>12</v>
      </c>
      <c r="M2" s="4" t="s">
        <v>3</v>
      </c>
      <c r="N2" s="4" t="s">
        <v>4</v>
      </c>
      <c r="O2" s="4" t="s">
        <v>5</v>
      </c>
    </row>
    <row r="3" spans="1:15" x14ac:dyDescent="0.4">
      <c r="A3" s="9">
        <v>103</v>
      </c>
      <c r="B3" s="2" t="s">
        <v>15</v>
      </c>
      <c r="C3" s="2">
        <v>13</v>
      </c>
      <c r="D3" s="2" t="str">
        <f>VLOOKUP(C3,$M$3:$O$6,2,0)</f>
        <v>商品C</v>
      </c>
      <c r="E3" s="3">
        <f>VLOOKUP(C3,$M$3:$O$6,3,0)</f>
        <v>2840</v>
      </c>
      <c r="F3" s="3">
        <f>IF(E3&gt;=3000,E3*0.9,E3*0.85)</f>
        <v>2414</v>
      </c>
      <c r="G3" s="2">
        <v>427</v>
      </c>
      <c r="H3" s="2">
        <v>367</v>
      </c>
      <c r="I3" s="2">
        <f>ROUNDUP(H3/G3*100,0)</f>
        <v>86</v>
      </c>
      <c r="J3" s="5">
        <f>IF(OR(H3&gt;=440, I3&gt;=92),12.8%,11.3%)</f>
        <v>0.113</v>
      </c>
      <c r="K3" s="10">
        <f>INT(F3*H3*J3)</f>
        <v>100110</v>
      </c>
      <c r="M3" s="2">
        <v>11</v>
      </c>
      <c r="N3" s="2" t="s">
        <v>21</v>
      </c>
      <c r="O3" s="3">
        <v>2360</v>
      </c>
    </row>
    <row r="4" spans="1:15" x14ac:dyDescent="0.4">
      <c r="A4" s="9">
        <v>104</v>
      </c>
      <c r="B4" s="2" t="s">
        <v>16</v>
      </c>
      <c r="C4" s="2">
        <v>11</v>
      </c>
      <c r="D4" s="2" t="str">
        <f>VLOOKUP(C4,$M$3:$O$6,2,0)</f>
        <v>商品A</v>
      </c>
      <c r="E4" s="3">
        <f>VLOOKUP(C4,$M$3:$O$6,3,0)</f>
        <v>2360</v>
      </c>
      <c r="F4" s="3">
        <f>IF(E4&gt;=3000,E4*0.9,E4*0.85)</f>
        <v>2006</v>
      </c>
      <c r="G4" s="2">
        <v>506</v>
      </c>
      <c r="H4" s="2">
        <v>440</v>
      </c>
      <c r="I4" s="2">
        <f>ROUNDUP(H4/G4*100,0)</f>
        <v>87</v>
      </c>
      <c r="J4" s="5">
        <f>IF(OR(H4&gt;=440, I4&gt;=92),12.8%,11.3%)</f>
        <v>0.128</v>
      </c>
      <c r="K4" s="10">
        <f>INT(F4*H4*J4)</f>
        <v>112977</v>
      </c>
      <c r="M4" s="2">
        <v>12</v>
      </c>
      <c r="N4" s="2" t="s">
        <v>22</v>
      </c>
      <c r="O4" s="3">
        <v>3120</v>
      </c>
    </row>
    <row r="5" spans="1:15" x14ac:dyDescent="0.4">
      <c r="A5" s="9">
        <v>101</v>
      </c>
      <c r="B5" s="2" t="s">
        <v>13</v>
      </c>
      <c r="C5" s="2">
        <v>13</v>
      </c>
      <c r="D5" s="2" t="str">
        <f>VLOOKUP(C5,$M$3:$O$6,2,0)</f>
        <v>商品C</v>
      </c>
      <c r="E5" s="3">
        <f>VLOOKUP(C5,$M$3:$O$6,3,0)</f>
        <v>2840</v>
      </c>
      <c r="F5" s="3">
        <f>IF(E5&gt;=3000,E5*0.9,E5*0.85)</f>
        <v>2414</v>
      </c>
      <c r="G5" s="2">
        <v>432</v>
      </c>
      <c r="H5" s="2">
        <v>381</v>
      </c>
      <c r="I5" s="2">
        <f>ROUNDUP(H5/G5*100,0)</f>
        <v>89</v>
      </c>
      <c r="J5" s="5">
        <f>IF(OR(H5&gt;=440, I5&gt;=92),12.8%,11.3%)</f>
        <v>0.113</v>
      </c>
      <c r="K5" s="10">
        <f>INT(F5*H5*J5)</f>
        <v>103929</v>
      </c>
      <c r="M5" s="2">
        <v>13</v>
      </c>
      <c r="N5" s="2" t="s">
        <v>23</v>
      </c>
      <c r="O5" s="3">
        <v>2840</v>
      </c>
    </row>
    <row r="6" spans="1:15" x14ac:dyDescent="0.4">
      <c r="A6" s="9">
        <v>108</v>
      </c>
      <c r="B6" s="2" t="s">
        <v>20</v>
      </c>
      <c r="C6" s="2">
        <v>14</v>
      </c>
      <c r="D6" s="2" t="str">
        <f>VLOOKUP(C6,$M$3:$O$6,2,0)</f>
        <v>商品D</v>
      </c>
      <c r="E6" s="3">
        <f>VLOOKUP(C6,$M$3:$O$6,3,0)</f>
        <v>3000</v>
      </c>
      <c r="F6" s="3">
        <f>IF(E6&gt;=3000,E6*0.9,E6*0.85)</f>
        <v>2700</v>
      </c>
      <c r="G6" s="2">
        <v>489</v>
      </c>
      <c r="H6" s="2">
        <v>436</v>
      </c>
      <c r="I6" s="2">
        <f>ROUNDUP(H6/G6*100,0)</f>
        <v>90</v>
      </c>
      <c r="J6" s="5">
        <f>IF(OR(H6&gt;=440, I6&gt;=92),12.8%,11.3%)</f>
        <v>0.113</v>
      </c>
      <c r="K6" s="10">
        <f>INT(F6*H6*J6)</f>
        <v>133023</v>
      </c>
      <c r="M6" s="2">
        <v>14</v>
      </c>
      <c r="N6" s="2" t="s">
        <v>24</v>
      </c>
      <c r="O6" s="3">
        <v>3000</v>
      </c>
    </row>
    <row r="7" spans="1:15" x14ac:dyDescent="0.4">
      <c r="A7" s="9">
        <v>107</v>
      </c>
      <c r="B7" s="2" t="s">
        <v>19</v>
      </c>
      <c r="C7" s="2">
        <v>12</v>
      </c>
      <c r="D7" s="2" t="str">
        <f>VLOOKUP(C7,$M$3:$O$6,2,0)</f>
        <v>商品B</v>
      </c>
      <c r="E7" s="3">
        <f>VLOOKUP(C7,$M$3:$O$6,3,0)</f>
        <v>3120</v>
      </c>
      <c r="F7" s="3">
        <f>IF(E7&gt;=3000,E7*0.9,E7*0.85)</f>
        <v>2808</v>
      </c>
      <c r="G7" s="2">
        <v>378</v>
      </c>
      <c r="H7" s="2">
        <v>343</v>
      </c>
      <c r="I7" s="2">
        <f>ROUNDUP(H7/G7*100,0)</f>
        <v>91</v>
      </c>
      <c r="J7" s="5">
        <f>IF(OR(H7&gt;=440, I7&gt;=92),12.8%,11.3%)</f>
        <v>0.113</v>
      </c>
      <c r="K7" s="10">
        <f>INT(F7*H7*J7)</f>
        <v>108835</v>
      </c>
    </row>
    <row r="8" spans="1:15" x14ac:dyDescent="0.4">
      <c r="A8" s="9">
        <v>102</v>
      </c>
      <c r="B8" s="2" t="s">
        <v>14</v>
      </c>
      <c r="C8" s="2">
        <v>12</v>
      </c>
      <c r="D8" s="2" t="str">
        <f>VLOOKUP(C8,$M$3:$O$6,2,0)</f>
        <v>商品B</v>
      </c>
      <c r="E8" s="3">
        <f>VLOOKUP(C8,$M$3:$O$6,3,0)</f>
        <v>3120</v>
      </c>
      <c r="F8" s="3">
        <f>IF(E8&gt;=3000,E8*0.9,E8*0.85)</f>
        <v>2808</v>
      </c>
      <c r="G8" s="2">
        <v>402</v>
      </c>
      <c r="H8" s="2">
        <v>369</v>
      </c>
      <c r="I8" s="2">
        <f>ROUNDUP(H8/G8*100,0)</f>
        <v>92</v>
      </c>
      <c r="J8" s="5">
        <f>IF(OR(H8&gt;=440, I8&gt;=92),12.8%,11.3%)</f>
        <v>0.128</v>
      </c>
      <c r="K8" s="10">
        <f>INT(F8*H8*J8)</f>
        <v>132627</v>
      </c>
    </row>
    <row r="9" spans="1:15" x14ac:dyDescent="0.4">
      <c r="A9" s="9">
        <v>106</v>
      </c>
      <c r="B9" s="2" t="s">
        <v>18</v>
      </c>
      <c r="C9" s="2">
        <v>11</v>
      </c>
      <c r="D9" s="2" t="str">
        <f>VLOOKUP(C9,$M$3:$O$6,2,0)</f>
        <v>商品A</v>
      </c>
      <c r="E9" s="3">
        <f>VLOOKUP(C9,$M$3:$O$6,3,0)</f>
        <v>2360</v>
      </c>
      <c r="F9" s="3">
        <f>IF(E9&gt;=3000,E9*0.9,E9*0.85)</f>
        <v>2006</v>
      </c>
      <c r="G9" s="2">
        <v>535</v>
      </c>
      <c r="H9" s="2">
        <v>495</v>
      </c>
      <c r="I9" s="2">
        <f>ROUNDUP(H9/G9*100,0)</f>
        <v>93</v>
      </c>
      <c r="J9" s="5">
        <f>IF(OR(H9&gt;=440, I9&gt;=92),12.8%,11.3%)</f>
        <v>0.128</v>
      </c>
      <c r="K9" s="10">
        <f>INT(F9*H9*J9)</f>
        <v>127100</v>
      </c>
    </row>
    <row r="10" spans="1:15" x14ac:dyDescent="0.4">
      <c r="A10" s="9">
        <v>105</v>
      </c>
      <c r="B10" s="2" t="s">
        <v>17</v>
      </c>
      <c r="C10" s="2">
        <v>14</v>
      </c>
      <c r="D10" s="2" t="str">
        <f>VLOOKUP(C10,$M$3:$O$6,2,0)</f>
        <v>商品D</v>
      </c>
      <c r="E10" s="3">
        <f>VLOOKUP(C10,$M$3:$O$6,3,0)</f>
        <v>3000</v>
      </c>
      <c r="F10" s="3">
        <f>IF(E10&gt;=3000,E10*0.9,E10*0.85)</f>
        <v>2700</v>
      </c>
      <c r="G10" s="2">
        <v>430</v>
      </c>
      <c r="H10" s="2">
        <v>402</v>
      </c>
      <c r="I10" s="2">
        <f>ROUNDUP(H10/G10*100,0)</f>
        <v>94</v>
      </c>
      <c r="J10" s="5">
        <f>IF(OR(H10&gt;=440, I10&gt;=92),12.8%,11.3%)</f>
        <v>0.128</v>
      </c>
      <c r="K10" s="10">
        <f>INT(F10*H10*J10)</f>
        <v>138931</v>
      </c>
    </row>
    <row r="11" spans="1:15" x14ac:dyDescent="0.4">
      <c r="A11" s="9"/>
      <c r="B11" s="2"/>
      <c r="C11" s="2"/>
      <c r="D11" s="2"/>
      <c r="E11" s="2"/>
      <c r="F11" s="2"/>
      <c r="G11" s="2"/>
      <c r="H11" s="2"/>
      <c r="I11" s="2"/>
      <c r="J11" s="2"/>
      <c r="K11" s="11"/>
    </row>
    <row r="12" spans="1:15" ht="19.5" thickBot="1" x14ac:dyDescent="0.45">
      <c r="A12" s="12"/>
      <c r="B12" s="13" t="s">
        <v>25</v>
      </c>
      <c r="C12" s="14"/>
      <c r="D12" s="14"/>
      <c r="E12" s="14"/>
      <c r="F12" s="14"/>
      <c r="G12" s="15">
        <f>SUM(G3:G10)</f>
        <v>3599</v>
      </c>
      <c r="H12" s="15">
        <f t="shared" ref="H12:K12" si="0">SUM(H3:H10)</f>
        <v>3233</v>
      </c>
      <c r="I12" s="15"/>
      <c r="J12" s="15"/>
      <c r="K12" s="16">
        <f t="shared" si="0"/>
        <v>957532</v>
      </c>
    </row>
    <row r="14" spans="1:15" ht="19.5" thickBot="1" x14ac:dyDescent="0.45"/>
    <row r="15" spans="1:15" x14ac:dyDescent="0.4">
      <c r="A15" s="17"/>
      <c r="B15" s="7" t="s">
        <v>7</v>
      </c>
      <c r="C15" s="7" t="s">
        <v>26</v>
      </c>
      <c r="D15" s="8" t="s">
        <v>27</v>
      </c>
    </row>
    <row r="16" spans="1:15" x14ac:dyDescent="0.4">
      <c r="A16" s="18" t="s">
        <v>28</v>
      </c>
      <c r="B16" s="3">
        <f>ROUND(AVERAGE(G3:G10),0)</f>
        <v>450</v>
      </c>
      <c r="C16" s="2">
        <f>ROUND(AVERAGE(H3:H10),0)</f>
        <v>404</v>
      </c>
      <c r="D16" s="19">
        <f>ROUND(AVERAGE(K3:K10),0)</f>
        <v>119692</v>
      </c>
    </row>
    <row r="17" spans="1:4" x14ac:dyDescent="0.4">
      <c r="A17" s="18" t="s">
        <v>29</v>
      </c>
      <c r="B17" s="2">
        <f>MAX(G3:G10)</f>
        <v>535</v>
      </c>
      <c r="C17" s="2">
        <f>MAX(H3:H10)</f>
        <v>495</v>
      </c>
      <c r="D17" s="19">
        <f>MAX(K3:K10)</f>
        <v>138931</v>
      </c>
    </row>
    <row r="18" spans="1:4" ht="19.5" thickBot="1" x14ac:dyDescent="0.45">
      <c r="A18" s="20" t="s">
        <v>30</v>
      </c>
      <c r="B18" s="14">
        <f>MIN(G3:G10)</f>
        <v>378</v>
      </c>
      <c r="C18" s="14">
        <f>MIN(H3:H10)</f>
        <v>343</v>
      </c>
      <c r="D18" s="21">
        <f>MIN(K3:K10)</f>
        <v>100110</v>
      </c>
    </row>
  </sheetData>
  <sortState ref="A3:K10">
    <sortCondition ref="I2"/>
  </sortState>
  <mergeCells count="1">
    <mergeCell ref="A1:K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A9A3-3750-4DB6-9688-47B0A20FE36C}">
  <dimension ref="A1:H35"/>
  <sheetViews>
    <sheetView tabSelected="1" workbookViewId="0">
      <selection activeCell="A2" sqref="A1:H1048576"/>
    </sheetView>
  </sheetViews>
  <sheetFormatPr defaultRowHeight="18.75" x14ac:dyDescent="0.4"/>
  <cols>
    <col min="1" max="1" width="5.25" bestFit="1" customWidth="1"/>
    <col min="2" max="2" width="11" bestFit="1" customWidth="1"/>
    <col min="3" max="5" width="9.5" bestFit="1" customWidth="1"/>
    <col min="7" max="7" width="9.5" bestFit="1" customWidth="1"/>
    <col min="8" max="8" width="5.25" bestFit="1" customWidth="1"/>
  </cols>
  <sheetData>
    <row r="1" spans="1:7" ht="19.5" thickBot="1" x14ac:dyDescent="0.45">
      <c r="A1" s="1" t="s">
        <v>31</v>
      </c>
      <c r="B1" s="1"/>
      <c r="C1" s="1"/>
      <c r="D1" s="1"/>
      <c r="E1" s="1"/>
      <c r="F1" s="1"/>
      <c r="G1" s="1"/>
    </row>
    <row r="2" spans="1:7" x14ac:dyDescent="0.4">
      <c r="A2" s="6" t="s">
        <v>33</v>
      </c>
      <c r="B2" s="7" t="s">
        <v>34</v>
      </c>
      <c r="C2" s="7" t="s">
        <v>9</v>
      </c>
      <c r="D2" s="7" t="s">
        <v>35</v>
      </c>
      <c r="E2" s="7" t="s">
        <v>36</v>
      </c>
      <c r="F2" s="7" t="s">
        <v>37</v>
      </c>
      <c r="G2" s="8" t="s">
        <v>38</v>
      </c>
    </row>
    <row r="3" spans="1:7" x14ac:dyDescent="0.4">
      <c r="A3" s="9">
        <v>101</v>
      </c>
      <c r="B3" s="2" t="s">
        <v>39</v>
      </c>
      <c r="C3" s="2">
        <v>843</v>
      </c>
      <c r="D3" s="3">
        <v>790400</v>
      </c>
      <c r="E3" s="5">
        <f>IF(OR(C3&gt;=850,D3&gt;=790000),8.6%,7.3%)</f>
        <v>8.5999999999999993E-2</v>
      </c>
      <c r="F3" s="3">
        <f>INT(D3*E3)</f>
        <v>67974</v>
      </c>
      <c r="G3" s="23">
        <f>D3-F3</f>
        <v>722426</v>
      </c>
    </row>
    <row r="4" spans="1:7" x14ac:dyDescent="0.4">
      <c r="A4" s="9">
        <v>102</v>
      </c>
      <c r="B4" s="2" t="s">
        <v>40</v>
      </c>
      <c r="C4" s="2">
        <v>716</v>
      </c>
      <c r="D4" s="3">
        <v>587300</v>
      </c>
      <c r="E4" s="5">
        <f t="shared" ref="E4:E9" si="0">IF(OR(C4&gt;=850,D4&gt;=790000),8.6%,7.3%)</f>
        <v>7.2999999999999995E-2</v>
      </c>
      <c r="F4" s="3">
        <f t="shared" ref="F4:F9" si="1">INT(D4*E4)</f>
        <v>42872</v>
      </c>
      <c r="G4" s="23">
        <f t="shared" ref="G4:G9" si="2">D4-F4</f>
        <v>544428</v>
      </c>
    </row>
    <row r="5" spans="1:7" x14ac:dyDescent="0.4">
      <c r="A5" s="9">
        <v>103</v>
      </c>
      <c r="B5" s="2" t="s">
        <v>41</v>
      </c>
      <c r="C5" s="2">
        <v>839</v>
      </c>
      <c r="D5" s="3">
        <v>789500</v>
      </c>
      <c r="E5" s="5">
        <f t="shared" si="0"/>
        <v>7.2999999999999995E-2</v>
      </c>
      <c r="F5" s="3">
        <f t="shared" si="1"/>
        <v>57633</v>
      </c>
      <c r="G5" s="23">
        <f t="shared" si="2"/>
        <v>731867</v>
      </c>
    </row>
    <row r="6" spans="1:7" x14ac:dyDescent="0.4">
      <c r="A6" s="9">
        <v>104</v>
      </c>
      <c r="B6" s="2" t="s">
        <v>42</v>
      </c>
      <c r="C6" s="2">
        <v>987</v>
      </c>
      <c r="D6" s="3">
        <v>846900</v>
      </c>
      <c r="E6" s="5">
        <f t="shared" si="0"/>
        <v>8.5999999999999993E-2</v>
      </c>
      <c r="F6" s="3">
        <f t="shared" si="1"/>
        <v>72833</v>
      </c>
      <c r="G6" s="23">
        <f t="shared" si="2"/>
        <v>774067</v>
      </c>
    </row>
    <row r="7" spans="1:7" x14ac:dyDescent="0.4">
      <c r="A7" s="9">
        <v>105</v>
      </c>
      <c r="B7" s="2" t="s">
        <v>43</v>
      </c>
      <c r="C7" s="2">
        <v>805</v>
      </c>
      <c r="D7" s="3">
        <v>620800</v>
      </c>
      <c r="E7" s="5">
        <f t="shared" si="0"/>
        <v>7.2999999999999995E-2</v>
      </c>
      <c r="F7" s="3">
        <f t="shared" si="1"/>
        <v>45318</v>
      </c>
      <c r="G7" s="23">
        <f t="shared" si="2"/>
        <v>575482</v>
      </c>
    </row>
    <row r="8" spans="1:7" x14ac:dyDescent="0.4">
      <c r="A8" s="9">
        <v>106</v>
      </c>
      <c r="B8" s="2" t="s">
        <v>44</v>
      </c>
      <c r="C8" s="2">
        <v>703</v>
      </c>
      <c r="D8" s="3">
        <v>663100</v>
      </c>
      <c r="E8" s="5">
        <f t="shared" si="0"/>
        <v>7.2999999999999995E-2</v>
      </c>
      <c r="F8" s="3">
        <f t="shared" si="1"/>
        <v>48406</v>
      </c>
      <c r="G8" s="23">
        <f t="shared" si="2"/>
        <v>614694</v>
      </c>
    </row>
    <row r="9" spans="1:7" x14ac:dyDescent="0.4">
      <c r="A9" s="9">
        <v>107</v>
      </c>
      <c r="B9" s="2" t="s">
        <v>45</v>
      </c>
      <c r="C9" s="2">
        <v>850</v>
      </c>
      <c r="D9" s="3">
        <v>789200</v>
      </c>
      <c r="E9" s="5">
        <f t="shared" si="0"/>
        <v>8.5999999999999993E-2</v>
      </c>
      <c r="F9" s="3">
        <f t="shared" si="1"/>
        <v>67871</v>
      </c>
      <c r="G9" s="23">
        <f t="shared" si="2"/>
        <v>721329</v>
      </c>
    </row>
    <row r="10" spans="1:7" x14ac:dyDescent="0.4">
      <c r="A10" s="9"/>
      <c r="B10" s="2"/>
      <c r="C10" s="2"/>
      <c r="D10" s="2"/>
      <c r="E10" s="2"/>
      <c r="F10" s="2"/>
      <c r="G10" s="11"/>
    </row>
    <row r="11" spans="1:7" ht="19.5" thickBot="1" x14ac:dyDescent="0.45">
      <c r="A11" s="12"/>
      <c r="B11" s="13" t="s">
        <v>25</v>
      </c>
      <c r="C11" s="15">
        <f>SUM(C3:C9)</f>
        <v>5743</v>
      </c>
      <c r="D11" s="15">
        <f t="shared" ref="D11:G11" si="3">SUM(D3:D9)</f>
        <v>5087200</v>
      </c>
      <c r="E11" s="15"/>
      <c r="F11" s="15">
        <f t="shared" si="3"/>
        <v>402907</v>
      </c>
      <c r="G11" s="16">
        <f t="shared" si="3"/>
        <v>4684293</v>
      </c>
    </row>
    <row r="13" spans="1:7" ht="19.5" thickBot="1" x14ac:dyDescent="0.45">
      <c r="A13" s="1" t="s">
        <v>46</v>
      </c>
      <c r="B13" s="1"/>
      <c r="C13" s="1"/>
      <c r="D13" s="1"/>
      <c r="E13" s="1"/>
      <c r="F13" s="1"/>
      <c r="G13" s="1"/>
    </row>
    <row r="14" spans="1:7" x14ac:dyDescent="0.4">
      <c r="A14" s="6" t="s">
        <v>33</v>
      </c>
      <c r="B14" s="7" t="s">
        <v>34</v>
      </c>
      <c r="C14" s="7" t="s">
        <v>9</v>
      </c>
      <c r="D14" s="7" t="s">
        <v>35</v>
      </c>
      <c r="E14" s="7" t="s">
        <v>36</v>
      </c>
      <c r="F14" s="7" t="s">
        <v>37</v>
      </c>
      <c r="G14" s="8" t="s">
        <v>38</v>
      </c>
    </row>
    <row r="15" spans="1:7" x14ac:dyDescent="0.4">
      <c r="A15" s="9">
        <v>101</v>
      </c>
      <c r="B15" s="2" t="s">
        <v>39</v>
      </c>
      <c r="C15" s="2">
        <v>856</v>
      </c>
      <c r="D15" s="3">
        <v>752600</v>
      </c>
      <c r="E15" s="5">
        <f>IF(OR(C15&gt;=850,D15&gt;=790000),8.6%,7.3%)</f>
        <v>8.5999999999999993E-2</v>
      </c>
      <c r="F15" s="3">
        <f>INT(D15*E15)</f>
        <v>64723</v>
      </c>
      <c r="G15" s="23">
        <f>D15-F15</f>
        <v>687877</v>
      </c>
    </row>
    <row r="16" spans="1:7" x14ac:dyDescent="0.4">
      <c r="A16" s="9">
        <v>102</v>
      </c>
      <c r="B16" s="2" t="s">
        <v>40</v>
      </c>
      <c r="C16" s="2">
        <v>731</v>
      </c>
      <c r="D16" s="3">
        <v>638500</v>
      </c>
      <c r="E16" s="5">
        <f t="shared" ref="E16:E21" si="4">IF(OR(C16&gt;=850,D16&gt;=790000),8.6%,7.3%)</f>
        <v>7.2999999999999995E-2</v>
      </c>
      <c r="F16" s="3">
        <f t="shared" ref="F16:F21" si="5">INT(D16*E16)</f>
        <v>46610</v>
      </c>
      <c r="G16" s="23">
        <f t="shared" ref="G16:G21" si="6">D16-F16</f>
        <v>591890</v>
      </c>
    </row>
    <row r="17" spans="1:8" x14ac:dyDescent="0.4">
      <c r="A17" s="9">
        <v>103</v>
      </c>
      <c r="B17" s="2" t="s">
        <v>41</v>
      </c>
      <c r="C17" s="2">
        <v>827</v>
      </c>
      <c r="D17" s="3">
        <v>760200</v>
      </c>
      <c r="E17" s="5">
        <f t="shared" si="4"/>
        <v>7.2999999999999995E-2</v>
      </c>
      <c r="F17" s="3">
        <f t="shared" si="5"/>
        <v>55494</v>
      </c>
      <c r="G17" s="23">
        <f t="shared" si="6"/>
        <v>704706</v>
      </c>
    </row>
    <row r="18" spans="1:8" x14ac:dyDescent="0.4">
      <c r="A18" s="9">
        <v>104</v>
      </c>
      <c r="B18" s="2" t="s">
        <v>42</v>
      </c>
      <c r="C18" s="2">
        <v>985</v>
      </c>
      <c r="D18" s="3">
        <v>881700</v>
      </c>
      <c r="E18" s="5">
        <f t="shared" si="4"/>
        <v>8.5999999999999993E-2</v>
      </c>
      <c r="F18" s="3">
        <f t="shared" si="5"/>
        <v>75826</v>
      </c>
      <c r="G18" s="23">
        <f t="shared" si="6"/>
        <v>805874</v>
      </c>
    </row>
    <row r="19" spans="1:8" x14ac:dyDescent="0.4">
      <c r="A19" s="9">
        <v>105</v>
      </c>
      <c r="B19" s="2" t="s">
        <v>43</v>
      </c>
      <c r="C19" s="2">
        <v>851</v>
      </c>
      <c r="D19" s="3">
        <v>789400</v>
      </c>
      <c r="E19" s="5">
        <f t="shared" si="4"/>
        <v>8.5999999999999993E-2</v>
      </c>
      <c r="F19" s="3">
        <f t="shared" si="5"/>
        <v>67888</v>
      </c>
      <c r="G19" s="23">
        <f t="shared" si="6"/>
        <v>721512</v>
      </c>
    </row>
    <row r="20" spans="1:8" x14ac:dyDescent="0.4">
      <c r="A20" s="9">
        <v>106</v>
      </c>
      <c r="B20" s="2" t="s">
        <v>44</v>
      </c>
      <c r="C20" s="2">
        <v>698</v>
      </c>
      <c r="D20" s="3">
        <v>573100</v>
      </c>
      <c r="E20" s="5">
        <f t="shared" si="4"/>
        <v>7.2999999999999995E-2</v>
      </c>
      <c r="F20" s="3">
        <f t="shared" si="5"/>
        <v>41836</v>
      </c>
      <c r="G20" s="23">
        <f t="shared" si="6"/>
        <v>531264</v>
      </c>
    </row>
    <row r="21" spans="1:8" x14ac:dyDescent="0.4">
      <c r="A21" s="9">
        <v>107</v>
      </c>
      <c r="B21" s="2" t="s">
        <v>45</v>
      </c>
      <c r="C21" s="2">
        <v>820</v>
      </c>
      <c r="D21" s="3">
        <v>802400</v>
      </c>
      <c r="E21" s="5">
        <f t="shared" si="4"/>
        <v>8.5999999999999993E-2</v>
      </c>
      <c r="F21" s="3">
        <f t="shared" si="5"/>
        <v>69006</v>
      </c>
      <c r="G21" s="23">
        <f t="shared" si="6"/>
        <v>733394</v>
      </c>
    </row>
    <row r="22" spans="1:8" x14ac:dyDescent="0.4">
      <c r="A22" s="9"/>
      <c r="B22" s="2"/>
      <c r="C22" s="2"/>
      <c r="D22" s="2"/>
      <c r="E22" s="2"/>
      <c r="F22" s="2"/>
      <c r="G22" s="11"/>
    </row>
    <row r="23" spans="1:8" ht="19.5" thickBot="1" x14ac:dyDescent="0.45">
      <c r="A23" s="12"/>
      <c r="B23" s="13" t="s">
        <v>25</v>
      </c>
      <c r="C23" s="15">
        <f>SUM(C15:C21)</f>
        <v>5768</v>
      </c>
      <c r="D23" s="15">
        <f t="shared" ref="D23:G23" si="7">SUM(D15:D21)</f>
        <v>5197900</v>
      </c>
      <c r="E23" s="15"/>
      <c r="F23" s="15">
        <f t="shared" ref="F23:G23" si="8">SUM(F15:F21)</f>
        <v>421383</v>
      </c>
      <c r="G23" s="16">
        <f t="shared" si="8"/>
        <v>4776517</v>
      </c>
    </row>
    <row r="25" spans="1:8" ht="19.5" thickBot="1" x14ac:dyDescent="0.45">
      <c r="A25" s="1" t="s">
        <v>47</v>
      </c>
      <c r="B25" s="1"/>
      <c r="C25" s="1"/>
      <c r="D25" s="1"/>
      <c r="E25" s="1"/>
      <c r="F25" s="1"/>
      <c r="G25" s="1"/>
      <c r="H25" s="1"/>
    </row>
    <row r="26" spans="1:8" x14ac:dyDescent="0.4">
      <c r="A26" s="6" t="s">
        <v>32</v>
      </c>
      <c r="B26" s="7" t="s">
        <v>48</v>
      </c>
      <c r="C26" s="7" t="s">
        <v>49</v>
      </c>
      <c r="D26" s="7" t="s">
        <v>50</v>
      </c>
      <c r="E26" s="7" t="s">
        <v>51</v>
      </c>
      <c r="F26" s="7" t="s">
        <v>52</v>
      </c>
      <c r="G26" s="7" t="s">
        <v>53</v>
      </c>
      <c r="H26" s="8" t="s">
        <v>54</v>
      </c>
    </row>
    <row r="27" spans="1:8" x14ac:dyDescent="0.4">
      <c r="A27" s="9">
        <v>106</v>
      </c>
      <c r="B27" s="2" t="s">
        <v>44</v>
      </c>
      <c r="C27" s="3">
        <f>VLOOKUP(A27,$A$3:$G$9,7,0)</f>
        <v>614694</v>
      </c>
      <c r="D27" s="3">
        <f>VLOOKUP(A27,$A$15:$G$21,7,0)</f>
        <v>531264</v>
      </c>
      <c r="E27" s="22">
        <f>C27+D27</f>
        <v>1145958</v>
      </c>
      <c r="F27" s="3">
        <f>ROUNDUP(E27*2.7%,0)</f>
        <v>30941</v>
      </c>
      <c r="G27" s="5">
        <f>ROUND(E27/$E$35,3)</f>
        <v>0.121</v>
      </c>
      <c r="H27" s="11" t="str">
        <f>IF(AND(C27&gt;=720000,D27&gt;=720000),"***",IF(OR(C27&gt;=720000,D27&gt;=720000),"**","*"))</f>
        <v>*</v>
      </c>
    </row>
    <row r="28" spans="1:8" x14ac:dyDescent="0.4">
      <c r="A28" s="9">
        <v>102</v>
      </c>
      <c r="B28" s="2" t="s">
        <v>40</v>
      </c>
      <c r="C28" s="3">
        <f>VLOOKUP(A28,$A$3:$G$9,7,0)</f>
        <v>544428</v>
      </c>
      <c r="D28" s="3">
        <f>VLOOKUP(A28,$A$15:$G$21,7,0)</f>
        <v>591890</v>
      </c>
      <c r="E28" s="22">
        <f>C28+D28</f>
        <v>1136318</v>
      </c>
      <c r="F28" s="3">
        <f>ROUNDUP(E28*2.7%,0)</f>
        <v>30681</v>
      </c>
      <c r="G28" s="5">
        <f>ROUND(E28/$E$35,3)</f>
        <v>0.12</v>
      </c>
      <c r="H28" s="11" t="str">
        <f>IF(AND(C28&gt;=720000,D28&gt;=720000),"***",IF(OR(C28&gt;=720000,D28&gt;=720000),"**","*"))</f>
        <v>*</v>
      </c>
    </row>
    <row r="29" spans="1:8" x14ac:dyDescent="0.4">
      <c r="A29" s="9">
        <v>101</v>
      </c>
      <c r="B29" s="2" t="s">
        <v>39</v>
      </c>
      <c r="C29" s="3">
        <f>VLOOKUP(A29,$A$3:$G$9,7,0)</f>
        <v>722426</v>
      </c>
      <c r="D29" s="3">
        <f>VLOOKUP(A29,$A$15:$G$21,7,0)</f>
        <v>687877</v>
      </c>
      <c r="E29" s="22">
        <f>C29+D29</f>
        <v>1410303</v>
      </c>
      <c r="F29" s="3">
        <f>ROUNDUP(E29*2.7%,0)</f>
        <v>38079</v>
      </c>
      <c r="G29" s="5">
        <f>ROUND(E29/$E$35,3)</f>
        <v>0.14899999999999999</v>
      </c>
      <c r="H29" s="11" t="str">
        <f>IF(AND(C29&gt;=720000,D29&gt;=720000),"***",IF(OR(C29&gt;=720000,D29&gt;=720000),"**","*"))</f>
        <v>**</v>
      </c>
    </row>
    <row r="30" spans="1:8" x14ac:dyDescent="0.4">
      <c r="A30" s="9">
        <v>103</v>
      </c>
      <c r="B30" s="2" t="s">
        <v>41</v>
      </c>
      <c r="C30" s="3">
        <f>VLOOKUP(A30,$A$3:$G$9,7,0)</f>
        <v>731867</v>
      </c>
      <c r="D30" s="3">
        <f>VLOOKUP(A30,$A$15:$G$21,7,0)</f>
        <v>704706</v>
      </c>
      <c r="E30" s="22">
        <f>C30+D30</f>
        <v>1436573</v>
      </c>
      <c r="F30" s="3">
        <f>ROUNDUP(E30*2.7%,0)</f>
        <v>38788</v>
      </c>
      <c r="G30" s="5">
        <f>ROUND(E30/$E$35,3)</f>
        <v>0.152</v>
      </c>
      <c r="H30" s="11" t="str">
        <f>IF(AND(C30&gt;=720000,D30&gt;=720000),"***",IF(OR(C30&gt;=720000,D30&gt;=720000),"**","*"))</f>
        <v>**</v>
      </c>
    </row>
    <row r="31" spans="1:8" x14ac:dyDescent="0.4">
      <c r="A31" s="9">
        <v>105</v>
      </c>
      <c r="B31" s="2" t="s">
        <v>43</v>
      </c>
      <c r="C31" s="3">
        <f>VLOOKUP(A31,$A$3:$G$9,7,0)</f>
        <v>575482</v>
      </c>
      <c r="D31" s="3">
        <f>VLOOKUP(A31,$A$15:$G$21,7,0)</f>
        <v>721512</v>
      </c>
      <c r="E31" s="22">
        <f>C31+D31</f>
        <v>1296994</v>
      </c>
      <c r="F31" s="3">
        <f>ROUNDUP(E31*2.7%,0)</f>
        <v>35019</v>
      </c>
      <c r="G31" s="5">
        <f>ROUND(E31/$E$35,3)</f>
        <v>0.13700000000000001</v>
      </c>
      <c r="H31" s="11" t="str">
        <f>IF(AND(C31&gt;=720000,D31&gt;=720000),"***",IF(OR(C31&gt;=720000,D31&gt;=720000),"**","*"))</f>
        <v>**</v>
      </c>
    </row>
    <row r="32" spans="1:8" x14ac:dyDescent="0.4">
      <c r="A32" s="9">
        <v>107</v>
      </c>
      <c r="B32" s="2" t="s">
        <v>45</v>
      </c>
      <c r="C32" s="3">
        <f>VLOOKUP(A32,$A$3:$G$9,7,0)</f>
        <v>721329</v>
      </c>
      <c r="D32" s="3">
        <f>VLOOKUP(A32,$A$15:$G$21,7,0)</f>
        <v>733394</v>
      </c>
      <c r="E32" s="22">
        <f>C32+D32</f>
        <v>1454723</v>
      </c>
      <c r="F32" s="3">
        <f>ROUNDUP(E32*2.7%,0)</f>
        <v>39278</v>
      </c>
      <c r="G32" s="5">
        <f>ROUND(E32/$E$35,3)</f>
        <v>0.154</v>
      </c>
      <c r="H32" s="11" t="str">
        <f>IF(AND(C32&gt;=720000,D32&gt;=720000),"***",IF(OR(C32&gt;=720000,D32&gt;=720000),"**","*"))</f>
        <v>***</v>
      </c>
    </row>
    <row r="33" spans="1:8" x14ac:dyDescent="0.4">
      <c r="A33" s="9">
        <v>104</v>
      </c>
      <c r="B33" s="2" t="s">
        <v>42</v>
      </c>
      <c r="C33" s="3">
        <f>VLOOKUP(A33,$A$3:$G$9,7,0)</f>
        <v>774067</v>
      </c>
      <c r="D33" s="3">
        <f>VLOOKUP(A33,$A$15:$G$21,7,0)</f>
        <v>805874</v>
      </c>
      <c r="E33" s="22">
        <f>C33+D33</f>
        <v>1579941</v>
      </c>
      <c r="F33" s="3">
        <f>ROUNDUP(E33*2.7%,0)</f>
        <v>42659</v>
      </c>
      <c r="G33" s="5">
        <f>ROUND(E33/$E$35,3)</f>
        <v>0.16700000000000001</v>
      </c>
      <c r="H33" s="11" t="str">
        <f>IF(AND(C33&gt;=720000,D33&gt;=720000),"***",IF(OR(C33&gt;=720000,D33&gt;=720000),"**","*"))</f>
        <v>***</v>
      </c>
    </row>
    <row r="34" spans="1:8" x14ac:dyDescent="0.4">
      <c r="A34" s="9"/>
      <c r="B34" s="2"/>
      <c r="C34" s="2"/>
      <c r="D34" s="2"/>
      <c r="E34" s="2"/>
      <c r="F34" s="2"/>
      <c r="G34" s="2"/>
      <c r="H34" s="11"/>
    </row>
    <row r="35" spans="1:8" ht="19.5" thickBot="1" x14ac:dyDescent="0.45">
      <c r="A35" s="12"/>
      <c r="B35" s="13" t="s">
        <v>55</v>
      </c>
      <c r="C35" s="24">
        <f>SUM(C27:C33)</f>
        <v>4684293</v>
      </c>
      <c r="D35" s="24">
        <f t="shared" ref="D35:F35" si="9">SUM(D27:D33)</f>
        <v>4776517</v>
      </c>
      <c r="E35" s="24">
        <f t="shared" si="9"/>
        <v>9460810</v>
      </c>
      <c r="F35" s="24">
        <f t="shared" si="9"/>
        <v>255445</v>
      </c>
      <c r="G35" s="14"/>
      <c r="H35" s="25"/>
    </row>
  </sheetData>
  <sortState ref="A27:H33">
    <sortCondition ref="D26"/>
  </sortState>
  <mergeCells count="3">
    <mergeCell ref="A1:G1"/>
    <mergeCell ref="A13:G13"/>
    <mergeCell ref="A25:H2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準2級</vt:lpstr>
      <vt:lpstr>2級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23Mobile011</cp:lastModifiedBy>
  <dcterms:created xsi:type="dcterms:W3CDTF">2023-12-14T00:21:02Z</dcterms:created>
  <dcterms:modified xsi:type="dcterms:W3CDTF">2023-12-14T02:54:13Z</dcterms:modified>
</cp:coreProperties>
</file>