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3.36\課題回収\おくむら(Web1B)\012コウヨウ\"/>
    </mc:Choice>
  </mc:AlternateContent>
  <xr:revisionPtr revIDLastSave="0" documentId="13_ncr:1_{E6E07330-1FC0-4923-B39F-9E377E753F16}" xr6:coauthVersionLast="36" xr6:coauthVersionMax="36" xr10:uidLastSave="{00000000-0000-0000-0000-000000000000}"/>
  <bookViews>
    <workbookView xWindow="0" yWindow="0" windowWidth="10335" windowHeight="11595" activeTab="5" xr2:uid="{998D09A5-6AFB-4BA6-851F-817CD21AE59A}"/>
  </bookViews>
  <sheets>
    <sheet name="準2-1 完成例" sheetId="2" r:id="rId1"/>
    <sheet name="準2-1 完成例数式" sheetId="4" r:id="rId2"/>
    <sheet name="準2-1" sheetId="1" r:id="rId3"/>
    <sheet name="準2-2" sheetId="3" r:id="rId4"/>
    <sheet name="準2-3" sheetId="5" r:id="rId5"/>
    <sheet name="準2-4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6" l="1"/>
  <c r="F22" i="6"/>
  <c r="G13" i="6"/>
  <c r="E15" i="6"/>
  <c r="G15" i="6" s="1"/>
  <c r="E17" i="6"/>
  <c r="G17" i="6" s="1"/>
  <c r="E13" i="6"/>
  <c r="E18" i="6"/>
  <c r="G18" i="6" s="1"/>
  <c r="E19" i="6"/>
  <c r="G19" i="6" s="1"/>
  <c r="E12" i="6"/>
  <c r="G12" i="6" s="1"/>
  <c r="E16" i="6"/>
  <c r="G16" i="6" s="1"/>
  <c r="E14" i="6"/>
  <c r="G14" i="6" s="1"/>
  <c r="D15" i="6"/>
  <c r="D17" i="6"/>
  <c r="D13" i="6"/>
  <c r="D18" i="6"/>
  <c r="D19" i="6"/>
  <c r="D12" i="6"/>
  <c r="D16" i="6"/>
  <c r="D14" i="6"/>
  <c r="D20" i="6"/>
  <c r="E20" i="6"/>
  <c r="G20" i="6" s="1"/>
  <c r="E8" i="6"/>
  <c r="C8" i="6"/>
  <c r="E4" i="6"/>
  <c r="E5" i="6"/>
  <c r="E6" i="6"/>
  <c r="E3" i="6"/>
  <c r="D4" i="6"/>
  <c r="D5" i="6"/>
  <c r="D6" i="6"/>
  <c r="D3" i="6"/>
  <c r="E17" i="5"/>
  <c r="E16" i="5"/>
  <c r="E15" i="5"/>
  <c r="D17" i="5"/>
  <c r="D16" i="5"/>
  <c r="D15" i="5"/>
  <c r="C17" i="5"/>
  <c r="C16" i="5"/>
  <c r="C15" i="5"/>
  <c r="G10" i="5"/>
  <c r="G9" i="5"/>
  <c r="G8" i="5"/>
  <c r="G5" i="5"/>
  <c r="G7" i="5"/>
  <c r="G6" i="5"/>
  <c r="G3" i="5"/>
  <c r="G12" i="5" s="1"/>
  <c r="D10" i="5"/>
  <c r="H10" i="5" s="1"/>
  <c r="D9" i="5"/>
  <c r="D8" i="5"/>
  <c r="D5" i="5"/>
  <c r="D7" i="5"/>
  <c r="D6" i="5"/>
  <c r="D3" i="5"/>
  <c r="D4" i="5"/>
  <c r="H4" i="5" s="1"/>
  <c r="G4" i="5"/>
  <c r="C17" i="3"/>
  <c r="C16" i="3"/>
  <c r="C15" i="3"/>
  <c r="E12" i="3"/>
  <c r="O10" i="3"/>
  <c r="I5" i="3"/>
  <c r="J5" i="3" s="1"/>
  <c r="I4" i="3"/>
  <c r="J4" i="3" s="1"/>
  <c r="G6" i="3"/>
  <c r="G4" i="3"/>
  <c r="K4" i="3" s="1"/>
  <c r="H6" i="3"/>
  <c r="I6" i="3" s="1"/>
  <c r="J6" i="3" s="1"/>
  <c r="H9" i="3"/>
  <c r="I9" i="3" s="1"/>
  <c r="J9" i="3" s="1"/>
  <c r="H8" i="3"/>
  <c r="I8" i="3" s="1"/>
  <c r="J8" i="3" s="1"/>
  <c r="H5" i="3"/>
  <c r="H7" i="3"/>
  <c r="I7" i="3" s="1"/>
  <c r="J7" i="3" s="1"/>
  <c r="H10" i="3"/>
  <c r="I10" i="3" s="1"/>
  <c r="J10" i="3" s="1"/>
  <c r="H3" i="3"/>
  <c r="I3" i="3" s="1"/>
  <c r="J3" i="3" s="1"/>
  <c r="F6" i="3"/>
  <c r="F9" i="3"/>
  <c r="G9" i="3" s="1"/>
  <c r="F8" i="3"/>
  <c r="G8" i="3" s="1"/>
  <c r="F5" i="3"/>
  <c r="G5" i="3" s="1"/>
  <c r="F7" i="3"/>
  <c r="G7" i="3" s="1"/>
  <c r="F10" i="3"/>
  <c r="G10" i="3" s="1"/>
  <c r="F3" i="3"/>
  <c r="G3" i="3" s="1"/>
  <c r="H4" i="3"/>
  <c r="F4" i="3"/>
  <c r="D6" i="3"/>
  <c r="D9" i="3"/>
  <c r="D8" i="3"/>
  <c r="D5" i="3"/>
  <c r="D7" i="3"/>
  <c r="D10" i="3"/>
  <c r="D3" i="3"/>
  <c r="D4" i="3"/>
  <c r="C19" i="1"/>
  <c r="C18" i="1"/>
  <c r="C17" i="1"/>
  <c r="G13" i="1"/>
  <c r="E3" i="1"/>
  <c r="F3" i="1" s="1"/>
  <c r="H3" i="1" s="1"/>
  <c r="H13" i="1" s="1"/>
  <c r="E9" i="1"/>
  <c r="F9" i="1" s="1"/>
  <c r="H9" i="1" s="1"/>
  <c r="E7" i="1"/>
  <c r="F7" i="1" s="1"/>
  <c r="H7" i="1" s="1"/>
  <c r="E4" i="1"/>
  <c r="F4" i="1" s="1"/>
  <c r="H4" i="1" s="1"/>
  <c r="E8" i="1"/>
  <c r="F8" i="1" s="1"/>
  <c r="H8" i="1" s="1"/>
  <c r="E5" i="1"/>
  <c r="F5" i="1" s="1"/>
  <c r="H5" i="1" s="1"/>
  <c r="E10" i="1"/>
  <c r="F10" i="1" s="1"/>
  <c r="H10" i="1" s="1"/>
  <c r="E6" i="1"/>
  <c r="F6" i="1" s="1"/>
  <c r="H6" i="1" s="1"/>
  <c r="D3" i="1"/>
  <c r="D9" i="1"/>
  <c r="D7" i="1"/>
  <c r="D4" i="1"/>
  <c r="D8" i="1"/>
  <c r="D5" i="1"/>
  <c r="D10" i="1"/>
  <c r="D6" i="1"/>
  <c r="E11" i="1"/>
  <c r="F11" i="1" s="1"/>
  <c r="H11" i="1" s="1"/>
  <c r="D11" i="1"/>
  <c r="H15" i="6" l="1"/>
  <c r="I15" i="6" s="1"/>
  <c r="J15" i="6" s="1"/>
  <c r="K15" i="6" s="1"/>
  <c r="H14" i="6"/>
  <c r="I14" i="6" s="1"/>
  <c r="J14" i="6" s="1"/>
  <c r="K14" i="6" s="1"/>
  <c r="H20" i="6"/>
  <c r="I20" i="6" s="1"/>
  <c r="J20" i="6" s="1"/>
  <c r="K20" i="6" s="1"/>
  <c r="H18" i="6"/>
  <c r="I18" i="6" s="1"/>
  <c r="J18" i="6" s="1"/>
  <c r="K18" i="6" s="1"/>
  <c r="H16" i="6"/>
  <c r="I16" i="6" s="1"/>
  <c r="J16" i="6" s="1"/>
  <c r="K16" i="6" s="1"/>
  <c r="G23" i="6"/>
  <c r="H12" i="6"/>
  <c r="I12" i="6" s="1"/>
  <c r="G22" i="6"/>
  <c r="H19" i="6"/>
  <c r="I19" i="6" s="1"/>
  <c r="J19" i="6" s="1"/>
  <c r="K19" i="6" s="1"/>
  <c r="I17" i="6"/>
  <c r="J17" i="6" s="1"/>
  <c r="K17" i="6" s="1"/>
  <c r="H17" i="6"/>
  <c r="H13" i="6"/>
  <c r="I13" i="6" s="1"/>
  <c r="J13" i="6" s="1"/>
  <c r="K13" i="6" s="1"/>
  <c r="I7" i="5"/>
  <c r="H3" i="5"/>
  <c r="H6" i="5"/>
  <c r="I6" i="5" s="1"/>
  <c r="I10" i="5"/>
  <c r="I4" i="5"/>
  <c r="H7" i="5"/>
  <c r="J7" i="5" s="1"/>
  <c r="J4" i="5"/>
  <c r="K4" i="5" s="1"/>
  <c r="H5" i="5"/>
  <c r="J10" i="5"/>
  <c r="K10" i="5" s="1"/>
  <c r="H8" i="5"/>
  <c r="H9" i="5"/>
  <c r="D17" i="3"/>
  <c r="D16" i="3"/>
  <c r="K3" i="3"/>
  <c r="D15" i="3"/>
  <c r="L3" i="3"/>
  <c r="G12" i="3"/>
  <c r="K5" i="3"/>
  <c r="L5" i="3"/>
  <c r="L6" i="3"/>
  <c r="K7" i="3"/>
  <c r="L7" i="3"/>
  <c r="L9" i="3"/>
  <c r="K9" i="3"/>
  <c r="J12" i="3"/>
  <c r="L8" i="3"/>
  <c r="K8" i="3"/>
  <c r="K10" i="3"/>
  <c r="L10" i="3"/>
  <c r="L4" i="3"/>
  <c r="K6" i="3"/>
  <c r="I10" i="1"/>
  <c r="J10" i="1" s="1"/>
  <c r="K10" i="1" s="1"/>
  <c r="L10" i="1" s="1"/>
  <c r="I4" i="1"/>
  <c r="J4" i="1" s="1"/>
  <c r="K4" i="1" s="1"/>
  <c r="L4" i="1" s="1"/>
  <c r="I8" i="1"/>
  <c r="J8" i="1" s="1"/>
  <c r="K8" i="1" s="1"/>
  <c r="L8" i="1" s="1"/>
  <c r="I6" i="1"/>
  <c r="J6" i="1" s="1"/>
  <c r="K6" i="1" s="1"/>
  <c r="L6" i="1" s="1"/>
  <c r="I7" i="1"/>
  <c r="J7" i="1" s="1"/>
  <c r="K7" i="1" s="1"/>
  <c r="L7" i="1" s="1"/>
  <c r="I11" i="1"/>
  <c r="J11" i="1" s="1"/>
  <c r="K11" i="1" s="1"/>
  <c r="L11" i="1" s="1"/>
  <c r="I5" i="1"/>
  <c r="J5" i="1" s="1"/>
  <c r="K5" i="1" s="1"/>
  <c r="L5" i="1" s="1"/>
  <c r="I9" i="1"/>
  <c r="J9" i="1" s="1"/>
  <c r="K9" i="1" s="1"/>
  <c r="L9" i="1" s="1"/>
  <c r="I3" i="1"/>
  <c r="J3" i="1" s="1"/>
  <c r="G13" i="4"/>
  <c r="E11" i="4"/>
  <c r="F11" i="4" s="1"/>
  <c r="H11" i="4" s="1"/>
  <c r="D11" i="4"/>
  <c r="E10" i="4"/>
  <c r="F10" i="4" s="1"/>
  <c r="H10" i="4" s="1"/>
  <c r="D10" i="4"/>
  <c r="E9" i="4"/>
  <c r="F9" i="4" s="1"/>
  <c r="H9" i="4" s="1"/>
  <c r="D9" i="4"/>
  <c r="E8" i="4"/>
  <c r="F8" i="4" s="1"/>
  <c r="H8" i="4" s="1"/>
  <c r="D8" i="4"/>
  <c r="E7" i="4"/>
  <c r="F7" i="4" s="1"/>
  <c r="H7" i="4" s="1"/>
  <c r="D7" i="4"/>
  <c r="E6" i="4"/>
  <c r="F6" i="4" s="1"/>
  <c r="H6" i="4" s="1"/>
  <c r="D6" i="4"/>
  <c r="E5" i="4"/>
  <c r="F5" i="4" s="1"/>
  <c r="H5" i="4" s="1"/>
  <c r="D5" i="4"/>
  <c r="E4" i="4"/>
  <c r="F4" i="4" s="1"/>
  <c r="H4" i="4" s="1"/>
  <c r="D4" i="4"/>
  <c r="E3" i="4"/>
  <c r="F3" i="4" s="1"/>
  <c r="H3" i="4" s="1"/>
  <c r="D3" i="4"/>
  <c r="D3" i="2"/>
  <c r="E3" i="2"/>
  <c r="F3" i="2" s="1"/>
  <c r="H3" i="2" s="1"/>
  <c r="G13" i="2"/>
  <c r="F11" i="2"/>
  <c r="H11" i="2" s="1"/>
  <c r="E9" i="2"/>
  <c r="F9" i="2" s="1"/>
  <c r="H9" i="2" s="1"/>
  <c r="E7" i="2"/>
  <c r="F7" i="2" s="1"/>
  <c r="H7" i="2" s="1"/>
  <c r="E4" i="2"/>
  <c r="F4" i="2" s="1"/>
  <c r="H4" i="2" s="1"/>
  <c r="E8" i="2"/>
  <c r="F8" i="2" s="1"/>
  <c r="H8" i="2" s="1"/>
  <c r="E5" i="2"/>
  <c r="F5" i="2" s="1"/>
  <c r="H5" i="2" s="1"/>
  <c r="E10" i="2"/>
  <c r="F10" i="2" s="1"/>
  <c r="H10" i="2" s="1"/>
  <c r="E6" i="2"/>
  <c r="F6" i="2" s="1"/>
  <c r="H6" i="2" s="1"/>
  <c r="E11" i="2"/>
  <c r="D9" i="2"/>
  <c r="D7" i="2"/>
  <c r="D4" i="2"/>
  <c r="D8" i="2"/>
  <c r="D5" i="2"/>
  <c r="D10" i="2"/>
  <c r="D6" i="2"/>
  <c r="D11" i="2"/>
  <c r="I23" i="6" l="1"/>
  <c r="I22" i="6"/>
  <c r="J12" i="6"/>
  <c r="H12" i="5"/>
  <c r="J6" i="5"/>
  <c r="I3" i="5"/>
  <c r="I12" i="5" s="1"/>
  <c r="K7" i="5"/>
  <c r="I5" i="5"/>
  <c r="J5" i="5" s="1"/>
  <c r="K5" i="5" s="1"/>
  <c r="J8" i="5"/>
  <c r="K8" i="5" s="1"/>
  <c r="J9" i="5"/>
  <c r="K9" i="5" s="1"/>
  <c r="I8" i="5"/>
  <c r="K6" i="5"/>
  <c r="I9" i="5"/>
  <c r="E17" i="3"/>
  <c r="E16" i="3"/>
  <c r="E15" i="3"/>
  <c r="K12" i="3"/>
  <c r="D17" i="1"/>
  <c r="D18" i="1"/>
  <c r="D19" i="1"/>
  <c r="J13" i="1"/>
  <c r="K3" i="1"/>
  <c r="I5" i="4"/>
  <c r="J5" i="4" s="1"/>
  <c r="K5" i="4" s="1"/>
  <c r="L5" i="4" s="1"/>
  <c r="I6" i="4"/>
  <c r="J6" i="4" s="1"/>
  <c r="K6" i="4" s="1"/>
  <c r="L6" i="4" s="1"/>
  <c r="I7" i="4"/>
  <c r="J7" i="4" s="1"/>
  <c r="K7" i="4" s="1"/>
  <c r="L7" i="4" s="1"/>
  <c r="I10" i="4"/>
  <c r="J10" i="4" s="1"/>
  <c r="K10" i="4" s="1"/>
  <c r="L10" i="4" s="1"/>
  <c r="I9" i="4"/>
  <c r="J9" i="4" s="1"/>
  <c r="K9" i="4" s="1"/>
  <c r="L9" i="4" s="1"/>
  <c r="I4" i="4"/>
  <c r="J4" i="4" s="1"/>
  <c r="K4" i="4" s="1"/>
  <c r="L4" i="4" s="1"/>
  <c r="I8" i="4"/>
  <c r="J8" i="4" s="1"/>
  <c r="K8" i="4" s="1"/>
  <c r="L8" i="4" s="1"/>
  <c r="H13" i="4"/>
  <c r="I3" i="4"/>
  <c r="J3" i="4" s="1"/>
  <c r="I11" i="4"/>
  <c r="J11" i="4" s="1"/>
  <c r="K11" i="4" s="1"/>
  <c r="L11" i="4" s="1"/>
  <c r="I11" i="2"/>
  <c r="J11" i="2" s="1"/>
  <c r="K11" i="2" s="1"/>
  <c r="L11" i="2" s="1"/>
  <c r="I6" i="2"/>
  <c r="J6" i="2" s="1"/>
  <c r="K6" i="2" s="1"/>
  <c r="L6" i="2" s="1"/>
  <c r="I10" i="2"/>
  <c r="J10" i="2" s="1"/>
  <c r="K10" i="2" s="1"/>
  <c r="L10" i="2" s="1"/>
  <c r="I5" i="2"/>
  <c r="J5" i="2" s="1"/>
  <c r="K5" i="2" s="1"/>
  <c r="L5" i="2" s="1"/>
  <c r="I8" i="2"/>
  <c r="J8" i="2" s="1"/>
  <c r="K8" i="2" s="1"/>
  <c r="L8" i="2" s="1"/>
  <c r="I4" i="2"/>
  <c r="J4" i="2" s="1"/>
  <c r="K4" i="2" s="1"/>
  <c r="L4" i="2" s="1"/>
  <c r="I7" i="2"/>
  <c r="J7" i="2" s="1"/>
  <c r="K7" i="2" s="1"/>
  <c r="L7" i="2" s="1"/>
  <c r="H13" i="2"/>
  <c r="I3" i="2"/>
  <c r="J3" i="2" s="1"/>
  <c r="I9" i="2"/>
  <c r="J9" i="2" s="1"/>
  <c r="K9" i="2" s="1"/>
  <c r="L9" i="2" s="1"/>
  <c r="K12" i="6" l="1"/>
  <c r="J23" i="6"/>
  <c r="J22" i="6"/>
  <c r="J3" i="5"/>
  <c r="K13" i="1"/>
  <c r="E17" i="1"/>
  <c r="E18" i="1"/>
  <c r="E19" i="1"/>
  <c r="L3" i="1"/>
  <c r="J13" i="4"/>
  <c r="K3" i="4"/>
  <c r="J13" i="2"/>
  <c r="K3" i="2"/>
  <c r="J12" i="5" l="1"/>
  <c r="K3" i="5"/>
  <c r="K13" i="4"/>
  <c r="L3" i="4"/>
  <c r="K13" i="2"/>
  <c r="L3" i="2"/>
</calcChain>
</file>

<file path=xl/sharedStrings.xml><?xml version="1.0" encoding="utf-8"?>
<sst xmlns="http://schemas.openxmlformats.org/spreadsheetml/2006/main" count="211" uniqueCount="107">
  <si>
    <t>販売先別請求額一覧表</t>
    <rPh sb="0" eb="3">
      <t>ハンバイサキ</t>
    </rPh>
    <rPh sb="3" eb="4">
      <t>ベツ</t>
    </rPh>
    <rPh sb="4" eb="10">
      <t>セイキュウガクイチランヒョウ</t>
    </rPh>
    <phoneticPr fontId="2"/>
  </si>
  <si>
    <t>販CO</t>
    <rPh sb="0" eb="1">
      <t>ハン</t>
    </rPh>
    <phoneticPr fontId="2"/>
  </si>
  <si>
    <t>販売先名</t>
    <rPh sb="0" eb="2">
      <t>ハンバイ</t>
    </rPh>
    <rPh sb="2" eb="3">
      <t>サキ</t>
    </rPh>
    <rPh sb="3" eb="4">
      <t>メイ</t>
    </rPh>
    <phoneticPr fontId="2"/>
  </si>
  <si>
    <t>商CO</t>
    <rPh sb="0" eb="1">
      <t>ショウ</t>
    </rPh>
    <phoneticPr fontId="2"/>
  </si>
  <si>
    <t>商品名</t>
    <rPh sb="0" eb="3">
      <t>ショウヒンメイ</t>
    </rPh>
    <phoneticPr fontId="2"/>
  </si>
  <si>
    <t>定価</t>
    <rPh sb="0" eb="2">
      <t>テイカ</t>
    </rPh>
    <phoneticPr fontId="2"/>
  </si>
  <si>
    <t>売価</t>
    <rPh sb="0" eb="2">
      <t>バイカ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</si>
  <si>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</si>
  <si>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</si>
  <si>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手数料率</t>
    <rPh sb="0" eb="4">
      <t>テスウリョウリツ</t>
    </rPh>
    <phoneticPr fontId="2"/>
  </si>
  <si>
    <t>手数料</t>
    <rPh sb="0" eb="3">
      <t>テスウリョウ</t>
    </rPh>
    <phoneticPr fontId="2"/>
  </si>
  <si>
    <t>請求額</t>
    <rPh sb="0" eb="3">
      <t>セイキュウガク</t>
    </rPh>
    <phoneticPr fontId="2"/>
  </si>
  <si>
    <t>評価</t>
    <rPh sb="0" eb="2">
      <t>ヒョウカ</t>
    </rPh>
    <phoneticPr fontId="2"/>
  </si>
  <si>
    <t>新明星商会</t>
    <rPh sb="0" eb="3">
      <t>シンメイセイ</t>
    </rPh>
    <rPh sb="3" eb="5">
      <t>ショウカイ</t>
    </rPh>
    <phoneticPr fontId="2"/>
  </si>
  <si>
    <t>マルイ商事</t>
    <rPh sb="3" eb="5">
      <t>ショウジ</t>
    </rPh>
    <phoneticPr fontId="2"/>
  </si>
  <si>
    <t>大久保総業</t>
    <rPh sb="0" eb="3">
      <t>オオクボ</t>
    </rPh>
    <rPh sb="3" eb="5">
      <t>ソウギョウ</t>
    </rPh>
    <phoneticPr fontId="2"/>
  </si>
  <si>
    <t>太平洋企画</t>
    <rPh sb="0" eb="3">
      <t>タイヘイヨウ</t>
    </rPh>
    <rPh sb="3" eb="5">
      <t>キカク</t>
    </rPh>
    <phoneticPr fontId="2"/>
  </si>
  <si>
    <t>三幸ストア</t>
    <rPh sb="0" eb="2">
      <t>サンコウ</t>
    </rPh>
    <phoneticPr fontId="2"/>
  </si>
  <si>
    <t>鹿児島物産</t>
    <rPh sb="0" eb="3">
      <t>カゴシマ</t>
    </rPh>
    <rPh sb="3" eb="5">
      <t>ブッサン</t>
    </rPh>
    <phoneticPr fontId="2"/>
  </si>
  <si>
    <t>ひらい商店</t>
    <rPh sb="3" eb="5">
      <t>ショウテン</t>
    </rPh>
    <phoneticPr fontId="2"/>
  </si>
  <si>
    <t>山一百貨店</t>
    <rPh sb="0" eb="2">
      <t>ヤマイチ</t>
    </rPh>
    <rPh sb="2" eb="5">
      <t>ヒャッカテン</t>
    </rPh>
    <phoneticPr fontId="2"/>
  </si>
  <si>
    <t>誠スーパー</t>
    <rPh sb="0" eb="1">
      <t>マコト</t>
    </rPh>
    <phoneticPr fontId="2"/>
  </si>
  <si>
    <t>合計</t>
    <rPh sb="0" eb="2">
      <t>ゴウケイ</t>
    </rPh>
    <phoneticPr fontId="2"/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</si>
  <si>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</si>
  <si>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</si>
  <si>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</si>
  <si>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商品D</t>
    <rPh sb="0" eb="2">
      <t>ショウヒン</t>
    </rPh>
    <phoneticPr fontId="2"/>
  </si>
  <si>
    <t>商品E</t>
    <rPh sb="0" eb="2">
      <t>ショウヒン</t>
    </rPh>
    <phoneticPr fontId="2"/>
  </si>
  <si>
    <t>社員別賃金一覧表</t>
    <rPh sb="0" eb="5">
      <t>シャインベツチンギン</t>
    </rPh>
    <rPh sb="5" eb="8">
      <t>イチランヒョウ</t>
    </rPh>
    <phoneticPr fontId="2"/>
  </si>
  <si>
    <t>社員名</t>
    <rPh sb="0" eb="3">
      <t>シャインメイ</t>
    </rPh>
    <phoneticPr fontId="2"/>
  </si>
  <si>
    <t>製CO</t>
    <rPh sb="0" eb="1">
      <t>セイ</t>
    </rPh>
    <phoneticPr fontId="2"/>
  </si>
  <si>
    <t>製品名</t>
    <rPh sb="0" eb="3">
      <t>セイヒンメイ</t>
    </rPh>
    <phoneticPr fontId="2"/>
  </si>
  <si>
    <t>作業数</t>
    <rPh sb="0" eb="3">
      <t>サギョウスウ</t>
    </rPh>
    <phoneticPr fontId="2"/>
  </si>
  <si>
    <t>作業単価</t>
    <rPh sb="0" eb="4">
      <t>サギョウタンカ</t>
    </rPh>
    <phoneticPr fontId="2"/>
  </si>
  <si>
    <t>基本賃金</t>
    <rPh sb="0" eb="4">
      <t>キホンチンギン</t>
    </rPh>
    <phoneticPr fontId="2"/>
  </si>
  <si>
    <t>標準作業数</t>
    <rPh sb="0" eb="2">
      <t>ヒョウジュン</t>
    </rPh>
    <rPh sb="2" eb="5">
      <t>サギョウスウ</t>
    </rPh>
    <phoneticPr fontId="2"/>
  </si>
  <si>
    <t>作業指数</t>
    <rPh sb="0" eb="4">
      <t>サギョウシスウ</t>
    </rPh>
    <phoneticPr fontId="2"/>
  </si>
  <si>
    <t>技能手当</t>
    <rPh sb="0" eb="4">
      <t>ギノウテアテ</t>
    </rPh>
    <phoneticPr fontId="2"/>
  </si>
  <si>
    <t>総支給額</t>
    <rPh sb="0" eb="4">
      <t>ソウシキュウガク</t>
    </rPh>
    <phoneticPr fontId="2"/>
  </si>
  <si>
    <t>判定</t>
    <rPh sb="0" eb="2">
      <t>ハンテイ</t>
    </rPh>
    <phoneticPr fontId="2"/>
  </si>
  <si>
    <t>塩谷　和美</t>
    <rPh sb="0" eb="2">
      <t>シオヤ</t>
    </rPh>
    <rPh sb="3" eb="5">
      <t>カズミ</t>
    </rPh>
    <phoneticPr fontId="2"/>
  </si>
  <si>
    <t>井口　忠雄</t>
    <rPh sb="0" eb="2">
      <t>イグチ</t>
    </rPh>
    <rPh sb="3" eb="5">
      <t>タダオ</t>
    </rPh>
    <phoneticPr fontId="2"/>
  </si>
  <si>
    <t>畑　ひろみ</t>
    <rPh sb="0" eb="1">
      <t>ハタケ</t>
    </rPh>
    <phoneticPr fontId="2"/>
  </si>
  <si>
    <t>沼田　賢一</t>
    <rPh sb="0" eb="2">
      <t>ヌマタ</t>
    </rPh>
    <rPh sb="3" eb="5">
      <t>ケンイチ</t>
    </rPh>
    <phoneticPr fontId="2"/>
  </si>
  <si>
    <t>山下　洋子</t>
    <rPh sb="0" eb="2">
      <t>ヤマシタ</t>
    </rPh>
    <rPh sb="3" eb="5">
      <t>ヨウコ</t>
    </rPh>
    <phoneticPr fontId="2"/>
  </si>
  <si>
    <t>長谷川　修</t>
    <rPh sb="0" eb="3">
      <t>ハセガワ</t>
    </rPh>
    <rPh sb="4" eb="5">
      <t>オサム</t>
    </rPh>
    <phoneticPr fontId="2"/>
  </si>
  <si>
    <t>石橋　真奈</t>
    <rPh sb="0" eb="2">
      <t>イシバシ</t>
    </rPh>
    <rPh sb="3" eb="5">
      <t>マナ</t>
    </rPh>
    <phoneticPr fontId="2"/>
  </si>
  <si>
    <t>工藤　哲男</t>
    <rPh sb="0" eb="2">
      <t>クドウ</t>
    </rPh>
    <rPh sb="3" eb="5">
      <t>テツオ</t>
    </rPh>
    <phoneticPr fontId="2"/>
  </si>
  <si>
    <t>製品E</t>
    <rPh sb="0" eb="2">
      <t>セイヒン</t>
    </rPh>
    <phoneticPr fontId="2"/>
  </si>
  <si>
    <t>製品F</t>
    <rPh sb="0" eb="2">
      <t>セイヒン</t>
    </rPh>
    <phoneticPr fontId="2"/>
  </si>
  <si>
    <t>製品G</t>
    <rPh sb="0" eb="2">
      <t>セイヒン</t>
    </rPh>
    <phoneticPr fontId="2"/>
  </si>
  <si>
    <t>製品H</t>
    <rPh sb="0" eb="2">
      <t>セイヒン</t>
    </rPh>
    <phoneticPr fontId="2"/>
  </si>
  <si>
    <t>製CO</t>
    <rPh sb="0" eb="1">
      <t>セイ</t>
    </rPh>
    <phoneticPr fontId="2"/>
  </si>
  <si>
    <t>製品名</t>
    <rPh sb="0" eb="3">
      <t>セイヒンメイ</t>
    </rPh>
    <phoneticPr fontId="2"/>
  </si>
  <si>
    <t>作業単価</t>
    <rPh sb="0" eb="2">
      <t>サギョウ</t>
    </rPh>
    <rPh sb="2" eb="4">
      <t>タンカ</t>
    </rPh>
    <phoneticPr fontId="2"/>
  </si>
  <si>
    <t>標準作業数</t>
    <rPh sb="0" eb="2">
      <t>ヒョウジュン</t>
    </rPh>
    <rPh sb="2" eb="4">
      <t>サギョウ</t>
    </rPh>
    <rPh sb="4" eb="5">
      <t>スウ</t>
    </rPh>
    <phoneticPr fontId="2"/>
  </si>
  <si>
    <t>作業指数</t>
    <rPh sb="0" eb="2">
      <t>サギョウ</t>
    </rPh>
    <rPh sb="2" eb="4">
      <t>シスウ</t>
    </rPh>
    <phoneticPr fontId="2"/>
  </si>
  <si>
    <t>技能手当</t>
    <rPh sb="0" eb="2">
      <t>ギノウ</t>
    </rPh>
    <rPh sb="2" eb="4">
      <t>テアテ</t>
    </rPh>
    <phoneticPr fontId="2"/>
  </si>
  <si>
    <t>販売数</t>
    <rPh sb="0" eb="3">
      <t>ハンバイスウ</t>
    </rPh>
    <phoneticPr fontId="2"/>
  </si>
  <si>
    <t>手数料</t>
    <rPh sb="0" eb="3">
      <t>テスウリョウ</t>
    </rPh>
    <phoneticPr fontId="2"/>
  </si>
  <si>
    <t>請求額</t>
    <rPh sb="0" eb="3">
      <t>セイキュウガク</t>
    </rPh>
    <phoneticPr fontId="2"/>
  </si>
  <si>
    <t>平均</t>
    <rPh sb="0" eb="2">
      <t>ヘイキン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</si>
  <si>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</si>
  <si>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</si>
  <si>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作業数</t>
    <rPh sb="0" eb="3">
      <t>サギョウスウ</t>
    </rPh>
    <phoneticPr fontId="2"/>
  </si>
  <si>
    <t>社CO</t>
    <phoneticPr fontId="2"/>
  </si>
  <si>
    <t>貸出料金一覧表</t>
    <rPh sb="0" eb="4">
      <t>カシダシリョウキン</t>
    </rPh>
    <rPh sb="4" eb="7">
      <t>イチランヒョウ</t>
    </rPh>
    <phoneticPr fontId="2"/>
  </si>
  <si>
    <t>CO</t>
    <phoneticPr fontId="2"/>
  </si>
  <si>
    <t>貸出先名</t>
    <rPh sb="0" eb="4">
      <t>カシダシサキメイ</t>
    </rPh>
    <phoneticPr fontId="2"/>
  </si>
  <si>
    <t>商品番号</t>
    <rPh sb="0" eb="4">
      <t>ショウヒンバンゴウ</t>
    </rPh>
    <phoneticPr fontId="2"/>
  </si>
  <si>
    <t>基本料金</t>
    <rPh sb="0" eb="4">
      <t>キホンリョウキン</t>
    </rPh>
    <phoneticPr fontId="2"/>
  </si>
  <si>
    <t>貸出日</t>
    <rPh sb="0" eb="3">
      <t>カシダシビ</t>
    </rPh>
    <phoneticPr fontId="2"/>
  </si>
  <si>
    <t>返却日</t>
    <rPh sb="0" eb="3">
      <t>ヘンキャクビ</t>
    </rPh>
    <phoneticPr fontId="2"/>
  </si>
  <si>
    <t>日数</t>
    <rPh sb="0" eb="2">
      <t>ニッスウ</t>
    </rPh>
    <phoneticPr fontId="2"/>
  </si>
  <si>
    <t>追加料金</t>
    <rPh sb="0" eb="4">
      <t>ツイカリョウキン</t>
    </rPh>
    <phoneticPr fontId="2"/>
  </si>
  <si>
    <t>補償料</t>
    <rPh sb="0" eb="3">
      <t>ホショウリョウ</t>
    </rPh>
    <phoneticPr fontId="2"/>
  </si>
  <si>
    <t>貸出料金</t>
    <rPh sb="0" eb="4">
      <t>カシダシリョウキン</t>
    </rPh>
    <phoneticPr fontId="2"/>
  </si>
  <si>
    <t>商品番号</t>
    <rPh sb="0" eb="2">
      <t>ショウヒン</t>
    </rPh>
    <rPh sb="2" eb="4">
      <t>バンゴウ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</si>
  <si>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</si>
  <si>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</si>
  <si>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</si>
  <si>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</si>
  <si>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</si>
  <si>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</si>
  <si>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</si>
  <si>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</si>
  <si>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日数</t>
    <rPh sb="0" eb="2">
      <t>ヒスウ</t>
    </rPh>
    <phoneticPr fontId="2"/>
  </si>
  <si>
    <t>定価計算表</t>
    <rPh sb="0" eb="2">
      <t>テイカ</t>
    </rPh>
    <rPh sb="2" eb="5">
      <t>ケイサンヒョウ</t>
    </rPh>
    <phoneticPr fontId="2"/>
  </si>
  <si>
    <t>原価</t>
    <rPh sb="0" eb="2">
      <t>ゲンカ</t>
    </rPh>
    <phoneticPr fontId="2"/>
  </si>
  <si>
    <t>利益率</t>
    <rPh sb="0" eb="2">
      <t>リエキ</t>
    </rPh>
    <rPh sb="2" eb="3">
      <t>リツ</t>
    </rPh>
    <phoneticPr fontId="2"/>
  </si>
  <si>
    <t>J商品</t>
    <rPh sb="1" eb="3">
      <t>ショウヒン</t>
    </rPh>
    <phoneticPr fontId="2"/>
  </si>
  <si>
    <t>K商品</t>
    <rPh sb="1" eb="3">
      <t>ショウヒン</t>
    </rPh>
    <phoneticPr fontId="2"/>
  </si>
  <si>
    <t>L商品</t>
    <rPh sb="1" eb="3">
      <t>ショウヒン</t>
    </rPh>
    <phoneticPr fontId="2"/>
  </si>
  <si>
    <t>M商品</t>
    <rPh sb="1" eb="3">
      <t>ショウヒン</t>
    </rPh>
    <phoneticPr fontId="2"/>
  </si>
  <si>
    <t>利益率</t>
    <rPh sb="0" eb="3">
      <t>リエキリツ</t>
    </rPh>
    <phoneticPr fontId="2"/>
  </si>
  <si>
    <t>平均</t>
    <rPh sb="0" eb="2">
      <t>ヘイキン</t>
    </rPh>
    <phoneticPr fontId="2"/>
  </si>
  <si>
    <t>売上額一覧表</t>
    <rPh sb="0" eb="3">
      <t>ウリアゲガク</t>
    </rPh>
    <rPh sb="3" eb="6">
      <t>イチランヒョウ</t>
    </rPh>
    <phoneticPr fontId="2"/>
  </si>
  <si>
    <t>得CO</t>
    <rPh sb="0" eb="1">
      <t>トク</t>
    </rPh>
    <phoneticPr fontId="2"/>
  </si>
  <si>
    <t>得意先名</t>
    <rPh sb="0" eb="4">
      <t>トクイサキメイ</t>
    </rPh>
    <phoneticPr fontId="2"/>
  </si>
  <si>
    <t>商品名</t>
    <phoneticPr fontId="2"/>
  </si>
  <si>
    <t>売上数</t>
    <rPh sb="0" eb="2">
      <t>ウリアゲ</t>
    </rPh>
    <rPh sb="2" eb="3">
      <t>スウ</t>
    </rPh>
    <phoneticPr fontId="2"/>
  </si>
  <si>
    <t>金額</t>
    <rPh sb="0" eb="2">
      <t>キンガク</t>
    </rPh>
    <phoneticPr fontId="2"/>
  </si>
  <si>
    <t>値引率</t>
    <rPh sb="0" eb="3">
      <t>ネビキリツ</t>
    </rPh>
    <phoneticPr fontId="2"/>
  </si>
  <si>
    <t>値引額</t>
    <rPh sb="0" eb="2">
      <t>ネビキ</t>
    </rPh>
    <rPh sb="2" eb="3">
      <t>ガク</t>
    </rPh>
    <phoneticPr fontId="2"/>
  </si>
  <si>
    <t>売上額</t>
    <rPh sb="0" eb="3">
      <t>ウリアゲガク</t>
    </rPh>
    <phoneticPr fontId="2"/>
  </si>
  <si>
    <t>I</t>
    <phoneticPr fontId="2"/>
  </si>
  <si>
    <t>売上数</t>
    <rPh sb="0" eb="3">
      <t>ウリアゲスウ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</si>
</sst>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176" fontId="0" fillId="2" borderId="5" xfId="1" applyNumberFormat="1" applyFont="1" applyFill="1" applyBorder="1">
      <alignment vertical="center"/>
    </xf>
    <xf numFmtId="176" fontId="0" fillId="2" borderId="8" xfId="1" applyNumberFormat="1" applyFont="1" applyFill="1" applyBorder="1">
      <alignment vertical="center"/>
    </xf>
    <xf numFmtId="0" fontId="0" fillId="0" borderId="9" xfId="0" applyBorder="1">
      <alignment vertical="center"/>
    </xf>
    <xf numFmtId="3" fontId="0" fillId="0" borderId="9" xfId="0" applyNumberFormat="1" applyBorder="1">
      <alignment vertical="center"/>
    </xf>
    <xf numFmtId="176" fontId="0" fillId="0" borderId="9" xfId="1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3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5" xfId="1" applyNumberFormat="1" applyFont="1" applyFill="1" applyBorder="1">
      <alignment vertical="center"/>
    </xf>
    <xf numFmtId="176" fontId="0" fillId="0" borderId="8" xfId="1" applyNumberFormat="1" applyFont="1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>
      <alignment vertical="center"/>
    </xf>
    <xf numFmtId="176" fontId="0" fillId="0" borderId="19" xfId="1" applyNumberFormat="1" applyFont="1" applyBorder="1">
      <alignment vertical="center"/>
    </xf>
    <xf numFmtId="0" fontId="0" fillId="0" borderId="20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9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17" xfId="0" applyNumberFormat="1" applyBorder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38" fontId="0" fillId="0" borderId="11" xfId="2" applyFont="1" applyBorder="1" applyAlignment="1">
      <alignment vertical="center"/>
    </xf>
    <xf numFmtId="38" fontId="0" fillId="0" borderId="9" xfId="2" applyFont="1" applyBorder="1">
      <alignment vertical="center"/>
    </xf>
    <xf numFmtId="38" fontId="0" fillId="0" borderId="16" xfId="2" applyFont="1" applyBorder="1">
      <alignment vertical="center"/>
    </xf>
    <xf numFmtId="38" fontId="0" fillId="0" borderId="5" xfId="2" applyFont="1" applyFill="1" applyBorder="1">
      <alignment vertical="center"/>
    </xf>
    <xf numFmtId="38" fontId="0" fillId="0" borderId="8" xfId="2" applyFont="1" applyFill="1" applyBorder="1">
      <alignment vertical="center"/>
    </xf>
    <xf numFmtId="38" fontId="0" fillId="0" borderId="4" xfId="2" applyFont="1" applyFill="1" applyBorder="1">
      <alignment vertical="center"/>
    </xf>
    <xf numFmtId="38" fontId="0" fillId="0" borderId="6" xfId="2" applyFont="1" applyFill="1" applyBorder="1">
      <alignment vertical="center"/>
    </xf>
    <xf numFmtId="38" fontId="0" fillId="0" borderId="14" xfId="2" applyFont="1" applyBorder="1">
      <alignment vertical="center"/>
    </xf>
    <xf numFmtId="38" fontId="0" fillId="0" borderId="17" xfId="2" applyFont="1" applyBorder="1">
      <alignment vertical="center"/>
    </xf>
    <xf numFmtId="38" fontId="0" fillId="0" borderId="11" xfId="2" applyFont="1" applyBorder="1" applyAlignment="1">
      <alignment horizontal="center" vertical="center"/>
    </xf>
    <xf numFmtId="38" fontId="0" fillId="0" borderId="9" xfId="0" applyNumberFormat="1" applyBorder="1">
      <alignment vertical="center"/>
    </xf>
    <xf numFmtId="38" fontId="0" fillId="0" borderId="16" xfId="0" applyNumberFormat="1" applyBorder="1">
      <alignment vertical="center"/>
    </xf>
    <xf numFmtId="38" fontId="0" fillId="0" borderId="14" xfId="0" applyNumberFormat="1" applyBorder="1">
      <alignment vertical="center"/>
    </xf>
    <xf numFmtId="38" fontId="0" fillId="0" borderId="17" xfId="0" applyNumberFormat="1" applyBorder="1">
      <alignment vertical="center"/>
    </xf>
    <xf numFmtId="56" fontId="0" fillId="0" borderId="9" xfId="0" quotePrefix="1" applyNumberFormat="1" applyBorder="1">
      <alignment vertical="center"/>
    </xf>
    <xf numFmtId="38" fontId="0" fillId="0" borderId="5" xfId="2" applyFont="1" applyBorder="1">
      <alignment vertical="center"/>
    </xf>
    <xf numFmtId="38" fontId="0" fillId="0" borderId="8" xfId="2" applyFont="1" applyBorder="1">
      <alignment vertical="center"/>
    </xf>
    <xf numFmtId="9" fontId="0" fillId="0" borderId="5" xfId="0" applyNumberFormat="1" applyBorder="1">
      <alignment vertical="center"/>
    </xf>
    <xf numFmtId="9" fontId="0" fillId="0" borderId="8" xfId="0" applyNumberFormat="1" applyBorder="1">
      <alignment vertical="center"/>
    </xf>
    <xf numFmtId="9" fontId="0" fillId="0" borderId="9" xfId="1" applyFont="1" applyBorder="1">
      <alignment vertical="center"/>
    </xf>
    <xf numFmtId="38" fontId="0" fillId="0" borderId="4" xfId="2" applyFont="1" applyBorder="1">
      <alignment vertical="center"/>
    </xf>
    <xf numFmtId="38" fontId="0" fillId="0" borderId="6" xfId="2" applyFont="1" applyBorder="1">
      <alignment vertical="center"/>
    </xf>
    <xf numFmtId="38" fontId="0" fillId="0" borderId="0" xfId="2" applyFont="1" applyBorder="1">
      <alignment vertical="center"/>
    </xf>
    <xf numFmtId="10" fontId="0" fillId="0" borderId="5" xfId="0" applyNumberFormat="1" applyBorder="1">
      <alignment vertical="center"/>
    </xf>
    <xf numFmtId="38" fontId="0" fillId="0" borderId="7" xfId="2" applyFont="1" applyBorder="1">
      <alignment vertical="center"/>
    </xf>
    <xf numFmtId="10" fontId="0" fillId="0" borderId="8" xfId="0" applyNumberFormat="1" applyBorder="1">
      <alignment vertical="center"/>
    </xf>
    <xf numFmtId="0" fontId="0" fillId="0" borderId="0" xfId="0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2</xdr:row>
      <xdr:rowOff>9525</xdr:rowOff>
    </xdr:from>
    <xdr:to>
      <xdr:col>18</xdr:col>
      <xdr:colOff>304800</xdr:colOff>
      <xdr:row>5</xdr:row>
      <xdr:rowOff>228600</xdr:rowOff>
    </xdr:to>
    <xdr:sp macro="" textlink="">
      <xdr:nvSpPr>
        <xdr:cNvPr id="2" name="矢印: 左 1">
          <a:extLst>
            <a:ext uri="{FF2B5EF4-FFF2-40B4-BE49-F238E27FC236}">
              <a16:creationId xmlns:a16="http://schemas.microsoft.com/office/drawing/2014/main" id="{98AB53A9-ACD6-420A-813D-7C2EDCFADC55}"/>
            </a:ext>
          </a:extLst>
        </xdr:cNvPr>
        <xdr:cNvSpPr/>
      </xdr:nvSpPr>
      <xdr:spPr>
        <a:xfrm>
          <a:off x="11201400" y="495300"/>
          <a:ext cx="1447800" cy="933450"/>
        </a:xfrm>
        <a:prstGeom prst="lef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 b="1"/>
            <a:t>商品テーブル</a:t>
          </a:r>
          <a:endParaRPr kumimoji="1" lang="ja-JP" altLang="en-US" sz="1100" b="1"/>
        </a:p>
      </xdr:txBody>
    </xdr:sp>
    <xdr:clientData/>
  </xdr:twoCellAnchor>
  <xdr:twoCellAnchor>
    <xdr:from>
      <xdr:col>15</xdr:col>
      <xdr:colOff>57150</xdr:colOff>
      <xdr:row>8</xdr:row>
      <xdr:rowOff>9525</xdr:rowOff>
    </xdr:from>
    <xdr:to>
      <xdr:col>17</xdr:col>
      <xdr:colOff>133350</xdr:colOff>
      <xdr:row>11</xdr:row>
      <xdr:rowOff>228600</xdr:rowOff>
    </xdr:to>
    <xdr:sp macro="" textlink="">
      <xdr:nvSpPr>
        <xdr:cNvPr id="3" name="矢印: 左 2">
          <a:extLst>
            <a:ext uri="{FF2B5EF4-FFF2-40B4-BE49-F238E27FC236}">
              <a16:creationId xmlns:a16="http://schemas.microsoft.com/office/drawing/2014/main" id="{7D8C8052-18C4-40B3-A60F-107ED217BADB}"/>
            </a:ext>
          </a:extLst>
        </xdr:cNvPr>
        <xdr:cNvSpPr/>
      </xdr:nvSpPr>
      <xdr:spPr>
        <a:xfrm>
          <a:off x="10344150" y="1943100"/>
          <a:ext cx="1447800" cy="933450"/>
        </a:xfrm>
        <a:prstGeom prst="lef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 b="1"/>
            <a:t>手数料率表</a:t>
          </a:r>
          <a:endParaRPr kumimoji="1" lang="ja-JP" alt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EA45-188F-464A-AC87-4C24417ED1B6}">
  <dimension ref="A1:P13"/>
  <sheetViews>
    <sheetView workbookViewId="0">
      <selection activeCell="P3" sqref="P3"/>
    </sheetView>
  </sheetViews>
  <sheetFormatPr defaultRowHeight="18.75" x14ac:dyDescent="0.4"/>
  <cols>
    <col min="1" max="1" width="6" bestFit="1" customWidth="1"/>
    <col min="2" max="2" width="11" bestFit="1" customWidth="1"/>
    <col min="3" max="3" width="6" bestFit="1" customWidth="1"/>
    <col min="4" max="4" width="7.125" bestFit="1" customWidth="1"/>
    <col min="5" max="6" width="6" bestFit="1" customWidth="1"/>
    <col min="7" max="7" width="7.125" bestFit="1" customWidth="1"/>
    <col min="8" max="8" width="9.5" bestFit="1" customWidth="1"/>
    <col min="10" max="10" width="8" bestFit="1" customWidth="1"/>
    <col min="11" max="11" width="9.5" bestFit="1" customWidth="1"/>
    <col min="12" max="12" width="5.25" bestFit="1" customWidth="1"/>
    <col min="13" max="13" width="2.625" customWidth="1"/>
  </cols>
  <sheetData>
    <row r="1" spans="1:16" ht="19.5" thickBot="1" x14ac:dyDescent="0.4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6" x14ac:dyDescent="0.4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7" t="s">
        <v>12</v>
      </c>
      <c r="N2" s="1" t="s">
        <v>3</v>
      </c>
      <c r="O2" s="2" t="s">
        <v>4</v>
      </c>
      <c r="P2" s="3" t="s">
        <v>5</v>
      </c>
    </row>
    <row r="3" spans="1:16" x14ac:dyDescent="0.4">
      <c r="A3" s="18">
        <v>102</v>
      </c>
      <c r="B3" s="12" t="s">
        <v>14</v>
      </c>
      <c r="C3" s="12">
        <v>14</v>
      </c>
      <c r="D3" s="12" t="str">
        <f t="shared" ref="D3:D11" si="0">VLOOKUP(C3,$N$3:$P$7,2,0)</f>
        <v>商品D</v>
      </c>
      <c r="E3" s="13">
        <f t="shared" ref="E3:E11" si="1">VLOOKUP(C3,$N$3:$P$7,3,0)</f>
        <v>1540</v>
      </c>
      <c r="F3" s="13">
        <f t="shared" ref="F3:F11" si="2">ROUNDUP(E3*0.92,0)</f>
        <v>1417</v>
      </c>
      <c r="G3" s="12">
        <v>331</v>
      </c>
      <c r="H3" s="13">
        <f t="shared" ref="H3:H11" si="3">F3*G3</f>
        <v>469027</v>
      </c>
      <c r="I3" s="14">
        <f t="shared" ref="I3:I11" si="4">VLOOKUP(H3,$N$10:$O$12,2,1)</f>
        <v>7.8E-2</v>
      </c>
      <c r="J3" s="13">
        <f t="shared" ref="J3:J11" si="5">INT(H3*I3)</f>
        <v>36584</v>
      </c>
      <c r="K3" s="13">
        <f t="shared" ref="K3:K11" si="6">H3+J3</f>
        <v>505611</v>
      </c>
      <c r="L3" s="19" t="str">
        <f t="shared" ref="L3:L11" si="7">IF(AND(G3&lt;=430,K3&gt;=550000),"優","可")</f>
        <v>可</v>
      </c>
      <c r="N3" s="26">
        <v>11</v>
      </c>
      <c r="O3" s="25" t="s">
        <v>23</v>
      </c>
      <c r="P3" s="27">
        <v>1690</v>
      </c>
    </row>
    <row r="4" spans="1:16" x14ac:dyDescent="0.4">
      <c r="A4" s="18">
        <v>105</v>
      </c>
      <c r="B4" s="12" t="s">
        <v>17</v>
      </c>
      <c r="C4" s="12">
        <v>11</v>
      </c>
      <c r="D4" s="12" t="str">
        <f t="shared" si="0"/>
        <v>商品A</v>
      </c>
      <c r="E4" s="13">
        <f t="shared" si="1"/>
        <v>1690</v>
      </c>
      <c r="F4" s="13">
        <f t="shared" si="2"/>
        <v>1555</v>
      </c>
      <c r="G4" s="12">
        <v>349</v>
      </c>
      <c r="H4" s="13">
        <f t="shared" si="3"/>
        <v>542695</v>
      </c>
      <c r="I4" s="14">
        <f t="shared" si="4"/>
        <v>8.2000000000000003E-2</v>
      </c>
      <c r="J4" s="13">
        <f t="shared" si="5"/>
        <v>44500</v>
      </c>
      <c r="K4" s="13">
        <f t="shared" si="6"/>
        <v>587195</v>
      </c>
      <c r="L4" s="19" t="str">
        <f t="shared" si="7"/>
        <v>優</v>
      </c>
      <c r="N4" s="26">
        <v>12</v>
      </c>
      <c r="O4" s="25" t="s">
        <v>24</v>
      </c>
      <c r="P4" s="27">
        <v>1430</v>
      </c>
    </row>
    <row r="5" spans="1:16" x14ac:dyDescent="0.4">
      <c r="A5" s="18">
        <v>107</v>
      </c>
      <c r="B5" s="12" t="s">
        <v>19</v>
      </c>
      <c r="C5" s="12">
        <v>14</v>
      </c>
      <c r="D5" s="12" t="str">
        <f t="shared" si="0"/>
        <v>商品D</v>
      </c>
      <c r="E5" s="13">
        <f t="shared" si="1"/>
        <v>1540</v>
      </c>
      <c r="F5" s="13">
        <f t="shared" si="2"/>
        <v>1417</v>
      </c>
      <c r="G5" s="12">
        <v>375</v>
      </c>
      <c r="H5" s="13">
        <f t="shared" si="3"/>
        <v>531375</v>
      </c>
      <c r="I5" s="14">
        <f t="shared" si="4"/>
        <v>8.2000000000000003E-2</v>
      </c>
      <c r="J5" s="13">
        <f t="shared" si="5"/>
        <v>43572</v>
      </c>
      <c r="K5" s="13">
        <f t="shared" si="6"/>
        <v>574947</v>
      </c>
      <c r="L5" s="19" t="str">
        <f t="shared" si="7"/>
        <v>優</v>
      </c>
      <c r="N5" s="26">
        <v>13</v>
      </c>
      <c r="O5" s="25" t="s">
        <v>25</v>
      </c>
      <c r="P5" s="27">
        <v>1290</v>
      </c>
    </row>
    <row r="6" spans="1:16" x14ac:dyDescent="0.4">
      <c r="A6" s="18">
        <v>109</v>
      </c>
      <c r="B6" s="12" t="s">
        <v>21</v>
      </c>
      <c r="C6" s="12">
        <v>15</v>
      </c>
      <c r="D6" s="12" t="str">
        <f t="shared" si="0"/>
        <v>商品E</v>
      </c>
      <c r="E6" s="13">
        <f t="shared" si="1"/>
        <v>1370</v>
      </c>
      <c r="F6" s="13">
        <f t="shared" si="2"/>
        <v>1261</v>
      </c>
      <c r="G6" s="12">
        <v>398</v>
      </c>
      <c r="H6" s="13">
        <f t="shared" si="3"/>
        <v>501878</v>
      </c>
      <c r="I6" s="14">
        <f t="shared" si="4"/>
        <v>7.8E-2</v>
      </c>
      <c r="J6" s="13">
        <f t="shared" si="5"/>
        <v>39146</v>
      </c>
      <c r="K6" s="13">
        <f t="shared" si="6"/>
        <v>541024</v>
      </c>
      <c r="L6" s="19" t="str">
        <f t="shared" si="7"/>
        <v>可</v>
      </c>
      <c r="N6" s="26">
        <v>14</v>
      </c>
      <c r="O6" s="25" t="s">
        <v>26</v>
      </c>
      <c r="P6" s="27">
        <v>1540</v>
      </c>
    </row>
    <row r="7" spans="1:16" ht="19.5" thickBot="1" x14ac:dyDescent="0.45">
      <c r="A7" s="18">
        <v>104</v>
      </c>
      <c r="B7" s="12" t="s">
        <v>16</v>
      </c>
      <c r="C7" s="12">
        <v>15</v>
      </c>
      <c r="D7" s="12" t="str">
        <f t="shared" si="0"/>
        <v>商品E</v>
      </c>
      <c r="E7" s="13">
        <f t="shared" si="1"/>
        <v>1370</v>
      </c>
      <c r="F7" s="13">
        <f t="shared" si="2"/>
        <v>1261</v>
      </c>
      <c r="G7" s="12">
        <v>426</v>
      </c>
      <c r="H7" s="13">
        <f t="shared" si="3"/>
        <v>537186</v>
      </c>
      <c r="I7" s="14">
        <f t="shared" si="4"/>
        <v>8.2000000000000003E-2</v>
      </c>
      <c r="J7" s="13">
        <f t="shared" si="5"/>
        <v>44049</v>
      </c>
      <c r="K7" s="13">
        <f t="shared" si="6"/>
        <v>581235</v>
      </c>
      <c r="L7" s="19" t="str">
        <f t="shared" si="7"/>
        <v>優</v>
      </c>
      <c r="N7" s="28">
        <v>15</v>
      </c>
      <c r="O7" s="29" t="s">
        <v>27</v>
      </c>
      <c r="P7" s="30">
        <v>1370</v>
      </c>
    </row>
    <row r="8" spans="1:16" ht="19.5" thickBot="1" x14ac:dyDescent="0.45">
      <c r="A8" s="18">
        <v>106</v>
      </c>
      <c r="B8" s="12" t="s">
        <v>18</v>
      </c>
      <c r="C8" s="12">
        <v>12</v>
      </c>
      <c r="D8" s="12" t="str">
        <f t="shared" si="0"/>
        <v>商品B</v>
      </c>
      <c r="E8" s="13">
        <f t="shared" si="1"/>
        <v>1430</v>
      </c>
      <c r="F8" s="13">
        <f t="shared" si="2"/>
        <v>1316</v>
      </c>
      <c r="G8" s="12">
        <v>430</v>
      </c>
      <c r="H8" s="13">
        <f t="shared" si="3"/>
        <v>565880</v>
      </c>
      <c r="I8" s="14">
        <f t="shared" si="4"/>
        <v>8.2000000000000003E-2</v>
      </c>
      <c r="J8" s="13">
        <f t="shared" si="5"/>
        <v>46402</v>
      </c>
      <c r="K8" s="13">
        <f t="shared" si="6"/>
        <v>612282</v>
      </c>
      <c r="L8" s="19" t="str">
        <f t="shared" si="7"/>
        <v>優</v>
      </c>
    </row>
    <row r="9" spans="1:16" x14ac:dyDescent="0.4">
      <c r="A9" s="18">
        <v>103</v>
      </c>
      <c r="B9" s="12" t="s">
        <v>15</v>
      </c>
      <c r="C9" s="12">
        <v>12</v>
      </c>
      <c r="D9" s="12" t="str">
        <f t="shared" si="0"/>
        <v>商品B</v>
      </c>
      <c r="E9" s="13">
        <f t="shared" si="1"/>
        <v>1430</v>
      </c>
      <c r="F9" s="13">
        <f t="shared" si="2"/>
        <v>1316</v>
      </c>
      <c r="G9" s="12">
        <v>473</v>
      </c>
      <c r="H9" s="13">
        <f t="shared" si="3"/>
        <v>622468</v>
      </c>
      <c r="I9" s="14">
        <f t="shared" si="4"/>
        <v>9.7000000000000003E-2</v>
      </c>
      <c r="J9" s="13">
        <f t="shared" si="5"/>
        <v>60379</v>
      </c>
      <c r="K9" s="13">
        <f t="shared" si="6"/>
        <v>682847</v>
      </c>
      <c r="L9" s="19" t="str">
        <f t="shared" si="7"/>
        <v>可</v>
      </c>
      <c r="N9" s="1" t="s">
        <v>8</v>
      </c>
      <c r="O9" s="3" t="s">
        <v>9</v>
      </c>
    </row>
    <row r="10" spans="1:16" x14ac:dyDescent="0.4">
      <c r="A10" s="18">
        <v>108</v>
      </c>
      <c r="B10" s="12" t="s">
        <v>20</v>
      </c>
      <c r="C10" s="12">
        <v>13</v>
      </c>
      <c r="D10" s="12" t="str">
        <f t="shared" si="0"/>
        <v>商品C</v>
      </c>
      <c r="E10" s="13">
        <f t="shared" si="1"/>
        <v>1290</v>
      </c>
      <c r="F10" s="13">
        <f t="shared" si="2"/>
        <v>1187</v>
      </c>
      <c r="G10" s="12">
        <v>517</v>
      </c>
      <c r="H10" s="13">
        <f t="shared" si="3"/>
        <v>613679</v>
      </c>
      <c r="I10" s="14">
        <f t="shared" si="4"/>
        <v>9.7000000000000003E-2</v>
      </c>
      <c r="J10" s="13">
        <f t="shared" si="5"/>
        <v>59526</v>
      </c>
      <c r="K10" s="13">
        <f t="shared" si="6"/>
        <v>673205</v>
      </c>
      <c r="L10" s="19" t="str">
        <f t="shared" si="7"/>
        <v>可</v>
      </c>
      <c r="N10" s="26">
        <v>1</v>
      </c>
      <c r="O10" s="31">
        <v>7.8E-2</v>
      </c>
    </row>
    <row r="11" spans="1:16" x14ac:dyDescent="0.4">
      <c r="A11" s="18">
        <v>101</v>
      </c>
      <c r="B11" s="12" t="s">
        <v>13</v>
      </c>
      <c r="C11" s="12">
        <v>13</v>
      </c>
      <c r="D11" s="12" t="str">
        <f t="shared" si="0"/>
        <v>商品C</v>
      </c>
      <c r="E11" s="13">
        <f t="shared" si="1"/>
        <v>1290</v>
      </c>
      <c r="F11" s="13">
        <f t="shared" si="2"/>
        <v>1187</v>
      </c>
      <c r="G11" s="12">
        <v>530</v>
      </c>
      <c r="H11" s="13">
        <f t="shared" si="3"/>
        <v>629110</v>
      </c>
      <c r="I11" s="14">
        <f t="shared" si="4"/>
        <v>9.7000000000000003E-2</v>
      </c>
      <c r="J11" s="13">
        <f t="shared" si="5"/>
        <v>61023</v>
      </c>
      <c r="K11" s="13">
        <f t="shared" si="6"/>
        <v>690133</v>
      </c>
      <c r="L11" s="19" t="str">
        <f t="shared" si="7"/>
        <v>可</v>
      </c>
      <c r="N11" s="26">
        <v>530000</v>
      </c>
      <c r="O11" s="31">
        <v>8.2000000000000003E-2</v>
      </c>
    </row>
    <row r="12" spans="1:16" ht="19.5" thickBot="1" x14ac:dyDescent="0.45">
      <c r="A12" s="18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9"/>
      <c r="N12" s="28">
        <v>600000</v>
      </c>
      <c r="O12" s="32">
        <v>9.7000000000000003E-2</v>
      </c>
    </row>
    <row r="13" spans="1:16" ht="19.5" thickBot="1" x14ac:dyDescent="0.45">
      <c r="A13" s="20"/>
      <c r="B13" s="21" t="s">
        <v>22</v>
      </c>
      <c r="C13" s="22"/>
      <c r="D13" s="22"/>
      <c r="E13" s="22"/>
      <c r="F13" s="22"/>
      <c r="G13" s="23">
        <f>SUM(G3:G11)</f>
        <v>3829</v>
      </c>
      <c r="H13" s="23">
        <f t="shared" ref="H13:K13" si="8">SUM(H3:H11)</f>
        <v>5013298</v>
      </c>
      <c r="I13" s="23"/>
      <c r="J13" s="23">
        <f t="shared" si="8"/>
        <v>435181</v>
      </c>
      <c r="K13" s="23">
        <f t="shared" si="8"/>
        <v>5448479</v>
      </c>
      <c r="L13" s="24"/>
    </row>
  </sheetData>
  <sortState ref="A3:L11">
    <sortCondition ref="G2"/>
  </sortState>
  <mergeCells count="1">
    <mergeCell ref="A1:L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27EF-D864-4969-B87B-246FF6C6E1DE}">
  <dimension ref="A1:P13"/>
  <sheetViews>
    <sheetView showFormulas="1" workbookViewId="0">
      <selection activeCell="Q18" sqref="Q18"/>
    </sheetView>
  </sheetViews>
  <sheetFormatPr defaultRowHeight="18.75" x14ac:dyDescent="0.4"/>
  <cols>
    <col min="1" max="1" width="3.125" bestFit="1" customWidth="1"/>
    <col min="2" max="2" width="5.625" bestFit="1" customWidth="1"/>
    <col min="3" max="3" width="3.125" bestFit="1" customWidth="1"/>
    <col min="4" max="5" width="16" bestFit="1" customWidth="1"/>
    <col min="6" max="6" width="12.125" bestFit="1" customWidth="1"/>
    <col min="7" max="8" width="7.75" bestFit="1" customWidth="1"/>
    <col min="9" max="9" width="17.25" bestFit="1" customWidth="1"/>
    <col min="10" max="10" width="7.375" bestFit="1" customWidth="1"/>
    <col min="11" max="11" width="7.625" bestFit="1" customWidth="1"/>
    <col min="12" max="12" width="22.25" bestFit="1" customWidth="1"/>
    <col min="13" max="13" width="2.625" customWidth="1"/>
    <col min="14" max="14" width="3.875" bestFit="1" customWidth="1"/>
    <col min="15" max="15" width="4.625" bestFit="1" customWidth="1"/>
    <col min="16" max="16" width="2.875" bestFit="1" customWidth="1"/>
  </cols>
  <sheetData>
    <row r="1" spans="1:16" ht="19.5" thickBot="1" x14ac:dyDescent="0.4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6" x14ac:dyDescent="0.4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7" t="s">
        <v>12</v>
      </c>
      <c r="N2" s="1" t="s">
        <v>3</v>
      </c>
      <c r="O2" s="2" t="s">
        <v>4</v>
      </c>
      <c r="P2" s="3" t="s">
        <v>5</v>
      </c>
    </row>
    <row r="3" spans="1:16" x14ac:dyDescent="0.4">
      <c r="A3" s="18">
        <v>102</v>
      </c>
      <c r="B3" s="12" t="s">
        <v>14</v>
      </c>
      <c r="C3" s="12">
        <v>14</v>
      </c>
      <c r="D3" s="12" t="str">
        <f t="shared" ref="D3:D11" si="0">VLOOKUP(C3,$N$3:$P$7,2,0)</f>
        <v>商品D</v>
      </c>
      <c r="E3" s="13">
        <f t="shared" ref="E3:E11" si="1">VLOOKUP(C3,$N$3:$P$7,3,0)</f>
        <v>1540</v>
      </c>
      <c r="F3" s="13">
        <f t="shared" ref="F3:F11" si="2">ROUNDUP(E3*0.92,0)</f>
        <v>1417</v>
      </c>
      <c r="G3" s="12">
        <v>331</v>
      </c>
      <c r="H3" s="13">
        <f t="shared" ref="H3:H11" si="3">F3*G3</f>
        <v>469027</v>
      </c>
      <c r="I3" s="14">
        <f t="shared" ref="I3:I11" si="4">VLOOKUP(H3,$N$10:$O$12,2,1)</f>
        <v>7.8E-2</v>
      </c>
      <c r="J3" s="13">
        <f t="shared" ref="J3:J11" si="5">INT(H3*I3)</f>
        <v>36584</v>
      </c>
      <c r="K3" s="13">
        <f t="shared" ref="K3:K11" si="6">H3+J3</f>
        <v>505611</v>
      </c>
      <c r="L3" s="19" t="str">
        <f t="shared" ref="L3:L11" si="7">IF(AND(G3&lt;=430,K3&gt;=550000),"優","可")</f>
        <v>可</v>
      </c>
      <c r="N3" s="4">
        <v>11</v>
      </c>
      <c r="O3" s="5" t="s">
        <v>23</v>
      </c>
      <c r="P3" s="6">
        <v>1690</v>
      </c>
    </row>
    <row r="4" spans="1:16" x14ac:dyDescent="0.4">
      <c r="A4" s="18">
        <v>105</v>
      </c>
      <c r="B4" s="12" t="s">
        <v>17</v>
      </c>
      <c r="C4" s="12">
        <v>11</v>
      </c>
      <c r="D4" s="12" t="str">
        <f t="shared" si="0"/>
        <v>商品A</v>
      </c>
      <c r="E4" s="13">
        <f t="shared" si="1"/>
        <v>1690</v>
      </c>
      <c r="F4" s="13">
        <f t="shared" si="2"/>
        <v>1555</v>
      </c>
      <c r="G4" s="12">
        <v>349</v>
      </c>
      <c r="H4" s="13">
        <f t="shared" si="3"/>
        <v>542695</v>
      </c>
      <c r="I4" s="14">
        <f t="shared" si="4"/>
        <v>8.2000000000000003E-2</v>
      </c>
      <c r="J4" s="13">
        <f t="shared" si="5"/>
        <v>44500</v>
      </c>
      <c r="K4" s="13">
        <f t="shared" si="6"/>
        <v>587195</v>
      </c>
      <c r="L4" s="19" t="str">
        <f t="shared" si="7"/>
        <v>優</v>
      </c>
      <c r="N4" s="4">
        <v>12</v>
      </c>
      <c r="O4" s="5" t="s">
        <v>24</v>
      </c>
      <c r="P4" s="6">
        <v>1430</v>
      </c>
    </row>
    <row r="5" spans="1:16" x14ac:dyDescent="0.4">
      <c r="A5" s="18">
        <v>107</v>
      </c>
      <c r="B5" s="12" t="s">
        <v>19</v>
      </c>
      <c r="C5" s="12">
        <v>14</v>
      </c>
      <c r="D5" s="12" t="str">
        <f t="shared" si="0"/>
        <v>商品D</v>
      </c>
      <c r="E5" s="13">
        <f t="shared" si="1"/>
        <v>1540</v>
      </c>
      <c r="F5" s="13">
        <f t="shared" si="2"/>
        <v>1417</v>
      </c>
      <c r="G5" s="12">
        <v>375</v>
      </c>
      <c r="H5" s="13">
        <f t="shared" si="3"/>
        <v>531375</v>
      </c>
      <c r="I5" s="14">
        <f t="shared" si="4"/>
        <v>8.2000000000000003E-2</v>
      </c>
      <c r="J5" s="13">
        <f t="shared" si="5"/>
        <v>43572</v>
      </c>
      <c r="K5" s="13">
        <f t="shared" si="6"/>
        <v>574947</v>
      </c>
      <c r="L5" s="19" t="str">
        <f t="shared" si="7"/>
        <v>優</v>
      </c>
      <c r="N5" s="4">
        <v>13</v>
      </c>
      <c r="O5" s="5" t="s">
        <v>25</v>
      </c>
      <c r="P5" s="6">
        <v>1290</v>
      </c>
    </row>
    <row r="6" spans="1:16" x14ac:dyDescent="0.4">
      <c r="A6" s="18">
        <v>109</v>
      </c>
      <c r="B6" s="12" t="s">
        <v>21</v>
      </c>
      <c r="C6" s="12">
        <v>15</v>
      </c>
      <c r="D6" s="12" t="str">
        <f t="shared" si="0"/>
        <v>商品E</v>
      </c>
      <c r="E6" s="13">
        <f t="shared" si="1"/>
        <v>1370</v>
      </c>
      <c r="F6" s="13">
        <f t="shared" si="2"/>
        <v>1261</v>
      </c>
      <c r="G6" s="12">
        <v>398</v>
      </c>
      <c r="H6" s="13">
        <f t="shared" si="3"/>
        <v>501878</v>
      </c>
      <c r="I6" s="14">
        <f t="shared" si="4"/>
        <v>7.8E-2</v>
      </c>
      <c r="J6" s="13">
        <f t="shared" si="5"/>
        <v>39146</v>
      </c>
      <c r="K6" s="13">
        <f t="shared" si="6"/>
        <v>541024</v>
      </c>
      <c r="L6" s="19" t="str">
        <f t="shared" si="7"/>
        <v>可</v>
      </c>
      <c r="N6" s="4">
        <v>14</v>
      </c>
      <c r="O6" s="5" t="s">
        <v>26</v>
      </c>
      <c r="P6" s="6">
        <v>1540</v>
      </c>
    </row>
    <row r="7" spans="1:16" ht="19.5" thickBot="1" x14ac:dyDescent="0.45">
      <c r="A7" s="18">
        <v>104</v>
      </c>
      <c r="B7" s="12" t="s">
        <v>16</v>
      </c>
      <c r="C7" s="12">
        <v>15</v>
      </c>
      <c r="D7" s="12" t="str">
        <f t="shared" si="0"/>
        <v>商品E</v>
      </c>
      <c r="E7" s="13">
        <f t="shared" si="1"/>
        <v>1370</v>
      </c>
      <c r="F7" s="13">
        <f t="shared" si="2"/>
        <v>1261</v>
      </c>
      <c r="G7" s="12">
        <v>426</v>
      </c>
      <c r="H7" s="13">
        <f t="shared" si="3"/>
        <v>537186</v>
      </c>
      <c r="I7" s="14">
        <f t="shared" si="4"/>
        <v>8.2000000000000003E-2</v>
      </c>
      <c r="J7" s="13">
        <f t="shared" si="5"/>
        <v>44049</v>
      </c>
      <c r="K7" s="13">
        <f t="shared" si="6"/>
        <v>581235</v>
      </c>
      <c r="L7" s="19" t="str">
        <f t="shared" si="7"/>
        <v>優</v>
      </c>
      <c r="N7" s="7">
        <v>15</v>
      </c>
      <c r="O7" s="8" t="s">
        <v>27</v>
      </c>
      <c r="P7" s="9">
        <v>1370</v>
      </c>
    </row>
    <row r="8" spans="1:16" ht="19.5" thickBot="1" x14ac:dyDescent="0.45">
      <c r="A8" s="18">
        <v>106</v>
      </c>
      <c r="B8" s="12" t="s">
        <v>18</v>
      </c>
      <c r="C8" s="12">
        <v>12</v>
      </c>
      <c r="D8" s="12" t="str">
        <f t="shared" si="0"/>
        <v>商品B</v>
      </c>
      <c r="E8" s="13">
        <f t="shared" si="1"/>
        <v>1430</v>
      </c>
      <c r="F8" s="13">
        <f t="shared" si="2"/>
        <v>1316</v>
      </c>
      <c r="G8" s="12">
        <v>430</v>
      </c>
      <c r="H8" s="13">
        <f t="shared" si="3"/>
        <v>565880</v>
      </c>
      <c r="I8" s="14">
        <f t="shared" si="4"/>
        <v>8.2000000000000003E-2</v>
      </c>
      <c r="J8" s="13">
        <f t="shared" si="5"/>
        <v>46402</v>
      </c>
      <c r="K8" s="13">
        <f t="shared" si="6"/>
        <v>612282</v>
      </c>
      <c r="L8" s="19" t="str">
        <f t="shared" si="7"/>
        <v>優</v>
      </c>
    </row>
    <row r="9" spans="1:16" x14ac:dyDescent="0.4">
      <c r="A9" s="18">
        <v>103</v>
      </c>
      <c r="B9" s="12" t="s">
        <v>15</v>
      </c>
      <c r="C9" s="12">
        <v>12</v>
      </c>
      <c r="D9" s="12" t="str">
        <f t="shared" si="0"/>
        <v>商品B</v>
      </c>
      <c r="E9" s="13">
        <f t="shared" si="1"/>
        <v>1430</v>
      </c>
      <c r="F9" s="13">
        <f t="shared" si="2"/>
        <v>1316</v>
      </c>
      <c r="G9" s="12">
        <v>473</v>
      </c>
      <c r="H9" s="13">
        <f t="shared" si="3"/>
        <v>622468</v>
      </c>
      <c r="I9" s="14">
        <f t="shared" si="4"/>
        <v>9.7000000000000003E-2</v>
      </c>
      <c r="J9" s="13">
        <f t="shared" si="5"/>
        <v>60379</v>
      </c>
      <c r="K9" s="13">
        <f t="shared" si="6"/>
        <v>682847</v>
      </c>
      <c r="L9" s="19" t="str">
        <f t="shared" si="7"/>
        <v>可</v>
      </c>
      <c r="N9" s="1" t="s">
        <v>8</v>
      </c>
      <c r="O9" s="3" t="s">
        <v>9</v>
      </c>
    </row>
    <row r="10" spans="1:16" x14ac:dyDescent="0.4">
      <c r="A10" s="18">
        <v>108</v>
      </c>
      <c r="B10" s="12" t="s">
        <v>20</v>
      </c>
      <c r="C10" s="12">
        <v>13</v>
      </c>
      <c r="D10" s="12" t="str">
        <f t="shared" si="0"/>
        <v>商品C</v>
      </c>
      <c r="E10" s="13">
        <f t="shared" si="1"/>
        <v>1290</v>
      </c>
      <c r="F10" s="13">
        <f t="shared" si="2"/>
        <v>1187</v>
      </c>
      <c r="G10" s="12">
        <v>517</v>
      </c>
      <c r="H10" s="13">
        <f t="shared" si="3"/>
        <v>613679</v>
      </c>
      <c r="I10" s="14">
        <f t="shared" si="4"/>
        <v>9.7000000000000003E-2</v>
      </c>
      <c r="J10" s="13">
        <f t="shared" si="5"/>
        <v>59526</v>
      </c>
      <c r="K10" s="13">
        <f t="shared" si="6"/>
        <v>673205</v>
      </c>
      <c r="L10" s="19" t="str">
        <f t="shared" si="7"/>
        <v>可</v>
      </c>
      <c r="N10" s="4">
        <v>1</v>
      </c>
      <c r="O10" s="10">
        <v>7.8E-2</v>
      </c>
    </row>
    <row r="11" spans="1:16" x14ac:dyDescent="0.4">
      <c r="A11" s="18">
        <v>101</v>
      </c>
      <c r="B11" s="12" t="s">
        <v>13</v>
      </c>
      <c r="C11" s="12">
        <v>13</v>
      </c>
      <c r="D11" s="12" t="str">
        <f t="shared" si="0"/>
        <v>商品C</v>
      </c>
      <c r="E11" s="13">
        <f t="shared" si="1"/>
        <v>1290</v>
      </c>
      <c r="F11" s="13">
        <f t="shared" si="2"/>
        <v>1187</v>
      </c>
      <c r="G11" s="12">
        <v>530</v>
      </c>
      <c r="H11" s="13">
        <f t="shared" si="3"/>
        <v>629110</v>
      </c>
      <c r="I11" s="14">
        <f t="shared" si="4"/>
        <v>9.7000000000000003E-2</v>
      </c>
      <c r="J11" s="13">
        <f t="shared" si="5"/>
        <v>61023</v>
      </c>
      <c r="K11" s="13">
        <f t="shared" si="6"/>
        <v>690133</v>
      </c>
      <c r="L11" s="19" t="str">
        <f t="shared" si="7"/>
        <v>可</v>
      </c>
      <c r="N11" s="4">
        <v>530000</v>
      </c>
      <c r="O11" s="10">
        <v>8.2000000000000003E-2</v>
      </c>
    </row>
    <row r="12" spans="1:16" ht="19.5" thickBot="1" x14ac:dyDescent="0.45">
      <c r="A12" s="18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9"/>
      <c r="N12" s="7">
        <v>600000</v>
      </c>
      <c r="O12" s="11">
        <v>9.7000000000000003E-2</v>
      </c>
    </row>
    <row r="13" spans="1:16" ht="19.5" thickBot="1" x14ac:dyDescent="0.45">
      <c r="A13" s="20"/>
      <c r="B13" s="21" t="s">
        <v>22</v>
      </c>
      <c r="C13" s="22"/>
      <c r="D13" s="22"/>
      <c r="E13" s="22"/>
      <c r="F13" s="22"/>
      <c r="G13" s="23">
        <f>SUM(G3:G11)</f>
        <v>3829</v>
      </c>
      <c r="H13" s="23">
        <f t="shared" ref="H13:K13" si="8">SUM(H3:H11)</f>
        <v>5013298</v>
      </c>
      <c r="I13" s="23"/>
      <c r="J13" s="23">
        <f t="shared" si="8"/>
        <v>435181</v>
      </c>
      <c r="K13" s="23">
        <f t="shared" si="8"/>
        <v>5448479</v>
      </c>
      <c r="L13" s="24"/>
    </row>
  </sheetData>
  <mergeCells count="1">
    <mergeCell ref="A1:L1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FB96-31D7-4AB8-8A01-5D8B0099CE67}">
  <dimension ref="A1:P19"/>
  <sheetViews>
    <sheetView workbookViewId="0">
      <selection activeCell="J17" sqref="J17"/>
    </sheetView>
  </sheetViews>
  <sheetFormatPr defaultRowHeight="18.75" x14ac:dyDescent="0.4"/>
  <cols>
    <col min="1" max="1" width="6" bestFit="1" customWidth="1"/>
    <col min="2" max="2" width="11" bestFit="1" customWidth="1"/>
    <col min="3" max="4" width="7.25" bestFit="1" customWidth="1"/>
    <col min="5" max="5" width="8" bestFit="1" customWidth="1"/>
    <col min="6" max="6" width="6" bestFit="1" customWidth="1"/>
    <col min="7" max="7" width="7.375" bestFit="1" customWidth="1"/>
    <col min="8" max="8" width="9.5" bestFit="1" customWidth="1"/>
    <col min="10" max="10" width="8" bestFit="1" customWidth="1"/>
    <col min="11" max="11" width="9.5" bestFit="1" customWidth="1"/>
    <col min="12" max="12" width="5.25" bestFit="1" customWidth="1"/>
    <col min="13" max="13" width="3.5" customWidth="1"/>
    <col min="14" max="14" width="8" style="25" bestFit="1" customWidth="1"/>
    <col min="15" max="15" width="9" style="25"/>
    <col min="16" max="16" width="6" style="25" bestFit="1" customWidth="1"/>
  </cols>
  <sheetData>
    <row r="1" spans="1:16" ht="19.5" thickBot="1" x14ac:dyDescent="0.4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6" x14ac:dyDescent="0.4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70" t="s">
        <v>10</v>
      </c>
      <c r="K2" s="16" t="s">
        <v>11</v>
      </c>
      <c r="L2" s="17" t="s">
        <v>12</v>
      </c>
      <c r="N2" s="34" t="s">
        <v>3</v>
      </c>
      <c r="O2" s="36" t="s">
        <v>4</v>
      </c>
      <c r="P2" s="35" t="s">
        <v>5</v>
      </c>
    </row>
    <row r="3" spans="1:16" x14ac:dyDescent="0.4">
      <c r="A3" s="18">
        <v>102</v>
      </c>
      <c r="B3" s="41" t="s">
        <v>14</v>
      </c>
      <c r="C3" s="12">
        <v>14</v>
      </c>
      <c r="D3" s="12" t="str">
        <f t="shared" ref="D3:D11" si="0">VLOOKUP(C3,$N$3:$P$7,2,FALSE)</f>
        <v>商品D</v>
      </c>
      <c r="E3" s="62">
        <f t="shared" ref="E3:E11" si="1">VLOOKUP(C3,$N$3:$P$7,3,FALSE)</f>
        <v>1540</v>
      </c>
      <c r="F3" s="62">
        <f t="shared" ref="F3:F11" si="2">ROUNDUP(E3*0.92,0)</f>
        <v>1417</v>
      </c>
      <c r="G3" s="62">
        <v>331</v>
      </c>
      <c r="H3" s="62">
        <f t="shared" ref="H3:H11" si="3">F3*G3</f>
        <v>469027</v>
      </c>
      <c r="I3" s="14">
        <f t="shared" ref="I3:I11" si="4">VLOOKUP(H3,$N$10:$O$12,2,TRUE)</f>
        <v>7.8E-2</v>
      </c>
      <c r="J3" s="62">
        <f t="shared" ref="J3:J11" si="5">INT(H3*I3)</f>
        <v>36584</v>
      </c>
      <c r="K3" s="62">
        <f t="shared" ref="K3:K11" si="6">H3+J3</f>
        <v>505611</v>
      </c>
      <c r="L3" s="19" t="str">
        <f t="shared" ref="L3:L11" si="7">IF(AND(G3&lt;=430,K3&gt;=550000),"優", "可")</f>
        <v>可</v>
      </c>
      <c r="N3" s="26">
        <v>11</v>
      </c>
      <c r="O3" s="25" t="s">
        <v>23</v>
      </c>
      <c r="P3" s="64">
        <v>1690</v>
      </c>
    </row>
    <row r="4" spans="1:16" x14ac:dyDescent="0.4">
      <c r="A4" s="18">
        <v>105</v>
      </c>
      <c r="B4" s="41" t="s">
        <v>17</v>
      </c>
      <c r="C4" s="37">
        <v>11</v>
      </c>
      <c r="D4" s="12" t="str">
        <f t="shared" si="0"/>
        <v>商品A</v>
      </c>
      <c r="E4" s="62">
        <f t="shared" si="1"/>
        <v>1690</v>
      </c>
      <c r="F4" s="62">
        <f t="shared" si="2"/>
        <v>1555</v>
      </c>
      <c r="G4" s="62">
        <v>349</v>
      </c>
      <c r="H4" s="62">
        <f t="shared" si="3"/>
        <v>542695</v>
      </c>
      <c r="I4" s="14">
        <f t="shared" si="4"/>
        <v>8.2000000000000003E-2</v>
      </c>
      <c r="J4" s="62">
        <f t="shared" si="5"/>
        <v>44500</v>
      </c>
      <c r="K4" s="62">
        <f t="shared" si="6"/>
        <v>587195</v>
      </c>
      <c r="L4" s="19" t="str">
        <f t="shared" si="7"/>
        <v>優</v>
      </c>
      <c r="N4" s="26">
        <v>12</v>
      </c>
      <c r="O4" s="25" t="s">
        <v>24</v>
      </c>
      <c r="P4" s="64">
        <v>1430</v>
      </c>
    </row>
    <row r="5" spans="1:16" x14ac:dyDescent="0.4">
      <c r="A5" s="18">
        <v>107</v>
      </c>
      <c r="B5" s="41" t="s">
        <v>19</v>
      </c>
      <c r="C5" s="37">
        <v>14</v>
      </c>
      <c r="D5" s="12" t="str">
        <f t="shared" si="0"/>
        <v>商品D</v>
      </c>
      <c r="E5" s="62">
        <f t="shared" si="1"/>
        <v>1540</v>
      </c>
      <c r="F5" s="62">
        <f t="shared" si="2"/>
        <v>1417</v>
      </c>
      <c r="G5" s="62">
        <v>375</v>
      </c>
      <c r="H5" s="62">
        <f t="shared" si="3"/>
        <v>531375</v>
      </c>
      <c r="I5" s="14">
        <f t="shared" si="4"/>
        <v>8.2000000000000003E-2</v>
      </c>
      <c r="J5" s="62">
        <f t="shared" si="5"/>
        <v>43572</v>
      </c>
      <c r="K5" s="62">
        <f t="shared" si="6"/>
        <v>574947</v>
      </c>
      <c r="L5" s="19" t="str">
        <f t="shared" si="7"/>
        <v>優</v>
      </c>
      <c r="N5" s="26">
        <v>13</v>
      </c>
      <c r="O5" s="25" t="s">
        <v>25</v>
      </c>
      <c r="P5" s="64">
        <v>1290</v>
      </c>
    </row>
    <row r="6" spans="1:16" x14ac:dyDescent="0.4">
      <c r="A6" s="18">
        <v>109</v>
      </c>
      <c r="B6" s="41" t="s">
        <v>21</v>
      </c>
      <c r="C6" s="37">
        <v>15</v>
      </c>
      <c r="D6" s="12" t="str">
        <f t="shared" si="0"/>
        <v>商品E</v>
      </c>
      <c r="E6" s="62">
        <f t="shared" si="1"/>
        <v>1370</v>
      </c>
      <c r="F6" s="62">
        <f t="shared" si="2"/>
        <v>1261</v>
      </c>
      <c r="G6" s="62">
        <v>398</v>
      </c>
      <c r="H6" s="62">
        <f t="shared" si="3"/>
        <v>501878</v>
      </c>
      <c r="I6" s="14">
        <f t="shared" si="4"/>
        <v>7.8E-2</v>
      </c>
      <c r="J6" s="62">
        <f t="shared" si="5"/>
        <v>39146</v>
      </c>
      <c r="K6" s="62">
        <f t="shared" si="6"/>
        <v>541024</v>
      </c>
      <c r="L6" s="19" t="str">
        <f t="shared" si="7"/>
        <v>可</v>
      </c>
      <c r="N6" s="26">
        <v>14</v>
      </c>
      <c r="O6" s="25" t="s">
        <v>26</v>
      </c>
      <c r="P6" s="64">
        <v>1540</v>
      </c>
    </row>
    <row r="7" spans="1:16" ht="19.5" thickBot="1" x14ac:dyDescent="0.45">
      <c r="A7" s="18">
        <v>104</v>
      </c>
      <c r="B7" s="41" t="s">
        <v>16</v>
      </c>
      <c r="C7" s="37">
        <v>15</v>
      </c>
      <c r="D7" s="12" t="str">
        <f t="shared" si="0"/>
        <v>商品E</v>
      </c>
      <c r="E7" s="62">
        <f t="shared" si="1"/>
        <v>1370</v>
      </c>
      <c r="F7" s="62">
        <f t="shared" si="2"/>
        <v>1261</v>
      </c>
      <c r="G7" s="62">
        <v>426</v>
      </c>
      <c r="H7" s="62">
        <f t="shared" si="3"/>
        <v>537186</v>
      </c>
      <c r="I7" s="14">
        <f t="shared" si="4"/>
        <v>8.2000000000000003E-2</v>
      </c>
      <c r="J7" s="62">
        <f t="shared" si="5"/>
        <v>44049</v>
      </c>
      <c r="K7" s="62">
        <f t="shared" si="6"/>
        <v>581235</v>
      </c>
      <c r="L7" s="19" t="str">
        <f t="shared" si="7"/>
        <v>優</v>
      </c>
      <c r="N7" s="28">
        <v>15</v>
      </c>
      <c r="O7" s="29" t="s">
        <v>27</v>
      </c>
      <c r="P7" s="65">
        <v>1370</v>
      </c>
    </row>
    <row r="8" spans="1:16" ht="19.5" thickBot="1" x14ac:dyDescent="0.45">
      <c r="A8" s="18">
        <v>106</v>
      </c>
      <c r="B8" s="41" t="s">
        <v>18</v>
      </c>
      <c r="C8" s="37">
        <v>12</v>
      </c>
      <c r="D8" s="12" t="str">
        <f t="shared" si="0"/>
        <v>商品B</v>
      </c>
      <c r="E8" s="62">
        <f t="shared" si="1"/>
        <v>1430</v>
      </c>
      <c r="F8" s="62">
        <f t="shared" si="2"/>
        <v>1316</v>
      </c>
      <c r="G8" s="62">
        <v>430</v>
      </c>
      <c r="H8" s="62">
        <f t="shared" si="3"/>
        <v>565880</v>
      </c>
      <c r="I8" s="14">
        <f t="shared" si="4"/>
        <v>8.2000000000000003E-2</v>
      </c>
      <c r="J8" s="62">
        <f t="shared" si="5"/>
        <v>46402</v>
      </c>
      <c r="K8" s="62">
        <f t="shared" si="6"/>
        <v>612282</v>
      </c>
      <c r="L8" s="19" t="str">
        <f t="shared" si="7"/>
        <v>優</v>
      </c>
    </row>
    <row r="9" spans="1:16" x14ac:dyDescent="0.4">
      <c r="A9" s="18">
        <v>103</v>
      </c>
      <c r="B9" s="41" t="s">
        <v>15</v>
      </c>
      <c r="C9" s="12">
        <v>12</v>
      </c>
      <c r="D9" s="12" t="str">
        <f t="shared" si="0"/>
        <v>商品B</v>
      </c>
      <c r="E9" s="62">
        <f t="shared" si="1"/>
        <v>1430</v>
      </c>
      <c r="F9" s="62">
        <f t="shared" si="2"/>
        <v>1316</v>
      </c>
      <c r="G9" s="62">
        <v>473</v>
      </c>
      <c r="H9" s="62">
        <f t="shared" si="3"/>
        <v>622468</v>
      </c>
      <c r="I9" s="14">
        <f t="shared" si="4"/>
        <v>9.7000000000000003E-2</v>
      </c>
      <c r="J9" s="62">
        <f t="shared" si="5"/>
        <v>60379</v>
      </c>
      <c r="K9" s="62">
        <f t="shared" si="6"/>
        <v>682847</v>
      </c>
      <c r="L9" s="19" t="str">
        <f t="shared" si="7"/>
        <v>可</v>
      </c>
      <c r="N9" s="34" t="s">
        <v>8</v>
      </c>
      <c r="O9" s="35" t="s">
        <v>9</v>
      </c>
    </row>
    <row r="10" spans="1:16" x14ac:dyDescent="0.4">
      <c r="A10" s="18">
        <v>108</v>
      </c>
      <c r="B10" s="41" t="s">
        <v>20</v>
      </c>
      <c r="C10" s="37">
        <v>13</v>
      </c>
      <c r="D10" s="12" t="str">
        <f t="shared" si="0"/>
        <v>商品C</v>
      </c>
      <c r="E10" s="62">
        <f t="shared" si="1"/>
        <v>1290</v>
      </c>
      <c r="F10" s="62">
        <f t="shared" si="2"/>
        <v>1187</v>
      </c>
      <c r="G10" s="62">
        <v>517</v>
      </c>
      <c r="H10" s="62">
        <f t="shared" si="3"/>
        <v>613679</v>
      </c>
      <c r="I10" s="14">
        <f t="shared" si="4"/>
        <v>9.7000000000000003E-2</v>
      </c>
      <c r="J10" s="62">
        <f t="shared" si="5"/>
        <v>59526</v>
      </c>
      <c r="K10" s="62">
        <f t="shared" si="6"/>
        <v>673205</v>
      </c>
      <c r="L10" s="19" t="str">
        <f t="shared" si="7"/>
        <v>可</v>
      </c>
      <c r="N10" s="66">
        <v>1</v>
      </c>
      <c r="O10" s="31">
        <v>7.8E-2</v>
      </c>
    </row>
    <row r="11" spans="1:16" x14ac:dyDescent="0.4">
      <c r="A11" s="18">
        <v>101</v>
      </c>
      <c r="B11" s="41" t="s">
        <v>13</v>
      </c>
      <c r="C11" s="12">
        <v>13</v>
      </c>
      <c r="D11" s="12" t="str">
        <f t="shared" si="0"/>
        <v>商品C</v>
      </c>
      <c r="E11" s="62">
        <f t="shared" si="1"/>
        <v>1290</v>
      </c>
      <c r="F11" s="62">
        <f t="shared" si="2"/>
        <v>1187</v>
      </c>
      <c r="G11" s="62">
        <v>530</v>
      </c>
      <c r="H11" s="62">
        <f t="shared" si="3"/>
        <v>629110</v>
      </c>
      <c r="I11" s="14">
        <f t="shared" si="4"/>
        <v>9.7000000000000003E-2</v>
      </c>
      <c r="J11" s="62">
        <f t="shared" si="5"/>
        <v>61023</v>
      </c>
      <c r="K11" s="62">
        <f t="shared" si="6"/>
        <v>690133</v>
      </c>
      <c r="L11" s="19" t="str">
        <f t="shared" si="7"/>
        <v>可</v>
      </c>
      <c r="N11" s="66">
        <v>530000</v>
      </c>
      <c r="O11" s="31">
        <v>8.2000000000000003E-2</v>
      </c>
    </row>
    <row r="12" spans="1:16" ht="19.5" thickBot="1" x14ac:dyDescent="0.45">
      <c r="A12" s="47"/>
      <c r="B12" s="48"/>
      <c r="C12" s="49"/>
      <c r="D12" s="49"/>
      <c r="E12" s="49"/>
      <c r="F12" s="49"/>
      <c r="G12" s="49"/>
      <c r="H12" s="49"/>
      <c r="I12" s="50"/>
      <c r="J12" s="49"/>
      <c r="K12" s="49"/>
      <c r="L12" s="51"/>
      <c r="N12" s="67">
        <v>600000</v>
      </c>
      <c r="O12" s="32">
        <v>9.7000000000000003E-2</v>
      </c>
    </row>
    <row r="13" spans="1:16" ht="19.5" thickBot="1" x14ac:dyDescent="0.45">
      <c r="A13" s="20"/>
      <c r="B13" s="21" t="s">
        <v>22</v>
      </c>
      <c r="C13" s="22"/>
      <c r="D13" s="22"/>
      <c r="E13" s="22"/>
      <c r="F13" s="22"/>
      <c r="G13" s="63">
        <f>SUM(G3:G11)</f>
        <v>3829</v>
      </c>
      <c r="H13" s="63">
        <f>SUM(H3:H11)</f>
        <v>5013298</v>
      </c>
      <c r="I13" s="63"/>
      <c r="J13" s="63">
        <f>SUM(J3:J11)</f>
        <v>435181</v>
      </c>
      <c r="K13" s="63">
        <f>SUM(K3:K11)</f>
        <v>5448479</v>
      </c>
      <c r="L13" s="24"/>
    </row>
    <row r="15" spans="1:16" ht="19.5" thickBot="1" x14ac:dyDescent="0.45"/>
    <row r="16" spans="1:16" x14ac:dyDescent="0.4">
      <c r="B16" s="15"/>
      <c r="C16" s="16" t="s">
        <v>58</v>
      </c>
      <c r="D16" s="16" t="s">
        <v>59</v>
      </c>
      <c r="E16" s="17" t="s">
        <v>60</v>
      </c>
    </row>
    <row r="17" spans="2:5" x14ac:dyDescent="0.4">
      <c r="B17" s="52" t="s">
        <v>61</v>
      </c>
      <c r="C17" s="62">
        <f>AVERAGE(G3:G11)</f>
        <v>425.44444444444446</v>
      </c>
      <c r="D17" s="62">
        <f>AVERAGE(J3:J11)</f>
        <v>48353.444444444445</v>
      </c>
      <c r="E17" s="68">
        <f>AVERAGE(K3:K11)</f>
        <v>605386.5555555555</v>
      </c>
    </row>
    <row r="18" spans="2:5" x14ac:dyDescent="0.4">
      <c r="B18" s="52" t="s">
        <v>62</v>
      </c>
      <c r="C18" s="62">
        <f>MAX(G3:G11)</f>
        <v>530</v>
      </c>
      <c r="D18" s="62">
        <f>MAX(J3:J11)</f>
        <v>61023</v>
      </c>
      <c r="E18" s="68">
        <f>MAX(K3:K11)</f>
        <v>690133</v>
      </c>
    </row>
    <row r="19" spans="2:5" ht="19.5" thickBot="1" x14ac:dyDescent="0.45">
      <c r="B19" s="53" t="s">
        <v>63</v>
      </c>
      <c r="C19" s="63">
        <f>MIN(G3:G11)</f>
        <v>331</v>
      </c>
      <c r="D19" s="63">
        <f>MIN(J3:J11)</f>
        <v>36584</v>
      </c>
      <c r="E19" s="69">
        <f>MIN(K3:K11)</f>
        <v>505611</v>
      </c>
    </row>
  </sheetData>
  <sortState ref="A3:L19">
    <sortCondition ref="G1"/>
  </sortState>
  <mergeCells count="1">
    <mergeCell ref="A1:L1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8B24-BC93-4024-AF87-B4D345F56B55}">
  <dimension ref="A1:Q17"/>
  <sheetViews>
    <sheetView workbookViewId="0">
      <selection activeCell="B15" sqref="B15:B17"/>
    </sheetView>
  </sheetViews>
  <sheetFormatPr defaultRowHeight="18.75" x14ac:dyDescent="0.4"/>
  <cols>
    <col min="1" max="1" width="6" bestFit="1" customWidth="1"/>
    <col min="2" max="2" width="11" bestFit="1" customWidth="1"/>
    <col min="3" max="3" width="7.125" bestFit="1" customWidth="1"/>
    <col min="4" max="5" width="9.875" bestFit="1" customWidth="1"/>
    <col min="7" max="7" width="9.5" bestFit="1" customWidth="1"/>
    <col min="8" max="8" width="11" bestFit="1" customWidth="1"/>
    <col min="9" max="10" width="9.125" bestFit="1" customWidth="1"/>
    <col min="11" max="11" width="9.5" bestFit="1" customWidth="1"/>
    <col min="12" max="12" width="5.25" bestFit="1" customWidth="1"/>
    <col min="13" max="13" width="3.125" customWidth="1"/>
    <col min="14" max="16" width="9" bestFit="1" customWidth="1"/>
    <col min="17" max="17" width="11" bestFit="1" customWidth="1"/>
  </cols>
  <sheetData>
    <row r="1" spans="1:17" ht="19.5" thickBot="1" x14ac:dyDescent="0.45">
      <c r="A1" s="87" t="s">
        <v>28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7" x14ac:dyDescent="0.4">
      <c r="A2" s="58" t="s">
        <v>65</v>
      </c>
      <c r="B2" s="59" t="s">
        <v>29</v>
      </c>
      <c r="C2" s="59" t="s">
        <v>30</v>
      </c>
      <c r="D2" s="59" t="s">
        <v>31</v>
      </c>
      <c r="E2" s="61" t="s">
        <v>32</v>
      </c>
      <c r="F2" s="59" t="s">
        <v>33</v>
      </c>
      <c r="G2" s="59" t="s">
        <v>34</v>
      </c>
      <c r="H2" s="59" t="s">
        <v>35</v>
      </c>
      <c r="I2" s="59" t="s">
        <v>36</v>
      </c>
      <c r="J2" s="59" t="s">
        <v>37</v>
      </c>
      <c r="K2" s="59" t="s">
        <v>38</v>
      </c>
      <c r="L2" s="60" t="s">
        <v>39</v>
      </c>
      <c r="N2" s="1" t="s">
        <v>52</v>
      </c>
      <c r="O2" s="2" t="s">
        <v>53</v>
      </c>
      <c r="P2" s="2" t="s">
        <v>54</v>
      </c>
      <c r="Q2" s="3" t="s">
        <v>55</v>
      </c>
    </row>
    <row r="3" spans="1:17" x14ac:dyDescent="0.4">
      <c r="A3" s="18">
        <v>108</v>
      </c>
      <c r="B3" s="12" t="s">
        <v>47</v>
      </c>
      <c r="C3" s="12">
        <v>14</v>
      </c>
      <c r="D3" s="12" t="str">
        <f t="shared" ref="D3:D10" si="0">VLOOKUP(C3,$N$3:$Q$6,2,FALSE)</f>
        <v>製品H</v>
      </c>
      <c r="E3" s="62">
        <v>4098</v>
      </c>
      <c r="F3" s="12">
        <f t="shared" ref="F3:F10" si="1">VLOOKUP(C3,$N$3:$Q$6,3,FALSE)</f>
        <v>56.72</v>
      </c>
      <c r="G3" s="62">
        <f t="shared" ref="G3:G10" si="2">ROUNDUP(F3*E3,0)</f>
        <v>232439</v>
      </c>
      <c r="H3" s="62">
        <f t="shared" ref="H3:H10" si="3">VLOOKUP(C3,$N$3:$Q$6,4,FALSE)</f>
        <v>4030</v>
      </c>
      <c r="I3" s="62">
        <f t="shared" ref="I3:I10" si="4">INT(E3/H3*100)</f>
        <v>101</v>
      </c>
      <c r="J3" s="62">
        <f t="shared" ref="J3:J10" si="5">IF(I3&gt;=100,VLOOKUP(I3,$N$9:$O$10,2,TRUE)*(E3-H3),0)</f>
        <v>24480</v>
      </c>
      <c r="K3" s="62">
        <f t="shared" ref="K3:K10" si="6">G3+J3</f>
        <v>256919</v>
      </c>
      <c r="L3" s="19" t="str">
        <f t="shared" ref="L3:L10" si="7">IF(OR(G3&gt;=220000,J3&gt;=24000),"AA","")</f>
        <v>AA</v>
      </c>
      <c r="N3" s="42">
        <v>11</v>
      </c>
      <c r="O3" s="33" t="s">
        <v>48</v>
      </c>
      <c r="P3" s="33">
        <v>69.84</v>
      </c>
      <c r="Q3" s="43">
        <v>3120</v>
      </c>
    </row>
    <row r="4" spans="1:17" x14ac:dyDescent="0.4">
      <c r="A4" s="18">
        <v>101</v>
      </c>
      <c r="B4" s="12" t="s">
        <v>40</v>
      </c>
      <c r="C4" s="12">
        <v>14</v>
      </c>
      <c r="D4" s="12" t="str">
        <f t="shared" si="0"/>
        <v>製品H</v>
      </c>
      <c r="E4" s="62">
        <v>3976</v>
      </c>
      <c r="F4" s="12">
        <f t="shared" si="1"/>
        <v>56.72</v>
      </c>
      <c r="G4" s="62">
        <f t="shared" si="2"/>
        <v>225519</v>
      </c>
      <c r="H4" s="62">
        <f t="shared" si="3"/>
        <v>4030</v>
      </c>
      <c r="I4" s="62">
        <f t="shared" si="4"/>
        <v>98</v>
      </c>
      <c r="J4" s="62">
        <f t="shared" si="5"/>
        <v>0</v>
      </c>
      <c r="K4" s="62">
        <f t="shared" si="6"/>
        <v>225519</v>
      </c>
      <c r="L4" s="19" t="str">
        <f t="shared" si="7"/>
        <v>AA</v>
      </c>
      <c r="N4" s="42">
        <v>12</v>
      </c>
      <c r="O4" s="33" t="s">
        <v>49</v>
      </c>
      <c r="P4" s="33">
        <v>58.21</v>
      </c>
      <c r="Q4" s="43">
        <v>3650</v>
      </c>
    </row>
    <row r="5" spans="1:17" x14ac:dyDescent="0.4">
      <c r="A5" s="18">
        <v>105</v>
      </c>
      <c r="B5" s="12" t="s">
        <v>44</v>
      </c>
      <c r="C5" s="12">
        <v>12</v>
      </c>
      <c r="D5" s="12" t="str">
        <f t="shared" si="0"/>
        <v>製品F</v>
      </c>
      <c r="E5" s="62">
        <v>3660</v>
      </c>
      <c r="F5" s="12">
        <f t="shared" si="1"/>
        <v>58.21</v>
      </c>
      <c r="G5" s="62">
        <f t="shared" si="2"/>
        <v>213049</v>
      </c>
      <c r="H5" s="62">
        <f t="shared" si="3"/>
        <v>3650</v>
      </c>
      <c r="I5" s="62">
        <f t="shared" si="4"/>
        <v>100</v>
      </c>
      <c r="J5" s="62">
        <f t="shared" si="5"/>
        <v>3600</v>
      </c>
      <c r="K5" s="62">
        <f t="shared" si="6"/>
        <v>216649</v>
      </c>
      <c r="L5" s="19" t="str">
        <f t="shared" si="7"/>
        <v/>
      </c>
      <c r="N5" s="42">
        <v>13</v>
      </c>
      <c r="O5" s="33" t="s">
        <v>50</v>
      </c>
      <c r="P5" s="33">
        <v>75.86</v>
      </c>
      <c r="Q5" s="43">
        <v>2780</v>
      </c>
    </row>
    <row r="6" spans="1:17" ht="19.5" thickBot="1" x14ac:dyDescent="0.45">
      <c r="A6" s="18">
        <v>102</v>
      </c>
      <c r="B6" s="12" t="s">
        <v>41</v>
      </c>
      <c r="C6" s="12">
        <v>12</v>
      </c>
      <c r="D6" s="12" t="str">
        <f t="shared" si="0"/>
        <v>製品F</v>
      </c>
      <c r="E6" s="62">
        <v>3538</v>
      </c>
      <c r="F6" s="12">
        <f t="shared" si="1"/>
        <v>58.21</v>
      </c>
      <c r="G6" s="62">
        <f t="shared" si="2"/>
        <v>205947</v>
      </c>
      <c r="H6" s="62">
        <f t="shared" si="3"/>
        <v>3650</v>
      </c>
      <c r="I6" s="62">
        <f t="shared" si="4"/>
        <v>96</v>
      </c>
      <c r="J6" s="62">
        <f t="shared" si="5"/>
        <v>0</v>
      </c>
      <c r="K6" s="62">
        <f t="shared" si="6"/>
        <v>205947</v>
      </c>
      <c r="L6" s="19" t="str">
        <f t="shared" si="7"/>
        <v/>
      </c>
      <c r="N6" s="44">
        <v>14</v>
      </c>
      <c r="O6" s="45" t="s">
        <v>51</v>
      </c>
      <c r="P6" s="45">
        <v>56.72</v>
      </c>
      <c r="Q6" s="46">
        <v>4030</v>
      </c>
    </row>
    <row r="7" spans="1:17" ht="19.5" thickBot="1" x14ac:dyDescent="0.45">
      <c r="A7" s="18">
        <v>106</v>
      </c>
      <c r="B7" s="12" t="s">
        <v>45</v>
      </c>
      <c r="C7" s="12">
        <v>11</v>
      </c>
      <c r="D7" s="12" t="str">
        <f t="shared" si="0"/>
        <v>製品E</v>
      </c>
      <c r="E7" s="62">
        <v>3186</v>
      </c>
      <c r="F7" s="12">
        <f t="shared" si="1"/>
        <v>69.84</v>
      </c>
      <c r="G7" s="62">
        <f t="shared" si="2"/>
        <v>222511</v>
      </c>
      <c r="H7" s="62">
        <f t="shared" si="3"/>
        <v>3120</v>
      </c>
      <c r="I7" s="62">
        <f t="shared" si="4"/>
        <v>102</v>
      </c>
      <c r="J7" s="62">
        <f t="shared" si="5"/>
        <v>23760</v>
      </c>
      <c r="K7" s="62">
        <f t="shared" si="6"/>
        <v>246271</v>
      </c>
      <c r="L7" s="19" t="str">
        <f t="shared" si="7"/>
        <v>AA</v>
      </c>
    </row>
    <row r="8" spans="1:17" x14ac:dyDescent="0.4">
      <c r="A8" s="18">
        <v>104</v>
      </c>
      <c r="B8" s="12" t="s">
        <v>43</v>
      </c>
      <c r="C8" s="12">
        <v>11</v>
      </c>
      <c r="D8" s="12" t="str">
        <f t="shared" si="0"/>
        <v>製品E</v>
      </c>
      <c r="E8" s="62">
        <v>3057</v>
      </c>
      <c r="F8" s="12">
        <f t="shared" si="1"/>
        <v>69.84</v>
      </c>
      <c r="G8" s="62">
        <f t="shared" si="2"/>
        <v>213501</v>
      </c>
      <c r="H8" s="62">
        <f t="shared" si="3"/>
        <v>3120</v>
      </c>
      <c r="I8" s="62">
        <f t="shared" si="4"/>
        <v>97</v>
      </c>
      <c r="J8" s="62">
        <f t="shared" si="5"/>
        <v>0</v>
      </c>
      <c r="K8" s="62">
        <f t="shared" si="6"/>
        <v>213501</v>
      </c>
      <c r="L8" s="19" t="str">
        <f t="shared" si="7"/>
        <v/>
      </c>
      <c r="N8" s="1" t="s">
        <v>56</v>
      </c>
      <c r="O8" s="3" t="s">
        <v>57</v>
      </c>
    </row>
    <row r="9" spans="1:17" x14ac:dyDescent="0.4">
      <c r="A9" s="18">
        <v>103</v>
      </c>
      <c r="B9" s="12" t="s">
        <v>42</v>
      </c>
      <c r="C9" s="12">
        <v>13</v>
      </c>
      <c r="D9" s="12" t="str">
        <f t="shared" si="0"/>
        <v>製品G</v>
      </c>
      <c r="E9" s="62">
        <v>2894</v>
      </c>
      <c r="F9" s="12">
        <f t="shared" si="1"/>
        <v>75.86</v>
      </c>
      <c r="G9" s="62">
        <f t="shared" si="2"/>
        <v>219539</v>
      </c>
      <c r="H9" s="62">
        <f t="shared" si="3"/>
        <v>2780</v>
      </c>
      <c r="I9" s="62">
        <f t="shared" si="4"/>
        <v>104</v>
      </c>
      <c r="J9" s="62">
        <f t="shared" si="5"/>
        <v>41040</v>
      </c>
      <c r="K9" s="62">
        <f t="shared" si="6"/>
        <v>260579</v>
      </c>
      <c r="L9" s="19" t="str">
        <f t="shared" si="7"/>
        <v>AA</v>
      </c>
      <c r="N9" s="42">
        <v>1</v>
      </c>
      <c r="O9" s="43">
        <v>0</v>
      </c>
    </row>
    <row r="10" spans="1:17" ht="19.5" thickBot="1" x14ac:dyDescent="0.45">
      <c r="A10" s="18">
        <v>107</v>
      </c>
      <c r="B10" s="12" t="s">
        <v>46</v>
      </c>
      <c r="C10" s="12">
        <v>13</v>
      </c>
      <c r="D10" s="12" t="str">
        <f t="shared" si="0"/>
        <v>製品G</v>
      </c>
      <c r="E10" s="62">
        <v>2753</v>
      </c>
      <c r="F10" s="12">
        <f t="shared" si="1"/>
        <v>75.86</v>
      </c>
      <c r="G10" s="62">
        <f t="shared" si="2"/>
        <v>208843</v>
      </c>
      <c r="H10" s="62">
        <f t="shared" si="3"/>
        <v>2780</v>
      </c>
      <c r="I10" s="62">
        <f t="shared" si="4"/>
        <v>99</v>
      </c>
      <c r="J10" s="62">
        <f t="shared" si="5"/>
        <v>0</v>
      </c>
      <c r="K10" s="62">
        <f t="shared" si="6"/>
        <v>208843</v>
      </c>
      <c r="L10" s="19" t="str">
        <f t="shared" si="7"/>
        <v/>
      </c>
      <c r="N10" s="44">
        <v>100</v>
      </c>
      <c r="O10" s="46">
        <f>360</f>
        <v>360</v>
      </c>
    </row>
    <row r="11" spans="1:17" x14ac:dyDescent="0.4">
      <c r="A11" s="18"/>
      <c r="B11" s="12"/>
      <c r="C11" s="12"/>
      <c r="D11" s="12"/>
      <c r="E11" s="62"/>
      <c r="F11" s="12"/>
      <c r="G11" s="62"/>
      <c r="H11" s="12"/>
      <c r="I11" s="62"/>
      <c r="J11" s="62"/>
      <c r="K11" s="62"/>
      <c r="L11" s="19"/>
    </row>
    <row r="12" spans="1:17" ht="19.5" thickBot="1" x14ac:dyDescent="0.45">
      <c r="A12" s="20"/>
      <c r="B12" s="21" t="s">
        <v>22</v>
      </c>
      <c r="C12" s="22"/>
      <c r="D12" s="22"/>
      <c r="E12" s="63">
        <f>SUM(E3:E10)</f>
        <v>27162</v>
      </c>
      <c r="F12" s="22"/>
      <c r="G12" s="63">
        <f t="shared" ref="G12:K12" si="8">SUM(G3:G10)</f>
        <v>1741348</v>
      </c>
      <c r="H12" s="22"/>
      <c r="I12" s="63"/>
      <c r="J12" s="63">
        <f t="shared" si="8"/>
        <v>92880</v>
      </c>
      <c r="K12" s="63">
        <f t="shared" si="8"/>
        <v>1834228</v>
      </c>
      <c r="L12" s="24"/>
    </row>
    <row r="13" spans="1:17" ht="19.5" thickBot="1" x14ac:dyDescent="0.45"/>
    <row r="14" spans="1:17" x14ac:dyDescent="0.4">
      <c r="B14" s="38"/>
      <c r="C14" s="39" t="s">
        <v>64</v>
      </c>
      <c r="D14" s="16" t="s">
        <v>34</v>
      </c>
      <c r="E14" s="17" t="s">
        <v>38</v>
      </c>
    </row>
    <row r="15" spans="1:17" x14ac:dyDescent="0.4">
      <c r="B15" s="18" t="s">
        <v>61</v>
      </c>
      <c r="C15" s="62">
        <f>AVERAGE(E3:E10)</f>
        <v>3395.25</v>
      </c>
      <c r="D15" s="54">
        <f>AVERAGE(G3:G10)</f>
        <v>217668.5</v>
      </c>
      <c r="E15" s="55">
        <f>AVERAGE(K3:K10)</f>
        <v>229278.5</v>
      </c>
    </row>
    <row r="16" spans="1:17" x14ac:dyDescent="0.4">
      <c r="B16" s="18" t="s">
        <v>62</v>
      </c>
      <c r="C16" s="62">
        <f>MAX(E3:E10)</f>
        <v>4098</v>
      </c>
      <c r="D16" s="54">
        <f>MAX(G3:G10)</f>
        <v>232439</v>
      </c>
      <c r="E16" s="55">
        <f>MAX(K3:K10)</f>
        <v>260579</v>
      </c>
    </row>
    <row r="17" spans="2:5" ht="19.5" thickBot="1" x14ac:dyDescent="0.45">
      <c r="B17" s="20" t="s">
        <v>63</v>
      </c>
      <c r="C17" s="63">
        <f>MIN(E3:E10)</f>
        <v>2753</v>
      </c>
      <c r="D17" s="56">
        <f>MIN(G3:G10)</f>
        <v>205947</v>
      </c>
      <c r="E17" s="57">
        <f>MIN(K3:K10)</f>
        <v>205947</v>
      </c>
    </row>
  </sheetData>
  <sortState ref="A3:L10">
    <sortCondition descending="1" ref="E2"/>
  </sortState>
  <mergeCells count="1">
    <mergeCell ref="A1:L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9A9D-8230-4815-94AB-B6F13330CB9C}">
  <dimension ref="A1:N17"/>
  <sheetViews>
    <sheetView workbookViewId="0">
      <selection activeCell="L23" sqref="L23"/>
    </sheetView>
  </sheetViews>
  <sheetFormatPr defaultRowHeight="18.75" x14ac:dyDescent="0.4"/>
  <cols>
    <col min="7" max="9" width="9.125" bestFit="1" customWidth="1"/>
    <col min="10" max="10" width="9.5" bestFit="1" customWidth="1"/>
  </cols>
  <sheetData>
    <row r="1" spans="1:14" ht="19.5" thickBot="1" x14ac:dyDescent="0.45">
      <c r="A1" s="87" t="s">
        <v>66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4" x14ac:dyDescent="0.4">
      <c r="A2" s="15" t="s">
        <v>67</v>
      </c>
      <c r="B2" s="16" t="s">
        <v>68</v>
      </c>
      <c r="C2" s="16" t="s">
        <v>69</v>
      </c>
      <c r="D2" s="16" t="s">
        <v>70</v>
      </c>
      <c r="E2" s="16" t="s">
        <v>71</v>
      </c>
      <c r="F2" s="16" t="s">
        <v>72</v>
      </c>
      <c r="G2" s="70" t="s">
        <v>73</v>
      </c>
      <c r="H2" s="16" t="s">
        <v>74</v>
      </c>
      <c r="I2" s="16" t="s">
        <v>75</v>
      </c>
      <c r="J2" s="16" t="s">
        <v>76</v>
      </c>
      <c r="K2" s="17" t="s">
        <v>39</v>
      </c>
      <c r="M2" s="1" t="s">
        <v>77</v>
      </c>
      <c r="N2" s="3" t="s">
        <v>70</v>
      </c>
    </row>
    <row r="3" spans="1:14" x14ac:dyDescent="0.4">
      <c r="A3" s="18">
        <v>108</v>
      </c>
      <c r="B3" s="12" t="s">
        <v>85</v>
      </c>
      <c r="C3" s="12">
        <v>13</v>
      </c>
      <c r="D3" s="62">
        <f t="shared" ref="D3:D10" si="0">VLOOKUP(C3,$M$3:$N$6,2,FALSE)</f>
        <v>213720</v>
      </c>
      <c r="E3" s="75">
        <v>45158</v>
      </c>
      <c r="F3" s="75">
        <v>45168</v>
      </c>
      <c r="G3" s="62">
        <f t="shared" ref="G3:G10" si="1">F3-E3+1</f>
        <v>11</v>
      </c>
      <c r="H3" s="62">
        <f t="shared" ref="H3:H10" si="2">INT(D3/7*(G3-7)*0.48)</f>
        <v>58620</v>
      </c>
      <c r="I3" s="62">
        <f t="shared" ref="I3:I10" si="3">ROUNDUP((D3+H3)*3.7%,0)</f>
        <v>10077</v>
      </c>
      <c r="J3" s="62">
        <f t="shared" ref="J3:J10" si="4">D3+H3+I3</f>
        <v>282417</v>
      </c>
      <c r="K3" s="19" t="str">
        <f t="shared" ref="K3:K10" si="5">IF(AND(H3&gt;=1,J3&lt;230000),"A","B")</f>
        <v>B</v>
      </c>
      <c r="M3" s="42">
        <v>11</v>
      </c>
      <c r="N3" s="76">
        <v>221970</v>
      </c>
    </row>
    <row r="4" spans="1:14" x14ac:dyDescent="0.4">
      <c r="A4" s="18">
        <v>101</v>
      </c>
      <c r="B4" s="12" t="s">
        <v>78</v>
      </c>
      <c r="C4" s="12">
        <v>11</v>
      </c>
      <c r="D4" s="62">
        <f t="shared" si="0"/>
        <v>221970</v>
      </c>
      <c r="E4" s="75">
        <v>45140</v>
      </c>
      <c r="F4" s="75">
        <v>45148</v>
      </c>
      <c r="G4" s="62">
        <f t="shared" si="1"/>
        <v>9</v>
      </c>
      <c r="H4" s="62">
        <f t="shared" si="2"/>
        <v>30441</v>
      </c>
      <c r="I4" s="62">
        <f t="shared" si="3"/>
        <v>9340</v>
      </c>
      <c r="J4" s="62">
        <f t="shared" si="4"/>
        <v>261751</v>
      </c>
      <c r="K4" s="19" t="str">
        <f t="shared" si="5"/>
        <v>B</v>
      </c>
      <c r="M4" s="42">
        <v>12</v>
      </c>
      <c r="N4" s="76">
        <v>162840</v>
      </c>
    </row>
    <row r="5" spans="1:14" x14ac:dyDescent="0.4">
      <c r="A5" s="18">
        <v>105</v>
      </c>
      <c r="B5" s="12" t="s">
        <v>82</v>
      </c>
      <c r="C5" s="12">
        <v>12</v>
      </c>
      <c r="D5" s="62">
        <f t="shared" si="0"/>
        <v>162840</v>
      </c>
      <c r="E5" s="75">
        <v>45150</v>
      </c>
      <c r="F5" s="75">
        <v>45162</v>
      </c>
      <c r="G5" s="62">
        <f t="shared" si="1"/>
        <v>13</v>
      </c>
      <c r="H5" s="62">
        <f t="shared" si="2"/>
        <v>66997</v>
      </c>
      <c r="I5" s="62">
        <f t="shared" si="3"/>
        <v>8504</v>
      </c>
      <c r="J5" s="62">
        <f t="shared" si="4"/>
        <v>238341</v>
      </c>
      <c r="K5" s="19" t="str">
        <f t="shared" si="5"/>
        <v>B</v>
      </c>
      <c r="M5" s="42">
        <v>13</v>
      </c>
      <c r="N5" s="76">
        <v>213720</v>
      </c>
    </row>
    <row r="6" spans="1:14" ht="19.5" thickBot="1" x14ac:dyDescent="0.45">
      <c r="A6" s="18">
        <v>107</v>
      </c>
      <c r="B6" s="12" t="s">
        <v>84</v>
      </c>
      <c r="C6" s="12">
        <v>13</v>
      </c>
      <c r="D6" s="62">
        <f t="shared" si="0"/>
        <v>213720</v>
      </c>
      <c r="E6" s="75">
        <v>45157</v>
      </c>
      <c r="F6" s="75">
        <v>45164</v>
      </c>
      <c r="G6" s="62">
        <f t="shared" si="1"/>
        <v>8</v>
      </c>
      <c r="H6" s="62">
        <f t="shared" si="2"/>
        <v>14655</v>
      </c>
      <c r="I6" s="62">
        <f t="shared" si="3"/>
        <v>8450</v>
      </c>
      <c r="J6" s="62">
        <f t="shared" si="4"/>
        <v>236825</v>
      </c>
      <c r="K6" s="19" t="str">
        <f t="shared" si="5"/>
        <v>B</v>
      </c>
      <c r="M6" s="44">
        <v>14</v>
      </c>
      <c r="N6" s="77">
        <v>149560</v>
      </c>
    </row>
    <row r="7" spans="1:14" x14ac:dyDescent="0.4">
      <c r="A7" s="18">
        <v>106</v>
      </c>
      <c r="B7" s="12" t="s">
        <v>83</v>
      </c>
      <c r="C7" s="12">
        <v>11</v>
      </c>
      <c r="D7" s="62">
        <f t="shared" si="0"/>
        <v>221970</v>
      </c>
      <c r="E7" s="75">
        <v>45154</v>
      </c>
      <c r="F7" s="75">
        <v>45160</v>
      </c>
      <c r="G7" s="62">
        <f t="shared" si="1"/>
        <v>7</v>
      </c>
      <c r="H7" s="62">
        <f t="shared" si="2"/>
        <v>0</v>
      </c>
      <c r="I7" s="62">
        <f t="shared" si="3"/>
        <v>8213</v>
      </c>
      <c r="J7" s="62">
        <f t="shared" si="4"/>
        <v>230183</v>
      </c>
      <c r="K7" s="19" t="str">
        <f t="shared" si="5"/>
        <v>B</v>
      </c>
    </row>
    <row r="8" spans="1:14" x14ac:dyDescent="0.4">
      <c r="A8" s="18">
        <v>104</v>
      </c>
      <c r="B8" s="12" t="s">
        <v>81</v>
      </c>
      <c r="C8" s="12">
        <v>14</v>
      </c>
      <c r="D8" s="62">
        <f t="shared" si="0"/>
        <v>149560</v>
      </c>
      <c r="E8" s="75">
        <v>45148</v>
      </c>
      <c r="F8" s="75">
        <v>45161</v>
      </c>
      <c r="G8" s="62">
        <f t="shared" si="1"/>
        <v>14</v>
      </c>
      <c r="H8" s="62">
        <f t="shared" si="2"/>
        <v>71788</v>
      </c>
      <c r="I8" s="62">
        <f t="shared" si="3"/>
        <v>8190</v>
      </c>
      <c r="J8" s="62">
        <f t="shared" si="4"/>
        <v>229538</v>
      </c>
      <c r="K8" s="19" t="str">
        <f t="shared" si="5"/>
        <v>A</v>
      </c>
    </row>
    <row r="9" spans="1:14" x14ac:dyDescent="0.4">
      <c r="A9" s="18">
        <v>103</v>
      </c>
      <c r="B9" s="12" t="s">
        <v>80</v>
      </c>
      <c r="C9" s="12">
        <v>14</v>
      </c>
      <c r="D9" s="62">
        <f t="shared" si="0"/>
        <v>149560</v>
      </c>
      <c r="E9" s="75">
        <v>45145</v>
      </c>
      <c r="F9" s="75">
        <v>45156</v>
      </c>
      <c r="G9" s="62">
        <f t="shared" si="1"/>
        <v>12</v>
      </c>
      <c r="H9" s="62">
        <f t="shared" si="2"/>
        <v>51277</v>
      </c>
      <c r="I9" s="62">
        <f t="shared" si="3"/>
        <v>7431</v>
      </c>
      <c r="J9" s="62">
        <f t="shared" si="4"/>
        <v>208268</v>
      </c>
      <c r="K9" s="19" t="str">
        <f t="shared" si="5"/>
        <v>A</v>
      </c>
    </row>
    <row r="10" spans="1:14" x14ac:dyDescent="0.4">
      <c r="A10" s="18">
        <v>102</v>
      </c>
      <c r="B10" s="12" t="s">
        <v>79</v>
      </c>
      <c r="C10" s="12">
        <v>12</v>
      </c>
      <c r="D10" s="62">
        <f t="shared" si="0"/>
        <v>162840</v>
      </c>
      <c r="E10" s="75">
        <v>45142</v>
      </c>
      <c r="F10" s="75">
        <v>45151</v>
      </c>
      <c r="G10" s="62">
        <f t="shared" si="1"/>
        <v>10</v>
      </c>
      <c r="H10" s="62">
        <f t="shared" si="2"/>
        <v>33498</v>
      </c>
      <c r="I10" s="62">
        <f t="shared" si="3"/>
        <v>7265</v>
      </c>
      <c r="J10" s="62">
        <f t="shared" si="4"/>
        <v>203603</v>
      </c>
      <c r="K10" s="19" t="str">
        <f t="shared" si="5"/>
        <v>A</v>
      </c>
    </row>
    <row r="11" spans="1:14" x14ac:dyDescent="0.4">
      <c r="A11" s="18"/>
      <c r="B11" s="12"/>
      <c r="C11" s="12"/>
      <c r="D11" s="12"/>
      <c r="E11" s="12"/>
      <c r="F11" s="12"/>
      <c r="G11" s="62"/>
      <c r="H11" s="62"/>
      <c r="I11" s="62"/>
      <c r="J11" s="62"/>
      <c r="K11" s="19"/>
    </row>
    <row r="12" spans="1:14" ht="19.5" thickBot="1" x14ac:dyDescent="0.45">
      <c r="A12" s="20"/>
      <c r="B12" s="21" t="s">
        <v>22</v>
      </c>
      <c r="C12" s="22"/>
      <c r="D12" s="22"/>
      <c r="E12" s="22"/>
      <c r="F12" s="22"/>
      <c r="G12" s="63">
        <f>SUM(G3:G10)</f>
        <v>84</v>
      </c>
      <c r="H12" s="63">
        <f t="shared" ref="H12:J12" si="6">SUM(H3:H10)</f>
        <v>327276</v>
      </c>
      <c r="I12" s="63">
        <f t="shared" si="6"/>
        <v>67470</v>
      </c>
      <c r="J12" s="63">
        <f t="shared" si="6"/>
        <v>1890926</v>
      </c>
      <c r="K12" s="24"/>
    </row>
    <row r="13" spans="1:14" ht="19.5" thickBot="1" x14ac:dyDescent="0.45"/>
    <row r="14" spans="1:14" x14ac:dyDescent="0.4">
      <c r="B14" s="38"/>
      <c r="C14" s="39" t="s">
        <v>86</v>
      </c>
      <c r="D14" s="39" t="s">
        <v>75</v>
      </c>
      <c r="E14" s="40" t="s">
        <v>76</v>
      </c>
    </row>
    <row r="15" spans="1:14" x14ac:dyDescent="0.4">
      <c r="B15" s="18" t="s">
        <v>61</v>
      </c>
      <c r="C15" s="71">
        <f>AVERAGE(G3:G10)</f>
        <v>10.5</v>
      </c>
      <c r="D15" s="71">
        <f>AVERAGE(I3:I10)</f>
        <v>8433.75</v>
      </c>
      <c r="E15" s="73">
        <f>AVERAGE(J3:J10)</f>
        <v>236365.75</v>
      </c>
    </row>
    <row r="16" spans="1:14" x14ac:dyDescent="0.4">
      <c r="B16" s="18" t="s">
        <v>62</v>
      </c>
      <c r="C16" s="71">
        <f>MAX(G3:G10)</f>
        <v>14</v>
      </c>
      <c r="D16" s="71">
        <f>MAX(I3:I10)</f>
        <v>10077</v>
      </c>
      <c r="E16" s="73">
        <f>MAX(J3:J10)</f>
        <v>282417</v>
      </c>
    </row>
    <row r="17" spans="2:5" ht="19.5" thickBot="1" x14ac:dyDescent="0.45">
      <c r="B17" s="20" t="s">
        <v>63</v>
      </c>
      <c r="C17" s="72">
        <f>MIN(G3:G10)</f>
        <v>7</v>
      </c>
      <c r="D17" s="72">
        <f>MIN(I3:I10)</f>
        <v>7265</v>
      </c>
      <c r="E17" s="74">
        <f>MIN(J3:J10)</f>
        <v>203603</v>
      </c>
    </row>
  </sheetData>
  <sortState ref="A3:K10">
    <sortCondition descending="1" ref="J2"/>
  </sortState>
  <mergeCells count="1">
    <mergeCell ref="A1:K1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82B1-2FB4-460A-8C92-2F228B25CCC1}">
  <dimension ref="A1:L23"/>
  <sheetViews>
    <sheetView tabSelected="1" workbookViewId="0">
      <selection activeCell="O22" sqref="O22"/>
    </sheetView>
  </sheetViews>
  <sheetFormatPr defaultRowHeight="18.75" x14ac:dyDescent="0.4"/>
  <cols>
    <col min="1" max="1" width="6" bestFit="1" customWidth="1"/>
    <col min="3" max="3" width="6" bestFit="1" customWidth="1"/>
    <col min="4" max="4" width="7.125" bestFit="1" customWidth="1"/>
    <col min="5" max="5" width="6" bestFit="1" customWidth="1"/>
    <col min="6" max="6" width="7.125" bestFit="1" customWidth="1"/>
    <col min="7" max="7" width="9.5" bestFit="1" customWidth="1"/>
    <col min="8" max="8" width="7.125" bestFit="1" customWidth="1"/>
    <col min="9" max="9" width="8" bestFit="1" customWidth="1"/>
    <col min="10" max="10" width="9.5" bestFit="1" customWidth="1"/>
    <col min="11" max="11" width="8" bestFit="1" customWidth="1"/>
    <col min="12" max="12" width="7.125" bestFit="1" customWidth="1"/>
  </cols>
  <sheetData>
    <row r="1" spans="1:12" ht="19.5" thickBot="1" x14ac:dyDescent="0.45">
      <c r="A1" s="87" t="s">
        <v>87</v>
      </c>
      <c r="B1" s="87"/>
      <c r="C1" s="87"/>
      <c r="D1" s="87"/>
      <c r="E1" s="87"/>
    </row>
    <row r="2" spans="1:12" x14ac:dyDescent="0.4">
      <c r="A2" s="15" t="s">
        <v>3</v>
      </c>
      <c r="B2" s="16" t="s">
        <v>4</v>
      </c>
      <c r="C2" s="16" t="s">
        <v>88</v>
      </c>
      <c r="D2" s="16" t="s">
        <v>89</v>
      </c>
      <c r="E2" s="17" t="s">
        <v>5</v>
      </c>
      <c r="G2" s="1" t="s">
        <v>88</v>
      </c>
      <c r="H2" s="3" t="s">
        <v>94</v>
      </c>
      <c r="J2" s="1" t="s">
        <v>106</v>
      </c>
      <c r="K2" s="2" t="s">
        <v>101</v>
      </c>
      <c r="L2" s="3" t="s">
        <v>102</v>
      </c>
    </row>
    <row r="3" spans="1:12" x14ac:dyDescent="0.4">
      <c r="A3" s="18">
        <v>11</v>
      </c>
      <c r="B3" s="12" t="s">
        <v>90</v>
      </c>
      <c r="C3" s="62">
        <v>2860</v>
      </c>
      <c r="D3" s="80">
        <f>IF(C3&gt;=2500,17%,IF(C3&gt;=2100,18%,19%))</f>
        <v>0.17</v>
      </c>
      <c r="E3" s="68">
        <f>INT(C3*(1+D3))</f>
        <v>3346</v>
      </c>
      <c r="G3" s="81">
        <v>2500</v>
      </c>
      <c r="H3" s="78">
        <v>0.17</v>
      </c>
      <c r="J3" s="81">
        <v>250</v>
      </c>
      <c r="K3" s="83">
        <v>700000</v>
      </c>
      <c r="L3" s="84">
        <v>6.8000000000000005E-2</v>
      </c>
    </row>
    <row r="4" spans="1:12" ht="19.5" thickBot="1" x14ac:dyDescent="0.45">
      <c r="A4" s="18">
        <v>12</v>
      </c>
      <c r="B4" s="12" t="s">
        <v>91</v>
      </c>
      <c r="C4" s="62">
        <v>2190</v>
      </c>
      <c r="D4" s="80">
        <f t="shared" ref="D4:D6" si="0">IF(C4&gt;=2500,17%,IF(C4&gt;=2100,18%,19%))</f>
        <v>0.18</v>
      </c>
      <c r="E4" s="68">
        <f t="shared" ref="E4:E6" si="1">INT(C4*(1+D4))</f>
        <v>2584</v>
      </c>
      <c r="G4" s="81">
        <v>2100</v>
      </c>
      <c r="H4" s="78">
        <v>0.18</v>
      </c>
      <c r="J4" s="82">
        <v>1</v>
      </c>
      <c r="K4" s="85">
        <v>1</v>
      </c>
      <c r="L4" s="86">
        <v>5.8999999999999997E-2</v>
      </c>
    </row>
    <row r="5" spans="1:12" ht="19.5" thickBot="1" x14ac:dyDescent="0.45">
      <c r="A5" s="18">
        <v>13</v>
      </c>
      <c r="B5" s="12" t="s">
        <v>92</v>
      </c>
      <c r="C5" s="62">
        <v>2540</v>
      </c>
      <c r="D5" s="80">
        <f t="shared" si="0"/>
        <v>0.17</v>
      </c>
      <c r="E5" s="68">
        <f t="shared" si="1"/>
        <v>2971</v>
      </c>
      <c r="G5" s="82">
        <v>1</v>
      </c>
      <c r="H5" s="79">
        <v>0.19</v>
      </c>
    </row>
    <row r="6" spans="1:12" x14ac:dyDescent="0.4">
      <c r="A6" s="18">
        <v>14</v>
      </c>
      <c r="B6" s="12" t="s">
        <v>93</v>
      </c>
      <c r="C6" s="62">
        <v>1730</v>
      </c>
      <c r="D6" s="80">
        <f t="shared" si="0"/>
        <v>0.19</v>
      </c>
      <c r="E6" s="68">
        <f t="shared" si="1"/>
        <v>2058</v>
      </c>
    </row>
    <row r="7" spans="1:12" x14ac:dyDescent="0.4">
      <c r="A7" s="18"/>
      <c r="B7" s="12"/>
      <c r="C7" s="62"/>
      <c r="D7" s="12"/>
      <c r="E7" s="68"/>
    </row>
    <row r="8" spans="1:12" ht="19.5" thickBot="1" x14ac:dyDescent="0.45">
      <c r="A8" s="20"/>
      <c r="B8" s="21" t="s">
        <v>95</v>
      </c>
      <c r="C8" s="63">
        <f>AVERAGE(C3:C6)</f>
        <v>2330</v>
      </c>
      <c r="D8" s="22"/>
      <c r="E8" s="69">
        <f t="shared" ref="E8" si="2">AVERAGE(E3:E6)</f>
        <v>2739.75</v>
      </c>
    </row>
    <row r="10" spans="1:12" ht="19.5" thickBot="1" x14ac:dyDescent="0.45">
      <c r="A10" s="87" t="s">
        <v>96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</row>
    <row r="11" spans="1:12" x14ac:dyDescent="0.4">
      <c r="A11" s="15" t="s">
        <v>97</v>
      </c>
      <c r="B11" s="16" t="s">
        <v>98</v>
      </c>
      <c r="C11" s="16" t="s">
        <v>3</v>
      </c>
      <c r="D11" s="16" t="s">
        <v>99</v>
      </c>
      <c r="E11" s="16" t="s">
        <v>5</v>
      </c>
      <c r="F11" s="16" t="s">
        <v>100</v>
      </c>
      <c r="G11" s="16" t="s">
        <v>101</v>
      </c>
      <c r="H11" s="16" t="s">
        <v>102</v>
      </c>
      <c r="I11" s="16" t="s">
        <v>103</v>
      </c>
      <c r="J11" s="16" t="s">
        <v>104</v>
      </c>
      <c r="K11" s="17" t="s">
        <v>12</v>
      </c>
    </row>
    <row r="12" spans="1:12" x14ac:dyDescent="0.4">
      <c r="A12" s="18">
        <v>107</v>
      </c>
      <c r="B12" s="12" t="s">
        <v>84</v>
      </c>
      <c r="C12" s="12">
        <v>14</v>
      </c>
      <c r="D12" s="12" t="str">
        <f t="shared" ref="D12:D20" si="3">VLOOKUP(C12,$A$3:$E$6,2,FALSE)</f>
        <v>M商品</v>
      </c>
      <c r="E12" s="62">
        <f t="shared" ref="E12:E20" si="4">VLOOKUP(C12,$A$3:$E$6,5,FALSE)</f>
        <v>2058</v>
      </c>
      <c r="F12" s="62">
        <v>218</v>
      </c>
      <c r="G12" s="62">
        <f t="shared" ref="G12:G20" si="5">E12*F12</f>
        <v>448644</v>
      </c>
      <c r="H12" s="14">
        <f t="shared" ref="H12:H20" si="6">IF(AND(F12&gt;=250,G12&gt;=700000),6.8%,5.9%)</f>
        <v>5.9000000000000004E-2</v>
      </c>
      <c r="I12" s="62">
        <f t="shared" ref="I12:I20" si="7">ROUNDUP(G12*H12,0)</f>
        <v>26470</v>
      </c>
      <c r="J12" s="71">
        <f t="shared" ref="J12:J20" si="8">G12-I12</f>
        <v>422174</v>
      </c>
      <c r="K12" s="19" t="str">
        <f t="shared" ref="K12:K20" si="9">IF(OR(F12&lt;=250,J12&lt;=650000),"*","")</f>
        <v>*</v>
      </c>
    </row>
    <row r="13" spans="1:12" x14ac:dyDescent="0.4">
      <c r="A13" s="18">
        <v>104</v>
      </c>
      <c r="B13" s="12" t="s">
        <v>81</v>
      </c>
      <c r="C13" s="12">
        <v>13</v>
      </c>
      <c r="D13" s="12" t="str">
        <f t="shared" si="3"/>
        <v>L商品</v>
      </c>
      <c r="E13" s="62">
        <f t="shared" si="4"/>
        <v>2971</v>
      </c>
      <c r="F13" s="62">
        <v>237</v>
      </c>
      <c r="G13" s="62">
        <f t="shared" si="5"/>
        <v>704127</v>
      </c>
      <c r="H13" s="14">
        <f t="shared" si="6"/>
        <v>5.9000000000000004E-2</v>
      </c>
      <c r="I13" s="62">
        <f t="shared" si="7"/>
        <v>41544</v>
      </c>
      <c r="J13" s="71">
        <f t="shared" si="8"/>
        <v>662583</v>
      </c>
      <c r="K13" s="19" t="str">
        <f t="shared" si="9"/>
        <v>*</v>
      </c>
    </row>
    <row r="14" spans="1:12" x14ac:dyDescent="0.4">
      <c r="A14" s="18">
        <v>109</v>
      </c>
      <c r="B14" s="12" t="s">
        <v>105</v>
      </c>
      <c r="C14" s="12">
        <v>11</v>
      </c>
      <c r="D14" s="12" t="str">
        <f t="shared" si="3"/>
        <v>J商品</v>
      </c>
      <c r="E14" s="62">
        <f t="shared" si="4"/>
        <v>3346</v>
      </c>
      <c r="F14" s="62">
        <v>250</v>
      </c>
      <c r="G14" s="62">
        <f t="shared" si="5"/>
        <v>836500</v>
      </c>
      <c r="H14" s="14">
        <f t="shared" si="6"/>
        <v>6.8000000000000005E-2</v>
      </c>
      <c r="I14" s="62">
        <f t="shared" si="7"/>
        <v>56882</v>
      </c>
      <c r="J14" s="71">
        <f t="shared" si="8"/>
        <v>779618</v>
      </c>
      <c r="K14" s="19" t="str">
        <f t="shared" si="9"/>
        <v>*</v>
      </c>
    </row>
    <row r="15" spans="1:12" x14ac:dyDescent="0.4">
      <c r="A15" s="18">
        <v>102</v>
      </c>
      <c r="B15" s="12" t="s">
        <v>79</v>
      </c>
      <c r="C15" s="12">
        <v>14</v>
      </c>
      <c r="D15" s="12" t="str">
        <f t="shared" si="3"/>
        <v>M商品</v>
      </c>
      <c r="E15" s="62">
        <f t="shared" si="4"/>
        <v>2058</v>
      </c>
      <c r="F15" s="62">
        <v>252</v>
      </c>
      <c r="G15" s="62">
        <f t="shared" si="5"/>
        <v>518616</v>
      </c>
      <c r="H15" s="14">
        <f t="shared" si="6"/>
        <v>5.9000000000000004E-2</v>
      </c>
      <c r="I15" s="62">
        <f t="shared" si="7"/>
        <v>30599</v>
      </c>
      <c r="J15" s="71">
        <f t="shared" si="8"/>
        <v>488017</v>
      </c>
      <c r="K15" s="19" t="str">
        <f t="shared" si="9"/>
        <v>*</v>
      </c>
    </row>
    <row r="16" spans="1:12" x14ac:dyDescent="0.4">
      <c r="A16" s="18">
        <v>108</v>
      </c>
      <c r="B16" s="12" t="s">
        <v>85</v>
      </c>
      <c r="C16" s="12">
        <v>13</v>
      </c>
      <c r="D16" s="12" t="str">
        <f t="shared" si="3"/>
        <v>L商品</v>
      </c>
      <c r="E16" s="62">
        <f t="shared" si="4"/>
        <v>2971</v>
      </c>
      <c r="F16" s="62">
        <v>259</v>
      </c>
      <c r="G16" s="62">
        <f t="shared" si="5"/>
        <v>769489</v>
      </c>
      <c r="H16" s="14">
        <f t="shared" si="6"/>
        <v>6.8000000000000005E-2</v>
      </c>
      <c r="I16" s="62">
        <f t="shared" si="7"/>
        <v>52326</v>
      </c>
      <c r="J16" s="71">
        <f t="shared" si="8"/>
        <v>717163</v>
      </c>
      <c r="K16" s="19" t="str">
        <f t="shared" si="9"/>
        <v/>
      </c>
    </row>
    <row r="17" spans="1:11" x14ac:dyDescent="0.4">
      <c r="A17" s="18">
        <v>103</v>
      </c>
      <c r="B17" s="12" t="s">
        <v>80</v>
      </c>
      <c r="C17" s="12">
        <v>12</v>
      </c>
      <c r="D17" s="12" t="str">
        <f t="shared" si="3"/>
        <v>K商品</v>
      </c>
      <c r="E17" s="62">
        <f t="shared" si="4"/>
        <v>2584</v>
      </c>
      <c r="F17" s="62">
        <v>263</v>
      </c>
      <c r="G17" s="62">
        <f t="shared" si="5"/>
        <v>679592</v>
      </c>
      <c r="H17" s="14">
        <f t="shared" si="6"/>
        <v>5.9000000000000004E-2</v>
      </c>
      <c r="I17" s="62">
        <f t="shared" si="7"/>
        <v>40096</v>
      </c>
      <c r="J17" s="71">
        <f t="shared" si="8"/>
        <v>639496</v>
      </c>
      <c r="K17" s="19" t="str">
        <f t="shared" si="9"/>
        <v>*</v>
      </c>
    </row>
    <row r="18" spans="1:11" x14ac:dyDescent="0.4">
      <c r="A18" s="18">
        <v>105</v>
      </c>
      <c r="B18" s="12" t="s">
        <v>82</v>
      </c>
      <c r="C18" s="12">
        <v>11</v>
      </c>
      <c r="D18" s="12" t="str">
        <f t="shared" si="3"/>
        <v>J商品</v>
      </c>
      <c r="E18" s="62">
        <f t="shared" si="4"/>
        <v>3346</v>
      </c>
      <c r="F18" s="62">
        <v>276</v>
      </c>
      <c r="G18" s="62">
        <f t="shared" si="5"/>
        <v>923496</v>
      </c>
      <c r="H18" s="14">
        <f t="shared" si="6"/>
        <v>6.8000000000000005E-2</v>
      </c>
      <c r="I18" s="62">
        <f t="shared" si="7"/>
        <v>62798</v>
      </c>
      <c r="J18" s="71">
        <f t="shared" si="8"/>
        <v>860698</v>
      </c>
      <c r="K18" s="19" t="str">
        <f t="shared" si="9"/>
        <v/>
      </c>
    </row>
    <row r="19" spans="1:11" x14ac:dyDescent="0.4">
      <c r="A19" s="18">
        <v>106</v>
      </c>
      <c r="B19" s="12" t="s">
        <v>83</v>
      </c>
      <c r="C19" s="12">
        <v>12</v>
      </c>
      <c r="D19" s="12" t="str">
        <f t="shared" si="3"/>
        <v>K商品</v>
      </c>
      <c r="E19" s="62">
        <f t="shared" si="4"/>
        <v>2584</v>
      </c>
      <c r="F19" s="62">
        <v>280</v>
      </c>
      <c r="G19" s="62">
        <f t="shared" si="5"/>
        <v>723520</v>
      </c>
      <c r="H19" s="14">
        <f t="shared" si="6"/>
        <v>6.8000000000000005E-2</v>
      </c>
      <c r="I19" s="62">
        <f t="shared" si="7"/>
        <v>49200</v>
      </c>
      <c r="J19" s="71">
        <f t="shared" si="8"/>
        <v>674320</v>
      </c>
      <c r="K19" s="19" t="str">
        <f t="shared" si="9"/>
        <v/>
      </c>
    </row>
    <row r="20" spans="1:11" x14ac:dyDescent="0.4">
      <c r="A20" s="18">
        <v>101</v>
      </c>
      <c r="B20" s="12" t="s">
        <v>78</v>
      </c>
      <c r="C20" s="12">
        <v>12</v>
      </c>
      <c r="D20" s="12" t="str">
        <f t="shared" si="3"/>
        <v>K商品</v>
      </c>
      <c r="E20" s="62">
        <f t="shared" si="4"/>
        <v>2584</v>
      </c>
      <c r="F20" s="62">
        <v>294</v>
      </c>
      <c r="G20" s="62">
        <f t="shared" si="5"/>
        <v>759696</v>
      </c>
      <c r="H20" s="14">
        <f t="shared" si="6"/>
        <v>6.8000000000000005E-2</v>
      </c>
      <c r="I20" s="62">
        <f t="shared" si="7"/>
        <v>51660</v>
      </c>
      <c r="J20" s="71">
        <f t="shared" si="8"/>
        <v>708036</v>
      </c>
      <c r="K20" s="19" t="str">
        <f t="shared" si="9"/>
        <v/>
      </c>
    </row>
    <row r="21" spans="1:11" x14ac:dyDescent="0.4">
      <c r="A21" s="18"/>
      <c r="B21" s="12"/>
      <c r="C21" s="12"/>
      <c r="D21" s="12"/>
      <c r="E21" s="12"/>
      <c r="F21" s="12"/>
      <c r="G21" s="12"/>
      <c r="H21" s="12"/>
      <c r="I21" s="12"/>
      <c r="J21" s="12"/>
      <c r="K21" s="19"/>
    </row>
    <row r="22" spans="1:11" x14ac:dyDescent="0.4">
      <c r="A22" s="18"/>
      <c r="B22" s="41" t="s">
        <v>22</v>
      </c>
      <c r="C22" s="12"/>
      <c r="D22" s="12"/>
      <c r="E22" s="12"/>
      <c r="F22" s="71">
        <f>SUM(F12:F20)</f>
        <v>2329</v>
      </c>
      <c r="G22" s="71">
        <f t="shared" ref="G22:J22" si="10">SUM(G12:G20)</f>
        <v>6363680</v>
      </c>
      <c r="H22" s="71"/>
      <c r="I22" s="71">
        <f t="shared" si="10"/>
        <v>411575</v>
      </c>
      <c r="J22" s="71">
        <f t="shared" si="10"/>
        <v>5952105</v>
      </c>
      <c r="K22" s="19"/>
    </row>
    <row r="23" spans="1:11" ht="19.5" thickBot="1" x14ac:dyDescent="0.45">
      <c r="A23" s="20"/>
      <c r="B23" s="21" t="s">
        <v>95</v>
      </c>
      <c r="C23" s="22"/>
      <c r="D23" s="22"/>
      <c r="E23" s="22"/>
      <c r="F23" s="72">
        <f>AVERAGE(F12:F20)</f>
        <v>258.77777777777777</v>
      </c>
      <c r="G23" s="72">
        <f t="shared" ref="G23:J23" si="11">AVERAGE(G12:G20)</f>
        <v>707075.5555555555</v>
      </c>
      <c r="H23" s="72"/>
      <c r="I23" s="72">
        <f t="shared" si="11"/>
        <v>45730.555555555555</v>
      </c>
      <c r="J23" s="72">
        <f t="shared" si="11"/>
        <v>661345</v>
      </c>
      <c r="K23" s="24"/>
    </row>
  </sheetData>
  <sortState ref="A12:K20">
    <sortCondition ref="F11"/>
  </sortState>
  <mergeCells count="2">
    <mergeCell ref="A1:E1"/>
    <mergeCell ref="A10:K1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準2-1 完成例</vt:lpstr>
      <vt:lpstr>準2-1 完成例数式</vt:lpstr>
      <vt:lpstr>準2-1</vt:lpstr>
      <vt:lpstr>準2-2</vt:lpstr>
      <vt:lpstr>準2-3</vt:lpstr>
      <vt:lpstr>準2-4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seito</cp:lastModifiedBy>
  <dcterms:created xsi:type="dcterms:W3CDTF">2023-05-24T23:51:18Z</dcterms:created>
  <dcterms:modified xsi:type="dcterms:W3CDTF">2023-06-01T01:44:27Z</dcterms:modified>
</cp:coreProperties>
</file>