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3.36\課題回収\おくむら(Web1B)\012コウヨウ\"/>
    </mc:Choice>
  </mc:AlternateContent>
  <xr:revisionPtr revIDLastSave="0" documentId="13_ncr:1_{069CA1D4-B2A8-49A7-98A8-44729F3D35C8}" xr6:coauthVersionLast="36" xr6:coauthVersionMax="47" xr10:uidLastSave="{00000000-0000-0000-0000-000000000000}"/>
  <bookViews>
    <workbookView xWindow="0" yWindow="0" windowWidth="10845" windowHeight="11595" xr2:uid="{96D8D209-06D9-49DF-85C2-37D50E14455A}"/>
  </bookViews>
  <sheets>
    <sheet name="準2-5" sheetId="1" r:id="rId1"/>
    <sheet name="準2-6" sheetId="2" r:id="rId2"/>
    <sheet name="準2-7" sheetId="3" r:id="rId3"/>
    <sheet name="準2-8" sheetId="4" r:id="rId4"/>
    <sheet name="準2-9" sheetId="5" r:id="rId5"/>
    <sheet name="準2-10" sheetId="6" r:id="rId6"/>
    <sheet name="準2-11" sheetId="7" r:id="rId7"/>
    <sheet name="準2-12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C18" i="1"/>
  <c r="C17" i="1"/>
  <c r="C16" i="1"/>
  <c r="B16" i="1"/>
  <c r="B17" i="8" l="1"/>
  <c r="B16" i="8"/>
  <c r="B15" i="8"/>
  <c r="F4" i="8"/>
  <c r="D9" i="8"/>
  <c r="F9" i="8" s="1"/>
  <c r="D4" i="8"/>
  <c r="G4" i="8" s="1"/>
  <c r="D10" i="8"/>
  <c r="F10" i="8" s="1"/>
  <c r="D6" i="8"/>
  <c r="F6" i="8" s="1"/>
  <c r="D7" i="8"/>
  <c r="F7" i="8" s="1"/>
  <c r="D8" i="8"/>
  <c r="F8" i="8" s="1"/>
  <c r="D5" i="8"/>
  <c r="F5" i="8" s="1"/>
  <c r="F3" i="8"/>
  <c r="F12" i="8" s="1"/>
  <c r="D3" i="8"/>
  <c r="D12" i="8" s="1"/>
  <c r="B18" i="7"/>
  <c r="B19" i="7"/>
  <c r="B17" i="7"/>
  <c r="J4" i="7"/>
  <c r="J6" i="7"/>
  <c r="L6" i="7" s="1"/>
  <c r="J8" i="7"/>
  <c r="L8" i="7" s="1"/>
  <c r="J9" i="7"/>
  <c r="L9" i="7" s="1"/>
  <c r="I4" i="7"/>
  <c r="L4" i="7" s="1"/>
  <c r="I6" i="7"/>
  <c r="K6" i="7" s="1"/>
  <c r="I8" i="7"/>
  <c r="K8" i="7" s="1"/>
  <c r="I9" i="7"/>
  <c r="K9" i="7" s="1"/>
  <c r="I5" i="7"/>
  <c r="I11" i="7"/>
  <c r="I10" i="7"/>
  <c r="I7" i="7"/>
  <c r="K7" i="7" s="1"/>
  <c r="H4" i="7"/>
  <c r="H6" i="7"/>
  <c r="H8" i="7"/>
  <c r="H9" i="7"/>
  <c r="H5" i="7"/>
  <c r="H11" i="7"/>
  <c r="H10" i="7"/>
  <c r="H7" i="7"/>
  <c r="I3" i="7"/>
  <c r="J3" i="7" s="1"/>
  <c r="H3" i="7"/>
  <c r="C19" i="7" s="1"/>
  <c r="J7" i="7" l="1"/>
  <c r="L7" i="7" s="1"/>
  <c r="J10" i="7"/>
  <c r="L10" i="7" s="1"/>
  <c r="H13" i="7"/>
  <c r="J11" i="7"/>
  <c r="L11" i="7" s="1"/>
  <c r="J5" i="7"/>
  <c r="J13" i="7" s="1"/>
  <c r="I13" i="7"/>
  <c r="K10" i="7"/>
  <c r="K11" i="7"/>
  <c r="D17" i="7"/>
  <c r="L3" i="7"/>
  <c r="C17" i="7"/>
  <c r="K5" i="7"/>
  <c r="C18" i="7"/>
  <c r="D18" i="7"/>
  <c r="K4" i="7"/>
  <c r="D19" i="7"/>
  <c r="K3" i="7"/>
  <c r="I4" i="8"/>
  <c r="J4" i="8" s="1"/>
  <c r="H4" i="8"/>
  <c r="G5" i="8"/>
  <c r="G8" i="8"/>
  <c r="G7" i="8"/>
  <c r="G6" i="8"/>
  <c r="G10" i="8"/>
  <c r="G9" i="8"/>
  <c r="G3" i="8"/>
  <c r="D4" i="7"/>
  <c r="D6" i="7"/>
  <c r="D8" i="7"/>
  <c r="D9" i="7"/>
  <c r="D5" i="7"/>
  <c r="D11" i="7"/>
  <c r="D10" i="7"/>
  <c r="D7" i="7"/>
  <c r="D3" i="7"/>
  <c r="D17" i="5"/>
  <c r="C17" i="5"/>
  <c r="B17" i="5"/>
  <c r="K4" i="2"/>
  <c r="K5" i="2"/>
  <c r="K6" i="2"/>
  <c r="K7" i="2"/>
  <c r="K8" i="2"/>
  <c r="K9" i="2"/>
  <c r="K10" i="2"/>
  <c r="K3" i="2"/>
  <c r="C18" i="4"/>
  <c r="D18" i="4"/>
  <c r="L5" i="7" l="1"/>
  <c r="L4" i="8"/>
  <c r="K4" i="8"/>
  <c r="H3" i="8"/>
  <c r="I3" i="8"/>
  <c r="G12" i="8"/>
  <c r="H9" i="8"/>
  <c r="I9" i="8" s="1"/>
  <c r="J9" i="8" s="1"/>
  <c r="I10" i="8"/>
  <c r="H10" i="8"/>
  <c r="H7" i="8"/>
  <c r="I7" i="8" s="1"/>
  <c r="J7" i="8" s="1"/>
  <c r="I6" i="8"/>
  <c r="H6" i="8"/>
  <c r="H8" i="8"/>
  <c r="I8" i="8" s="1"/>
  <c r="J8" i="8" s="1"/>
  <c r="H5" i="8"/>
  <c r="I5" i="8" s="1"/>
  <c r="J5" i="8" s="1"/>
  <c r="E22" i="6"/>
  <c r="E21" i="6"/>
  <c r="L3" i="4"/>
  <c r="D15" i="6"/>
  <c r="F15" i="6" s="1"/>
  <c r="D13" i="6"/>
  <c r="F13" i="6" s="1"/>
  <c r="D12" i="6"/>
  <c r="F12" i="6" s="1"/>
  <c r="D19" i="6"/>
  <c r="F19" i="6" s="1"/>
  <c r="D18" i="6"/>
  <c r="F18" i="6" s="1"/>
  <c r="D17" i="6"/>
  <c r="F17" i="6" s="1"/>
  <c r="D16" i="6"/>
  <c r="F16" i="6" s="1"/>
  <c r="D14" i="6"/>
  <c r="F14" i="6" s="1"/>
  <c r="D8" i="6"/>
  <c r="C8" i="6"/>
  <c r="E4" i="6"/>
  <c r="E5" i="6"/>
  <c r="E6" i="6"/>
  <c r="E3" i="6"/>
  <c r="D16" i="5"/>
  <c r="D15" i="5"/>
  <c r="C16" i="5"/>
  <c r="C15" i="5"/>
  <c r="B16" i="5"/>
  <c r="B15" i="5"/>
  <c r="H6" i="5"/>
  <c r="F3" i="5"/>
  <c r="G3" i="5" s="1"/>
  <c r="F7" i="5"/>
  <c r="G7" i="5" s="1"/>
  <c r="F8" i="5"/>
  <c r="F5" i="5"/>
  <c r="F10" i="5"/>
  <c r="F4" i="5"/>
  <c r="F6" i="5"/>
  <c r="D3" i="5"/>
  <c r="D7" i="5"/>
  <c r="D8" i="5"/>
  <c r="D5" i="5"/>
  <c r="D10" i="5"/>
  <c r="D4" i="5"/>
  <c r="D6" i="5"/>
  <c r="H9" i="5"/>
  <c r="F9" i="5"/>
  <c r="G9" i="5" s="1"/>
  <c r="D9" i="5"/>
  <c r="B18" i="4"/>
  <c r="D17" i="4"/>
  <c r="C17" i="4"/>
  <c r="B17" i="4"/>
  <c r="D16" i="4"/>
  <c r="C16" i="4"/>
  <c r="B16" i="4"/>
  <c r="J10" i="4"/>
  <c r="L10" i="4" s="1"/>
  <c r="I9" i="4"/>
  <c r="I5" i="4"/>
  <c r="I10" i="4"/>
  <c r="I6" i="4"/>
  <c r="I4" i="4"/>
  <c r="I11" i="4"/>
  <c r="I8" i="4"/>
  <c r="I3" i="4"/>
  <c r="H9" i="4"/>
  <c r="J9" i="4" s="1"/>
  <c r="L9" i="4" s="1"/>
  <c r="H5" i="4"/>
  <c r="J5" i="4" s="1"/>
  <c r="L5" i="4" s="1"/>
  <c r="H10" i="4"/>
  <c r="H6" i="4"/>
  <c r="J6" i="4" s="1"/>
  <c r="L6" i="4" s="1"/>
  <c r="H4" i="4"/>
  <c r="J4" i="4" s="1"/>
  <c r="L4" i="4" s="1"/>
  <c r="H11" i="4"/>
  <c r="J11" i="4" s="1"/>
  <c r="L11" i="4" s="1"/>
  <c r="H8" i="4"/>
  <c r="J8" i="4" s="1"/>
  <c r="L8" i="4" s="1"/>
  <c r="H3" i="4"/>
  <c r="J3" i="4" s="1"/>
  <c r="F13" i="4"/>
  <c r="G13" i="4"/>
  <c r="E13" i="4"/>
  <c r="K9" i="4" s="1"/>
  <c r="J7" i="4"/>
  <c r="L7" i="4" s="1"/>
  <c r="I7" i="4"/>
  <c r="H7" i="4"/>
  <c r="D9" i="4"/>
  <c r="D5" i="4"/>
  <c r="D10" i="4"/>
  <c r="D6" i="4"/>
  <c r="D4" i="4"/>
  <c r="D11" i="4"/>
  <c r="D8" i="4"/>
  <c r="D3" i="4"/>
  <c r="D7" i="4"/>
  <c r="F21" i="3"/>
  <c r="G18" i="3"/>
  <c r="H18" i="3" s="1"/>
  <c r="E18" i="3"/>
  <c r="E19" i="3"/>
  <c r="G19" i="3" s="1"/>
  <c r="E16" i="3"/>
  <c r="G16" i="3" s="1"/>
  <c r="E13" i="3"/>
  <c r="G13" i="3" s="1"/>
  <c r="E14" i="3"/>
  <c r="G14" i="3" s="1"/>
  <c r="E12" i="3"/>
  <c r="G12" i="3" s="1"/>
  <c r="E15" i="3"/>
  <c r="G15" i="3" s="1"/>
  <c r="D18" i="3"/>
  <c r="D19" i="3"/>
  <c r="D16" i="3"/>
  <c r="D13" i="3"/>
  <c r="D14" i="3"/>
  <c r="D12" i="3"/>
  <c r="D15" i="3"/>
  <c r="G17" i="3"/>
  <c r="H17" i="3" s="1"/>
  <c r="E17" i="3"/>
  <c r="D17" i="3"/>
  <c r="E8" i="3"/>
  <c r="C8" i="3"/>
  <c r="E4" i="3"/>
  <c r="E5" i="3"/>
  <c r="E6" i="3"/>
  <c r="E3" i="3"/>
  <c r="D4" i="3"/>
  <c r="D5" i="3"/>
  <c r="D6" i="3"/>
  <c r="D3" i="3"/>
  <c r="L8" i="8" l="1"/>
  <c r="K8" i="8"/>
  <c r="L9" i="8"/>
  <c r="K9" i="8"/>
  <c r="L7" i="8"/>
  <c r="K7" i="8"/>
  <c r="K5" i="8"/>
  <c r="L5" i="8"/>
  <c r="J10" i="8"/>
  <c r="I12" i="8"/>
  <c r="J6" i="8"/>
  <c r="J3" i="8"/>
  <c r="G16" i="6"/>
  <c r="H16" i="6" s="1"/>
  <c r="I16" i="6" s="1"/>
  <c r="G18" i="6"/>
  <c r="H18" i="6" s="1"/>
  <c r="I18" i="6" s="1"/>
  <c r="F22" i="6"/>
  <c r="G12" i="6"/>
  <c r="H12" i="6" s="1"/>
  <c r="F21" i="6"/>
  <c r="G13" i="6"/>
  <c r="H13" i="6" s="1"/>
  <c r="I13" i="6" s="1"/>
  <c r="H14" i="6"/>
  <c r="I14" i="6" s="1"/>
  <c r="G14" i="6"/>
  <c r="G17" i="6"/>
  <c r="H17" i="6" s="1"/>
  <c r="I17" i="6" s="1"/>
  <c r="G19" i="6"/>
  <c r="H19" i="6" s="1"/>
  <c r="I19" i="6" s="1"/>
  <c r="G15" i="6"/>
  <c r="H15" i="6" s="1"/>
  <c r="I15" i="6" s="1"/>
  <c r="I9" i="5"/>
  <c r="J9" i="5" s="1"/>
  <c r="H4" i="5"/>
  <c r="H10" i="5"/>
  <c r="H5" i="5"/>
  <c r="H8" i="5"/>
  <c r="G6" i="5"/>
  <c r="H7" i="5"/>
  <c r="I7" i="5" s="1"/>
  <c r="J7" i="5" s="1"/>
  <c r="G4" i="5"/>
  <c r="H3" i="5"/>
  <c r="G10" i="5"/>
  <c r="G5" i="5"/>
  <c r="G8" i="5"/>
  <c r="K7" i="4"/>
  <c r="K8" i="4"/>
  <c r="K11" i="4"/>
  <c r="K4" i="4"/>
  <c r="K6" i="4"/>
  <c r="K3" i="4"/>
  <c r="K10" i="4"/>
  <c r="K5" i="4"/>
  <c r="H19" i="3"/>
  <c r="I19" i="3" s="1"/>
  <c r="J19" i="3" s="1"/>
  <c r="H15" i="3"/>
  <c r="I15" i="3" s="1"/>
  <c r="J15" i="3" s="1"/>
  <c r="G21" i="3"/>
  <c r="H12" i="3"/>
  <c r="H14" i="3"/>
  <c r="I14" i="3" s="1"/>
  <c r="J14" i="3" s="1"/>
  <c r="H13" i="3"/>
  <c r="I13" i="3" s="1"/>
  <c r="J13" i="3" s="1"/>
  <c r="I16" i="3"/>
  <c r="J16" i="3" s="1"/>
  <c r="H16" i="3"/>
  <c r="I17" i="3"/>
  <c r="J17" i="3" s="1"/>
  <c r="I18" i="3"/>
  <c r="J18" i="3" s="1"/>
  <c r="C16" i="8" l="1"/>
  <c r="L3" i="8"/>
  <c r="J12" i="8"/>
  <c r="K3" i="8"/>
  <c r="C15" i="8"/>
  <c r="C17" i="8"/>
  <c r="L6" i="8"/>
  <c r="K6" i="8"/>
  <c r="L10" i="8"/>
  <c r="K10" i="8"/>
  <c r="I12" i="6"/>
  <c r="H22" i="6"/>
  <c r="H21" i="6"/>
  <c r="G22" i="6"/>
  <c r="G21" i="6"/>
  <c r="G12" i="5"/>
  <c r="H12" i="5"/>
  <c r="I8" i="5"/>
  <c r="J8" i="5" s="1"/>
  <c r="J6" i="5"/>
  <c r="I5" i="5"/>
  <c r="J5" i="5" s="1"/>
  <c r="I10" i="5"/>
  <c r="J10" i="5" s="1"/>
  <c r="I4" i="5"/>
  <c r="J4" i="5" s="1"/>
  <c r="I3" i="5"/>
  <c r="I6" i="5"/>
  <c r="H21" i="3"/>
  <c r="I12" i="3"/>
  <c r="D16" i="8" l="1"/>
  <c r="D17" i="8"/>
  <c r="D15" i="8"/>
  <c r="K12" i="8"/>
  <c r="I12" i="5"/>
  <c r="J3" i="5"/>
  <c r="I21" i="3"/>
  <c r="J12" i="3"/>
  <c r="C12" i="2" l="1"/>
  <c r="I6" i="2"/>
  <c r="I5" i="2"/>
  <c r="I7" i="2"/>
  <c r="G5" i="2"/>
  <c r="D10" i="2"/>
  <c r="D6" i="2"/>
  <c r="G6" i="2" s="1"/>
  <c r="J6" i="2" s="1"/>
  <c r="D5" i="2"/>
  <c r="J5" i="2" s="1"/>
  <c r="D8" i="2"/>
  <c r="I8" i="2" s="1"/>
  <c r="D3" i="2"/>
  <c r="I3" i="2" s="1"/>
  <c r="D9" i="2"/>
  <c r="I9" i="2" s="1"/>
  <c r="D7" i="2"/>
  <c r="I4" i="2"/>
  <c r="D4" i="2"/>
  <c r="F10" i="2"/>
  <c r="F6" i="2"/>
  <c r="F5" i="2"/>
  <c r="F8" i="2"/>
  <c r="G8" i="2" s="1"/>
  <c r="F3" i="2"/>
  <c r="F9" i="2"/>
  <c r="G9" i="2" s="1"/>
  <c r="F7" i="2"/>
  <c r="G7" i="2" s="1"/>
  <c r="J7" i="2" s="1"/>
  <c r="F4" i="2"/>
  <c r="D18" i="1"/>
  <c r="B18" i="1"/>
  <c r="B17" i="1"/>
  <c r="F13" i="1"/>
  <c r="I5" i="1"/>
  <c r="I6" i="1"/>
  <c r="I8" i="1"/>
  <c r="I9" i="1"/>
  <c r="I4" i="1"/>
  <c r="I3" i="1"/>
  <c r="I11" i="1"/>
  <c r="I7" i="1"/>
  <c r="I10" i="1"/>
  <c r="J9" i="2" l="1"/>
  <c r="I10" i="2"/>
  <c r="D17" i="2" s="1"/>
  <c r="D12" i="2"/>
  <c r="G3" i="2"/>
  <c r="B15" i="2"/>
  <c r="J8" i="2"/>
  <c r="B16" i="2"/>
  <c r="G4" i="2"/>
  <c r="G10" i="2"/>
  <c r="J10" i="2" s="1"/>
  <c r="J4" i="2"/>
  <c r="B17" i="2"/>
  <c r="E5" i="1"/>
  <c r="E6" i="1"/>
  <c r="E8" i="1"/>
  <c r="E9" i="1"/>
  <c r="E4" i="1"/>
  <c r="E3" i="1"/>
  <c r="E11" i="1"/>
  <c r="E7" i="1"/>
  <c r="D5" i="1"/>
  <c r="D6" i="1"/>
  <c r="D8" i="1"/>
  <c r="D9" i="1"/>
  <c r="D4" i="1"/>
  <c r="D3" i="1"/>
  <c r="D11" i="1"/>
  <c r="D7" i="1"/>
  <c r="E10" i="1"/>
  <c r="D10" i="1"/>
  <c r="C17" i="2" l="1"/>
  <c r="G12" i="2"/>
  <c r="C16" i="2"/>
  <c r="C15" i="2"/>
  <c r="D15" i="2"/>
  <c r="D16" i="2"/>
  <c r="J3" i="2"/>
  <c r="I12" i="2"/>
  <c r="G7" i="1"/>
  <c r="H7" i="1" s="1"/>
  <c r="G11" i="1"/>
  <c r="H11" i="1" s="1"/>
  <c r="G3" i="1"/>
  <c r="H3" i="1" s="1"/>
  <c r="G4" i="1"/>
  <c r="H4" i="1" s="1"/>
  <c r="G9" i="1"/>
  <c r="H9" i="1" s="1"/>
  <c r="G8" i="1"/>
  <c r="H8" i="1" s="1"/>
  <c r="G6" i="1"/>
  <c r="H6" i="1" s="1"/>
  <c r="G5" i="1"/>
  <c r="H5" i="1"/>
  <c r="G10" i="1"/>
  <c r="H10" i="1" s="1"/>
  <c r="J12" i="2" l="1"/>
  <c r="J10" i="1"/>
  <c r="K10" i="1" s="1"/>
  <c r="J8" i="1"/>
  <c r="K8" i="1" s="1"/>
  <c r="J6" i="1"/>
  <c r="K6" i="1" s="1"/>
  <c r="J9" i="1"/>
  <c r="K9" i="1" s="1"/>
  <c r="J4" i="1"/>
  <c r="K4" i="1" s="1"/>
  <c r="H13" i="1"/>
  <c r="J3" i="1"/>
  <c r="J11" i="1"/>
  <c r="K11" i="1" s="1"/>
  <c r="J7" i="1"/>
  <c r="K7" i="1" s="1"/>
  <c r="J5" i="1"/>
  <c r="K5" i="1" s="1"/>
  <c r="J13" i="1" l="1"/>
  <c r="K3" i="1"/>
  <c r="K13" i="1" s="1"/>
</calcChain>
</file>

<file path=xl/sharedStrings.xml><?xml version="1.0" encoding="utf-8"?>
<sst xmlns="http://schemas.openxmlformats.org/spreadsheetml/2006/main" count="276" uniqueCount="199">
  <si>
    <t>贈答品請求額一覧表</t>
    <rPh sb="0" eb="3">
      <t>ゾウトウヒン</t>
    </rPh>
    <rPh sb="3" eb="6">
      <t>セイキュウガク</t>
    </rPh>
    <rPh sb="6" eb="9">
      <t>イチランヒョウ</t>
    </rPh>
    <phoneticPr fontId="1"/>
  </si>
  <si>
    <t>番号</t>
    <rPh sb="0" eb="2">
      <t>バンゴウ</t>
    </rPh>
    <phoneticPr fontId="1"/>
  </si>
  <si>
    <t>顧客名</t>
    <rPh sb="0" eb="3">
      <t>コキャクメイ</t>
    </rPh>
    <phoneticPr fontId="1"/>
  </si>
  <si>
    <t>CO</t>
    <phoneticPr fontId="1"/>
  </si>
  <si>
    <t>商品名</t>
    <rPh sb="0" eb="3">
      <t>ショウヒンメイ</t>
    </rPh>
    <phoneticPr fontId="1"/>
  </si>
  <si>
    <t>定価</t>
    <rPh sb="0" eb="2">
      <t>テイカ</t>
    </rPh>
    <phoneticPr fontId="1"/>
  </si>
  <si>
    <t>数量</t>
    <rPh sb="0" eb="2">
      <t>スウリョウ</t>
    </rPh>
    <phoneticPr fontId="1"/>
  </si>
  <si>
    <t>値引率</t>
    <rPh sb="0" eb="3">
      <t>ネビキリツ</t>
    </rPh>
    <phoneticPr fontId="1"/>
  </si>
  <si>
    <t>商品代金</t>
    <rPh sb="0" eb="4">
      <t>ショウヒンダイキン</t>
    </rPh>
    <phoneticPr fontId="1"/>
  </si>
  <si>
    <t>税率</t>
    <rPh sb="0" eb="2">
      <t>ゼイリツ</t>
    </rPh>
    <phoneticPr fontId="1"/>
  </si>
  <si>
    <t>消費税</t>
    <rPh sb="0" eb="3">
      <t>ショウヒゼイ</t>
    </rPh>
    <phoneticPr fontId="1"/>
  </si>
  <si>
    <t>請求額</t>
    <rPh sb="0" eb="3">
      <t>セイキュウガク</t>
    </rPh>
    <phoneticPr fontId="1"/>
  </si>
  <si>
    <t>ヒノデ企画</t>
    <rPh sb="3" eb="5">
      <t>キカク</t>
    </rPh>
    <phoneticPr fontId="1"/>
  </si>
  <si>
    <t>片山産業</t>
    <rPh sb="0" eb="2">
      <t>カタヤマ</t>
    </rPh>
    <rPh sb="2" eb="4">
      <t>サンギョウ</t>
    </rPh>
    <phoneticPr fontId="1"/>
  </si>
  <si>
    <t>日比野総業</t>
    <rPh sb="0" eb="3">
      <t>ヒビノ</t>
    </rPh>
    <rPh sb="3" eb="5">
      <t>ソウギョウ</t>
    </rPh>
    <phoneticPr fontId="1"/>
  </si>
  <si>
    <t>中村商事</t>
    <rPh sb="0" eb="2">
      <t>ナカムラ</t>
    </rPh>
    <rPh sb="2" eb="4">
      <t>ショウジ</t>
    </rPh>
    <phoneticPr fontId="1"/>
  </si>
  <si>
    <t>みどり農園</t>
    <rPh sb="3" eb="5">
      <t>ノウエン</t>
    </rPh>
    <phoneticPr fontId="1"/>
  </si>
  <si>
    <t>小山田堂</t>
    <rPh sb="0" eb="3">
      <t>オヤマダ</t>
    </rPh>
    <rPh sb="3" eb="4">
      <t>ドウ</t>
    </rPh>
    <phoneticPr fontId="1"/>
  </si>
  <si>
    <t>スバル工業</t>
    <rPh sb="3" eb="5">
      <t>コウギョウ</t>
    </rPh>
    <phoneticPr fontId="1"/>
  </si>
  <si>
    <t>新光電気</t>
    <rPh sb="0" eb="2">
      <t>シンコウ</t>
    </rPh>
    <rPh sb="2" eb="4">
      <t>デンキ</t>
    </rPh>
    <phoneticPr fontId="1"/>
  </si>
  <si>
    <t>ＪＣＵ商会</t>
    <rPh sb="3" eb="5">
      <t>ショウカイ</t>
    </rPh>
    <phoneticPr fontId="1"/>
  </si>
  <si>
    <t>合計</t>
    <rPh sb="0" eb="2">
      <t>ゴウケイ</t>
    </rPh>
    <phoneticPr fontId="1"/>
  </si>
  <si>
    <t>社員賞与一覧表</t>
    <rPh sb="0" eb="4">
      <t>シャインショウヨ</t>
    </rPh>
    <rPh sb="4" eb="7">
      <t>イチランヒョウ</t>
    </rPh>
    <phoneticPr fontId="1"/>
  </si>
  <si>
    <t>社員名</t>
    <rPh sb="0" eb="3">
      <t>シャインメイ</t>
    </rPh>
    <phoneticPr fontId="1"/>
  </si>
  <si>
    <t>算定基準額</t>
    <rPh sb="0" eb="5">
      <t>サンテイキジュンガク</t>
    </rPh>
    <phoneticPr fontId="1"/>
  </si>
  <si>
    <t>基本支給額</t>
    <rPh sb="0" eb="5">
      <t>キホンシキュウガク</t>
    </rPh>
    <phoneticPr fontId="1"/>
  </si>
  <si>
    <t>区分</t>
    <rPh sb="0" eb="2">
      <t>クブン</t>
    </rPh>
    <phoneticPr fontId="1"/>
  </si>
  <si>
    <t>乗率</t>
    <rPh sb="0" eb="2">
      <t>ジョウリツ</t>
    </rPh>
    <phoneticPr fontId="1"/>
  </si>
  <si>
    <t>職能手当</t>
    <rPh sb="0" eb="4">
      <t>ショクノウテアテ</t>
    </rPh>
    <phoneticPr fontId="1"/>
  </si>
  <si>
    <t>評定</t>
    <rPh sb="0" eb="2">
      <t>ヒョウテイ</t>
    </rPh>
    <phoneticPr fontId="1"/>
  </si>
  <si>
    <t>特別手当</t>
    <rPh sb="0" eb="4">
      <t>トクベツテアテ</t>
    </rPh>
    <phoneticPr fontId="1"/>
  </si>
  <si>
    <t>支給総額</t>
    <rPh sb="0" eb="4">
      <t>シキュウソウガク</t>
    </rPh>
    <phoneticPr fontId="1"/>
  </si>
  <si>
    <t>評価</t>
    <rPh sb="0" eb="2">
      <t>ヒョウカ</t>
    </rPh>
    <phoneticPr fontId="1"/>
  </si>
  <si>
    <t>上白石　正</t>
    <rPh sb="0" eb="3">
      <t>カミシライシ</t>
    </rPh>
    <rPh sb="4" eb="5">
      <t>タダシ</t>
    </rPh>
    <phoneticPr fontId="1"/>
  </si>
  <si>
    <t>聖　ひとみ</t>
    <rPh sb="0" eb="1">
      <t>ヒジリ</t>
    </rPh>
    <phoneticPr fontId="1"/>
  </si>
  <si>
    <t>中山　茂樹</t>
    <rPh sb="0" eb="2">
      <t>ナカヤマ</t>
    </rPh>
    <rPh sb="3" eb="5">
      <t>シゲキ</t>
    </rPh>
    <phoneticPr fontId="1"/>
  </si>
  <si>
    <t>大村　恵子</t>
    <rPh sb="0" eb="2">
      <t>オオムラ</t>
    </rPh>
    <rPh sb="3" eb="5">
      <t>ケイコ</t>
    </rPh>
    <phoneticPr fontId="1"/>
  </si>
  <si>
    <t>田中　明信</t>
    <rPh sb="0" eb="2">
      <t>タナカ</t>
    </rPh>
    <rPh sb="3" eb="5">
      <t>アキノブ</t>
    </rPh>
    <phoneticPr fontId="1"/>
  </si>
  <si>
    <t>佐藤　真奈</t>
    <rPh sb="0" eb="2">
      <t>サトウ</t>
    </rPh>
    <rPh sb="3" eb="5">
      <t>マナ</t>
    </rPh>
    <phoneticPr fontId="1"/>
  </si>
  <si>
    <t>大久保　勇</t>
    <rPh sb="0" eb="3">
      <t>オオクボ</t>
    </rPh>
    <rPh sb="4" eb="5">
      <t>イサム</t>
    </rPh>
    <phoneticPr fontId="1"/>
  </si>
  <si>
    <t>長尾　由美</t>
    <rPh sb="0" eb="2">
      <t>ナガオ</t>
    </rPh>
    <rPh sb="3" eb="5">
      <t>ユミ</t>
    </rPh>
    <phoneticPr fontId="1"/>
  </si>
  <si>
    <t>加工単価計算表</t>
    <rPh sb="0" eb="7">
      <t>カコウタンカケイサンヒョウ</t>
    </rPh>
    <phoneticPr fontId="1"/>
  </si>
  <si>
    <t>部CO</t>
    <rPh sb="0" eb="1">
      <t>ブ</t>
    </rPh>
    <phoneticPr fontId="1"/>
  </si>
  <si>
    <t>部品名</t>
    <rPh sb="0" eb="3">
      <t>ブヒンメイ</t>
    </rPh>
    <phoneticPr fontId="1"/>
  </si>
  <si>
    <t>加工賃率</t>
    <rPh sb="0" eb="4">
      <t>カコウチンリツ</t>
    </rPh>
    <phoneticPr fontId="1"/>
  </si>
  <si>
    <t>加工単価</t>
    <rPh sb="0" eb="4">
      <t>カコウタンカ</t>
    </rPh>
    <phoneticPr fontId="1"/>
  </si>
  <si>
    <t>部品A</t>
    <rPh sb="0" eb="2">
      <t>ブヒン</t>
    </rPh>
    <phoneticPr fontId="1"/>
  </si>
  <si>
    <t>平均</t>
    <rPh sb="0" eb="2">
      <t>ヘイキン</t>
    </rPh>
    <phoneticPr fontId="1"/>
  </si>
  <si>
    <t>支払額一覧表</t>
    <rPh sb="0" eb="3">
      <t>シハライガク</t>
    </rPh>
    <rPh sb="3" eb="6">
      <t>イチランヒョウ</t>
    </rPh>
    <phoneticPr fontId="1"/>
  </si>
  <si>
    <t>発CO</t>
    <rPh sb="0" eb="1">
      <t>ハツ</t>
    </rPh>
    <phoneticPr fontId="1"/>
  </si>
  <si>
    <t>発注先名</t>
    <rPh sb="0" eb="4">
      <t>ハッチュウサキメイ</t>
    </rPh>
    <phoneticPr fontId="1"/>
  </si>
  <si>
    <t>加工賃</t>
    <rPh sb="0" eb="3">
      <t>カコウチン</t>
    </rPh>
    <phoneticPr fontId="1"/>
  </si>
  <si>
    <t>運送費</t>
    <rPh sb="0" eb="3">
      <t>ウンソウヒ</t>
    </rPh>
    <phoneticPr fontId="1"/>
  </si>
  <si>
    <t>支払額</t>
    <rPh sb="0" eb="3">
      <t>シハライガク</t>
    </rPh>
    <phoneticPr fontId="1"/>
  </si>
  <si>
    <t>判定</t>
    <rPh sb="0" eb="2">
      <t>ハンテイ</t>
    </rPh>
    <phoneticPr fontId="1"/>
  </si>
  <si>
    <t>モリノ精工</t>
    <rPh sb="3" eb="5">
      <t>セイコウ</t>
    </rPh>
    <phoneticPr fontId="1"/>
  </si>
  <si>
    <t>谷川工業</t>
    <rPh sb="0" eb="2">
      <t>タニガワ</t>
    </rPh>
    <rPh sb="2" eb="4">
      <t>コウギョウ</t>
    </rPh>
    <phoneticPr fontId="1"/>
  </si>
  <si>
    <t>ＴＭ製作所</t>
    <rPh sb="2" eb="5">
      <t>セイサクジョ</t>
    </rPh>
    <phoneticPr fontId="1"/>
  </si>
  <si>
    <t>前沢電機</t>
    <rPh sb="0" eb="2">
      <t>マエザワ</t>
    </rPh>
    <rPh sb="2" eb="4">
      <t>デンキ</t>
    </rPh>
    <phoneticPr fontId="1"/>
  </si>
  <si>
    <t>久保田製作</t>
    <rPh sb="0" eb="3">
      <t>クボタ</t>
    </rPh>
    <rPh sb="3" eb="5">
      <t>セイサク</t>
    </rPh>
    <phoneticPr fontId="1"/>
  </si>
  <si>
    <t>花咲電工</t>
    <rPh sb="0" eb="2">
      <t>ハナサキ</t>
    </rPh>
    <rPh sb="2" eb="4">
      <t>デンコウ</t>
    </rPh>
    <phoneticPr fontId="1"/>
  </si>
  <si>
    <t>共栄工業所</t>
    <rPh sb="0" eb="2">
      <t>キョウエイ</t>
    </rPh>
    <rPh sb="2" eb="5">
      <t>コウギョウショ</t>
    </rPh>
    <phoneticPr fontId="1"/>
  </si>
  <si>
    <t>関西工機</t>
    <rPh sb="0" eb="2">
      <t>カンサイ</t>
    </rPh>
    <rPh sb="2" eb="4">
      <t>コウキ</t>
    </rPh>
    <phoneticPr fontId="1"/>
  </si>
  <si>
    <t>９月分人件費分析表</t>
    <rPh sb="1" eb="3">
      <t>ガツブン</t>
    </rPh>
    <rPh sb="3" eb="6">
      <t>ジンケンヒ</t>
    </rPh>
    <rPh sb="6" eb="9">
      <t>ブンセキヒョウ</t>
    </rPh>
    <phoneticPr fontId="1"/>
  </si>
  <si>
    <t>支店名</t>
    <rPh sb="0" eb="3">
      <t>シテンメイ</t>
    </rPh>
    <phoneticPr fontId="1"/>
  </si>
  <si>
    <t>地CO</t>
    <rPh sb="0" eb="1">
      <t>チ</t>
    </rPh>
    <phoneticPr fontId="1"/>
  </si>
  <si>
    <t>地区名</t>
    <rPh sb="0" eb="3">
      <t>チクメイ</t>
    </rPh>
    <phoneticPr fontId="1"/>
  </si>
  <si>
    <t>人件費</t>
    <rPh sb="0" eb="3">
      <t>ジンケンヒ</t>
    </rPh>
    <phoneticPr fontId="1"/>
  </si>
  <si>
    <t>販売額（万）</t>
    <rPh sb="0" eb="3">
      <t>ハンバイガク</t>
    </rPh>
    <rPh sb="4" eb="5">
      <t>マン</t>
    </rPh>
    <phoneticPr fontId="1"/>
  </si>
  <si>
    <t>社員数</t>
    <rPh sb="0" eb="3">
      <t>シャインスウ</t>
    </rPh>
    <phoneticPr fontId="1"/>
  </si>
  <si>
    <t>平均人件費</t>
    <rPh sb="0" eb="5">
      <t>ヘイキンジンケンヒ</t>
    </rPh>
    <phoneticPr fontId="1"/>
  </si>
  <si>
    <t>対販売額比率</t>
    <rPh sb="0" eb="1">
      <t>タイ</t>
    </rPh>
    <rPh sb="1" eb="4">
      <t>ハンバイガク</t>
    </rPh>
    <rPh sb="4" eb="6">
      <t>ヒリツ</t>
    </rPh>
    <phoneticPr fontId="1"/>
  </si>
  <si>
    <t>標準指数</t>
    <rPh sb="0" eb="4">
      <t>ヒョウジュンシスウ</t>
    </rPh>
    <phoneticPr fontId="1"/>
  </si>
  <si>
    <t>構成比率</t>
    <rPh sb="0" eb="4">
      <t>コウセイヒリツ</t>
    </rPh>
    <phoneticPr fontId="1"/>
  </si>
  <si>
    <t>北小岩</t>
    <rPh sb="0" eb="3">
      <t>キタコイワ</t>
    </rPh>
    <phoneticPr fontId="1"/>
  </si>
  <si>
    <t>成増</t>
    <rPh sb="0" eb="2">
      <t>ナリマス</t>
    </rPh>
    <phoneticPr fontId="1"/>
  </si>
  <si>
    <t>高円寺</t>
    <rPh sb="0" eb="3">
      <t>コウエンジ</t>
    </rPh>
    <phoneticPr fontId="1"/>
  </si>
  <si>
    <t>永福</t>
    <rPh sb="0" eb="2">
      <t>エイフク</t>
    </rPh>
    <phoneticPr fontId="1"/>
  </si>
  <si>
    <t>高島平</t>
    <rPh sb="0" eb="3">
      <t>タカシマダイラ</t>
    </rPh>
    <phoneticPr fontId="1"/>
  </si>
  <si>
    <t>船堀</t>
    <rPh sb="0" eb="2">
      <t>フネホリ</t>
    </rPh>
    <phoneticPr fontId="1"/>
  </si>
  <si>
    <t>久我山</t>
    <rPh sb="0" eb="3">
      <t>クガヤマ</t>
    </rPh>
    <phoneticPr fontId="1"/>
  </si>
  <si>
    <t>大山</t>
    <rPh sb="0" eb="2">
      <t>オオヤマ</t>
    </rPh>
    <phoneticPr fontId="1"/>
  </si>
  <si>
    <t>南小岩</t>
    <rPh sb="0" eb="3">
      <t>ミナミコイワ</t>
    </rPh>
    <phoneticPr fontId="1"/>
  </si>
  <si>
    <t>板橋</t>
    <rPh sb="0" eb="2">
      <t>イタバシ</t>
    </rPh>
    <phoneticPr fontId="1"/>
  </si>
  <si>
    <t>江戸川</t>
    <rPh sb="0" eb="3">
      <t>エドガワ</t>
    </rPh>
    <phoneticPr fontId="1"/>
  </si>
  <si>
    <t>杉並</t>
    <rPh sb="0" eb="2">
      <t>スギナミ</t>
    </rPh>
    <phoneticPr fontId="1"/>
  </si>
  <si>
    <t>顧客別配当金一覧表</t>
    <rPh sb="0" eb="3">
      <t>コキャクベツ</t>
    </rPh>
    <rPh sb="3" eb="6">
      <t>ハイトウキン</t>
    </rPh>
    <rPh sb="6" eb="9">
      <t>イチランヒョウ</t>
    </rPh>
    <phoneticPr fontId="1"/>
  </si>
  <si>
    <t>銘柄名</t>
    <rPh sb="0" eb="3">
      <t>メイガラメイ</t>
    </rPh>
    <phoneticPr fontId="1"/>
  </si>
  <si>
    <t>株数</t>
    <rPh sb="0" eb="2">
      <t>カブスウ</t>
    </rPh>
    <phoneticPr fontId="1"/>
  </si>
  <si>
    <t>配当金</t>
    <rPh sb="0" eb="3">
      <t>ハイトウキン</t>
    </rPh>
    <phoneticPr fontId="1"/>
  </si>
  <si>
    <t>所得税</t>
    <rPh sb="0" eb="3">
      <t>ショトクゼイ</t>
    </rPh>
    <phoneticPr fontId="1"/>
  </si>
  <si>
    <t>住民税</t>
    <rPh sb="0" eb="3">
      <t>ジュウミンゼイ</t>
    </rPh>
    <phoneticPr fontId="1"/>
  </si>
  <si>
    <t>税引配当金</t>
    <rPh sb="0" eb="2">
      <t>ゼイビキ</t>
    </rPh>
    <rPh sb="2" eb="5">
      <t>ハイトウキン</t>
    </rPh>
    <phoneticPr fontId="1"/>
  </si>
  <si>
    <t>五十嵐　豊</t>
    <rPh sb="0" eb="3">
      <t>イガラシ</t>
    </rPh>
    <rPh sb="4" eb="5">
      <t>ユタカ</t>
    </rPh>
    <phoneticPr fontId="1"/>
  </si>
  <si>
    <t>小野　千秋</t>
    <rPh sb="0" eb="2">
      <t>オノ</t>
    </rPh>
    <rPh sb="3" eb="5">
      <t>チアキ</t>
    </rPh>
    <phoneticPr fontId="1"/>
  </si>
  <si>
    <t>内田　洋一</t>
    <rPh sb="0" eb="2">
      <t>ウチダ</t>
    </rPh>
    <rPh sb="3" eb="5">
      <t>ヨウイチ</t>
    </rPh>
    <phoneticPr fontId="1"/>
  </si>
  <si>
    <t>原　由美子</t>
    <rPh sb="0" eb="1">
      <t>ハラ</t>
    </rPh>
    <rPh sb="2" eb="5">
      <t>ユミコ</t>
    </rPh>
    <phoneticPr fontId="1"/>
  </si>
  <si>
    <t>藤井　正志</t>
    <rPh sb="0" eb="2">
      <t>フジイ</t>
    </rPh>
    <rPh sb="3" eb="5">
      <t>マサシ</t>
    </rPh>
    <phoneticPr fontId="1"/>
  </si>
  <si>
    <t>真野　信二</t>
    <rPh sb="0" eb="2">
      <t>マノ</t>
    </rPh>
    <rPh sb="3" eb="5">
      <t>シンジ</t>
    </rPh>
    <phoneticPr fontId="1"/>
  </si>
  <si>
    <t>春山　美香</t>
    <rPh sb="0" eb="2">
      <t>ハルヤマ</t>
    </rPh>
    <rPh sb="3" eb="5">
      <t>ミカ</t>
    </rPh>
    <phoneticPr fontId="1"/>
  </si>
  <si>
    <t>金子　ユリ</t>
    <rPh sb="0" eb="2">
      <t>カネコ</t>
    </rPh>
    <phoneticPr fontId="1"/>
  </si>
  <si>
    <t>不二製薬</t>
    <rPh sb="0" eb="2">
      <t>フジ</t>
    </rPh>
    <rPh sb="2" eb="4">
      <t>セイヤク</t>
    </rPh>
    <phoneticPr fontId="1"/>
  </si>
  <si>
    <t>神山電気</t>
    <rPh sb="0" eb="2">
      <t>カミヤマ</t>
    </rPh>
    <rPh sb="2" eb="4">
      <t>デンキ</t>
    </rPh>
    <phoneticPr fontId="1"/>
  </si>
  <si>
    <t>共栄証券</t>
    <rPh sb="0" eb="2">
      <t>キョウエイ</t>
    </rPh>
    <rPh sb="2" eb="4">
      <t>ショウケン</t>
    </rPh>
    <phoneticPr fontId="1"/>
  </si>
  <si>
    <t>昭和倉庫</t>
    <rPh sb="0" eb="2">
      <t>ショウワ</t>
    </rPh>
    <rPh sb="2" eb="4">
      <t>ソウコ</t>
    </rPh>
    <phoneticPr fontId="1"/>
  </si>
  <si>
    <t>輸入品定価計算表</t>
    <rPh sb="0" eb="3">
      <t>ユニュウヒン</t>
    </rPh>
    <rPh sb="3" eb="8">
      <t>テイカケイサンヒョウ</t>
    </rPh>
    <phoneticPr fontId="1"/>
  </si>
  <si>
    <t>商CO</t>
    <rPh sb="0" eb="1">
      <t>ショウ</t>
    </rPh>
    <phoneticPr fontId="1"/>
  </si>
  <si>
    <t>仕入額(＄)</t>
    <rPh sb="0" eb="3">
      <t>シイレガク</t>
    </rPh>
    <phoneticPr fontId="1"/>
  </si>
  <si>
    <t>仕入数</t>
    <rPh sb="0" eb="3">
      <t>シイレスウ</t>
    </rPh>
    <phoneticPr fontId="1"/>
  </si>
  <si>
    <t>V商品</t>
    <rPh sb="1" eb="3">
      <t>ショウヒン</t>
    </rPh>
    <phoneticPr fontId="1"/>
  </si>
  <si>
    <t>輸入品請求額一覧表</t>
    <rPh sb="0" eb="9">
      <t>ユニュウヒンセイキュウガクイチランヒョウ</t>
    </rPh>
    <phoneticPr fontId="1"/>
  </si>
  <si>
    <t>販CO</t>
    <rPh sb="0" eb="1">
      <t>ハン</t>
    </rPh>
    <phoneticPr fontId="1"/>
  </si>
  <si>
    <t>販売先名</t>
    <rPh sb="0" eb="4">
      <t>ハンバイサキメイ</t>
    </rPh>
    <phoneticPr fontId="1"/>
  </si>
  <si>
    <t>販売数</t>
    <rPh sb="0" eb="3">
      <t>ハンバイスウ</t>
    </rPh>
    <phoneticPr fontId="1"/>
  </si>
  <si>
    <t>販売額</t>
    <rPh sb="0" eb="3">
      <t>ハンバイガク</t>
    </rPh>
    <phoneticPr fontId="1"/>
  </si>
  <si>
    <t>値引額</t>
    <rPh sb="0" eb="3">
      <t>ネビキガク</t>
    </rPh>
    <phoneticPr fontId="1"/>
  </si>
  <si>
    <t>令和物産</t>
    <rPh sb="0" eb="4">
      <t>レイワブッサン</t>
    </rPh>
    <phoneticPr fontId="1"/>
  </si>
  <si>
    <t>ＵＳＢＵＹ</t>
    <phoneticPr fontId="1"/>
  </si>
  <si>
    <t>中森家具</t>
    <rPh sb="0" eb="2">
      <t>ナカモリ</t>
    </rPh>
    <rPh sb="2" eb="4">
      <t>カグ</t>
    </rPh>
    <phoneticPr fontId="1"/>
  </si>
  <si>
    <t>やまと雑貨</t>
    <rPh sb="3" eb="5">
      <t>ザッカ</t>
    </rPh>
    <phoneticPr fontId="1"/>
  </si>
  <si>
    <t>中村商会</t>
    <rPh sb="0" eb="2">
      <t>ナカムラ</t>
    </rPh>
    <rPh sb="2" eb="4">
      <t>ショウカイ</t>
    </rPh>
    <phoneticPr fontId="1"/>
  </si>
  <si>
    <t>スバル貿易</t>
    <rPh sb="3" eb="5">
      <t>ボウエキ</t>
    </rPh>
    <phoneticPr fontId="1"/>
  </si>
  <si>
    <t>西部照明</t>
    <rPh sb="0" eb="2">
      <t>セイブ</t>
    </rPh>
    <rPh sb="2" eb="4">
      <t>ショウメイ</t>
    </rPh>
    <phoneticPr fontId="1"/>
  </si>
  <si>
    <t>代々木商事</t>
    <rPh sb="0" eb="3">
      <t>ヨヨギ</t>
    </rPh>
    <rPh sb="3" eb="5">
      <t>ショウジ</t>
    </rPh>
    <phoneticPr fontId="1"/>
  </si>
  <si>
    <t>株式売買一覧表</t>
    <rPh sb="0" eb="7">
      <t>カブシキバイバイイチランヒョウ</t>
    </rPh>
    <phoneticPr fontId="1"/>
  </si>
  <si>
    <t>顧CO</t>
    <rPh sb="0" eb="1">
      <t>コ</t>
    </rPh>
    <phoneticPr fontId="1"/>
  </si>
  <si>
    <t>銘CO</t>
    <rPh sb="0" eb="1">
      <t>メイ</t>
    </rPh>
    <phoneticPr fontId="1"/>
  </si>
  <si>
    <t>買単価</t>
    <rPh sb="0" eb="1">
      <t>カイ</t>
    </rPh>
    <rPh sb="1" eb="3">
      <t>タンカ</t>
    </rPh>
    <phoneticPr fontId="1"/>
  </si>
  <si>
    <t>売単価</t>
    <rPh sb="0" eb="1">
      <t>ウリ</t>
    </rPh>
    <rPh sb="1" eb="3">
      <t>タンカ</t>
    </rPh>
    <phoneticPr fontId="1"/>
  </si>
  <si>
    <t>受取額</t>
    <rPh sb="0" eb="3">
      <t>ウケトリガク</t>
    </rPh>
    <phoneticPr fontId="1"/>
  </si>
  <si>
    <t>損益額</t>
    <rPh sb="0" eb="3">
      <t>ソンエキガク</t>
    </rPh>
    <phoneticPr fontId="1"/>
  </si>
  <si>
    <t>順位</t>
    <rPh sb="0" eb="2">
      <t>ジュンイ</t>
    </rPh>
    <phoneticPr fontId="1"/>
  </si>
  <si>
    <t>中島　健司</t>
    <rPh sb="0" eb="2">
      <t>ナカジマ</t>
    </rPh>
    <rPh sb="3" eb="5">
      <t>ケンジ</t>
    </rPh>
    <phoneticPr fontId="1"/>
  </si>
  <si>
    <t>野山　舞子</t>
    <rPh sb="0" eb="2">
      <t>ノヤマ</t>
    </rPh>
    <rPh sb="3" eb="5">
      <t>マイコ</t>
    </rPh>
    <phoneticPr fontId="1"/>
  </si>
  <si>
    <t>加藤　利明</t>
    <rPh sb="0" eb="2">
      <t>カトウ</t>
    </rPh>
    <rPh sb="3" eb="5">
      <t>トシアキ</t>
    </rPh>
    <phoneticPr fontId="1"/>
  </si>
  <si>
    <t>久保田　歩</t>
    <rPh sb="0" eb="3">
      <t>クボタ</t>
    </rPh>
    <rPh sb="4" eb="5">
      <t>アユム</t>
    </rPh>
    <phoneticPr fontId="1"/>
  </si>
  <si>
    <t>清水　大地</t>
    <rPh sb="0" eb="2">
      <t>シミズ</t>
    </rPh>
    <rPh sb="3" eb="5">
      <t>ダイチ</t>
    </rPh>
    <phoneticPr fontId="1"/>
  </si>
  <si>
    <t>北　あかり</t>
    <rPh sb="0" eb="1">
      <t>キタ</t>
    </rPh>
    <phoneticPr fontId="1"/>
  </si>
  <si>
    <t>坂井　英樹</t>
    <rPh sb="0" eb="2">
      <t>サカイ</t>
    </rPh>
    <rPh sb="3" eb="5">
      <t>ヒデキ</t>
    </rPh>
    <phoneticPr fontId="1"/>
  </si>
  <si>
    <t>金沢　アキ</t>
    <rPh sb="0" eb="2">
      <t>カナザワ</t>
    </rPh>
    <phoneticPr fontId="1"/>
  </si>
  <si>
    <t>藤川　新一</t>
    <rPh sb="0" eb="2">
      <t>フジカワ</t>
    </rPh>
    <rPh sb="3" eb="5">
      <t>シンイチ</t>
    </rPh>
    <phoneticPr fontId="1"/>
  </si>
  <si>
    <t>北陸工業</t>
    <rPh sb="0" eb="2">
      <t>ホクリク</t>
    </rPh>
    <rPh sb="2" eb="4">
      <t>コウギョウ</t>
    </rPh>
    <phoneticPr fontId="1"/>
  </si>
  <si>
    <t>中央薬品</t>
    <rPh sb="0" eb="2">
      <t>チュウオウ</t>
    </rPh>
    <rPh sb="2" eb="4">
      <t>ヤクヒン</t>
    </rPh>
    <phoneticPr fontId="1"/>
  </si>
  <si>
    <t>井上証券</t>
    <rPh sb="0" eb="2">
      <t>イノウエ</t>
    </rPh>
    <rPh sb="2" eb="4">
      <t>ショウケン</t>
    </rPh>
    <phoneticPr fontId="1"/>
  </si>
  <si>
    <t>新生電気</t>
    <rPh sb="0" eb="2">
      <t>シンセイ</t>
    </rPh>
    <rPh sb="2" eb="4">
      <t>デンキ</t>
    </rPh>
    <phoneticPr fontId="1"/>
  </si>
  <si>
    <t>レンタカー請求額一覧表</t>
    <rPh sb="5" eb="11">
      <t>セイキュウガクイチランヒョウ</t>
    </rPh>
    <phoneticPr fontId="1"/>
  </si>
  <si>
    <t>会員名</t>
    <rPh sb="0" eb="3">
      <t>カイインメイ</t>
    </rPh>
    <phoneticPr fontId="1"/>
  </si>
  <si>
    <t>車CO</t>
    <rPh sb="0" eb="1">
      <t>シャ</t>
    </rPh>
    <phoneticPr fontId="1"/>
  </si>
  <si>
    <t>基本料金</t>
    <rPh sb="0" eb="4">
      <t>キホンリョウキン</t>
    </rPh>
    <phoneticPr fontId="1"/>
  </si>
  <si>
    <t>時間</t>
    <rPh sb="0" eb="2">
      <t>ジカン</t>
    </rPh>
    <phoneticPr fontId="1"/>
  </si>
  <si>
    <t>超過料金</t>
    <rPh sb="0" eb="4">
      <t>チョウカリョウキン</t>
    </rPh>
    <phoneticPr fontId="1"/>
  </si>
  <si>
    <t>利用料金</t>
    <rPh sb="0" eb="4">
      <t>リヨウリョウキン</t>
    </rPh>
    <phoneticPr fontId="1"/>
  </si>
  <si>
    <t>割引率</t>
    <rPh sb="0" eb="3">
      <t>ワリビキリツ</t>
    </rPh>
    <phoneticPr fontId="1"/>
  </si>
  <si>
    <t>割引額</t>
    <rPh sb="0" eb="3">
      <t>ワリビキガク</t>
    </rPh>
    <phoneticPr fontId="1"/>
  </si>
  <si>
    <t>ポイント</t>
    <phoneticPr fontId="1"/>
  </si>
  <si>
    <t>泉　美知子</t>
    <rPh sb="0" eb="1">
      <t>イズミ</t>
    </rPh>
    <rPh sb="2" eb="5">
      <t>ミチコ</t>
    </rPh>
    <phoneticPr fontId="1"/>
  </si>
  <si>
    <t>稲葉　正明</t>
    <rPh sb="0" eb="2">
      <t>イナバ</t>
    </rPh>
    <rPh sb="3" eb="5">
      <t>マサアキ</t>
    </rPh>
    <phoneticPr fontId="1"/>
  </si>
  <si>
    <t>山本　和美</t>
    <rPh sb="0" eb="2">
      <t>ヤマモト</t>
    </rPh>
    <rPh sb="3" eb="5">
      <t>カズミ</t>
    </rPh>
    <phoneticPr fontId="1"/>
  </si>
  <si>
    <t>大橋　哲平</t>
    <rPh sb="0" eb="2">
      <t>オオハシ</t>
    </rPh>
    <rPh sb="3" eb="5">
      <t>テッペイ</t>
    </rPh>
    <phoneticPr fontId="1"/>
  </si>
  <si>
    <t>松前　明菜</t>
    <rPh sb="0" eb="2">
      <t>マツマエ</t>
    </rPh>
    <rPh sb="3" eb="5">
      <t>アキナ</t>
    </rPh>
    <phoneticPr fontId="1"/>
  </si>
  <si>
    <t>上野　新一</t>
    <rPh sb="0" eb="2">
      <t>ウエノ</t>
    </rPh>
    <rPh sb="3" eb="5">
      <t>シンイチ</t>
    </rPh>
    <phoneticPr fontId="1"/>
  </si>
  <si>
    <t>青木　真樹</t>
    <rPh sb="0" eb="2">
      <t>アオキ</t>
    </rPh>
    <rPh sb="3" eb="5">
      <t>マキ</t>
    </rPh>
    <phoneticPr fontId="1"/>
  </si>
  <si>
    <t>久保田　勇</t>
    <rPh sb="0" eb="3">
      <t>クボタ</t>
    </rPh>
    <rPh sb="4" eb="5">
      <t>イサム</t>
    </rPh>
    <phoneticPr fontId="1"/>
  </si>
  <si>
    <t>CO</t>
    <phoneticPr fontId="1"/>
  </si>
  <si>
    <t>Eセット</t>
    <phoneticPr fontId="1"/>
  </si>
  <si>
    <t>Fセット</t>
    <phoneticPr fontId="1"/>
  </si>
  <si>
    <t>Gセット</t>
    <phoneticPr fontId="1"/>
  </si>
  <si>
    <t>Hセット</t>
    <phoneticPr fontId="1"/>
  </si>
  <si>
    <t>平均</t>
  </si>
  <si>
    <t>平均</t>
    <rPh sb="0" eb="2">
      <t>ヘイキン</t>
    </rPh>
    <phoneticPr fontId="1"/>
  </si>
  <si>
    <t>最大</t>
  </si>
  <si>
    <t>最大</t>
    <rPh sb="0" eb="2">
      <t>サイダイ</t>
    </rPh>
    <phoneticPr fontId="1"/>
  </si>
  <si>
    <t>最小</t>
    <rPh sb="0" eb="2">
      <t>サイショウ</t>
    </rPh>
    <phoneticPr fontId="1"/>
  </si>
  <si>
    <t>商品代金</t>
    <phoneticPr fontId="1"/>
  </si>
  <si>
    <t>消費税</t>
    <phoneticPr fontId="1"/>
  </si>
  <si>
    <t>請求額</t>
    <phoneticPr fontId="1"/>
  </si>
  <si>
    <t>C</t>
    <phoneticPr fontId="1"/>
  </si>
  <si>
    <t>A</t>
    <phoneticPr fontId="1"/>
  </si>
  <si>
    <t>B</t>
    <phoneticPr fontId="1"/>
  </si>
  <si>
    <t>区分</t>
    <rPh sb="0" eb="2">
      <t>クブン</t>
    </rPh>
    <phoneticPr fontId="1"/>
  </si>
  <si>
    <t>乗率</t>
    <rPh sb="0" eb="1">
      <t>ジョウ</t>
    </rPh>
    <rPh sb="1" eb="2">
      <t>リツ</t>
    </rPh>
    <phoneticPr fontId="1"/>
  </si>
  <si>
    <t>最小</t>
    <phoneticPr fontId="1"/>
  </si>
  <si>
    <t>部品B</t>
    <rPh sb="0" eb="2">
      <t>ブヒン</t>
    </rPh>
    <phoneticPr fontId="1"/>
  </si>
  <si>
    <t>部品C</t>
    <rPh sb="0" eb="2">
      <t>ブヒン</t>
    </rPh>
    <phoneticPr fontId="1"/>
  </si>
  <si>
    <t>部品D</t>
    <rPh sb="0" eb="2">
      <t>ブヒン</t>
    </rPh>
    <phoneticPr fontId="1"/>
  </si>
  <si>
    <t>部品原価</t>
    <rPh sb="0" eb="2">
      <t>ブヒン</t>
    </rPh>
    <rPh sb="2" eb="4">
      <t>ゲンカ</t>
    </rPh>
    <phoneticPr fontId="1"/>
  </si>
  <si>
    <t>標準人件費</t>
    <rPh sb="0" eb="2">
      <t>ヒョウジュン</t>
    </rPh>
    <rPh sb="2" eb="5">
      <t>ジンケンヒ</t>
    </rPh>
    <phoneticPr fontId="1"/>
  </si>
  <si>
    <t>W商品</t>
    <rPh sb="1" eb="3">
      <t>ショウヒン</t>
    </rPh>
    <phoneticPr fontId="1"/>
  </si>
  <si>
    <t>X商品</t>
    <rPh sb="1" eb="3">
      <t>ショウヒン</t>
    </rPh>
    <phoneticPr fontId="1"/>
  </si>
  <si>
    <t>Y商品</t>
    <rPh sb="1" eb="3">
      <t>ショウヒン</t>
    </rPh>
    <phoneticPr fontId="1"/>
  </si>
  <si>
    <t>為替レート</t>
    <rPh sb="0" eb="2">
      <t>カワセ</t>
    </rPh>
    <phoneticPr fontId="1"/>
  </si>
  <si>
    <t>買手数料</t>
    <rPh sb="0" eb="1">
      <t>カ</t>
    </rPh>
    <rPh sb="1" eb="4">
      <t>テスウリョウ</t>
    </rPh>
    <phoneticPr fontId="1"/>
  </si>
  <si>
    <t>売手数料</t>
    <rPh sb="0" eb="1">
      <t>ウ</t>
    </rPh>
    <phoneticPr fontId="1"/>
  </si>
  <si>
    <t>株数</t>
    <phoneticPr fontId="1"/>
  </si>
  <si>
    <t>支払額</t>
    <phoneticPr fontId="1"/>
  </si>
  <si>
    <t>受取額</t>
    <phoneticPr fontId="1"/>
  </si>
  <si>
    <t>時間</t>
    <phoneticPr fontId="1"/>
  </si>
  <si>
    <t>請求額</t>
    <phoneticPr fontId="1"/>
  </si>
  <si>
    <t>ポイント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</si>
</sst>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&quot;¥&quot;#,##0_);[Red]\(&quot;¥&quot;#,##0\)"/>
    <numFmt numFmtId="178" formatCode="0_);[Red]\(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9" fontId="0" fillId="0" borderId="1" xfId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9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9" fontId="0" fillId="0" borderId="17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8" fontId="0" fillId="0" borderId="1" xfId="2" applyFont="1" applyBorder="1">
      <alignment vertical="center"/>
    </xf>
    <xf numFmtId="38" fontId="0" fillId="0" borderId="8" xfId="2" applyFont="1" applyBorder="1">
      <alignment vertical="center"/>
    </xf>
    <xf numFmtId="38" fontId="0" fillId="0" borderId="6" xfId="2" applyFont="1" applyBorder="1">
      <alignment vertical="center"/>
    </xf>
    <xf numFmtId="38" fontId="0" fillId="0" borderId="9" xfId="2" applyFont="1" applyBorder="1">
      <alignment vertical="center"/>
    </xf>
    <xf numFmtId="38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38" fontId="0" fillId="0" borderId="6" xfId="0" applyNumberFormat="1" applyBorder="1">
      <alignment vertical="center"/>
    </xf>
    <xf numFmtId="38" fontId="0" fillId="0" borderId="8" xfId="0" applyNumberFormat="1" applyBorder="1">
      <alignment vertical="center"/>
    </xf>
    <xf numFmtId="38" fontId="0" fillId="0" borderId="9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4" xfId="0" applyNumberFormat="1" applyBorder="1">
      <alignment vertical="center"/>
    </xf>
    <xf numFmtId="176" fontId="0" fillId="0" borderId="17" xfId="0" applyNumberFormat="1" applyBorder="1">
      <alignment vertical="center"/>
    </xf>
    <xf numFmtId="1" fontId="0" fillId="0" borderId="8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38" fontId="0" fillId="0" borderId="14" xfId="2" applyFont="1" applyBorder="1">
      <alignment vertical="center"/>
    </xf>
    <xf numFmtId="38" fontId="0" fillId="0" borderId="17" xfId="2" applyFont="1" applyBorder="1">
      <alignment vertical="center"/>
    </xf>
    <xf numFmtId="40" fontId="0" fillId="0" borderId="1" xfId="2" applyNumberFormat="1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 applyFont="1">
      <alignment vertical="center"/>
    </xf>
    <xf numFmtId="40" fontId="0" fillId="0" borderId="8" xfId="0" applyNumberFormat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9" xfId="0" applyFont="1" applyBorder="1">
      <alignment vertical="center"/>
    </xf>
    <xf numFmtId="10" fontId="0" fillId="0" borderId="4" xfId="0" applyNumberFormat="1" applyFont="1" applyBorder="1">
      <alignment vertical="center"/>
    </xf>
    <xf numFmtId="10" fontId="0" fillId="0" borderId="9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8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9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177" fontId="0" fillId="2" borderId="8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2" borderId="6" xfId="0" applyNumberFormat="1" applyFill="1" applyBorder="1">
      <alignment vertical="center"/>
    </xf>
    <xf numFmtId="177" fontId="0" fillId="2" borderId="9" xfId="0" applyNumberFormat="1" applyFill="1" applyBorder="1">
      <alignment vertical="center"/>
    </xf>
    <xf numFmtId="38" fontId="0" fillId="2" borderId="1" xfId="2" applyFont="1" applyFill="1" applyBorder="1">
      <alignment vertical="center"/>
    </xf>
    <xf numFmtId="38" fontId="0" fillId="2" borderId="8" xfId="2" applyFont="1" applyFill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1F42-8D5E-4EC6-B8FF-63011781F4CD}">
  <sheetPr>
    <tabColor rgb="FFFF0000"/>
  </sheetPr>
  <dimension ref="A1:P18"/>
  <sheetViews>
    <sheetView tabSelected="1" workbookViewId="0">
      <selection activeCell="F17" sqref="F17"/>
    </sheetView>
  </sheetViews>
  <sheetFormatPr defaultRowHeight="18.75" x14ac:dyDescent="0.4"/>
  <cols>
    <col min="1" max="1" width="5.25" bestFit="1" customWidth="1"/>
    <col min="2" max="2" width="11.125" bestFit="1" customWidth="1"/>
    <col min="3" max="3" width="7.875" bestFit="1" customWidth="1"/>
    <col min="4" max="4" width="8.875" bestFit="1" customWidth="1"/>
    <col min="5" max="5" width="6" bestFit="1" customWidth="1"/>
    <col min="6" max="6" width="5.25" bestFit="1" customWidth="1"/>
    <col min="7" max="7" width="7.125" bestFit="1" customWidth="1"/>
    <col min="9" max="9" width="5.25" bestFit="1" customWidth="1"/>
    <col min="10" max="10" width="7.125" bestFit="1" customWidth="1"/>
    <col min="11" max="11" width="8" bestFit="1" customWidth="1"/>
    <col min="12" max="12" width="3.375" customWidth="1"/>
    <col min="13" max="13" width="4.125" bestFit="1" customWidth="1"/>
    <col min="14" max="14" width="8.5" bestFit="1" customWidth="1"/>
    <col min="15" max="15" width="5.5" bestFit="1" customWidth="1"/>
    <col min="16" max="16" width="5.25" bestFit="1" customWidth="1"/>
  </cols>
  <sheetData>
    <row r="1" spans="1:16" ht="19.5" thickBot="1" x14ac:dyDescent="0.4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6" x14ac:dyDescent="0.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  <c r="M2" s="22" t="s">
        <v>163</v>
      </c>
      <c r="N2" s="23" t="s">
        <v>4</v>
      </c>
      <c r="O2" s="23" t="s">
        <v>5</v>
      </c>
      <c r="P2" s="24" t="s">
        <v>9</v>
      </c>
    </row>
    <row r="3" spans="1:16" x14ac:dyDescent="0.4">
      <c r="A3" s="8">
        <v>7</v>
      </c>
      <c r="B3" s="2" t="s">
        <v>18</v>
      </c>
      <c r="C3" s="2">
        <v>12</v>
      </c>
      <c r="D3" s="2" t="str">
        <f t="shared" ref="D3:D11" si="0">VLOOKUP(C3,$M$3:$P$6,2,FALSE)</f>
        <v>Fセット</v>
      </c>
      <c r="E3" s="25">
        <f t="shared" ref="E3:E11" si="1">VLOOKUP(C3,$M$3:$P$6,3,FALSE)</f>
        <v>5720</v>
      </c>
      <c r="F3" s="2">
        <v>5</v>
      </c>
      <c r="G3" s="3">
        <f t="shared" ref="G3:G11" si="2">IF(OR(E3&gt;=6000,F3&gt;=5), 8.7%, 7.6%)</f>
        <v>8.6999999999999994E-2</v>
      </c>
      <c r="H3" s="25">
        <f t="shared" ref="H3:H11" si="3">ROUNDUP(E3*F3*(1-G3),0)</f>
        <v>26112</v>
      </c>
      <c r="I3" s="4">
        <f t="shared" ref="I3:I11" si="4">VLOOKUP(C3,$M$3:$P$6,4,FALSE)</f>
        <v>0.1</v>
      </c>
      <c r="J3" s="25">
        <f t="shared" ref="J3:J11" si="5">INT(H3*I3)</f>
        <v>2611</v>
      </c>
      <c r="K3" s="27">
        <f t="shared" ref="K3:K11" si="6">H3+J3</f>
        <v>28723</v>
      </c>
      <c r="M3" s="16">
        <v>11</v>
      </c>
      <c r="N3" s="17" t="s">
        <v>164</v>
      </c>
      <c r="O3" s="17">
        <v>3960</v>
      </c>
      <c r="P3" s="18">
        <v>0.08</v>
      </c>
    </row>
    <row r="4" spans="1:16" x14ac:dyDescent="0.4">
      <c r="A4" s="8">
        <v>6</v>
      </c>
      <c r="B4" s="2" t="s">
        <v>17</v>
      </c>
      <c r="C4" s="2">
        <v>11</v>
      </c>
      <c r="D4" s="2" t="str">
        <f t="shared" si="0"/>
        <v>Eセット</v>
      </c>
      <c r="E4" s="25">
        <f t="shared" si="1"/>
        <v>3960</v>
      </c>
      <c r="F4" s="2">
        <v>6</v>
      </c>
      <c r="G4" s="3">
        <f t="shared" si="2"/>
        <v>8.6999999999999994E-2</v>
      </c>
      <c r="H4" s="25">
        <f t="shared" si="3"/>
        <v>21693</v>
      </c>
      <c r="I4" s="4">
        <f t="shared" si="4"/>
        <v>0.08</v>
      </c>
      <c r="J4" s="25">
        <f t="shared" si="5"/>
        <v>1735</v>
      </c>
      <c r="K4" s="27">
        <f t="shared" si="6"/>
        <v>23428</v>
      </c>
      <c r="M4" s="16">
        <v>12</v>
      </c>
      <c r="N4" s="17" t="s">
        <v>165</v>
      </c>
      <c r="O4" s="17">
        <v>5720</v>
      </c>
      <c r="P4" s="18">
        <v>0.1</v>
      </c>
    </row>
    <row r="5" spans="1:16" x14ac:dyDescent="0.4">
      <c r="A5" s="8">
        <v>2</v>
      </c>
      <c r="B5" s="2" t="s">
        <v>13</v>
      </c>
      <c r="C5" s="2">
        <v>12</v>
      </c>
      <c r="D5" s="2" t="str">
        <f t="shared" si="0"/>
        <v>Fセット</v>
      </c>
      <c r="E5" s="25">
        <f t="shared" si="1"/>
        <v>5720</v>
      </c>
      <c r="F5" s="2">
        <v>4</v>
      </c>
      <c r="G5" s="3">
        <f t="shared" si="2"/>
        <v>7.5999999999999998E-2</v>
      </c>
      <c r="H5" s="25">
        <f t="shared" si="3"/>
        <v>21142</v>
      </c>
      <c r="I5" s="4">
        <f t="shared" si="4"/>
        <v>0.1</v>
      </c>
      <c r="J5" s="25">
        <f t="shared" si="5"/>
        <v>2114</v>
      </c>
      <c r="K5" s="27">
        <f t="shared" si="6"/>
        <v>23256</v>
      </c>
      <c r="M5" s="16">
        <v>13</v>
      </c>
      <c r="N5" s="17" t="s">
        <v>166</v>
      </c>
      <c r="O5" s="17">
        <v>4530</v>
      </c>
      <c r="P5" s="18">
        <v>0.1</v>
      </c>
    </row>
    <row r="6" spans="1:16" ht="19.5" thickBot="1" x14ac:dyDescent="0.45">
      <c r="A6" s="8">
        <v>3</v>
      </c>
      <c r="B6" s="2" t="s">
        <v>14</v>
      </c>
      <c r="C6" s="2">
        <v>14</v>
      </c>
      <c r="D6" s="2" t="str">
        <f t="shared" si="0"/>
        <v>Hセット</v>
      </c>
      <c r="E6" s="25">
        <f t="shared" si="1"/>
        <v>6480</v>
      </c>
      <c r="F6" s="2">
        <v>3</v>
      </c>
      <c r="G6" s="3">
        <f t="shared" si="2"/>
        <v>8.6999999999999994E-2</v>
      </c>
      <c r="H6" s="25">
        <f t="shared" si="3"/>
        <v>17749</v>
      </c>
      <c r="I6" s="4">
        <f t="shared" si="4"/>
        <v>0.08</v>
      </c>
      <c r="J6" s="25">
        <f t="shared" si="5"/>
        <v>1419</v>
      </c>
      <c r="K6" s="27">
        <f t="shared" si="6"/>
        <v>19168</v>
      </c>
      <c r="M6" s="19">
        <v>14</v>
      </c>
      <c r="N6" s="20" t="s">
        <v>167</v>
      </c>
      <c r="O6" s="20">
        <v>6480</v>
      </c>
      <c r="P6" s="21">
        <v>0.08</v>
      </c>
    </row>
    <row r="7" spans="1:16" x14ac:dyDescent="0.4">
      <c r="A7" s="8">
        <v>9</v>
      </c>
      <c r="B7" s="2" t="s">
        <v>20</v>
      </c>
      <c r="C7" s="2">
        <v>13</v>
      </c>
      <c r="D7" s="2" t="str">
        <f t="shared" si="0"/>
        <v>Gセット</v>
      </c>
      <c r="E7" s="25">
        <f t="shared" si="1"/>
        <v>4530</v>
      </c>
      <c r="F7" s="2">
        <v>4</v>
      </c>
      <c r="G7" s="3">
        <f t="shared" si="2"/>
        <v>7.5999999999999998E-2</v>
      </c>
      <c r="H7" s="25">
        <f t="shared" si="3"/>
        <v>16743</v>
      </c>
      <c r="I7" s="4">
        <f t="shared" si="4"/>
        <v>0.1</v>
      </c>
      <c r="J7" s="25">
        <f t="shared" si="5"/>
        <v>1674</v>
      </c>
      <c r="K7" s="27">
        <f t="shared" si="6"/>
        <v>18417</v>
      </c>
    </row>
    <row r="8" spans="1:16" x14ac:dyDescent="0.4">
      <c r="A8" s="8">
        <v>4</v>
      </c>
      <c r="B8" s="2" t="s">
        <v>15</v>
      </c>
      <c r="C8" s="2">
        <v>11</v>
      </c>
      <c r="D8" s="2" t="str">
        <f t="shared" si="0"/>
        <v>Eセット</v>
      </c>
      <c r="E8" s="25">
        <f t="shared" si="1"/>
        <v>3960</v>
      </c>
      <c r="F8" s="2">
        <v>4</v>
      </c>
      <c r="G8" s="3">
        <f t="shared" si="2"/>
        <v>7.5999999999999998E-2</v>
      </c>
      <c r="H8" s="25">
        <f t="shared" si="3"/>
        <v>14637</v>
      </c>
      <c r="I8" s="4">
        <f t="shared" si="4"/>
        <v>0.08</v>
      </c>
      <c r="J8" s="25">
        <f t="shared" si="5"/>
        <v>1170</v>
      </c>
      <c r="K8" s="27">
        <f t="shared" si="6"/>
        <v>15807</v>
      </c>
    </row>
    <row r="9" spans="1:16" x14ac:dyDescent="0.4">
      <c r="A9" s="8">
        <v>5</v>
      </c>
      <c r="B9" s="2" t="s">
        <v>16</v>
      </c>
      <c r="C9" s="2">
        <v>13</v>
      </c>
      <c r="D9" s="2" t="str">
        <f t="shared" si="0"/>
        <v>Gセット</v>
      </c>
      <c r="E9" s="25">
        <f t="shared" si="1"/>
        <v>4530</v>
      </c>
      <c r="F9" s="2">
        <v>3</v>
      </c>
      <c r="G9" s="3">
        <f t="shared" si="2"/>
        <v>7.5999999999999998E-2</v>
      </c>
      <c r="H9" s="25">
        <f t="shared" si="3"/>
        <v>12558</v>
      </c>
      <c r="I9" s="4">
        <f t="shared" si="4"/>
        <v>0.1</v>
      </c>
      <c r="J9" s="25">
        <f t="shared" si="5"/>
        <v>1255</v>
      </c>
      <c r="K9" s="27">
        <f t="shared" si="6"/>
        <v>13813</v>
      </c>
    </row>
    <row r="10" spans="1:16" x14ac:dyDescent="0.4">
      <c r="A10" s="8">
        <v>1</v>
      </c>
      <c r="B10" s="2" t="s">
        <v>12</v>
      </c>
      <c r="C10" s="2">
        <v>14</v>
      </c>
      <c r="D10" s="2" t="str">
        <f t="shared" si="0"/>
        <v>Hセット</v>
      </c>
      <c r="E10" s="25">
        <f t="shared" si="1"/>
        <v>6480</v>
      </c>
      <c r="F10" s="2">
        <v>2</v>
      </c>
      <c r="G10" s="3">
        <f t="shared" si="2"/>
        <v>8.6999999999999994E-2</v>
      </c>
      <c r="H10" s="25">
        <f t="shared" si="3"/>
        <v>11833</v>
      </c>
      <c r="I10" s="4">
        <f t="shared" si="4"/>
        <v>0.08</v>
      </c>
      <c r="J10" s="25">
        <f t="shared" si="5"/>
        <v>946</v>
      </c>
      <c r="K10" s="27">
        <f t="shared" si="6"/>
        <v>12779</v>
      </c>
    </row>
    <row r="11" spans="1:16" x14ac:dyDescent="0.4">
      <c r="A11" s="8">
        <v>8</v>
      </c>
      <c r="B11" s="2" t="s">
        <v>19</v>
      </c>
      <c r="C11" s="2">
        <v>12</v>
      </c>
      <c r="D11" s="2" t="str">
        <f t="shared" si="0"/>
        <v>Fセット</v>
      </c>
      <c r="E11" s="25">
        <f t="shared" si="1"/>
        <v>5720</v>
      </c>
      <c r="F11" s="2">
        <v>2</v>
      </c>
      <c r="G11" s="3">
        <f t="shared" si="2"/>
        <v>7.5999999999999998E-2</v>
      </c>
      <c r="H11" s="25">
        <f t="shared" si="3"/>
        <v>10571</v>
      </c>
      <c r="I11" s="4">
        <f t="shared" si="4"/>
        <v>0.1</v>
      </c>
      <c r="J11" s="25">
        <f t="shared" si="5"/>
        <v>1057</v>
      </c>
      <c r="K11" s="27">
        <f t="shared" si="6"/>
        <v>11628</v>
      </c>
    </row>
    <row r="12" spans="1:16" x14ac:dyDescent="0.4">
      <c r="A12" s="8"/>
      <c r="B12" s="2"/>
      <c r="C12" s="2"/>
      <c r="D12" s="2"/>
      <c r="E12" s="2"/>
      <c r="F12" s="2"/>
      <c r="G12" s="2"/>
      <c r="H12" s="25"/>
      <c r="I12" s="2"/>
      <c r="J12" s="25"/>
      <c r="K12" s="27"/>
    </row>
    <row r="13" spans="1:16" ht="19.5" thickBot="1" x14ac:dyDescent="0.45">
      <c r="A13" s="10"/>
      <c r="B13" s="11" t="s">
        <v>21</v>
      </c>
      <c r="C13" s="12"/>
      <c r="D13" s="12"/>
      <c r="E13" s="12"/>
      <c r="F13" s="12">
        <f>SUM(F3:F11)</f>
        <v>33</v>
      </c>
      <c r="G13" s="12"/>
      <c r="H13" s="26">
        <f t="shared" ref="H13:K13" si="7">SUM(H3:H11)</f>
        <v>153038</v>
      </c>
      <c r="I13" s="12"/>
      <c r="J13" s="26">
        <f t="shared" si="7"/>
        <v>13981</v>
      </c>
      <c r="K13" s="28">
        <f t="shared" si="7"/>
        <v>167019</v>
      </c>
    </row>
    <row r="14" spans="1:16" ht="19.5" thickBot="1" x14ac:dyDescent="0.45"/>
    <row r="15" spans="1:16" x14ac:dyDescent="0.4">
      <c r="A15" s="30"/>
      <c r="B15" s="6" t="s">
        <v>173</v>
      </c>
      <c r="C15" s="6" t="s">
        <v>174</v>
      </c>
      <c r="D15" s="7" t="s">
        <v>175</v>
      </c>
    </row>
    <row r="16" spans="1:16" x14ac:dyDescent="0.4">
      <c r="A16" s="35" t="s">
        <v>169</v>
      </c>
      <c r="B16" s="70">
        <f>AVERAGE(H3:H11)</f>
        <v>17004.222222222223</v>
      </c>
      <c r="C16" s="70">
        <f>AVERAGE(J3:J11)</f>
        <v>1553.4444444444443</v>
      </c>
      <c r="D16" s="74">
        <f>AVERAGE(K3:K11)</f>
        <v>18557.666666666668</v>
      </c>
    </row>
    <row r="17" spans="1:4" x14ac:dyDescent="0.4">
      <c r="A17" s="35" t="s">
        <v>171</v>
      </c>
      <c r="B17" s="70">
        <f>MAX(H3:H11)</f>
        <v>26112</v>
      </c>
      <c r="C17" s="70">
        <f>MAX(J3:J11)</f>
        <v>2611</v>
      </c>
      <c r="D17" s="74">
        <f>MAX(K3:K11)</f>
        <v>28723</v>
      </c>
    </row>
    <row r="18" spans="1:4" ht="19.5" thickBot="1" x14ac:dyDescent="0.45">
      <c r="A18" s="36" t="s">
        <v>172</v>
      </c>
      <c r="B18" s="71">
        <f>MIN(H3:H11)</f>
        <v>10571</v>
      </c>
      <c r="C18" s="71">
        <f>MIN(J3:J11)</f>
        <v>946</v>
      </c>
      <c r="D18" s="75">
        <f>MIN(K3:K11)</f>
        <v>11628</v>
      </c>
    </row>
  </sheetData>
  <sortState ref="A3:K11">
    <sortCondition descending="1" ref="K2"/>
  </sortState>
  <mergeCells count="1">
    <mergeCell ref="A1:K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604E-9B08-437A-BAEA-0C5406551274}">
  <sheetPr>
    <tabColor rgb="FFFF0000"/>
  </sheetPr>
  <dimension ref="A1:N17"/>
  <sheetViews>
    <sheetView workbookViewId="0">
      <selection activeCell="C25" sqref="C25"/>
    </sheetView>
  </sheetViews>
  <sheetFormatPr defaultRowHeight="18.75" x14ac:dyDescent="0.4"/>
  <cols>
    <col min="1" max="1" width="5.25" bestFit="1" customWidth="1"/>
    <col min="2" max="4" width="11" bestFit="1" customWidth="1"/>
    <col min="5" max="5" width="5.25" bestFit="1" customWidth="1"/>
    <col min="6" max="6" width="6.5" bestFit="1" customWidth="1"/>
    <col min="7" max="7" width="9" bestFit="1" customWidth="1"/>
    <col min="8" max="8" width="5.25" bestFit="1" customWidth="1"/>
    <col min="9" max="9" width="9" bestFit="1" customWidth="1"/>
    <col min="10" max="10" width="9.5" bestFit="1" customWidth="1"/>
    <col min="11" max="11" width="5.25" bestFit="1" customWidth="1"/>
    <col min="13" max="13" width="5.25" bestFit="1" customWidth="1"/>
    <col min="14" max="14" width="6.5" bestFit="1" customWidth="1"/>
  </cols>
  <sheetData>
    <row r="1" spans="1:14" ht="19.5" thickBot="1" x14ac:dyDescent="0.45">
      <c r="A1" s="72" t="s">
        <v>22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4" x14ac:dyDescent="0.4">
      <c r="A2" s="5" t="s">
        <v>1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7" t="s">
        <v>32</v>
      </c>
      <c r="M2" s="14" t="s">
        <v>179</v>
      </c>
      <c r="N2" s="15" t="s">
        <v>180</v>
      </c>
    </row>
    <row r="3" spans="1:14" x14ac:dyDescent="0.4">
      <c r="A3" s="8">
        <v>6</v>
      </c>
      <c r="B3" s="2" t="s">
        <v>38</v>
      </c>
      <c r="C3" s="25">
        <v>329300</v>
      </c>
      <c r="D3" s="25">
        <f t="shared" ref="D3:D10" si="0">C3*1.25</f>
        <v>411625</v>
      </c>
      <c r="E3" s="2" t="s">
        <v>176</v>
      </c>
      <c r="F3" s="3">
        <f t="shared" ref="F3:F10" si="1">VLOOKUP(E3,$M$3:$N$5,2,FALSE)</f>
        <v>0.14099999999999999</v>
      </c>
      <c r="G3" s="25">
        <f t="shared" ref="G3:G10" si="2">INT(D3*F3)</f>
        <v>58039</v>
      </c>
      <c r="H3" s="25">
        <v>92</v>
      </c>
      <c r="I3" s="25">
        <f t="shared" ref="I3:I10" si="3">ROUNDUP(D3*18%*H3/100,0)</f>
        <v>68166</v>
      </c>
      <c r="J3" s="25">
        <f t="shared" ref="J3:J10" si="4">D3+G3+I3</f>
        <v>537830</v>
      </c>
      <c r="K3" s="9" t="str">
        <f>IF(AND(H3&gt;=80,J3&gt;=600000),"A","")</f>
        <v/>
      </c>
      <c r="M3" s="16" t="s">
        <v>177</v>
      </c>
      <c r="N3" s="37">
        <v>0.187</v>
      </c>
    </row>
    <row r="4" spans="1:14" x14ac:dyDescent="0.4">
      <c r="A4" s="8">
        <v>1</v>
      </c>
      <c r="B4" s="2" t="s">
        <v>33</v>
      </c>
      <c r="C4" s="25">
        <v>358200</v>
      </c>
      <c r="D4" s="25">
        <f t="shared" si="0"/>
        <v>447750</v>
      </c>
      <c r="E4" s="2" t="s">
        <v>176</v>
      </c>
      <c r="F4" s="3">
        <f t="shared" si="1"/>
        <v>0.14099999999999999</v>
      </c>
      <c r="G4" s="25">
        <f t="shared" si="2"/>
        <v>63132</v>
      </c>
      <c r="H4" s="25">
        <v>78</v>
      </c>
      <c r="I4" s="25">
        <f t="shared" si="3"/>
        <v>62865</v>
      </c>
      <c r="J4" s="25">
        <f t="shared" si="4"/>
        <v>573747</v>
      </c>
      <c r="K4" s="9" t="str">
        <f t="shared" ref="K4:K10" si="5">IF(AND(H4&gt;=80,J4&gt;=600000),"A","")</f>
        <v/>
      </c>
      <c r="M4" s="16" t="s">
        <v>178</v>
      </c>
      <c r="N4" s="37">
        <v>0.16400000000000001</v>
      </c>
    </row>
    <row r="5" spans="1:14" ht="19.5" thickBot="1" x14ac:dyDescent="0.45">
      <c r="A5" s="8">
        <v>4</v>
      </c>
      <c r="B5" s="2" t="s">
        <v>36</v>
      </c>
      <c r="C5" s="25">
        <v>431600</v>
      </c>
      <c r="D5" s="25">
        <f t="shared" si="0"/>
        <v>539500</v>
      </c>
      <c r="E5" s="2" t="s">
        <v>176</v>
      </c>
      <c r="F5" s="3">
        <f t="shared" si="1"/>
        <v>0.14099999999999999</v>
      </c>
      <c r="G5" s="25">
        <f t="shared" si="2"/>
        <v>76069</v>
      </c>
      <c r="H5" s="25">
        <v>74</v>
      </c>
      <c r="I5" s="25">
        <f t="shared" si="3"/>
        <v>71862</v>
      </c>
      <c r="J5" s="25">
        <f t="shared" si="4"/>
        <v>687431</v>
      </c>
      <c r="K5" s="9" t="str">
        <f t="shared" si="5"/>
        <v/>
      </c>
      <c r="M5" s="19" t="s">
        <v>176</v>
      </c>
      <c r="N5" s="38">
        <v>0.14099999999999999</v>
      </c>
    </row>
    <row r="6" spans="1:14" x14ac:dyDescent="0.4">
      <c r="A6" s="8">
        <v>3</v>
      </c>
      <c r="B6" s="2" t="s">
        <v>35</v>
      </c>
      <c r="C6" s="25">
        <v>376400</v>
      </c>
      <c r="D6" s="25">
        <f t="shared" si="0"/>
        <v>470500</v>
      </c>
      <c r="E6" s="2" t="s">
        <v>178</v>
      </c>
      <c r="F6" s="3">
        <f t="shared" si="1"/>
        <v>0.16400000000000001</v>
      </c>
      <c r="G6" s="25">
        <f t="shared" si="2"/>
        <v>77162</v>
      </c>
      <c r="H6" s="25">
        <v>82</v>
      </c>
      <c r="I6" s="25">
        <f t="shared" si="3"/>
        <v>69446</v>
      </c>
      <c r="J6" s="25">
        <f t="shared" si="4"/>
        <v>617108</v>
      </c>
      <c r="K6" s="9" t="str">
        <f t="shared" si="5"/>
        <v>A</v>
      </c>
    </row>
    <row r="7" spans="1:14" x14ac:dyDescent="0.4">
      <c r="A7" s="8">
        <v>8</v>
      </c>
      <c r="B7" s="2" t="s">
        <v>40</v>
      </c>
      <c r="C7" s="25">
        <v>342800</v>
      </c>
      <c r="D7" s="25">
        <f t="shared" si="0"/>
        <v>428500</v>
      </c>
      <c r="E7" s="2" t="s">
        <v>177</v>
      </c>
      <c r="F7" s="3">
        <f t="shared" si="1"/>
        <v>0.187</v>
      </c>
      <c r="G7" s="25">
        <f t="shared" si="2"/>
        <v>80129</v>
      </c>
      <c r="H7" s="25">
        <v>86</v>
      </c>
      <c r="I7" s="25">
        <f t="shared" si="3"/>
        <v>66332</v>
      </c>
      <c r="J7" s="25">
        <f t="shared" si="4"/>
        <v>574961</v>
      </c>
      <c r="K7" s="9" t="str">
        <f t="shared" si="5"/>
        <v/>
      </c>
    </row>
    <row r="8" spans="1:14" x14ac:dyDescent="0.4">
      <c r="A8" s="8">
        <v>5</v>
      </c>
      <c r="B8" s="2" t="s">
        <v>37</v>
      </c>
      <c r="C8" s="25">
        <v>397100</v>
      </c>
      <c r="D8" s="25">
        <f t="shared" si="0"/>
        <v>496375</v>
      </c>
      <c r="E8" s="2" t="s">
        <v>178</v>
      </c>
      <c r="F8" s="3">
        <f t="shared" si="1"/>
        <v>0.16400000000000001</v>
      </c>
      <c r="G8" s="25">
        <f t="shared" si="2"/>
        <v>81405</v>
      </c>
      <c r="H8" s="25">
        <v>90</v>
      </c>
      <c r="I8" s="25">
        <f t="shared" si="3"/>
        <v>80413</v>
      </c>
      <c r="J8" s="25">
        <f t="shared" si="4"/>
        <v>658193</v>
      </c>
      <c r="K8" s="9" t="str">
        <f t="shared" si="5"/>
        <v>A</v>
      </c>
    </row>
    <row r="9" spans="1:14" x14ac:dyDescent="0.4">
      <c r="A9" s="8">
        <v>7</v>
      </c>
      <c r="B9" s="2" t="s">
        <v>39</v>
      </c>
      <c r="C9" s="25">
        <v>453900</v>
      </c>
      <c r="D9" s="25">
        <f t="shared" si="0"/>
        <v>567375</v>
      </c>
      <c r="E9" s="2" t="s">
        <v>178</v>
      </c>
      <c r="F9" s="3">
        <f t="shared" si="1"/>
        <v>0.16400000000000001</v>
      </c>
      <c r="G9" s="25">
        <f t="shared" si="2"/>
        <v>93049</v>
      </c>
      <c r="H9" s="25">
        <v>76</v>
      </c>
      <c r="I9" s="25">
        <f t="shared" si="3"/>
        <v>77617</v>
      </c>
      <c r="J9" s="25">
        <f t="shared" si="4"/>
        <v>738041</v>
      </c>
      <c r="K9" s="9" t="str">
        <f t="shared" si="5"/>
        <v/>
      </c>
    </row>
    <row r="10" spans="1:14" x14ac:dyDescent="0.4">
      <c r="A10" s="8">
        <v>2</v>
      </c>
      <c r="B10" s="2" t="s">
        <v>34</v>
      </c>
      <c r="C10" s="25">
        <v>412700</v>
      </c>
      <c r="D10" s="25">
        <f t="shared" si="0"/>
        <v>515875</v>
      </c>
      <c r="E10" s="2" t="s">
        <v>177</v>
      </c>
      <c r="F10" s="3">
        <f t="shared" si="1"/>
        <v>0.187</v>
      </c>
      <c r="G10" s="25">
        <f t="shared" si="2"/>
        <v>96468</v>
      </c>
      <c r="H10" s="25">
        <v>84</v>
      </c>
      <c r="I10" s="25">
        <f t="shared" si="3"/>
        <v>78001</v>
      </c>
      <c r="J10" s="25">
        <f t="shared" si="4"/>
        <v>690344</v>
      </c>
      <c r="K10" s="9" t="str">
        <f t="shared" si="5"/>
        <v>A</v>
      </c>
    </row>
    <row r="11" spans="1:14" x14ac:dyDescent="0.4">
      <c r="A11" s="8"/>
      <c r="B11" s="2"/>
      <c r="C11" s="25"/>
      <c r="D11" s="25"/>
      <c r="E11" s="2"/>
      <c r="F11" s="2"/>
      <c r="G11" s="25"/>
      <c r="H11" s="25"/>
      <c r="I11" s="25"/>
      <c r="J11" s="25"/>
      <c r="K11" s="9"/>
    </row>
    <row r="12" spans="1:14" ht="19.5" thickBot="1" x14ac:dyDescent="0.45">
      <c r="A12" s="10"/>
      <c r="B12" s="11" t="s">
        <v>21</v>
      </c>
      <c r="C12" s="26">
        <f>SUM(C3:C10)</f>
        <v>3102000</v>
      </c>
      <c r="D12" s="26">
        <f t="shared" ref="D12:J12" si="6">SUM(D3:D10)</f>
        <v>3877500</v>
      </c>
      <c r="E12" s="12"/>
      <c r="F12" s="12"/>
      <c r="G12" s="26">
        <f t="shared" si="6"/>
        <v>625453</v>
      </c>
      <c r="H12" s="26"/>
      <c r="I12" s="26">
        <f t="shared" si="6"/>
        <v>574702</v>
      </c>
      <c r="J12" s="26">
        <f t="shared" si="6"/>
        <v>5077655</v>
      </c>
      <c r="K12" s="13"/>
    </row>
    <row r="13" spans="1:14" ht="19.5" thickBot="1" x14ac:dyDescent="0.45"/>
    <row r="14" spans="1:14" x14ac:dyDescent="0.4">
      <c r="A14" s="30"/>
      <c r="B14" s="6" t="s">
        <v>25</v>
      </c>
      <c r="C14" s="6" t="s">
        <v>28</v>
      </c>
      <c r="D14" s="7" t="s">
        <v>30</v>
      </c>
    </row>
    <row r="15" spans="1:14" x14ac:dyDescent="0.4">
      <c r="A15" s="35" t="s">
        <v>168</v>
      </c>
      <c r="B15" s="70">
        <f>AVERAGE(D3:D10)</f>
        <v>484687.5</v>
      </c>
      <c r="C15" s="70">
        <f>AVERAGE(G3:G10)</f>
        <v>78181.625</v>
      </c>
      <c r="D15" s="74">
        <f>AVERAGE(I3:I10)</f>
        <v>71837.75</v>
      </c>
    </row>
    <row r="16" spans="1:14" x14ac:dyDescent="0.4">
      <c r="A16" s="35" t="s">
        <v>170</v>
      </c>
      <c r="B16" s="70">
        <f>MAX(D3:D10)</f>
        <v>567375</v>
      </c>
      <c r="C16" s="70">
        <f>MAX(G3:G10)</f>
        <v>96468</v>
      </c>
      <c r="D16" s="74">
        <f>MAX(I3:I10)</f>
        <v>80413</v>
      </c>
    </row>
    <row r="17" spans="1:4" ht="19.5" thickBot="1" x14ac:dyDescent="0.45">
      <c r="A17" s="36" t="s">
        <v>181</v>
      </c>
      <c r="B17" s="71">
        <f>MIN(D3:D10)</f>
        <v>411625</v>
      </c>
      <c r="C17" s="71">
        <f>MIN(G3:G10)</f>
        <v>58039</v>
      </c>
      <c r="D17" s="75">
        <f>MIN(I3:I10)</f>
        <v>62865</v>
      </c>
    </row>
  </sheetData>
  <sortState ref="A3:K10">
    <sortCondition ref="G2"/>
  </sortState>
  <mergeCells count="1">
    <mergeCell ref="A1:K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E77B-A389-46F5-AE04-06D207DC8EB4}">
  <dimension ref="A1:M21"/>
  <sheetViews>
    <sheetView workbookViewId="0">
      <selection activeCell="O12" sqref="O12"/>
    </sheetView>
  </sheetViews>
  <sheetFormatPr defaultRowHeight="18.75" x14ac:dyDescent="0.4"/>
  <cols>
    <col min="1" max="1" width="6" bestFit="1" customWidth="1"/>
    <col min="2" max="2" width="11" bestFit="1" customWidth="1"/>
    <col min="5" max="5" width="9" bestFit="1" customWidth="1"/>
    <col min="6" max="6" width="6" bestFit="1" customWidth="1"/>
    <col min="7" max="7" width="9.5" bestFit="1" customWidth="1"/>
    <col min="8" max="8" width="7.125" bestFit="1" customWidth="1"/>
    <col min="9" max="9" width="9.5" bestFit="1" customWidth="1"/>
    <col min="10" max="10" width="5.25" bestFit="1" customWidth="1"/>
    <col min="11" max="11" width="3" customWidth="1"/>
  </cols>
  <sheetData>
    <row r="1" spans="1:13" ht="19.5" thickBot="1" x14ac:dyDescent="0.45">
      <c r="A1" s="72" t="s">
        <v>41</v>
      </c>
      <c r="B1" s="72"/>
      <c r="C1" s="72"/>
      <c r="D1" s="72"/>
      <c r="E1" s="72"/>
    </row>
    <row r="2" spans="1:13" x14ac:dyDescent="0.4">
      <c r="A2" s="5" t="s">
        <v>42</v>
      </c>
      <c r="B2" s="6" t="s">
        <v>43</v>
      </c>
      <c r="C2" s="6" t="s">
        <v>185</v>
      </c>
      <c r="D2" s="6" t="s">
        <v>44</v>
      </c>
      <c r="E2" s="7" t="s">
        <v>45</v>
      </c>
      <c r="L2" s="22" t="s">
        <v>185</v>
      </c>
      <c r="M2" s="24" t="s">
        <v>44</v>
      </c>
    </row>
    <row r="3" spans="1:13" x14ac:dyDescent="0.4">
      <c r="A3" s="8">
        <v>11</v>
      </c>
      <c r="B3" s="2" t="s">
        <v>46</v>
      </c>
      <c r="C3" s="25">
        <v>2470</v>
      </c>
      <c r="D3" s="3">
        <f>IF(C3&gt;=3000,13.6%,IF(C3&gt;=2000,12.7%,11.8%))</f>
        <v>0.127</v>
      </c>
      <c r="E3" s="27">
        <f>INT(C3*D3)</f>
        <v>313</v>
      </c>
      <c r="L3" s="16">
        <v>3000</v>
      </c>
      <c r="M3" s="37">
        <v>0.13600000000000001</v>
      </c>
    </row>
    <row r="4" spans="1:13" x14ac:dyDescent="0.4">
      <c r="A4" s="8">
        <v>12</v>
      </c>
      <c r="B4" s="2" t="s">
        <v>182</v>
      </c>
      <c r="C4" s="25">
        <v>3390</v>
      </c>
      <c r="D4" s="3">
        <f t="shared" ref="D4:D6" si="0">IF(C4&gt;=3000,13.6%,IF(C4&gt;=2000,12.7%,11.8%))</f>
        <v>0.13600000000000001</v>
      </c>
      <c r="E4" s="27">
        <f t="shared" ref="E4:E6" si="1">INT(C4*D4)</f>
        <v>461</v>
      </c>
      <c r="L4" s="16">
        <v>2000</v>
      </c>
      <c r="M4" s="37">
        <v>0.127</v>
      </c>
    </row>
    <row r="5" spans="1:13" ht="19.5" thickBot="1" x14ac:dyDescent="0.45">
      <c r="A5" s="8">
        <v>13</v>
      </c>
      <c r="B5" s="2" t="s">
        <v>183</v>
      </c>
      <c r="C5" s="25">
        <v>1850</v>
      </c>
      <c r="D5" s="3">
        <f t="shared" si="0"/>
        <v>0.11800000000000001</v>
      </c>
      <c r="E5" s="27">
        <f t="shared" si="1"/>
        <v>218</v>
      </c>
      <c r="L5" s="19">
        <v>1</v>
      </c>
      <c r="M5" s="38">
        <v>0.11799999999999999</v>
      </c>
    </row>
    <row r="6" spans="1:13" x14ac:dyDescent="0.4">
      <c r="A6" s="8">
        <v>14</v>
      </c>
      <c r="B6" s="2" t="s">
        <v>184</v>
      </c>
      <c r="C6" s="25">
        <v>2040</v>
      </c>
      <c r="D6" s="3">
        <f t="shared" si="0"/>
        <v>0.127</v>
      </c>
      <c r="E6" s="27">
        <f t="shared" si="1"/>
        <v>259</v>
      </c>
    </row>
    <row r="7" spans="1:13" x14ac:dyDescent="0.4">
      <c r="A7" s="8"/>
      <c r="B7" s="2"/>
      <c r="C7" s="25"/>
      <c r="D7" s="2"/>
      <c r="E7" s="27"/>
    </row>
    <row r="8" spans="1:13" ht="19.5" thickBot="1" x14ac:dyDescent="0.45">
      <c r="A8" s="10"/>
      <c r="B8" s="11" t="s">
        <v>47</v>
      </c>
      <c r="C8" s="26">
        <f>AVERAGE(C3:C6)</f>
        <v>2437.5</v>
      </c>
      <c r="D8" s="39"/>
      <c r="E8" s="28">
        <f t="shared" ref="E8" si="2">AVERAGE(E3:E6)</f>
        <v>312.75</v>
      </c>
    </row>
    <row r="10" spans="1:13" ht="19.5" thickBot="1" x14ac:dyDescent="0.45">
      <c r="A10" s="72" t="s">
        <v>48</v>
      </c>
      <c r="B10" s="72"/>
      <c r="C10" s="72"/>
      <c r="D10" s="72"/>
      <c r="E10" s="72"/>
      <c r="F10" s="72"/>
      <c r="G10" s="72"/>
      <c r="H10" s="72"/>
      <c r="I10" s="72"/>
      <c r="J10" s="72"/>
    </row>
    <row r="11" spans="1:13" x14ac:dyDescent="0.4">
      <c r="A11" s="5" t="s">
        <v>49</v>
      </c>
      <c r="B11" s="6" t="s">
        <v>50</v>
      </c>
      <c r="C11" s="6" t="s">
        <v>42</v>
      </c>
      <c r="D11" s="6" t="s">
        <v>43</v>
      </c>
      <c r="E11" s="6" t="s">
        <v>45</v>
      </c>
      <c r="F11" s="6" t="s">
        <v>6</v>
      </c>
      <c r="G11" s="6" t="s">
        <v>51</v>
      </c>
      <c r="H11" s="6" t="s">
        <v>52</v>
      </c>
      <c r="I11" s="6" t="s">
        <v>53</v>
      </c>
      <c r="J11" s="7" t="s">
        <v>54</v>
      </c>
    </row>
    <row r="12" spans="1:13" x14ac:dyDescent="0.4">
      <c r="A12" s="8">
        <v>107</v>
      </c>
      <c r="B12" s="2" t="s">
        <v>61</v>
      </c>
      <c r="C12" s="2">
        <v>12</v>
      </c>
      <c r="D12" s="2" t="str">
        <f t="shared" ref="D12:D19" si="3">VLOOKUP(C12,$A$3:$E$6,2,FALSE)</f>
        <v>部品B</v>
      </c>
      <c r="E12" s="25">
        <f t="shared" ref="E12:E19" si="4">VLOOKUP(C12,$A$3:$E$6,5,FALSE)</f>
        <v>461</v>
      </c>
      <c r="F12" s="25">
        <v>453</v>
      </c>
      <c r="G12" s="25">
        <f t="shared" ref="G12:G19" si="5">E12*F12</f>
        <v>208833</v>
      </c>
      <c r="H12" s="25">
        <f t="shared" ref="H12:H19" si="6">ROUNDUP(G12*4.8%,0)</f>
        <v>10024</v>
      </c>
      <c r="I12" s="25">
        <f t="shared" ref="I12:I19" si="7">G12+H12</f>
        <v>218857</v>
      </c>
      <c r="J12" s="9" t="str">
        <f t="shared" ref="J12:J19" si="8">IF(OR(F12&lt;550,I12&lt;180000),"*","**")</f>
        <v>*</v>
      </c>
    </row>
    <row r="13" spans="1:13" x14ac:dyDescent="0.4">
      <c r="A13" s="8">
        <v>105</v>
      </c>
      <c r="B13" s="2" t="s">
        <v>59</v>
      </c>
      <c r="C13" s="2">
        <v>11</v>
      </c>
      <c r="D13" s="2" t="str">
        <f t="shared" si="3"/>
        <v>部品A</v>
      </c>
      <c r="E13" s="25">
        <f t="shared" si="4"/>
        <v>313</v>
      </c>
      <c r="F13" s="25">
        <v>618</v>
      </c>
      <c r="G13" s="25">
        <f t="shared" si="5"/>
        <v>193434</v>
      </c>
      <c r="H13" s="25">
        <f t="shared" si="6"/>
        <v>9285</v>
      </c>
      <c r="I13" s="25">
        <f t="shared" si="7"/>
        <v>202719</v>
      </c>
      <c r="J13" s="9" t="str">
        <f t="shared" si="8"/>
        <v>**</v>
      </c>
    </row>
    <row r="14" spans="1:13" x14ac:dyDescent="0.4">
      <c r="A14" s="8">
        <v>106</v>
      </c>
      <c r="B14" s="2" t="s">
        <v>60</v>
      </c>
      <c r="C14" s="2">
        <v>14</v>
      </c>
      <c r="D14" s="2" t="str">
        <f t="shared" si="3"/>
        <v>部品D</v>
      </c>
      <c r="E14" s="25">
        <f t="shared" si="4"/>
        <v>259</v>
      </c>
      <c r="F14" s="25">
        <v>741</v>
      </c>
      <c r="G14" s="25">
        <f t="shared" si="5"/>
        <v>191919</v>
      </c>
      <c r="H14" s="25">
        <f t="shared" si="6"/>
        <v>9213</v>
      </c>
      <c r="I14" s="25">
        <f t="shared" si="7"/>
        <v>201132</v>
      </c>
      <c r="J14" s="9" t="str">
        <f t="shared" si="8"/>
        <v>**</v>
      </c>
    </row>
    <row r="15" spans="1:13" x14ac:dyDescent="0.4">
      <c r="A15" s="8">
        <v>108</v>
      </c>
      <c r="B15" s="2" t="s">
        <v>62</v>
      </c>
      <c r="C15" s="2">
        <v>13</v>
      </c>
      <c r="D15" s="2" t="str">
        <f t="shared" si="3"/>
        <v>部品C</v>
      </c>
      <c r="E15" s="25">
        <f t="shared" si="4"/>
        <v>218</v>
      </c>
      <c r="F15" s="25">
        <v>842</v>
      </c>
      <c r="G15" s="25">
        <f t="shared" si="5"/>
        <v>183556</v>
      </c>
      <c r="H15" s="25">
        <f t="shared" si="6"/>
        <v>8811</v>
      </c>
      <c r="I15" s="25">
        <f t="shared" si="7"/>
        <v>192367</v>
      </c>
      <c r="J15" s="9" t="str">
        <f t="shared" si="8"/>
        <v>**</v>
      </c>
    </row>
    <row r="16" spans="1:13" x14ac:dyDescent="0.4">
      <c r="A16" s="8">
        <v>104</v>
      </c>
      <c r="B16" s="2" t="s">
        <v>58</v>
      </c>
      <c r="C16" s="2">
        <v>12</v>
      </c>
      <c r="D16" s="2" t="str">
        <f t="shared" si="3"/>
        <v>部品B</v>
      </c>
      <c r="E16" s="25">
        <f t="shared" si="4"/>
        <v>461</v>
      </c>
      <c r="F16" s="25">
        <v>386</v>
      </c>
      <c r="G16" s="25">
        <f t="shared" si="5"/>
        <v>177946</v>
      </c>
      <c r="H16" s="25">
        <f t="shared" si="6"/>
        <v>8542</v>
      </c>
      <c r="I16" s="25">
        <f t="shared" si="7"/>
        <v>186488</v>
      </c>
      <c r="J16" s="9" t="str">
        <f t="shared" si="8"/>
        <v>*</v>
      </c>
    </row>
    <row r="17" spans="1:10" x14ac:dyDescent="0.4">
      <c r="A17" s="8">
        <v>101</v>
      </c>
      <c r="B17" s="2" t="s">
        <v>55</v>
      </c>
      <c r="C17" s="2">
        <v>11</v>
      </c>
      <c r="D17" s="2" t="str">
        <f t="shared" si="3"/>
        <v>部品A</v>
      </c>
      <c r="E17" s="25">
        <f t="shared" si="4"/>
        <v>313</v>
      </c>
      <c r="F17" s="25">
        <v>550</v>
      </c>
      <c r="G17" s="25">
        <f t="shared" si="5"/>
        <v>172150</v>
      </c>
      <c r="H17" s="25">
        <f t="shared" si="6"/>
        <v>8264</v>
      </c>
      <c r="I17" s="25">
        <f t="shared" si="7"/>
        <v>180414</v>
      </c>
      <c r="J17" s="9" t="str">
        <f t="shared" si="8"/>
        <v>**</v>
      </c>
    </row>
    <row r="18" spans="1:10" x14ac:dyDescent="0.4">
      <c r="A18" s="8">
        <v>102</v>
      </c>
      <c r="B18" s="2" t="s">
        <v>56</v>
      </c>
      <c r="C18" s="2">
        <v>14</v>
      </c>
      <c r="D18" s="2" t="str">
        <f t="shared" si="3"/>
        <v>部品D</v>
      </c>
      <c r="E18" s="25">
        <f t="shared" si="4"/>
        <v>259</v>
      </c>
      <c r="F18" s="25">
        <v>634</v>
      </c>
      <c r="G18" s="25">
        <f t="shared" si="5"/>
        <v>164206</v>
      </c>
      <c r="H18" s="25">
        <f t="shared" si="6"/>
        <v>7882</v>
      </c>
      <c r="I18" s="25">
        <f t="shared" si="7"/>
        <v>172088</v>
      </c>
      <c r="J18" s="9" t="str">
        <f t="shared" si="8"/>
        <v>*</v>
      </c>
    </row>
    <row r="19" spans="1:10" x14ac:dyDescent="0.4">
      <c r="A19" s="8">
        <v>103</v>
      </c>
      <c r="B19" s="2" t="s">
        <v>57</v>
      </c>
      <c r="C19" s="2">
        <v>13</v>
      </c>
      <c r="D19" s="2" t="str">
        <f t="shared" si="3"/>
        <v>部品C</v>
      </c>
      <c r="E19" s="25">
        <f t="shared" si="4"/>
        <v>218</v>
      </c>
      <c r="F19" s="25">
        <v>745</v>
      </c>
      <c r="G19" s="25">
        <f t="shared" si="5"/>
        <v>162410</v>
      </c>
      <c r="H19" s="25">
        <f t="shared" si="6"/>
        <v>7796</v>
      </c>
      <c r="I19" s="25">
        <f t="shared" si="7"/>
        <v>170206</v>
      </c>
      <c r="J19" s="9" t="str">
        <f t="shared" si="8"/>
        <v>*</v>
      </c>
    </row>
    <row r="20" spans="1:10" x14ac:dyDescent="0.4">
      <c r="A20" s="8"/>
      <c r="B20" s="2"/>
      <c r="C20" s="2"/>
      <c r="D20" s="2"/>
      <c r="E20" s="25"/>
      <c r="F20" s="25"/>
      <c r="G20" s="25"/>
      <c r="H20" s="25"/>
      <c r="I20" s="25"/>
      <c r="J20" s="9"/>
    </row>
    <row r="21" spans="1:10" ht="19.5" thickBot="1" x14ac:dyDescent="0.45">
      <c r="A21" s="10"/>
      <c r="B21" s="11" t="s">
        <v>21</v>
      </c>
      <c r="C21" s="12"/>
      <c r="D21" s="12"/>
      <c r="E21" s="26"/>
      <c r="F21" s="26">
        <f>SUM(F12:F19)</f>
        <v>4969</v>
      </c>
      <c r="G21" s="26">
        <f t="shared" ref="G21:I21" si="9">SUM(G12:G19)</f>
        <v>1454454</v>
      </c>
      <c r="H21" s="26">
        <f t="shared" si="9"/>
        <v>69817</v>
      </c>
      <c r="I21" s="26">
        <f t="shared" si="9"/>
        <v>1524271</v>
      </c>
      <c r="J21" s="13"/>
    </row>
  </sheetData>
  <sortState ref="A12:J19">
    <sortCondition descending="1" ref="I11"/>
  </sortState>
  <mergeCells count="2">
    <mergeCell ref="A1:E1"/>
    <mergeCell ref="A10:J10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732-6E6B-404C-8AF7-6DD77F710142}">
  <dimension ref="A1:O18"/>
  <sheetViews>
    <sheetView workbookViewId="0">
      <selection activeCell="D16" sqref="D16"/>
    </sheetView>
  </sheetViews>
  <sheetFormatPr defaultRowHeight="18.75" x14ac:dyDescent="0.4"/>
  <cols>
    <col min="1" max="1" width="5.25" bestFit="1" customWidth="1"/>
    <col min="2" max="2" width="9.5" bestFit="1" customWidth="1"/>
    <col min="3" max="3" width="13" bestFit="1" customWidth="1"/>
    <col min="4" max="4" width="7.125" bestFit="1" customWidth="1"/>
    <col min="5" max="5" width="10.5" bestFit="1" customWidth="1"/>
    <col min="6" max="6" width="13" bestFit="1" customWidth="1"/>
    <col min="7" max="7" width="7.125" bestFit="1" customWidth="1"/>
    <col min="8" max="8" width="11" bestFit="1" customWidth="1"/>
    <col min="9" max="9" width="13" bestFit="1" customWidth="1"/>
    <col min="12" max="12" width="5.25" bestFit="1" customWidth="1"/>
    <col min="14" max="14" width="11" bestFit="1" customWidth="1"/>
    <col min="15" max="15" width="7.5" bestFit="1" customWidth="1"/>
  </cols>
  <sheetData>
    <row r="1" spans="1:15" ht="19.5" thickBot="1" x14ac:dyDescent="0.4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x14ac:dyDescent="0.4">
      <c r="A2" s="5" t="s">
        <v>1</v>
      </c>
      <c r="B2" s="6" t="s">
        <v>64</v>
      </c>
      <c r="C2" s="6" t="s">
        <v>65</v>
      </c>
      <c r="D2" s="6" t="s">
        <v>66</v>
      </c>
      <c r="E2" s="6" t="s">
        <v>67</v>
      </c>
      <c r="F2" s="6" t="s">
        <v>68</v>
      </c>
      <c r="G2" s="6" t="s">
        <v>69</v>
      </c>
      <c r="H2" s="6" t="s">
        <v>70</v>
      </c>
      <c r="I2" s="6" t="s">
        <v>71</v>
      </c>
      <c r="J2" s="6" t="s">
        <v>72</v>
      </c>
      <c r="K2" s="6" t="s">
        <v>73</v>
      </c>
      <c r="L2" s="7" t="s">
        <v>32</v>
      </c>
      <c r="N2" s="14" t="s">
        <v>65</v>
      </c>
      <c r="O2" s="15" t="s">
        <v>66</v>
      </c>
    </row>
    <row r="3" spans="1:15" x14ac:dyDescent="0.4">
      <c r="A3" s="8">
        <v>9</v>
      </c>
      <c r="B3" s="2" t="s">
        <v>82</v>
      </c>
      <c r="C3" s="2">
        <v>102</v>
      </c>
      <c r="D3" s="2" t="str">
        <f t="shared" ref="D3:D11" si="0">VLOOKUP(C3,$N$3:$O$5,2,FALSE)</f>
        <v>江戸川</v>
      </c>
      <c r="E3" s="25">
        <v>2378000</v>
      </c>
      <c r="F3" s="25">
        <v>5402</v>
      </c>
      <c r="G3" s="25">
        <v>10</v>
      </c>
      <c r="H3" s="25">
        <f t="shared" ref="H3:H11" si="1">INT(E3/G3)</f>
        <v>237800</v>
      </c>
      <c r="I3" s="3">
        <f t="shared" ref="I3:I11" si="2">E3/(F3*10000)</f>
        <v>4.4020733061828951E-2</v>
      </c>
      <c r="J3" s="2">
        <f t="shared" ref="J3:J11" si="3">ROUNDUP(H3/$O$8*100,0)</f>
        <v>92</v>
      </c>
      <c r="K3" s="3">
        <f t="shared" ref="K3:K11" si="4">E3/$E$13</f>
        <v>7.8697421981004073E-2</v>
      </c>
      <c r="L3" s="9" t="str">
        <f t="shared" ref="L3:L11" si="5">IF(AND(NOT(C3=102),J3&gt;=95),"##","#")</f>
        <v>#</v>
      </c>
      <c r="N3" s="16">
        <v>101</v>
      </c>
      <c r="O3" s="42" t="s">
        <v>83</v>
      </c>
    </row>
    <row r="4" spans="1:15" x14ac:dyDescent="0.4">
      <c r="A4" s="8">
        <v>6</v>
      </c>
      <c r="B4" s="2" t="s">
        <v>79</v>
      </c>
      <c r="C4" s="2">
        <v>102</v>
      </c>
      <c r="D4" s="2" t="str">
        <f t="shared" si="0"/>
        <v>江戸川</v>
      </c>
      <c r="E4" s="25">
        <v>4072000</v>
      </c>
      <c r="F4" s="25">
        <v>9368</v>
      </c>
      <c r="G4" s="25">
        <v>17</v>
      </c>
      <c r="H4" s="25">
        <f t="shared" si="1"/>
        <v>239529</v>
      </c>
      <c r="I4" s="3">
        <f t="shared" si="2"/>
        <v>4.3467122117847992E-2</v>
      </c>
      <c r="J4" s="2">
        <f t="shared" si="3"/>
        <v>93</v>
      </c>
      <c r="K4" s="3">
        <f t="shared" si="4"/>
        <v>0.1347585796075057</v>
      </c>
      <c r="L4" s="9" t="str">
        <f t="shared" si="5"/>
        <v>#</v>
      </c>
      <c r="N4" s="16">
        <v>102</v>
      </c>
      <c r="O4" s="42" t="s">
        <v>84</v>
      </c>
    </row>
    <row r="5" spans="1:15" ht="19.5" thickBot="1" x14ac:dyDescent="0.45">
      <c r="A5" s="8">
        <v>3</v>
      </c>
      <c r="B5" s="2" t="s">
        <v>76</v>
      </c>
      <c r="C5" s="2">
        <v>103</v>
      </c>
      <c r="D5" s="2" t="str">
        <f t="shared" si="0"/>
        <v>杉並</v>
      </c>
      <c r="E5" s="25">
        <v>3867000</v>
      </c>
      <c r="F5" s="25">
        <v>8724</v>
      </c>
      <c r="G5" s="25">
        <v>16</v>
      </c>
      <c r="H5" s="25">
        <f t="shared" si="1"/>
        <v>241687</v>
      </c>
      <c r="I5" s="3">
        <f t="shared" si="2"/>
        <v>4.4325997248968366E-2</v>
      </c>
      <c r="J5" s="2">
        <f t="shared" si="3"/>
        <v>94</v>
      </c>
      <c r="K5" s="3">
        <f t="shared" si="4"/>
        <v>0.12797431909190191</v>
      </c>
      <c r="L5" s="9" t="str">
        <f t="shared" si="5"/>
        <v>#</v>
      </c>
      <c r="N5" s="19">
        <v>103</v>
      </c>
      <c r="O5" s="43" t="s">
        <v>85</v>
      </c>
    </row>
    <row r="6" spans="1:15" x14ac:dyDescent="0.4">
      <c r="A6" s="8">
        <v>5</v>
      </c>
      <c r="B6" s="2" t="s">
        <v>78</v>
      </c>
      <c r="C6" s="2">
        <v>101</v>
      </c>
      <c r="D6" s="2" t="str">
        <f t="shared" si="0"/>
        <v>板橋</v>
      </c>
      <c r="E6" s="25">
        <v>2193000</v>
      </c>
      <c r="F6" s="25">
        <v>5139</v>
      </c>
      <c r="G6" s="25">
        <v>9</v>
      </c>
      <c r="H6" s="25">
        <f t="shared" si="1"/>
        <v>243666</v>
      </c>
      <c r="I6" s="3">
        <f t="shared" si="2"/>
        <v>4.2673671920607122E-2</v>
      </c>
      <c r="J6" s="2">
        <f t="shared" si="3"/>
        <v>95</v>
      </c>
      <c r="K6" s="3">
        <f t="shared" si="4"/>
        <v>7.2575040540093325E-2</v>
      </c>
      <c r="L6" s="9" t="str">
        <f t="shared" si="5"/>
        <v>##</v>
      </c>
    </row>
    <row r="7" spans="1:15" ht="19.5" thickBot="1" x14ac:dyDescent="0.45">
      <c r="A7" s="8">
        <v>1</v>
      </c>
      <c r="B7" s="2" t="s">
        <v>74</v>
      </c>
      <c r="C7" s="2">
        <v>102</v>
      </c>
      <c r="D7" s="2" t="str">
        <f t="shared" si="0"/>
        <v>江戸川</v>
      </c>
      <c r="E7" s="25">
        <v>2763000</v>
      </c>
      <c r="F7" s="25">
        <v>5937</v>
      </c>
      <c r="G7" s="25">
        <v>11</v>
      </c>
      <c r="H7" s="25">
        <f t="shared" si="1"/>
        <v>251181</v>
      </c>
      <c r="I7" s="3">
        <f t="shared" si="2"/>
        <v>4.6538655886811518E-2</v>
      </c>
      <c r="J7" s="2">
        <f t="shared" si="3"/>
        <v>98</v>
      </c>
      <c r="K7" s="3">
        <f t="shared" si="4"/>
        <v>9.1438594168845352E-2</v>
      </c>
      <c r="L7" s="9" t="str">
        <f t="shared" si="5"/>
        <v>#</v>
      </c>
    </row>
    <row r="8" spans="1:15" ht="19.5" thickBot="1" x14ac:dyDescent="0.45">
      <c r="A8" s="8">
        <v>8</v>
      </c>
      <c r="B8" s="2" t="s">
        <v>81</v>
      </c>
      <c r="C8" s="2">
        <v>101</v>
      </c>
      <c r="D8" s="2" t="str">
        <f t="shared" si="0"/>
        <v>板橋</v>
      </c>
      <c r="E8" s="25">
        <v>3901000</v>
      </c>
      <c r="F8" s="25">
        <v>8514</v>
      </c>
      <c r="G8" s="25">
        <v>15</v>
      </c>
      <c r="H8" s="25">
        <f t="shared" si="1"/>
        <v>260066</v>
      </c>
      <c r="I8" s="3">
        <f t="shared" si="2"/>
        <v>4.5818651632605123E-2</v>
      </c>
      <c r="J8" s="2">
        <f t="shared" si="3"/>
        <v>101</v>
      </c>
      <c r="K8" s="3">
        <f t="shared" si="4"/>
        <v>0.1290995135188801</v>
      </c>
      <c r="L8" s="9" t="str">
        <f t="shared" si="5"/>
        <v>##</v>
      </c>
      <c r="N8" s="40" t="s">
        <v>186</v>
      </c>
      <c r="O8" s="41">
        <v>258700</v>
      </c>
    </row>
    <row r="9" spans="1:15" x14ac:dyDescent="0.4">
      <c r="A9" s="8">
        <v>2</v>
      </c>
      <c r="B9" s="2" t="s">
        <v>75</v>
      </c>
      <c r="C9" s="2">
        <v>101</v>
      </c>
      <c r="D9" s="2" t="str">
        <f t="shared" si="0"/>
        <v>板橋</v>
      </c>
      <c r="E9" s="25">
        <v>3364000</v>
      </c>
      <c r="F9" s="25">
        <v>6953</v>
      </c>
      <c r="G9" s="25">
        <v>12</v>
      </c>
      <c r="H9" s="25">
        <f t="shared" si="1"/>
        <v>280333</v>
      </c>
      <c r="I9" s="3">
        <f t="shared" si="2"/>
        <v>4.8381993384150723E-2</v>
      </c>
      <c r="J9" s="2">
        <f t="shared" si="3"/>
        <v>109</v>
      </c>
      <c r="K9" s="3">
        <f t="shared" si="4"/>
        <v>0.11132806036337162</v>
      </c>
      <c r="L9" s="9" t="str">
        <f t="shared" si="5"/>
        <v>##</v>
      </c>
    </row>
    <row r="10" spans="1:15" x14ac:dyDescent="0.4">
      <c r="A10" s="8">
        <v>4</v>
      </c>
      <c r="B10" s="2" t="s">
        <v>77</v>
      </c>
      <c r="C10" s="2">
        <v>103</v>
      </c>
      <c r="D10" s="2" t="str">
        <f t="shared" si="0"/>
        <v>杉並</v>
      </c>
      <c r="E10" s="25">
        <v>3965000</v>
      </c>
      <c r="F10" s="25">
        <v>8065</v>
      </c>
      <c r="G10" s="25">
        <v>14</v>
      </c>
      <c r="H10" s="25">
        <f t="shared" si="1"/>
        <v>283214</v>
      </c>
      <c r="I10" s="3">
        <f t="shared" si="2"/>
        <v>4.9163050216986984E-2</v>
      </c>
      <c r="J10" s="2">
        <f t="shared" si="3"/>
        <v>110</v>
      </c>
      <c r="K10" s="3">
        <f t="shared" si="4"/>
        <v>0.13121752655789787</v>
      </c>
      <c r="L10" s="9" t="str">
        <f t="shared" si="5"/>
        <v>##</v>
      </c>
    </row>
    <row r="11" spans="1:15" x14ac:dyDescent="0.4">
      <c r="A11" s="8">
        <v>7</v>
      </c>
      <c r="B11" s="2" t="s">
        <v>80</v>
      </c>
      <c r="C11" s="2">
        <v>103</v>
      </c>
      <c r="D11" s="2" t="str">
        <f t="shared" si="0"/>
        <v>杉並</v>
      </c>
      <c r="E11" s="25">
        <v>3714000</v>
      </c>
      <c r="F11" s="25">
        <v>7416</v>
      </c>
      <c r="G11" s="25">
        <v>13</v>
      </c>
      <c r="H11" s="25">
        <f t="shared" si="1"/>
        <v>285692</v>
      </c>
      <c r="I11" s="3">
        <f t="shared" si="2"/>
        <v>5.0080906148867316E-2</v>
      </c>
      <c r="J11" s="2">
        <f t="shared" si="3"/>
        <v>111</v>
      </c>
      <c r="K11" s="3">
        <f t="shared" si="4"/>
        <v>0.12291094417050005</v>
      </c>
      <c r="L11" s="9" t="str">
        <f t="shared" si="5"/>
        <v>##</v>
      </c>
    </row>
    <row r="12" spans="1:15" x14ac:dyDescent="0.4">
      <c r="A12" s="8"/>
      <c r="B12" s="2"/>
      <c r="C12" s="2"/>
      <c r="D12" s="2"/>
      <c r="E12" s="25"/>
      <c r="F12" s="25"/>
      <c r="G12" s="25"/>
      <c r="H12" s="25"/>
      <c r="I12" s="2"/>
      <c r="J12" s="2"/>
      <c r="K12" s="2"/>
      <c r="L12" s="9"/>
    </row>
    <row r="13" spans="1:15" ht="19.5" thickBot="1" x14ac:dyDescent="0.45">
      <c r="A13" s="10"/>
      <c r="B13" s="11" t="s">
        <v>21</v>
      </c>
      <c r="C13" s="12"/>
      <c r="D13" s="12"/>
      <c r="E13" s="26">
        <f>SUM(E3:E11)</f>
        <v>30217000</v>
      </c>
      <c r="F13" s="26">
        <f t="shared" ref="F13:G13" si="6">SUM(F3:F11)</f>
        <v>65518</v>
      </c>
      <c r="G13" s="26">
        <f t="shared" si="6"/>
        <v>117</v>
      </c>
      <c r="H13" s="26"/>
      <c r="I13" s="12"/>
      <c r="J13" s="12"/>
      <c r="K13" s="12"/>
      <c r="L13" s="13"/>
    </row>
    <row r="14" spans="1:15" ht="19.5" thickBot="1" x14ac:dyDescent="0.45"/>
    <row r="15" spans="1:15" x14ac:dyDescent="0.4">
      <c r="A15" s="30"/>
      <c r="B15" s="6" t="s">
        <v>67</v>
      </c>
      <c r="C15" s="6" t="s">
        <v>68</v>
      </c>
      <c r="D15" s="7" t="s">
        <v>69</v>
      </c>
    </row>
    <row r="16" spans="1:15" x14ac:dyDescent="0.4">
      <c r="A16" s="35" t="s">
        <v>168</v>
      </c>
      <c r="B16" s="29">
        <f>AVERAGE(E3:E11)</f>
        <v>3357444.4444444445</v>
      </c>
      <c r="C16" s="29">
        <f>AVERAGE(F3:F11)</f>
        <v>7279.7777777777774</v>
      </c>
      <c r="D16" s="32">
        <f>AVERAGE(G3:G11)</f>
        <v>13</v>
      </c>
    </row>
    <row r="17" spans="1:4" x14ac:dyDescent="0.4">
      <c r="A17" s="35" t="s">
        <v>170</v>
      </c>
      <c r="B17" s="29">
        <f>MAX(E3:E11)</f>
        <v>4072000</v>
      </c>
      <c r="C17" s="29">
        <f>MAX(F3:F11)</f>
        <v>9368</v>
      </c>
      <c r="D17" s="32">
        <f>MAX(G3:G11)</f>
        <v>17</v>
      </c>
    </row>
    <row r="18" spans="1:4" ht="19.5" thickBot="1" x14ac:dyDescent="0.45">
      <c r="A18" s="36" t="s">
        <v>181</v>
      </c>
      <c r="B18" s="33">
        <f>MIN(E3:E11)</f>
        <v>2193000</v>
      </c>
      <c r="C18" s="33">
        <f>MIN(F3:F11)</f>
        <v>5139</v>
      </c>
      <c r="D18" s="34">
        <f>MIN(G3:G11)</f>
        <v>9</v>
      </c>
    </row>
  </sheetData>
  <sortState ref="A3:L11">
    <sortCondition ref="H2"/>
  </sortState>
  <mergeCells count="1">
    <mergeCell ref="A1:L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B15E-CA21-4239-99B8-308469DB40E8}">
  <dimension ref="A1:N17"/>
  <sheetViews>
    <sheetView workbookViewId="0">
      <selection activeCell="D18" sqref="D18"/>
    </sheetView>
  </sheetViews>
  <sheetFormatPr defaultRowHeight="18.75" x14ac:dyDescent="0.4"/>
  <cols>
    <col min="1" max="1" width="5.25" bestFit="1" customWidth="1"/>
    <col min="2" max="2" width="11" bestFit="1" customWidth="1"/>
    <col min="3" max="3" width="7.125" bestFit="1" customWidth="1"/>
    <col min="4" max="4" width="11" bestFit="1" customWidth="1"/>
    <col min="5" max="5" width="6" bestFit="1" customWidth="1"/>
    <col min="6" max="8" width="7.25" bestFit="1" customWidth="1"/>
    <col min="9" max="9" width="11.125" bestFit="1" customWidth="1"/>
    <col min="10" max="10" width="5.25" bestFit="1" customWidth="1"/>
    <col min="11" max="11" width="4.25" customWidth="1"/>
    <col min="12" max="12" width="4.5" bestFit="1" customWidth="1"/>
    <col min="14" max="14" width="7.125" bestFit="1" customWidth="1"/>
  </cols>
  <sheetData>
    <row r="1" spans="1:14" ht="19.5" thickBot="1" x14ac:dyDescent="0.45">
      <c r="A1" s="72" t="s">
        <v>86</v>
      </c>
      <c r="B1" s="72"/>
      <c r="C1" s="72"/>
      <c r="D1" s="72"/>
      <c r="E1" s="72"/>
      <c r="F1" s="72"/>
      <c r="G1" s="72"/>
      <c r="H1" s="72"/>
      <c r="I1" s="72"/>
      <c r="J1" s="72"/>
    </row>
    <row r="2" spans="1:14" x14ac:dyDescent="0.4">
      <c r="A2" s="5" t="s">
        <v>1</v>
      </c>
      <c r="B2" s="6" t="s">
        <v>2</v>
      </c>
      <c r="C2" s="6" t="s">
        <v>3</v>
      </c>
      <c r="D2" s="6" t="s">
        <v>87</v>
      </c>
      <c r="E2" s="6" t="s">
        <v>88</v>
      </c>
      <c r="F2" s="6" t="s">
        <v>89</v>
      </c>
      <c r="G2" s="6" t="s">
        <v>90</v>
      </c>
      <c r="H2" s="6" t="s">
        <v>91</v>
      </c>
      <c r="I2" s="6" t="s">
        <v>92</v>
      </c>
      <c r="J2" s="7" t="s">
        <v>32</v>
      </c>
      <c r="L2" s="22" t="s">
        <v>3</v>
      </c>
      <c r="M2" s="23" t="s">
        <v>87</v>
      </c>
      <c r="N2" s="24" t="s">
        <v>89</v>
      </c>
    </row>
    <row r="3" spans="1:14" x14ac:dyDescent="0.4">
      <c r="A3" s="8">
        <v>12</v>
      </c>
      <c r="B3" s="2" t="s">
        <v>94</v>
      </c>
      <c r="C3" s="2">
        <v>101</v>
      </c>
      <c r="D3" s="2" t="str">
        <f t="shared" ref="D3:D10" si="0">VLOOKUP(C3,$L$3:$N$6,2,FALSE)</f>
        <v>不二製薬</v>
      </c>
      <c r="E3" s="25">
        <v>916</v>
      </c>
      <c r="F3" s="25">
        <f t="shared" ref="F3:F10" si="1">VLOOKUP(C3,$L$3:$N$6,3,FALSE)</f>
        <v>105</v>
      </c>
      <c r="G3" s="25">
        <f t="shared" ref="G3:G10" si="2">INT(F3*E3*15.315%)</f>
        <v>14729</v>
      </c>
      <c r="H3" s="25">
        <f t="shared" ref="H3:H10" si="3">INT(F3*E3*5%)</f>
        <v>4809</v>
      </c>
      <c r="I3" s="25">
        <f t="shared" ref="I3:I10" si="4">F3*E3-G3-H3</f>
        <v>76642</v>
      </c>
      <c r="J3" s="9" t="str">
        <f t="shared" ref="J3:J10" si="5">IF(AND(G3&lt;13000,I3&gt;=35000),"**","*")</f>
        <v>*</v>
      </c>
      <c r="L3" s="16">
        <v>101</v>
      </c>
      <c r="M3" s="17" t="s">
        <v>101</v>
      </c>
      <c r="N3" s="44">
        <v>105</v>
      </c>
    </row>
    <row r="4" spans="1:14" x14ac:dyDescent="0.4">
      <c r="A4" s="8">
        <v>17</v>
      </c>
      <c r="B4" s="2" t="s">
        <v>99</v>
      </c>
      <c r="C4" s="2">
        <v>101</v>
      </c>
      <c r="D4" s="2" t="str">
        <f t="shared" si="0"/>
        <v>不二製薬</v>
      </c>
      <c r="E4" s="25">
        <v>829</v>
      </c>
      <c r="F4" s="25">
        <f t="shared" si="1"/>
        <v>105</v>
      </c>
      <c r="G4" s="25">
        <f t="shared" si="2"/>
        <v>13330</v>
      </c>
      <c r="H4" s="25">
        <f t="shared" si="3"/>
        <v>4352</v>
      </c>
      <c r="I4" s="25">
        <f t="shared" si="4"/>
        <v>69363</v>
      </c>
      <c r="J4" s="9" t="str">
        <f t="shared" si="5"/>
        <v>*</v>
      </c>
      <c r="L4" s="16">
        <v>102</v>
      </c>
      <c r="M4" s="17" t="s">
        <v>102</v>
      </c>
      <c r="N4" s="44">
        <v>13</v>
      </c>
    </row>
    <row r="5" spans="1:14" x14ac:dyDescent="0.4">
      <c r="A5" s="8">
        <v>15</v>
      </c>
      <c r="B5" s="2" t="s">
        <v>97</v>
      </c>
      <c r="C5" s="2">
        <v>103</v>
      </c>
      <c r="D5" s="2" t="str">
        <f t="shared" si="0"/>
        <v>共栄証券</v>
      </c>
      <c r="E5" s="25">
        <v>769</v>
      </c>
      <c r="F5" s="25">
        <f t="shared" si="1"/>
        <v>90</v>
      </c>
      <c r="G5" s="25">
        <f t="shared" si="2"/>
        <v>10599</v>
      </c>
      <c r="H5" s="25">
        <f t="shared" si="3"/>
        <v>3460</v>
      </c>
      <c r="I5" s="25">
        <f t="shared" si="4"/>
        <v>55151</v>
      </c>
      <c r="J5" s="9" t="str">
        <f t="shared" si="5"/>
        <v>**</v>
      </c>
      <c r="L5" s="16">
        <v>103</v>
      </c>
      <c r="M5" s="17" t="s">
        <v>103</v>
      </c>
      <c r="N5" s="44">
        <v>90</v>
      </c>
    </row>
    <row r="6" spans="1:14" ht="19.5" thickBot="1" x14ac:dyDescent="0.45">
      <c r="A6" s="8">
        <v>18</v>
      </c>
      <c r="B6" s="2" t="s">
        <v>100</v>
      </c>
      <c r="C6" s="2">
        <v>102</v>
      </c>
      <c r="D6" s="2" t="str">
        <f t="shared" si="0"/>
        <v>神山電気</v>
      </c>
      <c r="E6" s="25">
        <v>4390</v>
      </c>
      <c r="F6" s="25">
        <f t="shared" si="1"/>
        <v>13</v>
      </c>
      <c r="G6" s="25">
        <f t="shared" si="2"/>
        <v>8740</v>
      </c>
      <c r="H6" s="25">
        <f t="shared" si="3"/>
        <v>2853</v>
      </c>
      <c r="I6" s="25">
        <f t="shared" si="4"/>
        <v>45477</v>
      </c>
      <c r="J6" s="9" t="str">
        <f t="shared" si="5"/>
        <v>**</v>
      </c>
      <c r="L6" s="19">
        <v>104</v>
      </c>
      <c r="M6" s="20" t="s">
        <v>104</v>
      </c>
      <c r="N6" s="45">
        <v>9</v>
      </c>
    </row>
    <row r="7" spans="1:14" x14ac:dyDescent="0.4">
      <c r="A7" s="8">
        <v>13</v>
      </c>
      <c r="B7" s="2" t="s">
        <v>95</v>
      </c>
      <c r="C7" s="2">
        <v>103</v>
      </c>
      <c r="D7" s="2" t="str">
        <f t="shared" si="0"/>
        <v>共栄証券</v>
      </c>
      <c r="E7" s="25">
        <v>578</v>
      </c>
      <c r="F7" s="25">
        <f t="shared" si="1"/>
        <v>90</v>
      </c>
      <c r="G7" s="25">
        <f t="shared" si="2"/>
        <v>7966</v>
      </c>
      <c r="H7" s="25">
        <f t="shared" si="3"/>
        <v>2601</v>
      </c>
      <c r="I7" s="25">
        <f t="shared" si="4"/>
        <v>41453</v>
      </c>
      <c r="J7" s="9" t="str">
        <f t="shared" si="5"/>
        <v>**</v>
      </c>
    </row>
    <row r="8" spans="1:14" x14ac:dyDescent="0.4">
      <c r="A8" s="8">
        <v>14</v>
      </c>
      <c r="B8" s="2" t="s">
        <v>96</v>
      </c>
      <c r="C8" s="2">
        <v>102</v>
      </c>
      <c r="D8" s="2" t="str">
        <f t="shared" si="0"/>
        <v>神山電気</v>
      </c>
      <c r="E8" s="25">
        <v>3520</v>
      </c>
      <c r="F8" s="25">
        <f t="shared" si="1"/>
        <v>13</v>
      </c>
      <c r="G8" s="25">
        <f t="shared" si="2"/>
        <v>7008</v>
      </c>
      <c r="H8" s="25">
        <f t="shared" si="3"/>
        <v>2288</v>
      </c>
      <c r="I8" s="25">
        <f t="shared" si="4"/>
        <v>36464</v>
      </c>
      <c r="J8" s="9" t="str">
        <f t="shared" si="5"/>
        <v>**</v>
      </c>
    </row>
    <row r="9" spans="1:14" x14ac:dyDescent="0.4">
      <c r="A9" s="8">
        <v>11</v>
      </c>
      <c r="B9" s="2" t="s">
        <v>93</v>
      </c>
      <c r="C9" s="2">
        <v>104</v>
      </c>
      <c r="D9" s="2" t="str">
        <f t="shared" si="0"/>
        <v>昭和倉庫</v>
      </c>
      <c r="E9" s="25">
        <v>4630</v>
      </c>
      <c r="F9" s="25">
        <f t="shared" si="1"/>
        <v>9</v>
      </c>
      <c r="G9" s="25">
        <f t="shared" si="2"/>
        <v>6381</v>
      </c>
      <c r="H9" s="25">
        <f t="shared" si="3"/>
        <v>2083</v>
      </c>
      <c r="I9" s="25">
        <f t="shared" si="4"/>
        <v>33206</v>
      </c>
      <c r="J9" s="9" t="str">
        <f t="shared" si="5"/>
        <v>*</v>
      </c>
    </row>
    <row r="10" spans="1:14" x14ac:dyDescent="0.4">
      <c r="A10" s="8">
        <v>16</v>
      </c>
      <c r="B10" s="2" t="s">
        <v>98</v>
      </c>
      <c r="C10" s="2">
        <v>104</v>
      </c>
      <c r="D10" s="2" t="str">
        <f t="shared" si="0"/>
        <v>昭和倉庫</v>
      </c>
      <c r="E10" s="25">
        <v>3850</v>
      </c>
      <c r="F10" s="25">
        <f t="shared" si="1"/>
        <v>9</v>
      </c>
      <c r="G10" s="25">
        <f t="shared" si="2"/>
        <v>5306</v>
      </c>
      <c r="H10" s="25">
        <f t="shared" si="3"/>
        <v>1732</v>
      </c>
      <c r="I10" s="25">
        <f t="shared" si="4"/>
        <v>27612</v>
      </c>
      <c r="J10" s="9" t="str">
        <f t="shared" si="5"/>
        <v>*</v>
      </c>
    </row>
    <row r="11" spans="1:14" x14ac:dyDescent="0.4">
      <c r="A11" s="8"/>
      <c r="B11" s="2"/>
      <c r="C11" s="2"/>
      <c r="D11" s="2"/>
      <c r="E11" s="25"/>
      <c r="F11" s="25"/>
      <c r="G11" s="25"/>
      <c r="H11" s="25"/>
      <c r="I11" s="25"/>
      <c r="J11" s="9"/>
    </row>
    <row r="12" spans="1:14" ht="19.5" thickBot="1" x14ac:dyDescent="0.45">
      <c r="A12" s="10"/>
      <c r="B12" s="11" t="s">
        <v>21</v>
      </c>
      <c r="C12" s="12"/>
      <c r="D12" s="12"/>
      <c r="E12" s="26"/>
      <c r="F12" s="26"/>
      <c r="G12" s="26">
        <f>SUM(G3:G10)</f>
        <v>74059</v>
      </c>
      <c r="H12" s="26">
        <f t="shared" ref="H12:I12" si="6">SUM(H3:H10)</f>
        <v>24178</v>
      </c>
      <c r="I12" s="26">
        <f t="shared" si="6"/>
        <v>385368</v>
      </c>
      <c r="J12" s="13"/>
    </row>
    <row r="13" spans="1:14" ht="19.5" thickBot="1" x14ac:dyDescent="0.45"/>
    <row r="14" spans="1:14" x14ac:dyDescent="0.4">
      <c r="A14" s="30"/>
      <c r="B14" s="6" t="s">
        <v>88</v>
      </c>
      <c r="C14" s="6" t="s">
        <v>91</v>
      </c>
      <c r="D14" s="7" t="s">
        <v>92</v>
      </c>
    </row>
    <row r="15" spans="1:14" x14ac:dyDescent="0.4">
      <c r="A15" s="35" t="s">
        <v>168</v>
      </c>
      <c r="B15" s="25">
        <f>AVERAGE(E3:E10)</f>
        <v>2435.25</v>
      </c>
      <c r="C15" s="25">
        <f>AVERAGE(H3:H10)</f>
        <v>3022.25</v>
      </c>
      <c r="D15" s="27">
        <f>AVERAGE(I3:I10)</f>
        <v>48171</v>
      </c>
    </row>
    <row r="16" spans="1:14" x14ac:dyDescent="0.4">
      <c r="A16" s="35" t="s">
        <v>170</v>
      </c>
      <c r="B16" s="25">
        <f>MAX(E3:E10)</f>
        <v>4630</v>
      </c>
      <c r="C16" s="25">
        <f>MAX(H3:H10)</f>
        <v>4809</v>
      </c>
      <c r="D16" s="27">
        <f>MAX(I3:I10)</f>
        <v>76642</v>
      </c>
    </row>
    <row r="17" spans="1:4" ht="19.5" thickBot="1" x14ac:dyDescent="0.45">
      <c r="A17" s="36" t="s">
        <v>181</v>
      </c>
      <c r="B17" s="26">
        <f>MIN(E3:E10)</f>
        <v>578</v>
      </c>
      <c r="C17" s="26">
        <f>MIN(H3:H10)</f>
        <v>1732</v>
      </c>
      <c r="D17" s="28">
        <f>MIN(I3:I10)</f>
        <v>27612</v>
      </c>
    </row>
  </sheetData>
  <sortState ref="A3:J10">
    <sortCondition descending="1" ref="I2"/>
  </sortState>
  <mergeCells count="1">
    <mergeCell ref="A1:J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076A-CD1D-4DD7-A92F-7433AB20BF7A}">
  <dimension ref="A1:L22"/>
  <sheetViews>
    <sheetView workbookViewId="0">
      <selection activeCell="L8" sqref="L8"/>
    </sheetView>
  </sheetViews>
  <sheetFormatPr defaultRowHeight="18.75" x14ac:dyDescent="0.4"/>
  <cols>
    <col min="1" max="1" width="6" bestFit="1" customWidth="1"/>
    <col min="2" max="2" width="11" bestFit="1" customWidth="1"/>
    <col min="3" max="3" width="10.5" bestFit="1" customWidth="1"/>
    <col min="4" max="5" width="7.125" bestFit="1" customWidth="1"/>
    <col min="6" max="6" width="10.5" bestFit="1" customWidth="1"/>
    <col min="7" max="7" width="9.5" bestFit="1" customWidth="1"/>
    <col min="8" max="8" width="10.5" bestFit="1" customWidth="1"/>
    <col min="9" max="9" width="5.25" bestFit="1" customWidth="1"/>
    <col min="11" max="11" width="11" bestFit="1" customWidth="1"/>
    <col min="12" max="12" width="7.5" bestFit="1" customWidth="1"/>
  </cols>
  <sheetData>
    <row r="1" spans="1:12" ht="19.5" thickBot="1" x14ac:dyDescent="0.45">
      <c r="A1" s="72" t="s">
        <v>105</v>
      </c>
      <c r="B1" s="72"/>
      <c r="C1" s="72"/>
      <c r="D1" s="72"/>
      <c r="E1" s="72"/>
    </row>
    <row r="2" spans="1:12" ht="19.5" thickBot="1" x14ac:dyDescent="0.45">
      <c r="A2" s="5" t="s">
        <v>106</v>
      </c>
      <c r="B2" s="6" t="s">
        <v>4</v>
      </c>
      <c r="C2" s="6" t="s">
        <v>107</v>
      </c>
      <c r="D2" s="6" t="s">
        <v>108</v>
      </c>
      <c r="E2" s="7" t="s">
        <v>5</v>
      </c>
      <c r="K2" s="47" t="s">
        <v>190</v>
      </c>
      <c r="L2" s="48">
        <v>145.44999999999999</v>
      </c>
    </row>
    <row r="3" spans="1:12" x14ac:dyDescent="0.4">
      <c r="A3" s="8">
        <v>101</v>
      </c>
      <c r="B3" s="2" t="s">
        <v>109</v>
      </c>
      <c r="C3" s="46">
        <v>21436</v>
      </c>
      <c r="D3" s="25">
        <v>465</v>
      </c>
      <c r="E3" s="27">
        <f>INT(C3/D3*1.3*$L$2)</f>
        <v>8716</v>
      </c>
    </row>
    <row r="4" spans="1:12" x14ac:dyDescent="0.4">
      <c r="A4" s="8">
        <v>102</v>
      </c>
      <c r="B4" s="2" t="s">
        <v>187</v>
      </c>
      <c r="C4" s="46">
        <v>22695</v>
      </c>
      <c r="D4" s="25">
        <v>432</v>
      </c>
      <c r="E4" s="27">
        <f t="shared" ref="E4:E6" si="0">INT(C4/D4*1.3*$L$2)</f>
        <v>9933</v>
      </c>
    </row>
    <row r="5" spans="1:12" x14ac:dyDescent="0.4">
      <c r="A5" s="8">
        <v>103</v>
      </c>
      <c r="B5" s="2" t="s">
        <v>188</v>
      </c>
      <c r="C5" s="46">
        <v>19243</v>
      </c>
      <c r="D5" s="25">
        <v>503</v>
      </c>
      <c r="E5" s="27">
        <f t="shared" si="0"/>
        <v>7233</v>
      </c>
    </row>
    <row r="6" spans="1:12" x14ac:dyDescent="0.4">
      <c r="A6" s="8">
        <v>104</v>
      </c>
      <c r="B6" s="2" t="s">
        <v>189</v>
      </c>
      <c r="C6" s="46">
        <v>23147</v>
      </c>
      <c r="D6" s="25">
        <v>396</v>
      </c>
      <c r="E6" s="27">
        <f t="shared" si="0"/>
        <v>11052</v>
      </c>
    </row>
    <row r="7" spans="1:12" x14ac:dyDescent="0.4">
      <c r="A7" s="8"/>
      <c r="B7" s="2"/>
      <c r="C7" s="2"/>
      <c r="D7" s="2"/>
      <c r="E7" s="9"/>
    </row>
    <row r="8" spans="1:12" ht="19.5" thickBot="1" x14ac:dyDescent="0.45">
      <c r="A8" s="10"/>
      <c r="B8" s="11" t="s">
        <v>21</v>
      </c>
      <c r="C8" s="50">
        <f>SUM(C3:C6)</f>
        <v>86521</v>
      </c>
      <c r="D8" s="33">
        <f>SUM(D3:D6)</f>
        <v>1796</v>
      </c>
      <c r="E8" s="13"/>
    </row>
    <row r="10" spans="1:12" ht="19.5" thickBot="1" x14ac:dyDescent="0.45">
      <c r="A10" s="72" t="s">
        <v>110</v>
      </c>
      <c r="B10" s="72"/>
      <c r="C10" s="72"/>
      <c r="D10" s="72"/>
      <c r="E10" s="72"/>
      <c r="F10" s="72"/>
      <c r="G10" s="72"/>
      <c r="H10" s="72"/>
      <c r="I10" s="72"/>
    </row>
    <row r="11" spans="1:12" x14ac:dyDescent="0.4">
      <c r="A11" s="5" t="s">
        <v>111</v>
      </c>
      <c r="B11" s="6" t="s">
        <v>112</v>
      </c>
      <c r="C11" s="6" t="s">
        <v>106</v>
      </c>
      <c r="D11" s="6" t="s">
        <v>5</v>
      </c>
      <c r="E11" s="6" t="s">
        <v>113</v>
      </c>
      <c r="F11" s="6" t="s">
        <v>114</v>
      </c>
      <c r="G11" s="6" t="s">
        <v>115</v>
      </c>
      <c r="H11" s="6" t="s">
        <v>11</v>
      </c>
      <c r="I11" s="7" t="s">
        <v>54</v>
      </c>
    </row>
    <row r="12" spans="1:12" x14ac:dyDescent="0.4">
      <c r="A12" s="8">
        <v>14</v>
      </c>
      <c r="B12" s="2" t="s">
        <v>119</v>
      </c>
      <c r="C12" s="2">
        <v>104</v>
      </c>
      <c r="D12" s="25">
        <f t="shared" ref="D12:D19" si="1">VLOOKUP(C12,$A$3:$E$6,5,FALSE)</f>
        <v>11052</v>
      </c>
      <c r="E12" s="25">
        <v>181</v>
      </c>
      <c r="F12" s="25">
        <f t="shared" ref="F12:F19" si="2">D12*E12</f>
        <v>2000412</v>
      </c>
      <c r="G12" s="25">
        <f t="shared" ref="G12:G19" si="3">ROUNDUP(F12*6.9%,0)</f>
        <v>138029</v>
      </c>
      <c r="H12" s="25">
        <f t="shared" ref="H12:H19" si="4">F12-G12</f>
        <v>1862383</v>
      </c>
      <c r="I12" s="9" t="str">
        <f t="shared" ref="I12:I19" si="5">IF(AND(E12&lt;240,H12&gt;=1800000),"A","B")</f>
        <v>A</v>
      </c>
    </row>
    <row r="13" spans="1:12" x14ac:dyDescent="0.4">
      <c r="A13" s="8">
        <v>13</v>
      </c>
      <c r="B13" s="2" t="s">
        <v>118</v>
      </c>
      <c r="C13" s="2">
        <v>102</v>
      </c>
      <c r="D13" s="25">
        <f t="shared" si="1"/>
        <v>9933</v>
      </c>
      <c r="E13" s="25">
        <v>194</v>
      </c>
      <c r="F13" s="25">
        <f t="shared" si="2"/>
        <v>1927002</v>
      </c>
      <c r="G13" s="25">
        <f t="shared" si="3"/>
        <v>132964</v>
      </c>
      <c r="H13" s="25">
        <f t="shared" si="4"/>
        <v>1794038</v>
      </c>
      <c r="I13" s="9" t="str">
        <f t="shared" si="5"/>
        <v>B</v>
      </c>
    </row>
    <row r="14" spans="1:12" x14ac:dyDescent="0.4">
      <c r="A14" s="8">
        <v>11</v>
      </c>
      <c r="B14" s="2" t="s">
        <v>116</v>
      </c>
      <c r="C14" s="2">
        <v>104</v>
      </c>
      <c r="D14" s="25">
        <f t="shared" si="1"/>
        <v>11052</v>
      </c>
      <c r="E14" s="25">
        <v>203</v>
      </c>
      <c r="F14" s="25">
        <f t="shared" si="2"/>
        <v>2243556</v>
      </c>
      <c r="G14" s="25">
        <f t="shared" si="3"/>
        <v>154806</v>
      </c>
      <c r="H14" s="25">
        <f t="shared" si="4"/>
        <v>2088750</v>
      </c>
      <c r="I14" s="9" t="str">
        <f t="shared" si="5"/>
        <v>A</v>
      </c>
    </row>
    <row r="15" spans="1:12" x14ac:dyDescent="0.4">
      <c r="A15" s="8">
        <v>12</v>
      </c>
      <c r="B15" s="2" t="s">
        <v>117</v>
      </c>
      <c r="C15" s="2">
        <v>101</v>
      </c>
      <c r="D15" s="25">
        <f t="shared" si="1"/>
        <v>8716</v>
      </c>
      <c r="E15" s="25">
        <v>210</v>
      </c>
      <c r="F15" s="25">
        <f t="shared" si="2"/>
        <v>1830360</v>
      </c>
      <c r="G15" s="25">
        <f t="shared" si="3"/>
        <v>126295</v>
      </c>
      <c r="H15" s="25">
        <f t="shared" si="4"/>
        <v>1704065</v>
      </c>
      <c r="I15" s="9" t="str">
        <f t="shared" si="5"/>
        <v>B</v>
      </c>
    </row>
    <row r="16" spans="1:12" x14ac:dyDescent="0.4">
      <c r="A16" s="8">
        <v>18</v>
      </c>
      <c r="B16" s="2" t="s">
        <v>123</v>
      </c>
      <c r="C16" s="2">
        <v>102</v>
      </c>
      <c r="D16" s="25">
        <f t="shared" si="1"/>
        <v>9933</v>
      </c>
      <c r="E16" s="25">
        <v>228</v>
      </c>
      <c r="F16" s="25">
        <f t="shared" si="2"/>
        <v>2264724</v>
      </c>
      <c r="G16" s="25">
        <f t="shared" si="3"/>
        <v>156266</v>
      </c>
      <c r="H16" s="25">
        <f t="shared" si="4"/>
        <v>2108458</v>
      </c>
      <c r="I16" s="9" t="str">
        <f t="shared" si="5"/>
        <v>A</v>
      </c>
    </row>
    <row r="17" spans="1:9" x14ac:dyDescent="0.4">
      <c r="A17" s="8">
        <v>17</v>
      </c>
      <c r="B17" s="2" t="s">
        <v>122</v>
      </c>
      <c r="C17" s="2">
        <v>103</v>
      </c>
      <c r="D17" s="25">
        <f t="shared" si="1"/>
        <v>7233</v>
      </c>
      <c r="E17" s="25">
        <v>231</v>
      </c>
      <c r="F17" s="25">
        <f t="shared" si="2"/>
        <v>1670823</v>
      </c>
      <c r="G17" s="25">
        <f t="shared" si="3"/>
        <v>115287</v>
      </c>
      <c r="H17" s="25">
        <f t="shared" si="4"/>
        <v>1555536</v>
      </c>
      <c r="I17" s="9" t="str">
        <f t="shared" si="5"/>
        <v>B</v>
      </c>
    </row>
    <row r="18" spans="1:9" x14ac:dyDescent="0.4">
      <c r="A18" s="8">
        <v>16</v>
      </c>
      <c r="B18" s="2" t="s">
        <v>121</v>
      </c>
      <c r="C18" s="2">
        <v>101</v>
      </c>
      <c r="D18" s="25">
        <f t="shared" si="1"/>
        <v>8716</v>
      </c>
      <c r="E18" s="25">
        <v>240</v>
      </c>
      <c r="F18" s="25">
        <f t="shared" si="2"/>
        <v>2091840</v>
      </c>
      <c r="G18" s="25">
        <f t="shared" si="3"/>
        <v>144337</v>
      </c>
      <c r="H18" s="25">
        <f t="shared" si="4"/>
        <v>1947503</v>
      </c>
      <c r="I18" s="9" t="str">
        <f t="shared" si="5"/>
        <v>B</v>
      </c>
    </row>
    <row r="19" spans="1:9" x14ac:dyDescent="0.4">
      <c r="A19" s="8">
        <v>15</v>
      </c>
      <c r="B19" s="2" t="s">
        <v>120</v>
      </c>
      <c r="C19" s="2">
        <v>103</v>
      </c>
      <c r="D19" s="25">
        <f t="shared" si="1"/>
        <v>7233</v>
      </c>
      <c r="E19" s="25">
        <v>249</v>
      </c>
      <c r="F19" s="25">
        <f t="shared" si="2"/>
        <v>1801017</v>
      </c>
      <c r="G19" s="25">
        <f t="shared" si="3"/>
        <v>124271</v>
      </c>
      <c r="H19" s="25">
        <f t="shared" si="4"/>
        <v>1676746</v>
      </c>
      <c r="I19" s="9" t="str">
        <f t="shared" si="5"/>
        <v>B</v>
      </c>
    </row>
    <row r="20" spans="1:9" x14ac:dyDescent="0.4">
      <c r="A20" s="8"/>
      <c r="B20" s="2"/>
      <c r="C20" s="2"/>
      <c r="D20" s="25"/>
      <c r="E20" s="25"/>
      <c r="F20" s="25"/>
      <c r="G20" s="25"/>
      <c r="H20" s="25"/>
      <c r="I20" s="9"/>
    </row>
    <row r="21" spans="1:9" x14ac:dyDescent="0.4">
      <c r="A21" s="8"/>
      <c r="B21" s="1" t="s">
        <v>21</v>
      </c>
      <c r="C21" s="2"/>
      <c r="D21" s="25"/>
      <c r="E21" s="25">
        <f>SUM(E12:E19)</f>
        <v>1736</v>
      </c>
      <c r="F21" s="25">
        <f t="shared" ref="F21:H21" si="6">SUM(F12:F19)</f>
        <v>15829734</v>
      </c>
      <c r="G21" s="25">
        <f t="shared" si="6"/>
        <v>1092255</v>
      </c>
      <c r="H21" s="25">
        <f t="shared" si="6"/>
        <v>14737479</v>
      </c>
      <c r="I21" s="9"/>
    </row>
    <row r="22" spans="1:9" ht="19.5" thickBot="1" x14ac:dyDescent="0.45">
      <c r="A22" s="10"/>
      <c r="B22" s="11" t="s">
        <v>47</v>
      </c>
      <c r="C22" s="12"/>
      <c r="D22" s="26"/>
      <c r="E22" s="26">
        <f>AVERAGE(E12:E19)</f>
        <v>217</v>
      </c>
      <c r="F22" s="26">
        <f t="shared" ref="F22:H22" si="7">AVERAGE(F12:F19)</f>
        <v>1978716.75</v>
      </c>
      <c r="G22" s="26">
        <f t="shared" si="7"/>
        <v>136531.875</v>
      </c>
      <c r="H22" s="26">
        <f t="shared" si="7"/>
        <v>1842184.875</v>
      </c>
      <c r="I22" s="13"/>
    </row>
  </sheetData>
  <sortState ref="A12:I19">
    <sortCondition ref="E11"/>
  </sortState>
  <mergeCells count="2">
    <mergeCell ref="A1:E1"/>
    <mergeCell ref="A10:I10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F62A-37B7-4D13-8933-ABFA6EF8BFC6}">
  <dimension ref="A1:O19"/>
  <sheetViews>
    <sheetView zoomScaleNormal="100" workbookViewId="0">
      <selection activeCell="E31" sqref="E31:E32"/>
    </sheetView>
  </sheetViews>
  <sheetFormatPr defaultRowHeight="18.75" x14ac:dyDescent="0.4"/>
  <cols>
    <col min="1" max="1" width="6" style="49" bestFit="1" customWidth="1"/>
    <col min="2" max="2" width="11" style="49" bestFit="1" customWidth="1"/>
    <col min="3" max="4" width="11.5" style="49" bestFit="1" customWidth="1"/>
    <col min="5" max="5" width="6" style="49" bestFit="1" customWidth="1"/>
    <col min="6" max="7" width="7.125" style="49" bestFit="1" customWidth="1"/>
    <col min="8" max="9" width="10.5" style="49" bestFit="1" customWidth="1"/>
    <col min="10" max="10" width="8" style="49" bestFit="1" customWidth="1"/>
    <col min="11" max="12" width="5.25" style="49" bestFit="1" customWidth="1"/>
    <col min="13" max="13" width="3.125" style="49" customWidth="1"/>
    <col min="14" max="16384" width="9" style="49"/>
  </cols>
  <sheetData>
    <row r="1" spans="1:15" ht="19.5" thickBot="1" x14ac:dyDescent="0.45">
      <c r="A1" s="73" t="s">
        <v>124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5" x14ac:dyDescent="0.4">
      <c r="A2" s="60" t="s">
        <v>125</v>
      </c>
      <c r="B2" s="61" t="s">
        <v>2</v>
      </c>
      <c r="C2" s="61" t="s">
        <v>126</v>
      </c>
      <c r="D2" s="61" t="s">
        <v>87</v>
      </c>
      <c r="E2" s="61" t="s">
        <v>88</v>
      </c>
      <c r="F2" s="61" t="s">
        <v>127</v>
      </c>
      <c r="G2" s="61" t="s">
        <v>128</v>
      </c>
      <c r="H2" s="61" t="s">
        <v>53</v>
      </c>
      <c r="I2" s="61" t="s">
        <v>129</v>
      </c>
      <c r="J2" s="61" t="s">
        <v>130</v>
      </c>
      <c r="K2" s="61" t="s">
        <v>131</v>
      </c>
      <c r="L2" s="62" t="s">
        <v>54</v>
      </c>
      <c r="N2" s="52" t="s">
        <v>126</v>
      </c>
      <c r="O2" s="53" t="s">
        <v>87</v>
      </c>
    </row>
    <row r="3" spans="1:15" x14ac:dyDescent="0.4">
      <c r="A3" s="54">
        <v>11</v>
      </c>
      <c r="B3" s="51" t="s">
        <v>132</v>
      </c>
      <c r="C3" s="51">
        <v>102</v>
      </c>
      <c r="D3" s="51" t="str">
        <f t="shared" ref="D3:D11" si="0">VLOOKUP(C3,$N$3:$O$6,2,FALSE)</f>
        <v>中央薬品</v>
      </c>
      <c r="E3" s="25">
        <v>300</v>
      </c>
      <c r="F3" s="25">
        <v>3620</v>
      </c>
      <c r="G3" s="25">
        <v>3890</v>
      </c>
      <c r="H3" s="25">
        <f t="shared" ref="H3:H11" si="1">ROUNDUP(F3*E3*(1+$O$9),0)</f>
        <v>1087955</v>
      </c>
      <c r="I3" s="25">
        <f t="shared" ref="I3:I11" si="2">INT(G3*E3*(1-$O$10))</f>
        <v>1165366</v>
      </c>
      <c r="J3" s="25">
        <f t="shared" ref="J3:J11" si="3">I3-H3</f>
        <v>77411</v>
      </c>
      <c r="K3" s="51">
        <f t="shared" ref="K3:K11" si="4">RANK(I3,$I$3:$I$11,1)</f>
        <v>3</v>
      </c>
      <c r="L3" s="55" t="str">
        <f t="shared" ref="L3:L11" si="5">IF(OR(I3&lt;=1200000,J3&gt;=70000),"A", "B")</f>
        <v>A</v>
      </c>
      <c r="N3" s="54">
        <v>101</v>
      </c>
      <c r="O3" s="55" t="s">
        <v>141</v>
      </c>
    </row>
    <row r="4" spans="1:15" x14ac:dyDescent="0.4">
      <c r="A4" s="54">
        <v>12</v>
      </c>
      <c r="B4" s="51" t="s">
        <v>133</v>
      </c>
      <c r="C4" s="51">
        <v>104</v>
      </c>
      <c r="D4" s="51" t="str">
        <f t="shared" si="0"/>
        <v>新生電気</v>
      </c>
      <c r="E4" s="25">
        <v>500</v>
      </c>
      <c r="F4" s="25">
        <v>2730</v>
      </c>
      <c r="G4" s="25">
        <v>2890</v>
      </c>
      <c r="H4" s="25">
        <f t="shared" si="1"/>
        <v>1367457</v>
      </c>
      <c r="I4" s="25">
        <f t="shared" si="2"/>
        <v>1442977</v>
      </c>
      <c r="J4" s="25">
        <f t="shared" si="3"/>
        <v>75520</v>
      </c>
      <c r="K4" s="51">
        <f t="shared" si="4"/>
        <v>5</v>
      </c>
      <c r="L4" s="55" t="str">
        <f t="shared" si="5"/>
        <v>A</v>
      </c>
      <c r="N4" s="54">
        <v>102</v>
      </c>
      <c r="O4" s="55" t="s">
        <v>142</v>
      </c>
    </row>
    <row r="5" spans="1:15" x14ac:dyDescent="0.4">
      <c r="A5" s="54">
        <v>16</v>
      </c>
      <c r="B5" s="51" t="s">
        <v>137</v>
      </c>
      <c r="C5" s="51">
        <v>104</v>
      </c>
      <c r="D5" s="51" t="str">
        <f t="shared" si="0"/>
        <v>新生電気</v>
      </c>
      <c r="E5" s="25">
        <v>600</v>
      </c>
      <c r="F5" s="25">
        <v>2860</v>
      </c>
      <c r="G5" s="25">
        <v>2980</v>
      </c>
      <c r="H5" s="25">
        <f t="shared" si="1"/>
        <v>1719089</v>
      </c>
      <c r="I5" s="25">
        <f t="shared" si="2"/>
        <v>1785496</v>
      </c>
      <c r="J5" s="25">
        <f t="shared" si="3"/>
        <v>66407</v>
      </c>
      <c r="K5" s="51">
        <f t="shared" si="4"/>
        <v>9</v>
      </c>
      <c r="L5" s="55" t="str">
        <f t="shared" si="5"/>
        <v>B</v>
      </c>
      <c r="N5" s="54">
        <v>103</v>
      </c>
      <c r="O5" s="55" t="s">
        <v>143</v>
      </c>
    </row>
    <row r="6" spans="1:15" ht="19.5" thickBot="1" x14ac:dyDescent="0.45">
      <c r="A6" s="54">
        <v>13</v>
      </c>
      <c r="B6" s="51" t="s">
        <v>134</v>
      </c>
      <c r="C6" s="51">
        <v>101</v>
      </c>
      <c r="D6" s="51" t="str">
        <f t="shared" si="0"/>
        <v>北陸工業</v>
      </c>
      <c r="E6" s="25">
        <v>2500</v>
      </c>
      <c r="F6" s="25">
        <v>685</v>
      </c>
      <c r="G6" s="25">
        <v>705</v>
      </c>
      <c r="H6" s="25">
        <f t="shared" si="1"/>
        <v>1715583</v>
      </c>
      <c r="I6" s="25">
        <f t="shared" si="2"/>
        <v>1760032</v>
      </c>
      <c r="J6" s="25">
        <f t="shared" si="3"/>
        <v>44449</v>
      </c>
      <c r="K6" s="51">
        <f t="shared" si="4"/>
        <v>8</v>
      </c>
      <c r="L6" s="55" t="str">
        <f t="shared" si="5"/>
        <v>B</v>
      </c>
      <c r="N6" s="56">
        <v>104</v>
      </c>
      <c r="O6" s="57" t="s">
        <v>144</v>
      </c>
    </row>
    <row r="7" spans="1:15" x14ac:dyDescent="0.4">
      <c r="A7" s="54">
        <v>19</v>
      </c>
      <c r="B7" s="51" t="s">
        <v>140</v>
      </c>
      <c r="C7" s="51">
        <v>102</v>
      </c>
      <c r="D7" s="51" t="str">
        <f t="shared" si="0"/>
        <v>中央薬品</v>
      </c>
      <c r="E7" s="25">
        <v>400</v>
      </c>
      <c r="F7" s="25">
        <v>3570</v>
      </c>
      <c r="G7" s="25">
        <v>3690</v>
      </c>
      <c r="H7" s="25">
        <f t="shared" si="1"/>
        <v>1430571</v>
      </c>
      <c r="I7" s="25">
        <f t="shared" si="2"/>
        <v>1473933</v>
      </c>
      <c r="J7" s="25">
        <f t="shared" si="3"/>
        <v>43362</v>
      </c>
      <c r="K7" s="51">
        <f t="shared" si="4"/>
        <v>6</v>
      </c>
      <c r="L7" s="55" t="str">
        <f t="shared" si="5"/>
        <v>B</v>
      </c>
    </row>
    <row r="8" spans="1:15" ht="19.5" thickBot="1" x14ac:dyDescent="0.45">
      <c r="A8" s="54">
        <v>14</v>
      </c>
      <c r="B8" s="51" t="s">
        <v>135</v>
      </c>
      <c r="C8" s="51">
        <v>103</v>
      </c>
      <c r="D8" s="51" t="str">
        <f t="shared" si="0"/>
        <v>井上証券</v>
      </c>
      <c r="E8" s="25">
        <v>3000</v>
      </c>
      <c r="F8" s="25">
        <v>564</v>
      </c>
      <c r="G8" s="25">
        <v>578</v>
      </c>
      <c r="H8" s="25">
        <f t="shared" si="1"/>
        <v>1695046</v>
      </c>
      <c r="I8" s="25">
        <f t="shared" si="2"/>
        <v>1731572</v>
      </c>
      <c r="J8" s="25">
        <f t="shared" si="3"/>
        <v>36526</v>
      </c>
      <c r="K8" s="51">
        <f t="shared" si="4"/>
        <v>7</v>
      </c>
      <c r="L8" s="55" t="str">
        <f t="shared" si="5"/>
        <v>B</v>
      </c>
    </row>
    <row r="9" spans="1:15" x14ac:dyDescent="0.4">
      <c r="A9" s="54">
        <v>15</v>
      </c>
      <c r="B9" s="51" t="s">
        <v>136</v>
      </c>
      <c r="C9" s="51">
        <v>101</v>
      </c>
      <c r="D9" s="51" t="str">
        <f t="shared" si="0"/>
        <v>北陸工業</v>
      </c>
      <c r="E9" s="25">
        <v>1500</v>
      </c>
      <c r="F9" s="25">
        <v>672</v>
      </c>
      <c r="G9" s="25">
        <v>697</v>
      </c>
      <c r="H9" s="25">
        <f t="shared" si="1"/>
        <v>1009815</v>
      </c>
      <c r="I9" s="25">
        <f t="shared" si="2"/>
        <v>1044036</v>
      </c>
      <c r="J9" s="25">
        <f t="shared" si="3"/>
        <v>34221</v>
      </c>
      <c r="K9" s="51">
        <f t="shared" si="4"/>
        <v>1</v>
      </c>
      <c r="L9" s="55" t="str">
        <f t="shared" si="5"/>
        <v>A</v>
      </c>
      <c r="N9" s="52" t="s">
        <v>191</v>
      </c>
      <c r="O9" s="58">
        <v>1.8E-3</v>
      </c>
    </row>
    <row r="10" spans="1:15" ht="19.5" thickBot="1" x14ac:dyDescent="0.45">
      <c r="A10" s="54">
        <v>18</v>
      </c>
      <c r="B10" s="51" t="s">
        <v>139</v>
      </c>
      <c r="C10" s="51">
        <v>101</v>
      </c>
      <c r="D10" s="51" t="str">
        <f t="shared" si="0"/>
        <v>北陸工業</v>
      </c>
      <c r="E10" s="25">
        <v>2000</v>
      </c>
      <c r="F10" s="25">
        <v>714</v>
      </c>
      <c r="G10" s="25">
        <v>708</v>
      </c>
      <c r="H10" s="25">
        <f t="shared" si="1"/>
        <v>1430571</v>
      </c>
      <c r="I10" s="25">
        <f t="shared" si="2"/>
        <v>1414017</v>
      </c>
      <c r="J10" s="25">
        <f t="shared" si="3"/>
        <v>-16554</v>
      </c>
      <c r="K10" s="51">
        <f t="shared" si="4"/>
        <v>4</v>
      </c>
      <c r="L10" s="55" t="str">
        <f t="shared" si="5"/>
        <v>B</v>
      </c>
      <c r="N10" s="56" t="s">
        <v>192</v>
      </c>
      <c r="O10" s="59">
        <v>1.4E-3</v>
      </c>
    </row>
    <row r="11" spans="1:15" x14ac:dyDescent="0.4">
      <c r="A11" s="54">
        <v>17</v>
      </c>
      <c r="B11" s="51" t="s">
        <v>138</v>
      </c>
      <c r="C11" s="51">
        <v>103</v>
      </c>
      <c r="D11" s="51" t="str">
        <f t="shared" si="0"/>
        <v>井上証券</v>
      </c>
      <c r="E11" s="25">
        <v>2000</v>
      </c>
      <c r="F11" s="25">
        <v>572</v>
      </c>
      <c r="G11" s="25">
        <v>563</v>
      </c>
      <c r="H11" s="25">
        <f t="shared" si="1"/>
        <v>1146060</v>
      </c>
      <c r="I11" s="25">
        <f t="shared" si="2"/>
        <v>1124423</v>
      </c>
      <c r="J11" s="25">
        <f t="shared" si="3"/>
        <v>-21637</v>
      </c>
      <c r="K11" s="51">
        <f t="shared" si="4"/>
        <v>2</v>
      </c>
      <c r="L11" s="55" t="str">
        <f t="shared" si="5"/>
        <v>A</v>
      </c>
    </row>
    <row r="12" spans="1:15" x14ac:dyDescent="0.4">
      <c r="A12" s="54"/>
      <c r="B12" s="51"/>
      <c r="C12" s="51"/>
      <c r="D12" s="51"/>
      <c r="E12" s="25"/>
      <c r="F12" s="25"/>
      <c r="G12" s="25"/>
      <c r="H12" s="25"/>
      <c r="I12" s="25"/>
      <c r="J12" s="25"/>
      <c r="K12" s="51"/>
      <c r="L12" s="55"/>
    </row>
    <row r="13" spans="1:15" ht="19.5" thickBot="1" x14ac:dyDescent="0.45">
      <c r="A13" s="56"/>
      <c r="B13" s="63" t="s">
        <v>21</v>
      </c>
      <c r="C13" s="64"/>
      <c r="D13" s="64"/>
      <c r="E13" s="26"/>
      <c r="F13" s="26"/>
      <c r="G13" s="26"/>
      <c r="H13" s="26">
        <f>SUM(H3:H11)</f>
        <v>12602147</v>
      </c>
      <c r="I13" s="26">
        <f t="shared" ref="I13:J13" si="6">SUM(I3:I11)</f>
        <v>12941852</v>
      </c>
      <c r="J13" s="26">
        <f t="shared" si="6"/>
        <v>339705</v>
      </c>
      <c r="K13" s="64"/>
      <c r="L13" s="57"/>
    </row>
    <row r="15" spans="1:15" ht="19.5" thickBot="1" x14ac:dyDescent="0.45"/>
    <row r="16" spans="1:15" x14ac:dyDescent="0.4">
      <c r="A16" s="30"/>
      <c r="B16" s="6" t="s">
        <v>193</v>
      </c>
      <c r="C16" s="6" t="s">
        <v>194</v>
      </c>
      <c r="D16" s="7" t="s">
        <v>195</v>
      </c>
    </row>
    <row r="17" spans="1:4" x14ac:dyDescent="0.4">
      <c r="A17" s="35" t="s">
        <v>168</v>
      </c>
      <c r="B17" s="29">
        <f>AVERAGE(E3:E11)</f>
        <v>1422.2222222222222</v>
      </c>
      <c r="C17" s="65">
        <f>AVERAGE(H3:H11)</f>
        <v>1400238.5555555555</v>
      </c>
      <c r="D17" s="66">
        <f>AVERAGE(I3:I11)</f>
        <v>1437983.5555555555</v>
      </c>
    </row>
    <row r="18" spans="1:4" x14ac:dyDescent="0.4">
      <c r="A18" s="35" t="s">
        <v>170</v>
      </c>
      <c r="B18" s="29">
        <f>MAX(E3:E11)</f>
        <v>3000</v>
      </c>
      <c r="C18" s="65">
        <f>MAX(H3:H11)</f>
        <v>1719089</v>
      </c>
      <c r="D18" s="66">
        <f>MAX(I3:I11)</f>
        <v>1785496</v>
      </c>
    </row>
    <row r="19" spans="1:4" ht="19.5" thickBot="1" x14ac:dyDescent="0.45">
      <c r="A19" s="36" t="s">
        <v>181</v>
      </c>
      <c r="B19" s="33">
        <f>MIN(E3:E11)</f>
        <v>300</v>
      </c>
      <c r="C19" s="67">
        <f>MIN(H3:H11)</f>
        <v>1009815</v>
      </c>
      <c r="D19" s="67">
        <f>MIN(I3:I11)</f>
        <v>1044036</v>
      </c>
    </row>
  </sheetData>
  <sortState ref="A3:L11">
    <sortCondition descending="1" ref="J2"/>
  </sortState>
  <mergeCells count="1">
    <mergeCell ref="A1:L1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2ED9-4144-4ADE-B2C9-B80826544FF2}">
  <sheetPr>
    <tabColor rgb="FFFF0000"/>
  </sheetPr>
  <dimension ref="A1:O17"/>
  <sheetViews>
    <sheetView zoomScaleNormal="100" workbookViewId="0">
      <selection activeCell="C15" sqref="C15:C17"/>
    </sheetView>
  </sheetViews>
  <sheetFormatPr defaultRowHeight="18.75" x14ac:dyDescent="0.4"/>
  <cols>
    <col min="1" max="1" width="5.25" bestFit="1" customWidth="1"/>
    <col min="2" max="2" width="11" bestFit="1" customWidth="1"/>
    <col min="3" max="3" width="8.875" bestFit="1" customWidth="1"/>
    <col min="5" max="5" width="5.25" bestFit="1" customWidth="1"/>
    <col min="8" max="9" width="7.125" bestFit="1" customWidth="1"/>
    <col min="10" max="10" width="8" bestFit="1" customWidth="1"/>
    <col min="12" max="12" width="5.25" bestFit="1" customWidth="1"/>
    <col min="13" max="13" width="3.375" customWidth="1"/>
    <col min="14" max="14" width="6" bestFit="1" customWidth="1"/>
  </cols>
  <sheetData>
    <row r="1" spans="1:15" ht="19.5" thickBot="1" x14ac:dyDescent="0.45">
      <c r="A1" s="72" t="s">
        <v>145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5" ht="19.5" thickBot="1" x14ac:dyDescent="0.45">
      <c r="A2" s="5" t="s">
        <v>1</v>
      </c>
      <c r="B2" s="6" t="s">
        <v>146</v>
      </c>
      <c r="C2" s="6" t="s">
        <v>147</v>
      </c>
      <c r="D2" s="6" t="s">
        <v>148</v>
      </c>
      <c r="E2" s="6" t="s">
        <v>149</v>
      </c>
      <c r="F2" s="6" t="s">
        <v>150</v>
      </c>
      <c r="G2" s="6" t="s">
        <v>151</v>
      </c>
      <c r="H2" s="6" t="s">
        <v>152</v>
      </c>
      <c r="I2" s="6" t="s">
        <v>153</v>
      </c>
      <c r="J2" s="6" t="s">
        <v>11</v>
      </c>
      <c r="K2" s="6" t="s">
        <v>154</v>
      </c>
      <c r="L2" s="7" t="s">
        <v>32</v>
      </c>
    </row>
    <row r="3" spans="1:15" x14ac:dyDescent="0.4">
      <c r="A3" s="8">
        <v>101</v>
      </c>
      <c r="B3" s="2" t="s">
        <v>155</v>
      </c>
      <c r="C3" s="2">
        <v>14</v>
      </c>
      <c r="D3" s="25">
        <f t="shared" ref="D3:D10" si="0">VLOOKUP(C3,$N$4:$O$7,2,FALSE)</f>
        <v>13100</v>
      </c>
      <c r="E3" s="25">
        <v>9</v>
      </c>
      <c r="F3" s="25">
        <f t="shared" ref="F3:F10" si="1">IF(E3&lt;=10,0,D3/10*(E3-10)*0.5)</f>
        <v>0</v>
      </c>
      <c r="G3" s="25">
        <f t="shared" ref="G3:G10" si="2">D3+F3</f>
        <v>13100</v>
      </c>
      <c r="H3" s="3">
        <f t="shared" ref="H3:H10" si="3">IF(G3&gt;=17000,5%,IF(G3&gt;=13000,4.2%,3.4%))</f>
        <v>4.2000000000000003E-2</v>
      </c>
      <c r="I3" s="25">
        <f t="shared" ref="I3:I10" si="4">INT(G3*H3)</f>
        <v>550</v>
      </c>
      <c r="J3" s="25">
        <f t="shared" ref="J3:J10" si="5">G3-I3</f>
        <v>12550</v>
      </c>
      <c r="K3" s="25">
        <f t="shared" ref="K3:K10" si="6">ROUNDUP(J3*1.3%,0)</f>
        <v>164</v>
      </c>
      <c r="L3" s="9" t="str">
        <f t="shared" ref="L3:L10" si="7">IF(OR(E3&lt;=10,J3&lt;=12000),"G","")</f>
        <v>G</v>
      </c>
      <c r="N3" s="30" t="s">
        <v>147</v>
      </c>
      <c r="O3" s="31" t="s">
        <v>148</v>
      </c>
    </row>
    <row r="4" spans="1:15" x14ac:dyDescent="0.4">
      <c r="A4" s="8">
        <v>103</v>
      </c>
      <c r="B4" s="2" t="s">
        <v>157</v>
      </c>
      <c r="C4" s="2">
        <v>11</v>
      </c>
      <c r="D4" s="25">
        <f t="shared" si="0"/>
        <v>12400</v>
      </c>
      <c r="E4" s="25">
        <v>10</v>
      </c>
      <c r="F4" s="25">
        <f t="shared" si="1"/>
        <v>0</v>
      </c>
      <c r="G4" s="25">
        <f t="shared" si="2"/>
        <v>12400</v>
      </c>
      <c r="H4" s="3">
        <f t="shared" si="3"/>
        <v>3.4000000000000002E-2</v>
      </c>
      <c r="I4" s="25">
        <f t="shared" si="4"/>
        <v>421</v>
      </c>
      <c r="J4" s="25">
        <f t="shared" si="5"/>
        <v>11979</v>
      </c>
      <c r="K4" s="25">
        <f t="shared" si="6"/>
        <v>156</v>
      </c>
      <c r="L4" s="9" t="str">
        <f t="shared" si="7"/>
        <v>G</v>
      </c>
      <c r="N4" s="8">
        <v>11</v>
      </c>
      <c r="O4" s="27">
        <v>12400</v>
      </c>
    </row>
    <row r="5" spans="1:15" x14ac:dyDescent="0.4">
      <c r="A5" s="8">
        <v>108</v>
      </c>
      <c r="B5" s="2" t="s">
        <v>162</v>
      </c>
      <c r="C5" s="2">
        <v>12</v>
      </c>
      <c r="D5" s="25">
        <f t="shared" si="0"/>
        <v>11300</v>
      </c>
      <c r="E5" s="25">
        <v>11</v>
      </c>
      <c r="F5" s="25">
        <f t="shared" si="1"/>
        <v>565</v>
      </c>
      <c r="G5" s="25">
        <f t="shared" si="2"/>
        <v>11865</v>
      </c>
      <c r="H5" s="3">
        <f t="shared" si="3"/>
        <v>3.4000000000000002E-2</v>
      </c>
      <c r="I5" s="25">
        <f t="shared" si="4"/>
        <v>403</v>
      </c>
      <c r="J5" s="25">
        <f t="shared" si="5"/>
        <v>11462</v>
      </c>
      <c r="K5" s="25">
        <f t="shared" si="6"/>
        <v>150</v>
      </c>
      <c r="L5" s="9" t="str">
        <f t="shared" si="7"/>
        <v>G</v>
      </c>
      <c r="N5" s="8">
        <v>12</v>
      </c>
      <c r="O5" s="27">
        <v>11300</v>
      </c>
    </row>
    <row r="6" spans="1:15" x14ac:dyDescent="0.4">
      <c r="A6" s="8">
        <v>105</v>
      </c>
      <c r="B6" s="2" t="s">
        <v>159</v>
      </c>
      <c r="C6" s="2">
        <v>12</v>
      </c>
      <c r="D6" s="25">
        <f t="shared" si="0"/>
        <v>11300</v>
      </c>
      <c r="E6" s="25">
        <v>13</v>
      </c>
      <c r="F6" s="25">
        <f t="shared" si="1"/>
        <v>1695</v>
      </c>
      <c r="G6" s="25">
        <f t="shared" si="2"/>
        <v>12995</v>
      </c>
      <c r="H6" s="3">
        <f t="shared" si="3"/>
        <v>3.4000000000000002E-2</v>
      </c>
      <c r="I6" s="25">
        <f t="shared" si="4"/>
        <v>441</v>
      </c>
      <c r="J6" s="25">
        <f t="shared" si="5"/>
        <v>12554</v>
      </c>
      <c r="K6" s="25">
        <f t="shared" si="6"/>
        <v>164</v>
      </c>
      <c r="L6" s="9" t="str">
        <f t="shared" si="7"/>
        <v/>
      </c>
      <c r="N6" s="8">
        <v>13</v>
      </c>
      <c r="O6" s="27">
        <v>10200</v>
      </c>
    </row>
    <row r="7" spans="1:15" ht="19.5" thickBot="1" x14ac:dyDescent="0.45">
      <c r="A7" s="8">
        <v>106</v>
      </c>
      <c r="B7" s="2" t="s">
        <v>160</v>
      </c>
      <c r="C7" s="2">
        <v>14</v>
      </c>
      <c r="D7" s="25">
        <f t="shared" si="0"/>
        <v>13100</v>
      </c>
      <c r="E7" s="25">
        <v>17</v>
      </c>
      <c r="F7" s="25">
        <f t="shared" si="1"/>
        <v>4585</v>
      </c>
      <c r="G7" s="25">
        <f t="shared" si="2"/>
        <v>17685</v>
      </c>
      <c r="H7" s="3">
        <f t="shared" si="3"/>
        <v>0.05</v>
      </c>
      <c r="I7" s="25">
        <f t="shared" si="4"/>
        <v>884</v>
      </c>
      <c r="J7" s="25">
        <f t="shared" si="5"/>
        <v>16801</v>
      </c>
      <c r="K7" s="25">
        <f t="shared" si="6"/>
        <v>219</v>
      </c>
      <c r="L7" s="9" t="str">
        <f t="shared" si="7"/>
        <v/>
      </c>
      <c r="N7" s="10">
        <v>14</v>
      </c>
      <c r="O7" s="28">
        <v>13100</v>
      </c>
    </row>
    <row r="8" spans="1:15" x14ac:dyDescent="0.4">
      <c r="A8" s="8">
        <v>107</v>
      </c>
      <c r="B8" s="2" t="s">
        <v>161</v>
      </c>
      <c r="C8" s="2">
        <v>11</v>
      </c>
      <c r="D8" s="25">
        <f t="shared" si="0"/>
        <v>12400</v>
      </c>
      <c r="E8" s="25">
        <v>18</v>
      </c>
      <c r="F8" s="25">
        <f t="shared" si="1"/>
        <v>4960</v>
      </c>
      <c r="G8" s="25">
        <f t="shared" si="2"/>
        <v>17360</v>
      </c>
      <c r="H8" s="3">
        <f t="shared" si="3"/>
        <v>0.05</v>
      </c>
      <c r="I8" s="25">
        <f t="shared" si="4"/>
        <v>868</v>
      </c>
      <c r="J8" s="25">
        <f t="shared" si="5"/>
        <v>16492</v>
      </c>
      <c r="K8" s="25">
        <f t="shared" si="6"/>
        <v>215</v>
      </c>
      <c r="L8" s="9" t="str">
        <f t="shared" si="7"/>
        <v/>
      </c>
    </row>
    <row r="9" spans="1:15" x14ac:dyDescent="0.4">
      <c r="A9" s="8">
        <v>102</v>
      </c>
      <c r="B9" s="2" t="s">
        <v>156</v>
      </c>
      <c r="C9" s="2">
        <v>13</v>
      </c>
      <c r="D9" s="25">
        <f t="shared" si="0"/>
        <v>10200</v>
      </c>
      <c r="E9" s="25">
        <v>20</v>
      </c>
      <c r="F9" s="25">
        <f t="shared" si="1"/>
        <v>5100</v>
      </c>
      <c r="G9" s="25">
        <f t="shared" si="2"/>
        <v>15300</v>
      </c>
      <c r="H9" s="3">
        <f t="shared" si="3"/>
        <v>4.2000000000000003E-2</v>
      </c>
      <c r="I9" s="25">
        <f t="shared" si="4"/>
        <v>642</v>
      </c>
      <c r="J9" s="25">
        <f t="shared" si="5"/>
        <v>14658</v>
      </c>
      <c r="K9" s="25">
        <f t="shared" si="6"/>
        <v>191</v>
      </c>
      <c r="L9" s="9" t="str">
        <f t="shared" si="7"/>
        <v/>
      </c>
    </row>
    <row r="10" spans="1:15" x14ac:dyDescent="0.4">
      <c r="A10" s="8">
        <v>104</v>
      </c>
      <c r="B10" s="2" t="s">
        <v>158</v>
      </c>
      <c r="C10" s="2">
        <v>13</v>
      </c>
      <c r="D10" s="25">
        <f t="shared" si="0"/>
        <v>10200</v>
      </c>
      <c r="E10" s="25">
        <v>21</v>
      </c>
      <c r="F10" s="25">
        <f t="shared" si="1"/>
        <v>5610</v>
      </c>
      <c r="G10" s="25">
        <f t="shared" si="2"/>
        <v>15810</v>
      </c>
      <c r="H10" s="3">
        <f t="shared" si="3"/>
        <v>4.2000000000000003E-2</v>
      </c>
      <c r="I10" s="25">
        <f t="shared" si="4"/>
        <v>664</v>
      </c>
      <c r="J10" s="25">
        <f t="shared" si="5"/>
        <v>15146</v>
      </c>
      <c r="K10" s="25">
        <f t="shared" si="6"/>
        <v>197</v>
      </c>
      <c r="L10" s="9" t="str">
        <f t="shared" si="7"/>
        <v/>
      </c>
    </row>
    <row r="11" spans="1:15" x14ac:dyDescent="0.4">
      <c r="A11" s="8"/>
      <c r="B11" s="2"/>
      <c r="C11" s="2"/>
      <c r="D11" s="25"/>
      <c r="E11" s="25"/>
      <c r="F11" s="25"/>
      <c r="G11" s="25"/>
      <c r="H11" s="2"/>
      <c r="I11" s="25"/>
      <c r="J11" s="25"/>
      <c r="K11" s="25"/>
      <c r="L11" s="9"/>
    </row>
    <row r="12" spans="1:15" ht="19.5" thickBot="1" x14ac:dyDescent="0.45">
      <c r="A12" s="10"/>
      <c r="B12" s="11" t="s">
        <v>21</v>
      </c>
      <c r="C12" s="12"/>
      <c r="D12" s="26">
        <f>SUM(D3:D10)</f>
        <v>94000</v>
      </c>
      <c r="E12" s="26"/>
      <c r="F12" s="26">
        <f t="shared" ref="F12:K12" si="8">SUM(F3:F10)</f>
        <v>22515</v>
      </c>
      <c r="G12" s="26">
        <f t="shared" si="8"/>
        <v>116515</v>
      </c>
      <c r="H12" s="12"/>
      <c r="I12" s="26">
        <f t="shared" si="8"/>
        <v>4873</v>
      </c>
      <c r="J12" s="26">
        <f t="shared" si="8"/>
        <v>111642</v>
      </c>
      <c r="K12" s="26">
        <f t="shared" si="8"/>
        <v>1456</v>
      </c>
      <c r="L12" s="13"/>
    </row>
    <row r="13" spans="1:15" ht="19.5" thickBot="1" x14ac:dyDescent="0.45"/>
    <row r="14" spans="1:15" x14ac:dyDescent="0.4">
      <c r="A14" s="30"/>
      <c r="B14" s="6" t="s">
        <v>196</v>
      </c>
      <c r="C14" s="6" t="s">
        <v>197</v>
      </c>
      <c r="D14" s="7" t="s">
        <v>198</v>
      </c>
    </row>
    <row r="15" spans="1:15" x14ac:dyDescent="0.4">
      <c r="A15" s="35" t="s">
        <v>168</v>
      </c>
      <c r="B15" s="29">
        <f>AVERAGE(E3:E10)</f>
        <v>14.875</v>
      </c>
      <c r="C15" s="76">
        <f>AVERAGE(J3:J10)</f>
        <v>13955.25</v>
      </c>
      <c r="D15" s="68">
        <f>AVERAGE(K3:K10)</f>
        <v>182</v>
      </c>
    </row>
    <row r="16" spans="1:15" x14ac:dyDescent="0.4">
      <c r="A16" s="35" t="s">
        <v>170</v>
      </c>
      <c r="B16" s="29">
        <f>MAX(E3:E10)</f>
        <v>21</v>
      </c>
      <c r="C16" s="76">
        <f>MAX(J3:J10)</f>
        <v>16801</v>
      </c>
      <c r="D16" s="68">
        <f>MAX(K3:K10)</f>
        <v>219</v>
      </c>
    </row>
    <row r="17" spans="1:4" ht="19.5" thickBot="1" x14ac:dyDescent="0.45">
      <c r="A17" s="36" t="s">
        <v>181</v>
      </c>
      <c r="B17" s="33">
        <f>MIN(E3:E10)</f>
        <v>9</v>
      </c>
      <c r="C17" s="77">
        <f>MIN(J3:J10)</f>
        <v>11462</v>
      </c>
      <c r="D17" s="69">
        <f>MIN(K3:K10)</f>
        <v>150</v>
      </c>
    </row>
  </sheetData>
  <sortState ref="A3:L10">
    <sortCondition ref="E2"/>
  </sortState>
  <mergeCells count="1">
    <mergeCell ref="A1: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準2-5</vt:lpstr>
      <vt:lpstr>準2-6</vt:lpstr>
      <vt:lpstr>準2-7</vt:lpstr>
      <vt:lpstr>準2-8</vt:lpstr>
      <vt:lpstr>準2-9</vt:lpstr>
      <vt:lpstr>準2-10</vt:lpstr>
      <vt:lpstr>準2-11</vt:lpstr>
      <vt:lpstr>準2-12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seito</cp:lastModifiedBy>
  <dcterms:created xsi:type="dcterms:W3CDTF">2023-05-28T12:23:48Z</dcterms:created>
  <dcterms:modified xsi:type="dcterms:W3CDTF">2023-06-08T03:11:39Z</dcterms:modified>
</cp:coreProperties>
</file>