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.36\課題回収\おくむら(Web1B)\012コウヨウ\"/>
    </mc:Choice>
  </mc:AlternateContent>
  <xr:revisionPtr revIDLastSave="0" documentId="13_ncr:1_{BEB05AAC-0BDD-4906-81EF-7EFBC266F3C9}" xr6:coauthVersionLast="36" xr6:coauthVersionMax="47" xr10:uidLastSave="{00000000-0000-0000-0000-000000000000}"/>
  <bookViews>
    <workbookView xWindow="0" yWindow="0" windowWidth="28800" windowHeight="12285" activeTab="3" xr2:uid="{C57D712C-DC80-42D8-B510-54CA70111A47}"/>
  </bookViews>
  <sheets>
    <sheet name="3-1" sheetId="1" r:id="rId1"/>
    <sheet name="3-2" sheetId="2" r:id="rId2"/>
    <sheet name="3-3" sheetId="3" r:id="rId3"/>
    <sheet name="3-4" sheetId="4" r:id="rId4"/>
    <sheet name="3-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4" l="1"/>
  <c r="H13" i="4"/>
  <c r="I13" i="4"/>
  <c r="F13" i="4"/>
  <c r="E13" i="3"/>
  <c r="J4" i="4"/>
  <c r="J5" i="4"/>
  <c r="J6" i="4"/>
  <c r="J7" i="4"/>
  <c r="J8" i="4"/>
  <c r="J9" i="4"/>
  <c r="J10" i="4"/>
  <c r="J11" i="4"/>
  <c r="J3" i="4"/>
  <c r="I4" i="2"/>
  <c r="I5" i="2"/>
  <c r="I6" i="2"/>
  <c r="I7" i="2"/>
  <c r="I8" i="2"/>
  <c r="I9" i="2"/>
  <c r="I10" i="2"/>
  <c r="I11" i="2"/>
  <c r="I3" i="2"/>
  <c r="H4" i="2"/>
  <c r="H5" i="2"/>
  <c r="H6" i="2"/>
  <c r="H7" i="2"/>
  <c r="H8" i="2"/>
  <c r="H9" i="2"/>
  <c r="H10" i="2"/>
  <c r="H11" i="2"/>
  <c r="H3" i="2"/>
  <c r="D15" i="2"/>
  <c r="E15" i="2"/>
  <c r="F15" i="2"/>
  <c r="G15" i="2"/>
  <c r="D14" i="2"/>
  <c r="E14" i="2"/>
  <c r="F14" i="2"/>
  <c r="G14" i="2"/>
  <c r="D13" i="2"/>
  <c r="E13" i="2"/>
  <c r="F13" i="2"/>
  <c r="G13" i="2"/>
  <c r="C15" i="2"/>
  <c r="C14" i="2"/>
  <c r="C13" i="2"/>
  <c r="I4" i="3"/>
  <c r="I5" i="3"/>
  <c r="I6" i="3"/>
  <c r="I7" i="3"/>
  <c r="I8" i="3"/>
  <c r="I9" i="3"/>
  <c r="I10" i="3"/>
  <c r="I11" i="3"/>
  <c r="G4" i="3"/>
  <c r="F4" i="3"/>
  <c r="H4" i="3" s="1"/>
  <c r="F5" i="3"/>
  <c r="G5" i="3" s="1"/>
  <c r="F6" i="3"/>
  <c r="G6" i="3" s="1"/>
  <c r="F7" i="3"/>
  <c r="G7" i="3" s="1"/>
  <c r="F8" i="3"/>
  <c r="G8" i="3" s="1"/>
  <c r="F9" i="3"/>
  <c r="G9" i="3" s="1"/>
  <c r="F10" i="3"/>
  <c r="F11" i="3"/>
  <c r="I3" i="3"/>
  <c r="I13" i="3" s="1"/>
  <c r="F3" i="3"/>
  <c r="F13" i="3" s="1"/>
  <c r="I4" i="4"/>
  <c r="I5" i="4"/>
  <c r="I6" i="4"/>
  <c r="I7" i="4"/>
  <c r="I8" i="4"/>
  <c r="I9" i="4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I3" i="4"/>
  <c r="H3" i="4"/>
  <c r="E4" i="4"/>
  <c r="E5" i="4"/>
  <c r="E6" i="4"/>
  <c r="E7" i="4"/>
  <c r="E8" i="4"/>
  <c r="E9" i="4"/>
  <c r="E10" i="4"/>
  <c r="E11" i="4"/>
  <c r="E3" i="4"/>
  <c r="G3" i="4" s="1"/>
  <c r="E15" i="5"/>
  <c r="E14" i="5"/>
  <c r="E13" i="5"/>
  <c r="H9" i="5"/>
  <c r="H8" i="5"/>
  <c r="H3" i="5"/>
  <c r="H15" i="5" s="1"/>
  <c r="H6" i="5"/>
  <c r="H4" i="5"/>
  <c r="H5" i="5"/>
  <c r="H10" i="5"/>
  <c r="H7" i="5"/>
  <c r="F9" i="5"/>
  <c r="F8" i="5"/>
  <c r="G8" i="5" s="1"/>
  <c r="F3" i="5"/>
  <c r="G3" i="5" s="1"/>
  <c r="F6" i="5"/>
  <c r="F4" i="5"/>
  <c r="F5" i="5"/>
  <c r="G5" i="5" s="1"/>
  <c r="F10" i="5"/>
  <c r="G10" i="5" s="1"/>
  <c r="I10" i="5" s="1"/>
  <c r="F7" i="5"/>
  <c r="G7" i="5" s="1"/>
  <c r="H11" i="5"/>
  <c r="F11" i="5"/>
  <c r="G4" i="2"/>
  <c r="G5" i="2"/>
  <c r="G6" i="2"/>
  <c r="G7" i="2"/>
  <c r="G8" i="2"/>
  <c r="G9" i="2"/>
  <c r="G10" i="2"/>
  <c r="G11" i="2"/>
  <c r="F4" i="2"/>
  <c r="F5" i="2"/>
  <c r="F6" i="2"/>
  <c r="F7" i="2"/>
  <c r="F8" i="2"/>
  <c r="F9" i="2"/>
  <c r="F10" i="2"/>
  <c r="F11" i="2"/>
  <c r="E4" i="2"/>
  <c r="E5" i="2"/>
  <c r="E6" i="2"/>
  <c r="E7" i="2"/>
  <c r="E8" i="2"/>
  <c r="E9" i="2"/>
  <c r="E10" i="2"/>
  <c r="E11" i="2"/>
  <c r="G3" i="2"/>
  <c r="F3" i="2"/>
  <c r="E3" i="2"/>
  <c r="G11" i="3" l="1"/>
  <c r="H11" i="3" s="1"/>
  <c r="H7" i="3"/>
  <c r="H8" i="3"/>
  <c r="G3" i="3"/>
  <c r="G10" i="3"/>
  <c r="H10" i="3" s="1"/>
  <c r="H6" i="3"/>
  <c r="H9" i="3"/>
  <c r="H5" i="3"/>
  <c r="I8" i="5"/>
  <c r="G6" i="5"/>
  <c r="I6" i="5" s="1"/>
  <c r="G11" i="5"/>
  <c r="I11" i="5" s="1"/>
  <c r="I5" i="5"/>
  <c r="F14" i="5"/>
  <c r="G4" i="5"/>
  <c r="I4" i="5" s="1"/>
  <c r="F15" i="5"/>
  <c r="I7" i="5"/>
  <c r="H13" i="5"/>
  <c r="G9" i="5"/>
  <c r="I9" i="5" s="1"/>
  <c r="F13" i="5"/>
  <c r="I3" i="5"/>
  <c r="H14" i="5"/>
  <c r="D17" i="1"/>
  <c r="D16" i="1"/>
  <c r="D13" i="1"/>
  <c r="C13" i="1"/>
  <c r="G3" i="1"/>
  <c r="G5" i="1"/>
  <c r="G11" i="1"/>
  <c r="G6" i="1"/>
  <c r="G8" i="1"/>
  <c r="G7" i="1"/>
  <c r="G9" i="1"/>
  <c r="G4" i="1"/>
  <c r="G10" i="1"/>
  <c r="F5" i="1"/>
  <c r="H5" i="1" s="1"/>
  <c r="F6" i="1"/>
  <c r="H6" i="1" s="1"/>
  <c r="E3" i="1"/>
  <c r="F3" i="1" s="1"/>
  <c r="E5" i="1"/>
  <c r="E11" i="1"/>
  <c r="F11" i="1" s="1"/>
  <c r="H11" i="1" s="1"/>
  <c r="E6" i="1"/>
  <c r="E8" i="1"/>
  <c r="F8" i="1" s="1"/>
  <c r="H8" i="1" s="1"/>
  <c r="E7" i="1"/>
  <c r="F7" i="1" s="1"/>
  <c r="H7" i="1" s="1"/>
  <c r="E9" i="1"/>
  <c r="F9" i="1" s="1"/>
  <c r="H9" i="1" s="1"/>
  <c r="E4" i="1"/>
  <c r="F4" i="1" s="1"/>
  <c r="H4" i="1" s="1"/>
  <c r="E10" i="1"/>
  <c r="F10" i="1" s="1"/>
  <c r="H10" i="1" s="1"/>
  <c r="G13" i="3" l="1"/>
  <c r="H3" i="3"/>
  <c r="H13" i="3" s="1"/>
  <c r="J9" i="5"/>
  <c r="G14" i="5"/>
  <c r="G13" i="5"/>
  <c r="I15" i="5"/>
  <c r="I14" i="5"/>
  <c r="I13" i="5"/>
  <c r="J10" i="5" s="1"/>
  <c r="G15" i="5"/>
  <c r="F17" i="1"/>
  <c r="F16" i="1"/>
  <c r="I4" i="1"/>
  <c r="I9" i="1"/>
  <c r="I8" i="1"/>
  <c r="I7" i="1"/>
  <c r="I5" i="1"/>
  <c r="I11" i="1"/>
  <c r="I10" i="1"/>
  <c r="E17" i="1"/>
  <c r="E16" i="1"/>
  <c r="H3" i="1"/>
  <c r="F13" i="1"/>
  <c r="G13" i="1"/>
  <c r="J11" i="5" l="1"/>
  <c r="J8" i="5"/>
  <c r="J3" i="5"/>
  <c r="J7" i="5"/>
  <c r="J5" i="5"/>
  <c r="J4" i="5"/>
  <c r="J6" i="5"/>
  <c r="H13" i="1"/>
  <c r="I3" i="1"/>
  <c r="I6" i="1"/>
</calcChain>
</file>

<file path=xl/sharedStrings.xml><?xml version="1.0" encoding="utf-8"?>
<sst xmlns="http://schemas.openxmlformats.org/spreadsheetml/2006/main" count="160" uniqueCount="133">
  <si>
    <t>委託販売一覧表</t>
    <rPh sb="0" eb="7">
      <t>いたくはんばいいちらんひょう</t>
    </rPh>
    <phoneticPr fontId="2" type="Hiragana"/>
  </si>
  <si>
    <t>CO</t>
    <phoneticPr fontId="2" type="Hiragana"/>
  </si>
  <si>
    <t>委託先名</t>
    <rPh sb="0" eb="4">
      <t>いたくさきめい</t>
    </rPh>
    <phoneticPr fontId="2" type="Hiragana"/>
  </si>
  <si>
    <t>販売数</t>
    <rPh sb="0" eb="3">
      <t>はんばいすう</t>
    </rPh>
    <phoneticPr fontId="2" type="Hiragana"/>
  </si>
  <si>
    <t>販売額</t>
    <rPh sb="0" eb="3">
      <t>はんばいがく</t>
    </rPh>
    <phoneticPr fontId="2" type="Hiragana"/>
  </si>
  <si>
    <t>手数料率</t>
    <rPh sb="0" eb="4">
      <t>てすうりょうりつ</t>
    </rPh>
    <phoneticPr fontId="2" type="Hiragana"/>
  </si>
  <si>
    <t>手数料</t>
    <rPh sb="0" eb="3">
      <t>てすうりょう</t>
    </rPh>
    <phoneticPr fontId="2" type="Hiragana"/>
  </si>
  <si>
    <t>諸経費</t>
    <rPh sb="0" eb="3">
      <t>しょけいひ</t>
    </rPh>
    <phoneticPr fontId="2" type="Hiragana"/>
  </si>
  <si>
    <t>委託費</t>
    <rPh sb="0" eb="3">
      <t>いたくひ</t>
    </rPh>
    <phoneticPr fontId="2" type="Hiragana"/>
  </si>
  <si>
    <t>順位</t>
    <rPh sb="0" eb="2">
      <t>じゅんい</t>
    </rPh>
    <phoneticPr fontId="2" type="Hiragana"/>
  </si>
  <si>
    <t>＜使用する関数＞</t>
    <rPh sb="1" eb="3">
      <t>しよう</t>
    </rPh>
    <rPh sb="5" eb="7">
      <t>かんすう</t>
    </rPh>
    <phoneticPr fontId="2" type="Hiragana"/>
  </si>
  <si>
    <t>四国食品</t>
    <rPh sb="0" eb="2">
      <t>しこく</t>
    </rPh>
    <rPh sb="2" eb="4">
      <t>しょくひん</t>
    </rPh>
    <phoneticPr fontId="2" type="Hiragana"/>
  </si>
  <si>
    <t>切り捨て</t>
    <rPh sb="0" eb="1">
      <t>き</t>
    </rPh>
    <rPh sb="2" eb="3">
      <t>す</t>
    </rPh>
    <phoneticPr fontId="2" type="Hiragana"/>
  </si>
  <si>
    <t>INT／ROUNDDOWN</t>
    <phoneticPr fontId="2" type="Hiragana"/>
  </si>
  <si>
    <t>=INT(数値)</t>
    <rPh sb="5" eb="7">
      <t>すうち</t>
    </rPh>
    <phoneticPr fontId="2" type="Hiragana"/>
  </si>
  <si>
    <t>中村百貨店</t>
    <rPh sb="0" eb="2">
      <t>なかむら</t>
    </rPh>
    <rPh sb="2" eb="5">
      <t>ひゃっかてん</t>
    </rPh>
    <phoneticPr fontId="2" type="Hiragana"/>
  </si>
  <si>
    <t>切り上げ</t>
    <rPh sb="0" eb="1">
      <t>き</t>
    </rPh>
    <rPh sb="2" eb="3">
      <t>あ</t>
    </rPh>
    <phoneticPr fontId="2" type="Hiragana"/>
  </si>
  <si>
    <t>ROUNDUP</t>
    <phoneticPr fontId="2" type="Hiragana"/>
  </si>
  <si>
    <t>=ROUNDUP(数値,桁数)</t>
    <rPh sb="9" eb="11">
      <t>すうち</t>
    </rPh>
    <rPh sb="12" eb="14">
      <t>けたすう</t>
    </rPh>
    <phoneticPr fontId="2" type="Hiragana"/>
  </si>
  <si>
    <t>みどり企画</t>
    <rPh sb="3" eb="5">
      <t>きかく</t>
    </rPh>
    <phoneticPr fontId="2" type="Hiragana"/>
  </si>
  <si>
    <t>判定</t>
    <rPh sb="0" eb="2">
      <t>はんてい</t>
    </rPh>
    <phoneticPr fontId="2" type="Hiragana"/>
  </si>
  <si>
    <t>IF</t>
    <phoneticPr fontId="2" type="Hiragana"/>
  </si>
  <si>
    <t>=IF(論理式,真の場合,偽の場合)</t>
    <rPh sb="4" eb="7">
      <t>ろんりしき</t>
    </rPh>
    <rPh sb="8" eb="9">
      <t>しん</t>
    </rPh>
    <rPh sb="10" eb="12">
      <t>ばあい</t>
    </rPh>
    <rPh sb="13" eb="14">
      <t>ぎ</t>
    </rPh>
    <rPh sb="15" eb="17">
      <t>ばあい</t>
    </rPh>
    <phoneticPr fontId="2" type="Hiragana"/>
  </si>
  <si>
    <t>スーパー栄</t>
    <rPh sb="4" eb="5">
      <t>さかえ</t>
    </rPh>
    <phoneticPr fontId="2" type="Hiragana"/>
  </si>
  <si>
    <t>RANK</t>
    <phoneticPr fontId="2" type="Hiragana"/>
  </si>
  <si>
    <t>=RANK(数値,参照,順序)</t>
    <rPh sb="6" eb="8">
      <t>すうち</t>
    </rPh>
    <rPh sb="9" eb="11">
      <t>さんしょう</t>
    </rPh>
    <rPh sb="12" eb="14">
      <t>じゅんじょ</t>
    </rPh>
    <phoneticPr fontId="2" type="Hiragana"/>
  </si>
  <si>
    <t>長谷川総業</t>
    <rPh sb="0" eb="3">
      <t>はせがわ</t>
    </rPh>
    <rPh sb="3" eb="5">
      <t>そうぎょう</t>
    </rPh>
    <phoneticPr fontId="2" type="Hiragana"/>
  </si>
  <si>
    <t>ＨＯＰＥ</t>
    <phoneticPr fontId="2" type="Hiragana"/>
  </si>
  <si>
    <t>合計</t>
    <rPh sb="0" eb="2">
      <t>ごうけい</t>
    </rPh>
    <phoneticPr fontId="2" type="Hiragana"/>
  </si>
  <si>
    <t>SUM</t>
    <phoneticPr fontId="2" type="Hiragana"/>
  </si>
  <si>
    <t>=SUM(数値1:数値x)</t>
    <rPh sb="5" eb="7">
      <t>すうち</t>
    </rPh>
    <rPh sb="9" eb="11">
      <t>すうち</t>
    </rPh>
    <phoneticPr fontId="2" type="Hiragana"/>
  </si>
  <si>
    <t>明日香堂</t>
    <rPh sb="0" eb="4">
      <t>あすかどう</t>
    </rPh>
    <phoneticPr fontId="2" type="Hiragana"/>
  </si>
  <si>
    <t>平均</t>
    <rPh sb="0" eb="2">
      <t>へいきん</t>
    </rPh>
    <phoneticPr fontId="2" type="Hiragana"/>
  </si>
  <si>
    <t>AVERAGE</t>
    <phoneticPr fontId="2" type="Hiragana"/>
  </si>
  <si>
    <t>=AVERAGE(数値1:数値x)</t>
    <phoneticPr fontId="2" type="Hiragana"/>
  </si>
  <si>
    <t>新光ストア</t>
    <rPh sb="0" eb="2">
      <t>しんこう</t>
    </rPh>
    <phoneticPr fontId="2" type="Hiragana"/>
  </si>
  <si>
    <t>最小</t>
    <rPh sb="0" eb="2">
      <t>さいしょう</t>
    </rPh>
    <phoneticPr fontId="2" type="Hiragana"/>
  </si>
  <si>
    <t>MIN</t>
    <phoneticPr fontId="2" type="Hiragana"/>
  </si>
  <si>
    <t>=MIN(数値1:数値x)</t>
    <rPh sb="5" eb="7">
      <t>すうち</t>
    </rPh>
    <rPh sb="9" eb="11">
      <t>すうち</t>
    </rPh>
    <phoneticPr fontId="2" type="Hiragana"/>
  </si>
  <si>
    <t>近藤商事</t>
    <rPh sb="0" eb="2">
      <t>こんどう</t>
    </rPh>
    <rPh sb="2" eb="4">
      <t>しょうじ</t>
    </rPh>
    <phoneticPr fontId="2" type="Hiragana"/>
  </si>
  <si>
    <t>社員別給料一覧表</t>
    <rPh sb="0" eb="3">
      <t>シャインベツ</t>
    </rPh>
    <rPh sb="3" eb="8">
      <t>キュウリョウイチランヒョウ</t>
    </rPh>
    <phoneticPr fontId="2"/>
  </si>
  <si>
    <t>CO</t>
    <phoneticPr fontId="2"/>
  </si>
  <si>
    <t>社員名</t>
    <rPh sb="0" eb="3">
      <t>シャインメイ</t>
    </rPh>
    <phoneticPr fontId="2"/>
  </si>
  <si>
    <t>基本給</t>
    <rPh sb="0" eb="3">
      <t>キホンキュウ</t>
    </rPh>
    <phoneticPr fontId="2"/>
  </si>
  <si>
    <t>残業時間</t>
    <rPh sb="0" eb="4">
      <t>ザンギョウジカン</t>
    </rPh>
    <phoneticPr fontId="2"/>
  </si>
  <si>
    <t>残業手当</t>
    <rPh sb="0" eb="4">
      <t>ザンギョウテアテ</t>
    </rPh>
    <phoneticPr fontId="2"/>
  </si>
  <si>
    <t>積立金</t>
    <rPh sb="0" eb="3">
      <t>ツミタテキン</t>
    </rPh>
    <phoneticPr fontId="2"/>
  </si>
  <si>
    <t>総支給額</t>
    <rPh sb="0" eb="4">
      <t>ソウシキュウガク</t>
    </rPh>
    <phoneticPr fontId="2"/>
  </si>
  <si>
    <t>構成比率</t>
    <rPh sb="0" eb="4">
      <t>コウセイヒリツ</t>
    </rPh>
    <phoneticPr fontId="2"/>
  </si>
  <si>
    <t>判定</t>
    <rPh sb="0" eb="2">
      <t>ハンテイ</t>
    </rPh>
    <phoneticPr fontId="2"/>
  </si>
  <si>
    <t>杉田　洋子</t>
    <rPh sb="0" eb="2">
      <t>スギタ</t>
    </rPh>
    <rPh sb="3" eb="5">
      <t>ヨウコ</t>
    </rPh>
    <phoneticPr fontId="2"/>
  </si>
  <si>
    <t>小野　新一</t>
    <rPh sb="0" eb="2">
      <t>オノ</t>
    </rPh>
    <rPh sb="3" eb="5">
      <t>シンイチ</t>
    </rPh>
    <phoneticPr fontId="2"/>
  </si>
  <si>
    <t>森　すみれ</t>
    <rPh sb="0" eb="1">
      <t>モリ</t>
    </rPh>
    <phoneticPr fontId="2"/>
  </si>
  <si>
    <t>工藤　美樹</t>
    <rPh sb="0" eb="2">
      <t>クドウ</t>
    </rPh>
    <rPh sb="3" eb="5">
      <t>ミキ</t>
    </rPh>
    <phoneticPr fontId="2"/>
  </si>
  <si>
    <t>小野田　新</t>
    <rPh sb="0" eb="3">
      <t>オノダ</t>
    </rPh>
    <rPh sb="4" eb="5">
      <t>シン</t>
    </rPh>
    <phoneticPr fontId="2"/>
  </si>
  <si>
    <t>山口　ミサ</t>
    <rPh sb="0" eb="2">
      <t>ヤマグチ</t>
    </rPh>
    <phoneticPr fontId="2"/>
  </si>
  <si>
    <t>平松　和夫</t>
    <rPh sb="0" eb="2">
      <t>ヒラマツ</t>
    </rPh>
    <rPh sb="3" eb="5">
      <t>カズオ</t>
    </rPh>
    <phoneticPr fontId="2"/>
  </si>
  <si>
    <t>中川　静代</t>
    <rPh sb="0" eb="2">
      <t>ナカガワ</t>
    </rPh>
    <rPh sb="3" eb="5">
      <t>シズヨ</t>
    </rPh>
    <phoneticPr fontId="2"/>
  </si>
  <si>
    <t>西島　秀夫</t>
    <rPh sb="0" eb="2">
      <t>ニシジマ</t>
    </rPh>
    <rPh sb="3" eb="5">
      <t>ヒデオ</t>
    </rPh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</si>
  <si>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</si>
  <si>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</si>
  <si>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最大</t>
    <rPh sb="0" eb="2">
      <t>サイダイ</t>
    </rPh>
    <phoneticPr fontId="2"/>
  </si>
  <si>
    <t>仕入先別支払額一覧表</t>
    <rPh sb="0" eb="3">
      <t>シイレサキ</t>
    </rPh>
    <rPh sb="3" eb="4">
      <t>ベツ</t>
    </rPh>
    <rPh sb="4" eb="10">
      <t>シハライガクイチランヒョウ</t>
    </rPh>
    <phoneticPr fontId="2"/>
  </si>
  <si>
    <t>コード</t>
    <phoneticPr fontId="2"/>
  </si>
  <si>
    <t>仕入先名</t>
    <rPh sb="0" eb="4">
      <t>シイレサキメイ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</si>
  <si>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</si>
  <si>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</si>
  <si>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</si>
  <si>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仕入額</t>
    <rPh sb="0" eb="3">
      <t>シイレガク</t>
    </rPh>
    <phoneticPr fontId="2"/>
  </si>
  <si>
    <t>値引額</t>
    <rPh sb="0" eb="3">
      <t>ネビキガク</t>
    </rPh>
    <phoneticPr fontId="2"/>
  </si>
  <si>
    <t>支払額</t>
    <rPh sb="0" eb="3">
      <t>シハライガク</t>
    </rPh>
    <phoneticPr fontId="2"/>
  </si>
  <si>
    <t>増量数</t>
    <rPh sb="0" eb="3">
      <t>ゾウリョウスウ</t>
    </rPh>
    <phoneticPr fontId="2"/>
  </si>
  <si>
    <t>中川総業</t>
    <rPh sb="0" eb="2">
      <t>ナカガワ</t>
    </rPh>
    <rPh sb="2" eb="4">
      <t>ソウギョウ</t>
    </rPh>
    <phoneticPr fontId="2"/>
  </si>
  <si>
    <t>北商店</t>
    <rPh sb="0" eb="1">
      <t>キタ</t>
    </rPh>
    <rPh sb="1" eb="3">
      <t>ショウテン</t>
    </rPh>
    <phoneticPr fontId="2"/>
  </si>
  <si>
    <t>カワモト</t>
    <phoneticPr fontId="2"/>
  </si>
  <si>
    <t>関東商会</t>
    <rPh sb="0" eb="4">
      <t>カントウショウカイ</t>
    </rPh>
    <phoneticPr fontId="2"/>
  </si>
  <si>
    <t>光洋堂</t>
    <rPh sb="0" eb="2">
      <t>コウヨウ</t>
    </rPh>
    <rPh sb="2" eb="3">
      <t>ドウ</t>
    </rPh>
    <phoneticPr fontId="2"/>
  </si>
  <si>
    <t>大山食品</t>
    <rPh sb="0" eb="2">
      <t>オオヤマ</t>
    </rPh>
    <rPh sb="2" eb="4">
      <t>ショクヒン</t>
    </rPh>
    <phoneticPr fontId="2"/>
  </si>
  <si>
    <t>ＪＳＴＥ</t>
    <phoneticPr fontId="2"/>
  </si>
  <si>
    <t>南商事</t>
    <rPh sb="0" eb="3">
      <t>ミナミショウジ</t>
    </rPh>
    <phoneticPr fontId="2"/>
  </si>
  <si>
    <t>前島物産</t>
    <rPh sb="0" eb="2">
      <t>マエジマ</t>
    </rPh>
    <rPh sb="2" eb="4">
      <t>ブッサン</t>
    </rPh>
    <phoneticPr fontId="2"/>
  </si>
  <si>
    <t>得意先別売上一覧表</t>
    <rPh sb="0" eb="4">
      <t>トクイサキベツ</t>
    </rPh>
    <rPh sb="4" eb="9">
      <t>ウリアゲイチランヒョウ</t>
    </rPh>
    <phoneticPr fontId="2"/>
  </si>
  <si>
    <t>得意先名</t>
    <rPh sb="0" eb="4">
      <t>トクイサキメイ</t>
    </rPh>
    <phoneticPr fontId="2"/>
  </si>
  <si>
    <t>定価</t>
    <rPh sb="0" eb="2">
      <t>テイカ</t>
    </rPh>
    <phoneticPr fontId="2"/>
  </si>
  <si>
    <t>売価</t>
    <rPh sb="0" eb="2">
      <t>バイカ</t>
    </rPh>
    <phoneticPr fontId="2"/>
  </si>
  <si>
    <t>売上数</t>
    <rPh sb="0" eb="3">
      <t>ウリアゲスウ</t>
    </rPh>
    <phoneticPr fontId="2"/>
  </si>
  <si>
    <t>金額</t>
    <rPh sb="0" eb="2">
      <t>キンガク</t>
    </rPh>
    <phoneticPr fontId="2"/>
  </si>
  <si>
    <t>割引額</t>
    <rPh sb="0" eb="3">
      <t>ワリビキガク</t>
    </rPh>
    <phoneticPr fontId="2"/>
  </si>
  <si>
    <t>売上額</t>
    <rPh sb="0" eb="3">
      <t>ウリアゲガク</t>
    </rPh>
    <phoneticPr fontId="2"/>
  </si>
  <si>
    <t>ナカムラ</t>
    <phoneticPr fontId="2"/>
  </si>
  <si>
    <t>誠企画</t>
    <rPh sb="0" eb="3">
      <t>マコトキカク</t>
    </rPh>
    <phoneticPr fontId="2"/>
  </si>
  <si>
    <t>みどりや</t>
    <phoneticPr fontId="2"/>
  </si>
  <si>
    <t>ＳＫＬ</t>
    <phoneticPr fontId="2"/>
  </si>
  <si>
    <t>梅木商会</t>
    <rPh sb="0" eb="4">
      <t>ウメキショウカイ</t>
    </rPh>
    <phoneticPr fontId="2"/>
  </si>
  <si>
    <t>吉田屋</t>
    <rPh sb="0" eb="3">
      <t>ヨシダヤ</t>
    </rPh>
    <phoneticPr fontId="2"/>
  </si>
  <si>
    <t>明和商事</t>
    <rPh sb="0" eb="4">
      <t>メイワショウジ</t>
    </rPh>
    <phoneticPr fontId="2"/>
  </si>
  <si>
    <t>昭和堂</t>
    <rPh sb="0" eb="3">
      <t>ショウワドウ</t>
    </rPh>
    <phoneticPr fontId="2"/>
  </si>
  <si>
    <t>大石電気</t>
    <rPh sb="0" eb="4">
      <t>オオイシデンキ</t>
    </rPh>
    <phoneticPr fontId="2"/>
  </si>
  <si>
    <t>外注加工賃一覧表</t>
    <rPh sb="0" eb="8">
      <t>ガイチュウカコウチンイチランヒョウ</t>
    </rPh>
    <phoneticPr fontId="2"/>
  </si>
  <si>
    <t>発注先名</t>
    <rPh sb="0" eb="4">
      <t>ハッチュウサキメイ</t>
    </rPh>
    <phoneticPr fontId="2"/>
  </si>
  <si>
    <t>製品名</t>
    <rPh sb="0" eb="3">
      <t>セイヒンメイ</t>
    </rPh>
    <phoneticPr fontId="2"/>
  </si>
  <si>
    <t>加工賃</t>
    <rPh sb="0" eb="3">
      <t>カコウチン</t>
    </rPh>
    <phoneticPr fontId="2"/>
  </si>
  <si>
    <t>運送費</t>
    <rPh sb="0" eb="3">
      <t>ウンソウヒ</t>
    </rPh>
    <phoneticPr fontId="2"/>
  </si>
  <si>
    <t>奨励金</t>
    <rPh sb="0" eb="3">
      <t>ショウレイキン</t>
    </rPh>
    <phoneticPr fontId="2"/>
  </si>
  <si>
    <t>支払総額</t>
    <rPh sb="0" eb="4">
      <t>シハライソウガク</t>
    </rPh>
    <phoneticPr fontId="2"/>
  </si>
  <si>
    <t>大森精工</t>
    <rPh sb="0" eb="4">
      <t>オオモリセイコウ</t>
    </rPh>
    <phoneticPr fontId="2"/>
  </si>
  <si>
    <t>共進工業</t>
    <rPh sb="0" eb="4">
      <t>キョウシンコウギョウ</t>
    </rPh>
    <phoneticPr fontId="2"/>
  </si>
  <si>
    <t>ＡＭＡＸ</t>
    <phoneticPr fontId="2"/>
  </si>
  <si>
    <t>千葉工業</t>
    <rPh sb="0" eb="4">
      <t>チバコウギョウ</t>
    </rPh>
    <phoneticPr fontId="2"/>
  </si>
  <si>
    <t>カタオカ</t>
    <phoneticPr fontId="2"/>
  </si>
  <si>
    <t>山下電機</t>
    <rPh sb="0" eb="2">
      <t>ヤマシタ</t>
    </rPh>
    <rPh sb="2" eb="4">
      <t>デンキ</t>
    </rPh>
    <phoneticPr fontId="2"/>
  </si>
  <si>
    <t>中央産業</t>
    <rPh sb="0" eb="4">
      <t>チュウオウサンギョウ</t>
    </rPh>
    <phoneticPr fontId="2"/>
  </si>
  <si>
    <t>ＳＧ工機</t>
    <rPh sb="2" eb="4">
      <t>コウキ</t>
    </rPh>
    <phoneticPr fontId="2"/>
  </si>
  <si>
    <t>富士精機</t>
    <rPh sb="0" eb="2">
      <t>フジ</t>
    </rPh>
    <rPh sb="2" eb="4">
      <t>セイキ</t>
    </rPh>
    <phoneticPr fontId="2"/>
  </si>
  <si>
    <t>最小</t>
    <rPh sb="0" eb="2">
      <t>サイショウ</t>
    </rPh>
    <phoneticPr fontId="2"/>
  </si>
  <si>
    <t>J</t>
    <phoneticPr fontId="2"/>
  </si>
  <si>
    <t>M</t>
    <phoneticPr fontId="2"/>
  </si>
  <si>
    <t>L</t>
    <phoneticPr fontId="2"/>
  </si>
  <si>
    <t>K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</si>
  <si>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</si>
  <si>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</si>
  <si>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</si>
  <si>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</si>
  <si>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</si>
  <si>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</si>
  <si>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</si>
  <si>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</si>
  <si>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</si>
  <si>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E商品</t>
    <rPh sb="1" eb="3">
      <t>ショウヒン</t>
    </rPh>
    <phoneticPr fontId="2"/>
  </si>
  <si>
    <t>H商品</t>
    <rPh sb="1" eb="3">
      <t>ショウヒン</t>
    </rPh>
    <phoneticPr fontId="2"/>
  </si>
  <si>
    <t>G商品</t>
    <rPh sb="1" eb="3">
      <t>ショウヒン</t>
    </rPh>
    <phoneticPr fontId="2"/>
  </si>
  <si>
    <t>D商品</t>
    <rPh sb="1" eb="3">
      <t>ショウヒン</t>
    </rPh>
    <phoneticPr fontId="2"/>
  </si>
  <si>
    <t>F商品</t>
    <rPh sb="1" eb="3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</si>
</sst>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%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2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6" fontId="0" fillId="0" borderId="1" xfId="1" applyFont="1" applyBorder="1">
      <alignment vertical="center"/>
    </xf>
    <xf numFmtId="6" fontId="0" fillId="0" borderId="6" xfId="1" applyFont="1" applyBorder="1">
      <alignment vertical="center"/>
    </xf>
    <xf numFmtId="6" fontId="0" fillId="0" borderId="8" xfId="1" applyFont="1" applyBorder="1">
      <alignment vertical="center"/>
    </xf>
    <xf numFmtId="6" fontId="0" fillId="0" borderId="9" xfId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38" fontId="0" fillId="0" borderId="0" xfId="3" applyFont="1">
      <alignment vertical="center"/>
    </xf>
    <xf numFmtId="38" fontId="0" fillId="0" borderId="0" xfId="3" applyFont="1" applyAlignment="1">
      <alignment horizontal="center" vertical="center"/>
    </xf>
    <xf numFmtId="38" fontId="0" fillId="0" borderId="1" xfId="3" applyFont="1" applyBorder="1">
      <alignment vertical="center"/>
    </xf>
    <xf numFmtId="38" fontId="0" fillId="0" borderId="1" xfId="3" applyFont="1" applyBorder="1" applyAlignment="1">
      <alignment horizontal="center" vertical="center"/>
    </xf>
    <xf numFmtId="38" fontId="0" fillId="0" borderId="2" xfId="3" applyFont="1" applyBorder="1" applyAlignment="1">
      <alignment horizontal="center" vertical="center"/>
    </xf>
    <xf numFmtId="38" fontId="0" fillId="0" borderId="3" xfId="3" applyFont="1" applyBorder="1" applyAlignment="1">
      <alignment horizontal="center" vertical="center"/>
    </xf>
    <xf numFmtId="38" fontId="0" fillId="0" borderId="4" xfId="3" applyFont="1" applyBorder="1" applyAlignment="1">
      <alignment horizontal="center" vertical="center"/>
    </xf>
    <xf numFmtId="38" fontId="0" fillId="0" borderId="5" xfId="3" applyFont="1" applyBorder="1">
      <alignment vertical="center"/>
    </xf>
    <xf numFmtId="176" fontId="0" fillId="0" borderId="6" xfId="2" applyNumberFormat="1" applyFont="1" applyBorder="1">
      <alignment vertical="center"/>
    </xf>
    <xf numFmtId="38" fontId="0" fillId="0" borderId="6" xfId="3" applyFont="1" applyBorder="1">
      <alignment vertical="center"/>
    </xf>
    <xf numFmtId="38" fontId="0" fillId="0" borderId="7" xfId="3" applyFont="1" applyBorder="1">
      <alignment vertical="center"/>
    </xf>
    <xf numFmtId="38" fontId="0" fillId="0" borderId="8" xfId="3" applyFont="1" applyBorder="1" applyAlignment="1">
      <alignment horizontal="center" vertical="center"/>
    </xf>
    <xf numFmtId="38" fontId="0" fillId="0" borderId="8" xfId="3" applyFont="1" applyBorder="1">
      <alignment vertical="center"/>
    </xf>
    <xf numFmtId="38" fontId="0" fillId="0" borderId="9" xfId="3" applyFont="1" applyBorder="1">
      <alignment vertical="center"/>
    </xf>
    <xf numFmtId="38" fontId="0" fillId="0" borderId="0" xfId="3" applyFont="1" applyBorder="1" applyAlignment="1">
      <alignment horizontal="center" vertical="center"/>
    </xf>
  </cellXfs>
  <cellStyles count="4">
    <cellStyle name="パーセント" xfId="2" builtinId="5"/>
    <cellStyle name="桁区切り" xfId="3" builtinId="6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B38-3C14-4158-A75E-093C9949C3D9}">
  <sheetPr>
    <tabColor rgb="FFFFFF00"/>
  </sheetPr>
  <dimension ref="A1:N17"/>
  <sheetViews>
    <sheetView workbookViewId="0">
      <selection activeCell="E3" sqref="E3"/>
    </sheetView>
  </sheetViews>
  <sheetFormatPr defaultColWidth="8.625" defaultRowHeight="18.75" x14ac:dyDescent="0.4"/>
  <cols>
    <col min="1" max="1" width="4.125" bestFit="1" customWidth="1"/>
    <col min="2" max="2" width="10.375" bestFit="1" customWidth="1"/>
    <col min="3" max="3" width="6.625" bestFit="1" customWidth="1"/>
    <col min="4" max="4" width="10.25" bestFit="1" customWidth="1"/>
    <col min="5" max="5" width="9.125" bestFit="1" customWidth="1"/>
    <col min="6" max="6" width="7.75" bestFit="1" customWidth="1"/>
    <col min="7" max="7" width="7.625" bestFit="1" customWidth="1"/>
    <col min="8" max="8" width="9.125" bestFit="1" customWidth="1"/>
    <col min="9" max="9" width="4.875" bestFit="1" customWidth="1"/>
    <col min="13" max="13" width="11.625" customWidth="1"/>
  </cols>
  <sheetData>
    <row r="1" spans="1:14" ht="19.5" thickBot="1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4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K2" s="20" t="s">
        <v>10</v>
      </c>
    </row>
    <row r="3" spans="1:14" x14ac:dyDescent="0.4">
      <c r="A3" s="7">
        <v>102</v>
      </c>
      <c r="B3" s="1" t="s">
        <v>11</v>
      </c>
      <c r="C3" s="2">
        <v>324</v>
      </c>
      <c r="D3" s="2">
        <v>715600</v>
      </c>
      <c r="E3" s="3">
        <f t="shared" ref="E3:E11" si="0">IF(C3&gt;=520,8.6%,7.9%)</f>
        <v>7.9000000000000001E-2</v>
      </c>
      <c r="F3" s="2">
        <f t="shared" ref="F3:F11" si="1">INT(D3*E3)</f>
        <v>56532</v>
      </c>
      <c r="G3" s="2">
        <f t="shared" ref="G3:G11" si="2">ROUNDUP(D3*2.7%,0)</f>
        <v>19322</v>
      </c>
      <c r="H3" s="2">
        <f t="shared" ref="H3:H11" si="3">F3+G3</f>
        <v>75854</v>
      </c>
      <c r="I3" s="8">
        <f t="shared" ref="I3:I11" si="4">RANK(H3,$H$3:$H$11,0)</f>
        <v>9</v>
      </c>
      <c r="K3" t="s">
        <v>12</v>
      </c>
      <c r="L3" t="s">
        <v>13</v>
      </c>
      <c r="N3" s="21" t="s">
        <v>14</v>
      </c>
    </row>
    <row r="4" spans="1:14" x14ac:dyDescent="0.4">
      <c r="A4" s="7">
        <v>109</v>
      </c>
      <c r="B4" s="1" t="s">
        <v>15</v>
      </c>
      <c r="C4" s="2">
        <v>352</v>
      </c>
      <c r="D4" s="2">
        <v>769300</v>
      </c>
      <c r="E4" s="3">
        <f t="shared" si="0"/>
        <v>7.9000000000000001E-2</v>
      </c>
      <c r="F4" s="2">
        <f t="shared" si="1"/>
        <v>60774</v>
      </c>
      <c r="G4" s="2">
        <f t="shared" si="2"/>
        <v>20772</v>
      </c>
      <c r="H4" s="2">
        <f t="shared" si="3"/>
        <v>81546</v>
      </c>
      <c r="I4" s="8">
        <f t="shared" si="4"/>
        <v>8</v>
      </c>
      <c r="K4" t="s">
        <v>16</v>
      </c>
      <c r="L4" t="s">
        <v>17</v>
      </c>
      <c r="N4" s="21" t="s">
        <v>18</v>
      </c>
    </row>
    <row r="5" spans="1:14" x14ac:dyDescent="0.4">
      <c r="A5" s="7">
        <v>103</v>
      </c>
      <c r="B5" s="1" t="s">
        <v>19</v>
      </c>
      <c r="C5" s="2">
        <v>403</v>
      </c>
      <c r="D5" s="2">
        <v>963800</v>
      </c>
      <c r="E5" s="3">
        <f t="shared" si="0"/>
        <v>7.9000000000000001E-2</v>
      </c>
      <c r="F5" s="2">
        <f t="shared" si="1"/>
        <v>76140</v>
      </c>
      <c r="G5" s="2">
        <f t="shared" si="2"/>
        <v>26023</v>
      </c>
      <c r="H5" s="2">
        <f t="shared" si="3"/>
        <v>102163</v>
      </c>
      <c r="I5" s="8">
        <f t="shared" si="4"/>
        <v>6</v>
      </c>
      <c r="K5" s="22" t="s">
        <v>20</v>
      </c>
      <c r="L5" s="22" t="s">
        <v>21</v>
      </c>
      <c r="N5" s="21" t="s">
        <v>22</v>
      </c>
    </row>
    <row r="6" spans="1:14" x14ac:dyDescent="0.4">
      <c r="A6" s="7">
        <v>105</v>
      </c>
      <c r="B6" s="1" t="s">
        <v>23</v>
      </c>
      <c r="C6" s="2">
        <v>409</v>
      </c>
      <c r="D6" s="2">
        <v>857200</v>
      </c>
      <c r="E6" s="3">
        <f t="shared" si="0"/>
        <v>7.9000000000000001E-2</v>
      </c>
      <c r="F6" s="2">
        <f t="shared" si="1"/>
        <v>67718</v>
      </c>
      <c r="G6" s="2">
        <f t="shared" si="2"/>
        <v>23145</v>
      </c>
      <c r="H6" s="2">
        <f t="shared" si="3"/>
        <v>90863</v>
      </c>
      <c r="I6" s="8">
        <f t="shared" si="4"/>
        <v>7</v>
      </c>
      <c r="K6" t="s">
        <v>9</v>
      </c>
      <c r="L6" t="s">
        <v>24</v>
      </c>
      <c r="N6" s="21" t="s">
        <v>25</v>
      </c>
    </row>
    <row r="7" spans="1:14" x14ac:dyDescent="0.4">
      <c r="A7" s="7">
        <v>107</v>
      </c>
      <c r="B7" s="1" t="s">
        <v>26</v>
      </c>
      <c r="C7" s="2">
        <v>520</v>
      </c>
      <c r="D7" s="2">
        <v>1236400</v>
      </c>
      <c r="E7" s="3">
        <f t="shared" si="0"/>
        <v>8.5999999999999993E-2</v>
      </c>
      <c r="F7" s="2">
        <f t="shared" si="1"/>
        <v>106330</v>
      </c>
      <c r="G7" s="2">
        <f t="shared" si="2"/>
        <v>33383</v>
      </c>
      <c r="H7" s="2">
        <f t="shared" si="3"/>
        <v>139713</v>
      </c>
      <c r="I7" s="8">
        <f t="shared" si="4"/>
        <v>4</v>
      </c>
    </row>
    <row r="8" spans="1:14" x14ac:dyDescent="0.4">
      <c r="A8" s="7">
        <v>106</v>
      </c>
      <c r="B8" s="1" t="s">
        <v>27</v>
      </c>
      <c r="C8" s="2">
        <v>527</v>
      </c>
      <c r="D8" s="2">
        <v>1150700</v>
      </c>
      <c r="E8" s="3">
        <f t="shared" si="0"/>
        <v>8.5999999999999993E-2</v>
      </c>
      <c r="F8" s="2">
        <f t="shared" si="1"/>
        <v>98960</v>
      </c>
      <c r="G8" s="2">
        <f t="shared" si="2"/>
        <v>31069</v>
      </c>
      <c r="H8" s="2">
        <f t="shared" si="3"/>
        <v>130029</v>
      </c>
      <c r="I8" s="8">
        <f t="shared" si="4"/>
        <v>5</v>
      </c>
      <c r="K8" t="s">
        <v>28</v>
      </c>
      <c r="L8" t="s">
        <v>29</v>
      </c>
      <c r="N8" s="21" t="s">
        <v>30</v>
      </c>
    </row>
    <row r="9" spans="1:14" x14ac:dyDescent="0.4">
      <c r="A9" s="7">
        <v>108</v>
      </c>
      <c r="B9" s="1" t="s">
        <v>31</v>
      </c>
      <c r="C9" s="2">
        <v>561</v>
      </c>
      <c r="D9" s="2">
        <v>1358100</v>
      </c>
      <c r="E9" s="3">
        <f t="shared" si="0"/>
        <v>8.5999999999999993E-2</v>
      </c>
      <c r="F9" s="2">
        <f t="shared" si="1"/>
        <v>116796</v>
      </c>
      <c r="G9" s="2">
        <f t="shared" si="2"/>
        <v>36669</v>
      </c>
      <c r="H9" s="2">
        <f t="shared" si="3"/>
        <v>153465</v>
      </c>
      <c r="I9" s="8">
        <f t="shared" si="4"/>
        <v>3</v>
      </c>
      <c r="K9" t="s">
        <v>32</v>
      </c>
      <c r="L9" t="s">
        <v>33</v>
      </c>
      <c r="N9" s="21" t="s">
        <v>34</v>
      </c>
    </row>
    <row r="10" spans="1:14" x14ac:dyDescent="0.4">
      <c r="A10" s="7">
        <v>101</v>
      </c>
      <c r="B10" s="1" t="s">
        <v>35</v>
      </c>
      <c r="C10" s="2">
        <v>576</v>
      </c>
      <c r="D10" s="2">
        <v>1389200</v>
      </c>
      <c r="E10" s="3">
        <f t="shared" si="0"/>
        <v>8.5999999999999993E-2</v>
      </c>
      <c r="F10" s="2">
        <f t="shared" si="1"/>
        <v>119471</v>
      </c>
      <c r="G10" s="2">
        <f t="shared" si="2"/>
        <v>37509</v>
      </c>
      <c r="H10" s="2">
        <f t="shared" si="3"/>
        <v>156980</v>
      </c>
      <c r="I10" s="8">
        <f t="shared" si="4"/>
        <v>2</v>
      </c>
      <c r="K10" t="s">
        <v>36</v>
      </c>
      <c r="L10" t="s">
        <v>37</v>
      </c>
      <c r="N10" s="21" t="s">
        <v>38</v>
      </c>
    </row>
    <row r="11" spans="1:14" x14ac:dyDescent="0.4">
      <c r="A11" s="7">
        <v>104</v>
      </c>
      <c r="B11" s="1" t="s">
        <v>39</v>
      </c>
      <c r="C11" s="2">
        <v>615</v>
      </c>
      <c r="D11" s="2">
        <v>1541900</v>
      </c>
      <c r="E11" s="3">
        <f t="shared" si="0"/>
        <v>8.5999999999999993E-2</v>
      </c>
      <c r="F11" s="2">
        <f t="shared" si="1"/>
        <v>132603</v>
      </c>
      <c r="G11" s="2">
        <f t="shared" si="2"/>
        <v>41632</v>
      </c>
      <c r="H11" s="2">
        <f t="shared" si="3"/>
        <v>174235</v>
      </c>
      <c r="I11" s="8">
        <f t="shared" si="4"/>
        <v>1</v>
      </c>
    </row>
    <row r="12" spans="1:14" x14ac:dyDescent="0.4">
      <c r="A12" s="7"/>
      <c r="B12" s="1"/>
      <c r="C12" s="1"/>
      <c r="D12" s="1"/>
      <c r="E12" s="1"/>
      <c r="F12" s="1"/>
      <c r="G12" s="1"/>
      <c r="H12" s="1"/>
      <c r="I12" s="8"/>
    </row>
    <row r="13" spans="1:14" ht="19.5" thickBot="1" x14ac:dyDescent="0.45">
      <c r="A13" s="9"/>
      <c r="B13" s="10" t="s">
        <v>28</v>
      </c>
      <c r="C13" s="11">
        <f>SUM(C3:C11)</f>
        <v>4287</v>
      </c>
      <c r="D13" s="11">
        <f t="shared" ref="D13:H13" si="5">SUM(D3:D11)</f>
        <v>9982200</v>
      </c>
      <c r="E13" s="11"/>
      <c r="F13" s="11">
        <f t="shared" si="5"/>
        <v>835324</v>
      </c>
      <c r="G13" s="11">
        <f t="shared" si="5"/>
        <v>269524</v>
      </c>
      <c r="H13" s="11">
        <f t="shared" si="5"/>
        <v>1104848</v>
      </c>
      <c r="I13" s="12"/>
    </row>
    <row r="14" spans="1:14" ht="19.5" thickBot="1" x14ac:dyDescent="0.45"/>
    <row r="15" spans="1:14" x14ac:dyDescent="0.4">
      <c r="C15" s="13"/>
      <c r="D15" s="5" t="s">
        <v>4</v>
      </c>
      <c r="E15" s="5" t="s">
        <v>6</v>
      </c>
      <c r="F15" s="6" t="s">
        <v>7</v>
      </c>
    </row>
    <row r="16" spans="1:14" x14ac:dyDescent="0.4">
      <c r="C16" s="14" t="s">
        <v>32</v>
      </c>
      <c r="D16" s="16">
        <f>AVERAGE(D3:D11)</f>
        <v>1109133.3333333333</v>
      </c>
      <c r="E16" s="16">
        <f>AVERAGE(F3:F11)</f>
        <v>92813.777777777781</v>
      </c>
      <c r="F16" s="17">
        <f>AVERAGE(G3:G11)</f>
        <v>29947.111111111109</v>
      </c>
    </row>
    <row r="17" spans="3:6" ht="19.5" thickBot="1" x14ac:dyDescent="0.45">
      <c r="C17" s="15" t="s">
        <v>36</v>
      </c>
      <c r="D17" s="18">
        <f>MIN(D3:D11)</f>
        <v>715600</v>
      </c>
      <c r="E17" s="18">
        <f>MIN(F3:F11)</f>
        <v>56532</v>
      </c>
      <c r="F17" s="19">
        <f>MIN(G3:G11)</f>
        <v>19322</v>
      </c>
    </row>
  </sheetData>
  <sortState ref="A3:I11">
    <sortCondition ref="C2:C11"/>
  </sortState>
  <mergeCells count="1">
    <mergeCell ref="A1:I1"/>
  </mergeCells>
  <phoneticPr fontId="2" type="Hiragana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FF7D-E278-47BA-AB82-64B492D827E7}">
  <dimension ref="A1:I15"/>
  <sheetViews>
    <sheetView workbookViewId="0">
      <selection activeCell="K12" sqref="K12"/>
    </sheetView>
  </sheetViews>
  <sheetFormatPr defaultRowHeight="27.75" x14ac:dyDescent="0.4"/>
  <cols>
    <col min="1" max="1" width="4.5" style="24" bestFit="1" customWidth="1" phonetic="1"/>
    <col min="2" max="2" width="11.25" style="24" bestFit="1" customWidth="1" phonetic="1"/>
    <col min="3" max="5" width="9.5" style="24" bestFit="1" customWidth="1" phonetic="1"/>
    <col min="6" max="6" width="7.5" style="24" bestFit="1" customWidth="1" phonetic="1"/>
    <col min="7" max="7" width="9.5" style="24" bestFit="1" customWidth="1" phonetic="1"/>
    <col min="8" max="8" width="9" style="24" phonetic="1"/>
    <col min="9" max="9" width="5.5" style="24" bestFit="1" customWidth="1" phonetic="1"/>
    <col min="10" max="16384" width="9" style="24" phonetic="1"/>
  </cols>
  <sheetData>
    <row r="1" spans="1:9" s="24" customFormat="1" ht="28.5" thickBot="1" ph="1" x14ac:dyDescent="0.45">
      <c r="A1" s="25" t="s" ph="1">
        <v>40</v>
      </c>
      <c r="B1" s="25" ph="1"/>
      <c r="C1" s="25" ph="1"/>
      <c r="D1" s="25" ph="1"/>
      <c r="E1" s="25" ph="1"/>
      <c r="F1" s="25" ph="1"/>
      <c r="G1" s="25" ph="1"/>
      <c r="H1" s="25" ph="1"/>
      <c r="I1" s="25" ph="1"/>
    </row>
    <row r="2" spans="1:9" s="24" customFormat="1" ph="1" x14ac:dyDescent="0.4">
      <c r="A2" s="28" t="s" ph="1">
        <v>41</v>
      </c>
      <c r="B2" s="29" t="s" ph="1">
        <v>42</v>
      </c>
      <c r="C2" s="29" t="s" ph="1">
        <v>43</v>
      </c>
      <c r="D2" s="29" t="s" ph="1">
        <v>44</v>
      </c>
      <c r="E2" s="29" t="s" ph="1">
        <v>45</v>
      </c>
      <c r="F2" s="29" t="s" ph="1">
        <v>46</v>
      </c>
      <c r="G2" s="29" t="s" ph="1">
        <v>47</v>
      </c>
      <c r="H2" s="29" t="s" ph="1">
        <v>48</v>
      </c>
      <c r="I2" s="30" t="s" ph="1">
        <v>49</v>
      </c>
    </row>
    <row r="3" spans="1:9" s="24" customFormat="1" ph="1" x14ac:dyDescent="0.4">
      <c r="A3" s="31" ph="1">
        <v>101</v>
      </c>
      <c r="B3" s="26" t="s" ph="1">
        <v>50</v>
      </c>
      <c r="C3" s="26" ph="1">
        <v>235000</v>
      </c>
      <c r="D3" s="26" ph="1">
        <v>10</v>
      </c>
      <c r="E3" s="26" ph="1">
        <f>ROUNDUP(C3/160*1.25*D3,0)</f>
        <v>18360</v>
      </c>
      <c r="F3" s="26" ph="1">
        <f>C3*1.2%</f>
        <v>2820</v>
      </c>
      <c r="G3" s="26" ph="1">
        <f>C3+E3-F3</f>
        <v>250540</v>
      </c>
      <c r="H3" s="3" ph="1">
        <f>G3/$G$13</f>
        <v>0.11794891108872296</v>
      </c>
      <c r="I3" s="33" t="str" ph="1">
        <f>IF(G3&gt;=240000,"**","*")</f>
        <v>**</v>
      </c>
    </row>
    <row r="4" spans="1:9" s="24" customFormat="1" ph="1" x14ac:dyDescent="0.4">
      <c r="A4" s="31" ph="1">
        <v>102</v>
      </c>
      <c r="B4" s="26" t="s" ph="1">
        <v>51</v>
      </c>
      <c r="C4" s="26" ph="1">
        <v>226000</v>
      </c>
      <c r="D4" s="26" ph="1">
        <v>12</v>
      </c>
      <c r="E4" s="26" ph="1">
        <f t="shared" ref="E4:E11" si="0">ROUNDUP(C4/160*1.25*D4,0)</f>
        <v>21188</v>
      </c>
      <c r="F4" s="26" ph="1">
        <f t="shared" ref="F4:F11" si="1">C4*1.2%</f>
        <v>2712</v>
      </c>
      <c r="G4" s="26" ph="1">
        <f t="shared" ref="G4:G11" si="2">C4+E4-F4</f>
        <v>244476</v>
      </c>
      <c r="H4" s="3" ph="1">
        <f t="shared" ref="H4:H11" si="3">G4/$G$13</f>
        <v>0.11509410867456947</v>
      </c>
      <c r="I4" s="33" t="str" ph="1">
        <f t="shared" ref="I4:I11" si="4">IF(G4&gt;=240000,"**","*")</f>
        <v>**</v>
      </c>
    </row>
    <row r="5" spans="1:9" s="24" customFormat="1" ph="1" x14ac:dyDescent="0.4">
      <c r="A5" s="31" ph="1">
        <v>103</v>
      </c>
      <c r="B5" s="26" t="s" ph="1">
        <v>52</v>
      </c>
      <c r="C5" s="26" ph="1">
        <v>193000</v>
      </c>
      <c r="D5" s="26" ph="1">
        <v>15</v>
      </c>
      <c r="E5" s="26" ph="1">
        <f t="shared" si="0"/>
        <v>22618</v>
      </c>
      <c r="F5" s="26" ph="1">
        <f t="shared" si="1"/>
        <v>2316</v>
      </c>
      <c r="G5" s="26" ph="1">
        <f t="shared" si="2"/>
        <v>213302</v>
      </c>
      <c r="H5" s="3" ph="1">
        <f t="shared" si="3"/>
        <v>0.10041805154085889</v>
      </c>
      <c r="I5" s="33" t="str" ph="1">
        <f t="shared" si="4"/>
        <v>*</v>
      </c>
    </row>
    <row r="6" spans="1:9" s="24" customFormat="1" ph="1" x14ac:dyDescent="0.4">
      <c r="A6" s="31" ph="1">
        <v>104</v>
      </c>
      <c r="B6" s="26" t="s" ph="1">
        <v>53</v>
      </c>
      <c r="C6" s="26" ph="1">
        <v>238000</v>
      </c>
      <c r="D6" s="26" ph="1">
        <v>18</v>
      </c>
      <c r="E6" s="26" ph="1">
        <f t="shared" si="0"/>
        <v>33469</v>
      </c>
      <c r="F6" s="26" ph="1">
        <f t="shared" si="1"/>
        <v>2856</v>
      </c>
      <c r="G6" s="26" ph="1">
        <f t="shared" si="2"/>
        <v>268613</v>
      </c>
      <c r="H6" s="3" ph="1">
        <f t="shared" si="3"/>
        <v>0.12645729565847824</v>
      </c>
      <c r="I6" s="33" t="str" ph="1">
        <f t="shared" si="4"/>
        <v>**</v>
      </c>
    </row>
    <row r="7" spans="1:9" s="24" customFormat="1" ph="1" x14ac:dyDescent="0.4">
      <c r="A7" s="31" ph="1">
        <v>105</v>
      </c>
      <c r="B7" s="26" t="s" ph="1">
        <v>54</v>
      </c>
      <c r="C7" s="26" ph="1">
        <v>187000</v>
      </c>
      <c r="D7" s="26" ph="1">
        <v>14</v>
      </c>
      <c r="E7" s="26" ph="1">
        <f t="shared" si="0"/>
        <v>20454</v>
      </c>
      <c r="F7" s="26" ph="1">
        <f t="shared" si="1"/>
        <v>2244</v>
      </c>
      <c r="G7" s="26" ph="1">
        <f t="shared" si="2"/>
        <v>205210</v>
      </c>
      <c r="H7" s="3" ph="1">
        <f t="shared" si="3"/>
        <v>9.6608509796906036E-2</v>
      </c>
      <c r="I7" s="33" t="str" ph="1">
        <f t="shared" si="4"/>
        <v>*</v>
      </c>
    </row>
    <row r="8" spans="1:9" s="24" customFormat="1" ph="1" x14ac:dyDescent="0.4">
      <c r="A8" s="31" ph="1">
        <v>106</v>
      </c>
      <c r="B8" s="26" t="s" ph="1">
        <v>55</v>
      </c>
      <c r="C8" s="26" ph="1">
        <v>230000</v>
      </c>
      <c r="D8" s="26" ph="1">
        <v>11</v>
      </c>
      <c r="E8" s="26" ph="1">
        <f t="shared" si="0"/>
        <v>19766</v>
      </c>
      <c r="F8" s="26" ph="1">
        <f t="shared" si="1"/>
        <v>2760</v>
      </c>
      <c r="G8" s="26" ph="1">
        <f t="shared" si="2"/>
        <v>247006</v>
      </c>
      <c r="H8" s="3" ph="1">
        <f t="shared" si="3"/>
        <v>0.11628517894300752</v>
      </c>
      <c r="I8" s="33" t="str" ph="1">
        <f t="shared" si="4"/>
        <v>**</v>
      </c>
    </row>
    <row r="9" spans="1:9" s="24" customFormat="1" ph="1" x14ac:dyDescent="0.4">
      <c r="A9" s="31" ph="1">
        <v>107</v>
      </c>
      <c r="B9" s="26" t="s" ph="1">
        <v>56</v>
      </c>
      <c r="C9" s="26" ph="1">
        <v>201000</v>
      </c>
      <c r="D9" s="26" ph="1">
        <v>19</v>
      </c>
      <c r="E9" s="26" ph="1">
        <f t="shared" si="0"/>
        <v>29836</v>
      </c>
      <c r="F9" s="26" ph="1">
        <f t="shared" si="1"/>
        <v>2412</v>
      </c>
      <c r="G9" s="26" ph="1">
        <f t="shared" si="2"/>
        <v>228424</v>
      </c>
      <c r="H9" s="3" ph="1">
        <f t="shared" si="3"/>
        <v>0.10753716798327793</v>
      </c>
      <c r="I9" s="33" t="str" ph="1">
        <f t="shared" si="4"/>
        <v>*</v>
      </c>
    </row>
    <row r="10" spans="1:9" s="24" customFormat="1" ph="1" x14ac:dyDescent="0.4">
      <c r="A10" s="31" ph="1">
        <v>108</v>
      </c>
      <c r="B10" s="26" t="s" ph="1">
        <v>57</v>
      </c>
      <c r="C10" s="26" ph="1">
        <v>196000</v>
      </c>
      <c r="D10" s="26" ph="1">
        <v>16</v>
      </c>
      <c r="E10" s="26" ph="1">
        <f t="shared" si="0"/>
        <v>24500</v>
      </c>
      <c r="F10" s="26" ph="1">
        <f t="shared" si="1"/>
        <v>2352</v>
      </c>
      <c r="G10" s="26" ph="1">
        <f t="shared" si="2"/>
        <v>218148</v>
      </c>
      <c r="H10" s="3" ph="1">
        <f t="shared" si="3"/>
        <v>0.10269944542261809</v>
      </c>
      <c r="I10" s="33" t="str" ph="1">
        <f t="shared" si="4"/>
        <v>*</v>
      </c>
    </row>
    <row r="11" spans="1:9" s="24" customFormat="1" ph="1" x14ac:dyDescent="0.4">
      <c r="A11" s="31" ph="1">
        <v>109</v>
      </c>
      <c r="B11" s="26" t="s" ph="1">
        <v>58</v>
      </c>
      <c r="C11" s="26" ph="1">
        <v>228000</v>
      </c>
      <c r="D11" s="26" ph="1">
        <v>13</v>
      </c>
      <c r="E11" s="26" ph="1">
        <f t="shared" si="0"/>
        <v>23157</v>
      </c>
      <c r="F11" s="26" ph="1">
        <f t="shared" si="1"/>
        <v>2736</v>
      </c>
      <c r="G11" s="26" ph="1">
        <f t="shared" si="2"/>
        <v>248421</v>
      </c>
      <c r="H11" s="3" ph="1">
        <f t="shared" si="3"/>
        <v>0.11695133089156082</v>
      </c>
      <c r="I11" s="33" t="str" ph="1">
        <f t="shared" si="4"/>
        <v>**</v>
      </c>
    </row>
    <row r="12" spans="1:9" s="24" customFormat="1" ph="1" x14ac:dyDescent="0.4">
      <c r="A12" s="31" ph="1"/>
      <c r="B12" s="26" ph="1"/>
      <c r="C12" s="26" ph="1"/>
      <c r="D12" s="26" ph="1"/>
      <c r="E12" s="26" ph="1"/>
      <c r="F12" s="26" ph="1"/>
      <c r="G12" s="26" ph="1"/>
      <c r="H12" s="26" ph="1"/>
      <c r="I12" s="33" ph="1"/>
    </row>
    <row r="13" spans="1:9" s="24" customFormat="1" ph="1" x14ac:dyDescent="0.4">
      <c r="A13" s="31" ph="1"/>
      <c r="B13" s="27" t="s" ph="1">
        <v>59</v>
      </c>
      <c r="C13" s="26" ph="1">
        <f>SUM(C3:C11)</f>
        <v>1934000</v>
      </c>
      <c r="D13" s="26" ph="1">
        <f t="shared" ref="D13:G13" si="5">SUM(D3:D11)</f>
        <v>128</v>
      </c>
      <c r="E13" s="26" ph="1">
        <f t="shared" si="5"/>
        <v>213348</v>
      </c>
      <c r="F13" s="26" ph="1">
        <f t="shared" si="5"/>
        <v>23208</v>
      </c>
      <c r="G13" s="26" ph="1">
        <f t="shared" si="5"/>
        <v>2124140</v>
      </c>
      <c r="H13" s="26" ph="1"/>
      <c r="I13" s="33" ph="1"/>
    </row>
    <row r="14" spans="1:9" s="24" customFormat="1" ph="1" x14ac:dyDescent="0.4">
      <c r="A14" s="31" ph="1"/>
      <c r="B14" s="27" t="s" ph="1">
        <v>60</v>
      </c>
      <c r="C14" s="26" ph="1">
        <f>AVERAGE(C3:C11)</f>
        <v>214888.88888888888</v>
      </c>
      <c r="D14" s="26" ph="1">
        <f t="shared" ref="D14:G14" si="6">AVERAGE(D3:D11)</f>
        <v>14.222222222222221</v>
      </c>
      <c r="E14" s="26" ph="1">
        <f t="shared" si="6"/>
        <v>23705.333333333332</v>
      </c>
      <c r="F14" s="26" ph="1">
        <f t="shared" si="6"/>
        <v>2578.6666666666665</v>
      </c>
      <c r="G14" s="26" ph="1">
        <f t="shared" si="6"/>
        <v>236015.55555555556</v>
      </c>
      <c r="H14" s="26" ph="1"/>
      <c r="I14" s="33" ph="1"/>
    </row>
    <row r="15" spans="1:9" s="24" customFormat="1" ht="28.5" thickBot="1" ph="1" x14ac:dyDescent="0.45">
      <c r="A15" s="34" ph="1"/>
      <c r="B15" s="35" t="s" ph="1">
        <v>61</v>
      </c>
      <c r="C15" s="36" ph="1">
        <f>MAX(C3:C11)</f>
        <v>238000</v>
      </c>
      <c r="D15" s="36" ph="1">
        <f t="shared" ref="D15:G15" si="7">MAX(D3:D11)</f>
        <v>19</v>
      </c>
      <c r="E15" s="36" ph="1">
        <f t="shared" si="7"/>
        <v>33469</v>
      </c>
      <c r="F15" s="36" ph="1">
        <f t="shared" si="7"/>
        <v>2856</v>
      </c>
      <c r="G15" s="36" ph="1">
        <f t="shared" si="7"/>
        <v>268613</v>
      </c>
      <c r="H15" s="36" ph="1"/>
      <c r="I15" s="37" ph="1"/>
    </row>
  </sheetData>
  <mergeCells count="1">
    <mergeCell ref="A1:I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AC5-1214-451F-8D3B-BCC20A9E73DD}">
  <dimension ref="A1:I13"/>
  <sheetViews>
    <sheetView workbookViewId="0">
      <selection activeCell="F15" sqref="F15"/>
    </sheetView>
  </sheetViews>
  <sheetFormatPr defaultRowHeight="27.75" x14ac:dyDescent="0.4"/>
  <cols>
    <col min="1" max="1" width="9.125" style="24" bestFit="1" customWidth="1" phonetic="1"/>
    <col min="2" max="3" width="9" style="24" phonetic="1"/>
    <col min="4" max="5" width="9.125" style="24" bestFit="1" customWidth="1" phonetic="1"/>
    <col min="6" max="6" width="9.5" style="24" bestFit="1" customWidth="1" phonetic="1"/>
    <col min="7" max="7" width="9.125" style="24" bestFit="1" customWidth="1" phonetic="1"/>
    <col min="8" max="8" width="9.5" style="24" bestFit="1" customWidth="1" phonetic="1"/>
    <col min="9" max="9" width="9.125" style="24" bestFit="1" customWidth="1" phonetic="1"/>
    <col min="10" max="16384" width="9" style="24" phonetic="1"/>
  </cols>
  <sheetData>
    <row r="1" spans="1:9" s="24" customFormat="1" ht="28.5" thickBot="1" ph="1" x14ac:dyDescent="0.45">
      <c r="A1" s="38" t="s" ph="1">
        <v>62</v>
      </c>
      <c r="B1" s="38" ph="1"/>
      <c r="C1" s="38" ph="1"/>
      <c r="D1" s="38" ph="1"/>
      <c r="E1" s="38" ph="1"/>
      <c r="F1" s="38" ph="1"/>
      <c r="G1" s="38" ph="1"/>
      <c r="H1" s="38" ph="1"/>
      <c r="I1" s="38" ph="1"/>
    </row>
    <row r="2" spans="1:9" s="24" customFormat="1" ph="1" x14ac:dyDescent="0.4">
      <c r="A2" s="28" t="s" ph="1">
        <v>63</v>
      </c>
      <c r="B2" s="29" t="s" ph="1">
        <v>64</v>
      </c>
      <c r="C2" s="29" t="s" ph="1">
        <v>65</v>
      </c>
      <c r="D2" s="29" t="s" ph="1">
        <v>66</v>
      </c>
      <c r="E2" s="29" t="s" ph="1">
        <v>67</v>
      </c>
      <c r="F2" s="29" t="s" ph="1">
        <v>68</v>
      </c>
      <c r="G2" s="29" t="s" ph="1">
        <v>69</v>
      </c>
      <c r="H2" s="29" t="s" ph="1">
        <v>70</v>
      </c>
      <c r="I2" s="30" t="s" ph="1">
        <v>71</v>
      </c>
    </row>
    <row r="3" spans="1:9" s="24" customFormat="1" ph="1" x14ac:dyDescent="0.4">
      <c r="A3" s="31" ph="1">
        <v>11</v>
      </c>
      <c r="B3" s="26" t="s" ph="1">
        <v>72</v>
      </c>
      <c r="C3" s="26" t="s" ph="1">
        <v>119</v>
      </c>
      <c r="D3" s="26" ph="1">
        <v>1976</v>
      </c>
      <c r="E3" s="26" ph="1">
        <v>374</v>
      </c>
      <c r="F3" s="26" ph="1">
        <f>D3*E3</f>
        <v>739024</v>
      </c>
      <c r="G3" s="26" ph="1">
        <f>INT(F3*IF(F3&lt;740000,5.6%,6.7%))</f>
        <v>41385</v>
      </c>
      <c r="H3" s="26" ph="1">
        <f>F3-G3</f>
        <v>697639</v>
      </c>
      <c r="I3" s="33" ph="1">
        <f>ROUNDUP(E3*2.4%,0)</f>
        <v>9</v>
      </c>
    </row>
    <row r="4" spans="1:9" s="24" customFormat="1" ph="1" x14ac:dyDescent="0.4">
      <c r="A4" s="31" ph="1">
        <v>12</v>
      </c>
      <c r="B4" s="26" t="s" ph="1">
        <v>73</v>
      </c>
      <c r="C4" s="26" t="s" ph="1">
        <v>120</v>
      </c>
      <c r="D4" s="26" ph="1">
        <v>2104</v>
      </c>
      <c r="E4" s="26" ph="1">
        <v>243</v>
      </c>
      <c r="F4" s="26" ph="1">
        <f t="shared" ref="F4:F11" si="0">D4*E4</f>
        <v>511272</v>
      </c>
      <c r="G4" s="26" ph="1">
        <f>INT(F4*IF(F4&lt;740000,5.6%,6.7%))</f>
        <v>28631</v>
      </c>
      <c r="H4" s="26" ph="1">
        <f>F4-G4</f>
        <v>482641</v>
      </c>
      <c r="I4" s="33" ph="1">
        <f>ROUNDUP(E4*2.4%,0)</f>
        <v>6</v>
      </c>
    </row>
    <row r="5" spans="1:9" s="24" customFormat="1" ph="1" x14ac:dyDescent="0.4">
      <c r="A5" s="31" ph="1">
        <v>13</v>
      </c>
      <c r="B5" s="26" t="s" ph="1">
        <v>74</v>
      </c>
      <c r="C5" s="26" t="s" ph="1">
        <v>121</v>
      </c>
      <c r="D5" s="26" ph="1">
        <v>1903</v>
      </c>
      <c r="E5" s="26" ph="1">
        <v>496</v>
      </c>
      <c r="F5" s="26" ph="1">
        <f t="shared" si="0"/>
        <v>943888</v>
      </c>
      <c r="G5" s="26" ph="1">
        <f>INT(F5*IF(F5&lt;740000,5.6%,6.7%))</f>
        <v>63240</v>
      </c>
      <c r="H5" s="26" ph="1">
        <f>F5-G5</f>
        <v>880648</v>
      </c>
      <c r="I5" s="33" ph="1">
        <f>ROUNDUP(E5*2.4%,0)</f>
        <v>12</v>
      </c>
    </row>
    <row r="6" spans="1:9" s="24" customFormat="1" ph="1" x14ac:dyDescent="0.4">
      <c r="A6" s="31" ph="1">
        <v>14</v>
      </c>
      <c r="B6" s="26" t="s" ph="1">
        <v>75</v>
      </c>
      <c r="C6" s="26" t="s" ph="1">
        <v>122</v>
      </c>
      <c r="D6" s="26" ph="1">
        <v>2478</v>
      </c>
      <c r="E6" s="26" ph="1">
        <v>262</v>
      </c>
      <c r="F6" s="26" ph="1">
        <f t="shared" si="0"/>
        <v>649236</v>
      </c>
      <c r="G6" s="26" ph="1">
        <f>INT(F6*IF(F6&lt;740000,5.6%,6.7%))</f>
        <v>36357</v>
      </c>
      <c r="H6" s="26" ph="1">
        <f>F6-G6</f>
        <v>612879</v>
      </c>
      <c r="I6" s="33" ph="1">
        <f>ROUNDUP(E6*2.4%,0)</f>
        <v>7</v>
      </c>
    </row>
    <row r="7" spans="1:9" s="24" customFormat="1" ph="1" x14ac:dyDescent="0.4">
      <c r="A7" s="31" ph="1">
        <v>15</v>
      </c>
      <c r="B7" s="26" t="s" ph="1">
        <v>76</v>
      </c>
      <c r="C7" s="26" t="s" ph="1">
        <v>123</v>
      </c>
      <c r="D7" s="26" ph="1">
        <v>2062</v>
      </c>
      <c r="E7" s="26" ph="1">
        <v>315</v>
      </c>
      <c r="F7" s="26" ph="1">
        <f t="shared" si="0"/>
        <v>649530</v>
      </c>
      <c r="G7" s="26" ph="1">
        <f>INT(F7*IF(F7&lt;740000,5.6%,6.7%))</f>
        <v>36373</v>
      </c>
      <c r="H7" s="26" ph="1">
        <f>F7-G7</f>
        <v>613157</v>
      </c>
      <c r="I7" s="33" ph="1">
        <f>ROUNDUP(E7*2.4%,0)</f>
        <v>8</v>
      </c>
    </row>
    <row r="8" spans="1:9" s="24" customFormat="1" ph="1" x14ac:dyDescent="0.4">
      <c r="A8" s="31" ph="1">
        <v>16</v>
      </c>
      <c r="B8" s="26" t="s" ph="1">
        <v>77</v>
      </c>
      <c r="C8" s="26" t="s" ph="1">
        <v>124</v>
      </c>
      <c r="D8" s="26" ph="1">
        <v>2195</v>
      </c>
      <c r="E8" s="26" ph="1">
        <v>409</v>
      </c>
      <c r="F8" s="26" ph="1">
        <f t="shared" si="0"/>
        <v>897755</v>
      </c>
      <c r="G8" s="26" ph="1">
        <f>INT(F8*IF(F8&lt;740000,5.6%,6.7%))</f>
        <v>60149</v>
      </c>
      <c r="H8" s="26" ph="1">
        <f>F8-G8</f>
        <v>837606</v>
      </c>
      <c r="I8" s="33" ph="1">
        <f>ROUNDUP(E8*2.4%,0)</f>
        <v>10</v>
      </c>
    </row>
    <row r="9" spans="1:9" s="24" customFormat="1" ph="1" x14ac:dyDescent="0.4">
      <c r="A9" s="31" ph="1">
        <v>17</v>
      </c>
      <c r="B9" s="26" t="s" ph="1">
        <v>78</v>
      </c>
      <c r="C9" s="26" t="s" ph="1">
        <v>125</v>
      </c>
      <c r="D9" s="26" ph="1">
        <v>1649</v>
      </c>
      <c r="E9" s="26" ph="1">
        <v>458</v>
      </c>
      <c r="F9" s="26" ph="1">
        <f t="shared" si="0"/>
        <v>755242</v>
      </c>
      <c r="G9" s="26" ph="1">
        <f>INT(F9*IF(F9&lt;740000,5.6%,6.7%))</f>
        <v>50601</v>
      </c>
      <c r="H9" s="26" ph="1">
        <f>F9-G9</f>
        <v>704641</v>
      </c>
      <c r="I9" s="33" ph="1">
        <f>ROUNDUP(E9*2.4%,0)</f>
        <v>11</v>
      </c>
    </row>
    <row r="10" spans="1:9" s="24" customFormat="1" ph="1" x14ac:dyDescent="0.4">
      <c r="A10" s="31" ph="1">
        <v>18</v>
      </c>
      <c r="B10" s="26" t="s" ph="1">
        <v>79</v>
      </c>
      <c r="C10" s="26" t="s" ph="1">
        <v>126</v>
      </c>
      <c r="D10" s="26" ph="1">
        <v>2364</v>
      </c>
      <c r="E10" s="26" ph="1">
        <v>207</v>
      </c>
      <c r="F10" s="26" ph="1">
        <f t="shared" si="0"/>
        <v>489348</v>
      </c>
      <c r="G10" s="26" ph="1">
        <f>INT(F10*IF(F10&lt;740000,5.6%,6.7%))</f>
        <v>27403</v>
      </c>
      <c r="H10" s="26" ph="1">
        <f>F10-G10</f>
        <v>461945</v>
      </c>
      <c r="I10" s="33" ph="1">
        <f>ROUNDUP(E10*2.4%,0)</f>
        <v>5</v>
      </c>
    </row>
    <row r="11" spans="1:9" s="24" customFormat="1" ph="1" x14ac:dyDescent="0.4">
      <c r="A11" s="31" ph="1">
        <v>19</v>
      </c>
      <c r="B11" s="26" t="s" ph="1">
        <v>80</v>
      </c>
      <c r="C11" s="26" t="s" ph="1">
        <v>127</v>
      </c>
      <c r="D11" s="26" ph="1">
        <v>1718</v>
      </c>
      <c r="E11" s="26" ph="1">
        <v>501</v>
      </c>
      <c r="F11" s="26" ph="1">
        <f t="shared" si="0"/>
        <v>860718</v>
      </c>
      <c r="G11" s="26" ph="1">
        <f>INT(F11*IF(F11&lt;740000,5.6%,6.7%))</f>
        <v>57668</v>
      </c>
      <c r="H11" s="26" ph="1">
        <f>F11-G11</f>
        <v>803050</v>
      </c>
      <c r="I11" s="33" ph="1">
        <f>ROUNDUP(E11*2.4%,0)</f>
        <v>13</v>
      </c>
    </row>
    <row r="12" spans="1:9" s="24" customFormat="1" ph="1" x14ac:dyDescent="0.4">
      <c r="A12" s="31" ph="1"/>
      <c r="B12" s="26" ph="1"/>
      <c r="C12" s="26" ph="1"/>
      <c r="D12" s="26" ph="1"/>
      <c r="E12" s="26" ph="1"/>
      <c r="F12" s="26" ph="1"/>
      <c r="G12" s="26" ph="1"/>
      <c r="H12" s="26" ph="1"/>
      <c r="I12" s="33" ph="1"/>
    </row>
    <row r="13" spans="1:9" s="24" customFormat="1" ht="28.5" thickBot="1" ph="1" x14ac:dyDescent="0.45">
      <c r="A13" s="34" ph="1"/>
      <c r="B13" s="35" t="s" ph="1">
        <v>59</v>
      </c>
      <c r="C13" s="36" ph="1"/>
      <c r="D13" s="36" ph="1"/>
      <c r="E13" s="36" ph="1">
        <f>SUM(E3:E11)</f>
        <v>3265</v>
      </c>
      <c r="F13" s="36" ph="1">
        <f t="shared" ref="F13:I13" si="1">SUM(F3:F11)</f>
        <v>6496013</v>
      </c>
      <c r="G13" s="36" ph="1">
        <f t="shared" si="1"/>
        <v>401807</v>
      </c>
      <c r="H13" s="36" ph="1">
        <f t="shared" si="1"/>
        <v>6094206</v>
      </c>
      <c r="I13" s="37" ph="1">
        <f t="shared" si="1"/>
        <v>81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CD97-9566-42F3-880F-41E83CBB335D}">
  <dimension ref="A1:J13"/>
  <sheetViews>
    <sheetView tabSelected="1" workbookViewId="0">
      <selection sqref="A1:XFD1048576"/>
    </sheetView>
  </sheetViews>
  <sheetFormatPr defaultRowHeight="27.75" x14ac:dyDescent="0.4"/>
  <cols>
    <col min="1" max="1" width="9.125" style="24" bestFit="1" customWidth="1" phonetic="1"/>
    <col min="2" max="3" width="9" style="24" phonetic="1"/>
    <col min="4" max="6" width="9.125" style="24" bestFit="1" customWidth="1" phonetic="1"/>
    <col min="7" max="7" width="9.5" style="24" bestFit="1" customWidth="1" phonetic="1"/>
    <col min="8" max="8" width="9.125" style="24" bestFit="1" customWidth="1" phonetic="1"/>
    <col min="9" max="9" width="9.5" style="24" bestFit="1" customWidth="1" phonetic="1"/>
    <col min="10" max="16384" width="9" style="24" phonetic="1"/>
  </cols>
  <sheetData>
    <row r="1" spans="1:10" s="24" customFormat="1" ht="28.5" thickBot="1" ph="1" x14ac:dyDescent="0.45">
      <c r="A1" s="25" t="s" ph="1">
        <v>81</v>
      </c>
      <c r="B1" s="25" ph="1"/>
      <c r="C1" s="25" ph="1"/>
      <c r="D1" s="25" ph="1"/>
      <c r="E1" s="25" ph="1"/>
      <c r="F1" s="25" ph="1"/>
      <c r="G1" s="25" ph="1"/>
      <c r="H1" s="25" ph="1"/>
      <c r="I1" s="25" ph="1"/>
      <c r="J1" s="25" ph="1"/>
    </row>
    <row r="2" spans="1:10" s="24" customFormat="1" ph="1" x14ac:dyDescent="0.4">
      <c r="A2" s="28" t="s" ph="1">
        <v>41</v>
      </c>
      <c r="B2" s="29" t="s" ph="1">
        <v>82</v>
      </c>
      <c r="C2" s="29" t="s" ph="1">
        <v>65</v>
      </c>
      <c r="D2" s="29" t="s" ph="1">
        <v>83</v>
      </c>
      <c r="E2" s="29" t="s" ph="1">
        <v>84</v>
      </c>
      <c r="F2" s="29" t="s" ph="1">
        <v>85</v>
      </c>
      <c r="G2" s="29" t="s" ph="1">
        <v>86</v>
      </c>
      <c r="H2" s="29" t="s" ph="1">
        <v>87</v>
      </c>
      <c r="I2" s="29" t="s" ph="1">
        <v>88</v>
      </c>
      <c r="J2" s="30" t="s" ph="1">
        <v>49</v>
      </c>
    </row>
    <row r="3" spans="1:10" s="24" customFormat="1" ph="1" x14ac:dyDescent="0.4">
      <c r="A3" s="31" ph="1">
        <v>11</v>
      </c>
      <c r="B3" s="26" t="s" ph="1">
        <v>89</v>
      </c>
      <c r="C3" s="26" t="s" ph="1">
        <v>128</v>
      </c>
      <c r="D3" s="26" ph="1">
        <v>2910</v>
      </c>
      <c r="E3" s="26" ph="1">
        <f>ROUNDUP(D3*0.93,0)</f>
        <v>2707</v>
      </c>
      <c r="F3" s="26" ph="1">
        <v>308</v>
      </c>
      <c r="G3" s="26" ph="1">
        <f>E3*F3</f>
        <v>833756</v>
      </c>
      <c r="H3" s="26" ph="1">
        <f>INT(G3*4.1%)</f>
        <v>34183</v>
      </c>
      <c r="I3" s="26" ph="1">
        <f>G3-H3</f>
        <v>799573</v>
      </c>
      <c r="J3" s="33" t="str" ph="1">
        <f>IF(I3&gt;=750000,"A","B")</f>
        <v>A</v>
      </c>
    </row>
    <row r="4" spans="1:10" s="24" customFormat="1" ph="1" x14ac:dyDescent="0.4">
      <c r="A4" s="31" ph="1">
        <v>12</v>
      </c>
      <c r="B4" s="26" t="s" ph="1">
        <v>90</v>
      </c>
      <c r="C4" s="26" t="s" ph="1">
        <v>129</v>
      </c>
      <c r="D4" s="26" ph="1">
        <v>1730</v>
      </c>
      <c r="E4" s="26" ph="1">
        <f t="shared" ref="E4:E11" si="0">ROUNDUP(D4*0.93,0)</f>
        <v>1609</v>
      </c>
      <c r="F4" s="26" ph="1">
        <v>364</v>
      </c>
      <c r="G4" s="26" ph="1">
        <f t="shared" ref="G4:G11" si="1">E4*F4</f>
        <v>585676</v>
      </c>
      <c r="H4" s="26" ph="1">
        <f t="shared" ref="H4:H11" si="2">INT(G4*4.1%)</f>
        <v>24012</v>
      </c>
      <c r="I4" s="26" ph="1">
        <f t="shared" ref="I4:I11" si="3">G4-H4</f>
        <v>561664</v>
      </c>
      <c r="J4" s="33" t="str" ph="1">
        <f t="shared" ref="J4:J11" si="4">IF(I4&gt;=750000,"A","B")</f>
        <v>B</v>
      </c>
    </row>
    <row r="5" spans="1:10" s="24" customFormat="1" ph="1" x14ac:dyDescent="0.4">
      <c r="A5" s="31" ph="1">
        <v>13</v>
      </c>
      <c r="B5" s="26" t="s" ph="1">
        <v>91</v>
      </c>
      <c r="C5" s="26" t="s" ph="1">
        <v>130</v>
      </c>
      <c r="D5" s="26" ph="1">
        <v>2680</v>
      </c>
      <c r="E5" s="26" ph="1">
        <f t="shared" si="0"/>
        <v>2493</v>
      </c>
      <c r="F5" s="26" ph="1">
        <v>287</v>
      </c>
      <c r="G5" s="26" ph="1">
        <f t="shared" si="1"/>
        <v>715491</v>
      </c>
      <c r="H5" s="26" ph="1">
        <f t="shared" si="2"/>
        <v>29335</v>
      </c>
      <c r="I5" s="26" ph="1">
        <f t="shared" si="3"/>
        <v>686156</v>
      </c>
      <c r="J5" s="33" t="str" ph="1">
        <f t="shared" si="4"/>
        <v>B</v>
      </c>
    </row>
    <row r="6" spans="1:10" s="24" customFormat="1" ph="1" x14ac:dyDescent="0.4">
      <c r="A6" s="31" ph="1">
        <v>14</v>
      </c>
      <c r="B6" s="26" t="s" ph="1">
        <v>92</v>
      </c>
      <c r="C6" s="26" t="s" ph="1">
        <v>131</v>
      </c>
      <c r="D6" s="26" ph="1">
        <v>2540</v>
      </c>
      <c r="E6" s="26" ph="1">
        <f t="shared" si="0"/>
        <v>2363</v>
      </c>
      <c r="F6" s="26" ph="1">
        <v>331</v>
      </c>
      <c r="G6" s="26" ph="1">
        <f t="shared" si="1"/>
        <v>782153</v>
      </c>
      <c r="H6" s="26" ph="1">
        <f t="shared" si="2"/>
        <v>32068</v>
      </c>
      <c r="I6" s="26" ph="1">
        <f t="shared" si="3"/>
        <v>750085</v>
      </c>
      <c r="J6" s="33" t="str" ph="1">
        <f t="shared" si="4"/>
        <v>A</v>
      </c>
    </row>
    <row r="7" spans="1:10" s="24" customFormat="1" ph="1" x14ac:dyDescent="0.4">
      <c r="A7" s="31" ph="1">
        <v>15</v>
      </c>
      <c r="B7" s="26" t="s" ph="1">
        <v>93</v>
      </c>
      <c r="C7" s="26" t="s" ph="1">
        <v>129</v>
      </c>
      <c r="D7" s="26" ph="1">
        <v>1730</v>
      </c>
      <c r="E7" s="26" ph="1">
        <f t="shared" si="0"/>
        <v>1609</v>
      </c>
      <c r="F7" s="26" ph="1">
        <v>453</v>
      </c>
      <c r="G7" s="26" ph="1">
        <f t="shared" si="1"/>
        <v>728877</v>
      </c>
      <c r="H7" s="26" ph="1">
        <f t="shared" si="2"/>
        <v>29883</v>
      </c>
      <c r="I7" s="26" ph="1">
        <f t="shared" si="3"/>
        <v>698994</v>
      </c>
      <c r="J7" s="33" t="str" ph="1">
        <f t="shared" si="4"/>
        <v>B</v>
      </c>
    </row>
    <row r="8" spans="1:10" s="24" customFormat="1" ph="1" x14ac:dyDescent="0.4">
      <c r="A8" s="31" ph="1">
        <v>16</v>
      </c>
      <c r="B8" s="26" t="s" ph="1">
        <v>94</v>
      </c>
      <c r="C8" s="26" t="s" ph="1">
        <v>132</v>
      </c>
      <c r="D8" s="26" ph="1">
        <v>2170</v>
      </c>
      <c r="E8" s="26" ph="1">
        <f t="shared" si="0"/>
        <v>2019</v>
      </c>
      <c r="F8" s="26" ph="1">
        <v>412</v>
      </c>
      <c r="G8" s="26" ph="1">
        <f t="shared" si="1"/>
        <v>831828</v>
      </c>
      <c r="H8" s="26" ph="1">
        <f t="shared" si="2"/>
        <v>34104</v>
      </c>
      <c r="I8" s="26" ph="1">
        <f t="shared" si="3"/>
        <v>797724</v>
      </c>
      <c r="J8" s="33" t="str" ph="1">
        <f t="shared" si="4"/>
        <v>A</v>
      </c>
    </row>
    <row r="9" spans="1:10" s="24" customFormat="1" ph="1" x14ac:dyDescent="0.4">
      <c r="A9" s="31" ph="1">
        <v>17</v>
      </c>
      <c r="B9" s="26" t="s" ph="1">
        <v>95</v>
      </c>
      <c r="C9" s="26" t="s" ph="1">
        <v>130</v>
      </c>
      <c r="D9" s="26" ph="1">
        <v>2680</v>
      </c>
      <c r="E9" s="26" ph="1">
        <f t="shared" si="0"/>
        <v>2493</v>
      </c>
      <c r="F9" s="26" ph="1">
        <v>296</v>
      </c>
      <c r="G9" s="26" ph="1">
        <f t="shared" si="1"/>
        <v>737928</v>
      </c>
      <c r="H9" s="26" ph="1">
        <f t="shared" si="2"/>
        <v>30255</v>
      </c>
      <c r="I9" s="26" ph="1">
        <f t="shared" si="3"/>
        <v>707673</v>
      </c>
      <c r="J9" s="33" t="str" ph="1">
        <f t="shared" si="4"/>
        <v>B</v>
      </c>
    </row>
    <row r="10" spans="1:10" s="24" customFormat="1" ph="1" x14ac:dyDescent="0.4">
      <c r="A10" s="31" ph="1">
        <v>18</v>
      </c>
      <c r="B10" s="26" t="s" ph="1">
        <v>96</v>
      </c>
      <c r="C10" s="26" t="s" ph="1">
        <v>132</v>
      </c>
      <c r="D10" s="26" ph="1">
        <v>2170</v>
      </c>
      <c r="E10" s="26" ph="1">
        <f t="shared" si="0"/>
        <v>2019</v>
      </c>
      <c r="F10" s="26" ph="1">
        <v>330</v>
      </c>
      <c r="G10" s="26" ph="1">
        <f t="shared" si="1"/>
        <v>666270</v>
      </c>
      <c r="H10" s="26" ph="1">
        <f t="shared" si="2"/>
        <v>27317</v>
      </c>
      <c r="I10" s="26" ph="1">
        <f t="shared" si="3"/>
        <v>638953</v>
      </c>
      <c r="J10" s="33" t="str" ph="1">
        <f t="shared" si="4"/>
        <v>B</v>
      </c>
    </row>
    <row r="11" spans="1:10" s="24" customFormat="1" ph="1" x14ac:dyDescent="0.4">
      <c r="A11" s="31" ph="1">
        <v>19</v>
      </c>
      <c r="B11" s="26" t="s" ph="1">
        <v>97</v>
      </c>
      <c r="C11" s="26" t="s" ph="1">
        <v>128</v>
      </c>
      <c r="D11" s="26" ph="1">
        <v>2910</v>
      </c>
      <c r="E11" s="26" ph="1">
        <f t="shared" si="0"/>
        <v>2707</v>
      </c>
      <c r="F11" s="26" ph="1">
        <v>321</v>
      </c>
      <c r="G11" s="26" ph="1">
        <f t="shared" si="1"/>
        <v>868947</v>
      </c>
      <c r="H11" s="26" ph="1">
        <f t="shared" si="2"/>
        <v>35626</v>
      </c>
      <c r="I11" s="26" ph="1">
        <f t="shared" si="3"/>
        <v>833321</v>
      </c>
      <c r="J11" s="33" t="str" ph="1">
        <f t="shared" si="4"/>
        <v>A</v>
      </c>
    </row>
    <row r="12" spans="1:10" s="24" customFormat="1" ph="1" x14ac:dyDescent="0.4">
      <c r="A12" s="31" ph="1"/>
      <c r="B12" s="26" ph="1"/>
      <c r="C12" s="26" ph="1"/>
      <c r="D12" s="26" ph="1"/>
      <c r="E12" s="26" ph="1"/>
      <c r="F12" s="26" ph="1"/>
      <c r="G12" s="26" ph="1"/>
      <c r="H12" s="26" ph="1"/>
      <c r="I12" s="26" ph="1"/>
      <c r="J12" s="33" ph="1"/>
    </row>
    <row r="13" spans="1:10" s="24" customFormat="1" ht="28.5" thickBot="1" ph="1" x14ac:dyDescent="0.45">
      <c r="A13" s="34" ph="1"/>
      <c r="B13" s="35" t="s" ph="1">
        <v>59</v>
      </c>
      <c r="C13" s="36" ph="1"/>
      <c r="D13" s="36" ph="1"/>
      <c r="E13" s="36" ph="1"/>
      <c r="F13" s="36" ph="1">
        <f>SUM(F3:F11)</f>
        <v>3102</v>
      </c>
      <c r="G13" s="36" ph="1">
        <f t="shared" ref="G13:I13" si="5">SUM(G3:G11)</f>
        <v>6750926</v>
      </c>
      <c r="H13" s="36" ph="1">
        <f t="shared" si="5"/>
        <v>276783</v>
      </c>
      <c r="I13" s="36" ph="1">
        <f t="shared" si="5"/>
        <v>6474143</v>
      </c>
      <c r="J13" s="37" ph="1"/>
    </row>
  </sheetData>
  <mergeCells count="1">
    <mergeCell ref="A1:J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FCC2-289C-4AE4-9C40-EFF7ADB5F229}">
  <dimension ref="A1:J15"/>
  <sheetViews>
    <sheetView workbookViewId="0">
      <selection activeCell="J3" sqref="J3"/>
    </sheetView>
  </sheetViews>
  <sheetFormatPr defaultRowHeight="27.75" x14ac:dyDescent="0.4"/>
  <cols>
    <col min="1" max="1" width="7.125" style="24" bestFit="1" customWidth="1" phonetic="1"/>
    <col min="2" max="2" width="11.625" style="24" bestFit="1" customWidth="1" phonetic="1"/>
    <col min="3" max="3" width="7.5" style="24" bestFit="1" customWidth="1" phonetic="1"/>
    <col min="4" max="4" width="5.25" style="24" bestFit="1" customWidth="1" phonetic="1"/>
    <col min="5" max="5" width="7" style="24" bestFit="1" customWidth="1" phonetic="1"/>
    <col min="6" max="6" width="9.5" style="24" bestFit="1" customWidth="1" phonetic="1"/>
    <col min="7" max="7" width="8" style="24" bestFit="1" customWidth="1" phonetic="1"/>
    <col min="8" max="8" width="8.5" style="24" bestFit="1" customWidth="1" phonetic="1"/>
    <col min="9" max="9" width="9.5" style="24" bestFit="1" customWidth="1" phonetic="1"/>
    <col min="10" max="10" width="9" style="24" phonetic="1"/>
    <col min="11" max="11" width="9.125" style="24" bestFit="1" customWidth="1" phonetic="1"/>
    <col min="12" max="16384" width="9" style="24" phonetic="1"/>
  </cols>
  <sheetData>
    <row r="1" spans="1:10" s="24" customFormat="1" ht="28.5" thickBot="1" ph="1" x14ac:dyDescent="0.45">
      <c r="A1" s="25" t="s" ph="1">
        <v>98</v>
      </c>
      <c r="B1" s="25" ph="1"/>
      <c r="C1" s="25" ph="1"/>
      <c r="D1" s="25" ph="1"/>
      <c r="E1" s="25" ph="1"/>
      <c r="F1" s="25" ph="1"/>
      <c r="G1" s="25" ph="1"/>
      <c r="H1" s="25" ph="1"/>
      <c r="I1" s="25" ph="1"/>
      <c r="J1" s="25" ph="1"/>
    </row>
    <row r="2" spans="1:10" s="24" customFormat="1" ph="1" x14ac:dyDescent="0.4">
      <c r="A2" s="28" t="s" ph="1">
        <v>63</v>
      </c>
      <c r="B2" s="29" t="s" ph="1">
        <v>99</v>
      </c>
      <c r="C2" s="29" t="s" ph="1">
        <v>100</v>
      </c>
      <c r="D2" s="29" t="s" ph="1">
        <v>66</v>
      </c>
      <c r="E2" s="29" t="s" ph="1">
        <v>67</v>
      </c>
      <c r="F2" s="29" t="s" ph="1">
        <v>101</v>
      </c>
      <c r="G2" s="29" t="s" ph="1">
        <v>102</v>
      </c>
      <c r="H2" s="29" t="s" ph="1">
        <v>103</v>
      </c>
      <c r="I2" s="29" t="s" ph="1">
        <v>104</v>
      </c>
      <c r="J2" s="30" t="s" ph="1">
        <v>48</v>
      </c>
    </row>
    <row r="3" spans="1:10" s="24" customFormat="1" ph="1" x14ac:dyDescent="0.4">
      <c r="A3" s="31" ph="1">
        <v>104</v>
      </c>
      <c r="B3" s="26" t="s" ph="1">
        <v>108</v>
      </c>
      <c r="C3" s="26" t="s" ph="1">
        <v>118</v>
      </c>
      <c r="D3" s="26" ph="1">
        <v>293</v>
      </c>
      <c r="E3" s="26" ph="1">
        <v>2621</v>
      </c>
      <c r="F3" s="26" ph="1">
        <f>D3*E3</f>
        <v>767953</v>
      </c>
      <c r="G3" s="26" ph="1">
        <f>ROUNDUP(F3*2.9%,0)</f>
        <v>22271</v>
      </c>
      <c r="H3" s="26" ph="1">
        <f>IF(E3&lt;=2850,12*E3,14*E3)</f>
        <v>31452</v>
      </c>
      <c r="I3" s="26" ph="1">
        <f>F3+G3+H3</f>
        <v>821676</v>
      </c>
      <c r="J3" s="32" ph="1">
        <f>I3/$I$13</f>
        <v>9.7914224300548844E-2</v>
      </c>
    </row>
    <row r="4" spans="1:10" s="24" customFormat="1" ph="1" x14ac:dyDescent="0.4">
      <c r="A4" s="31" ph="1">
        <v>106</v>
      </c>
      <c r="B4" s="26" t="s" ph="1">
        <v>110</v>
      </c>
      <c r="C4" s="26" t="s" ph="1">
        <v>116</v>
      </c>
      <c r="D4" s="26" ph="1">
        <v>319</v>
      </c>
      <c r="E4" s="26" ph="1">
        <v>2769</v>
      </c>
      <c r="F4" s="26" ph="1">
        <f>D4*E4</f>
        <v>883311</v>
      </c>
      <c r="G4" s="26" ph="1">
        <f>ROUNDUP(F4*2.9%,0)</f>
        <v>25617</v>
      </c>
      <c r="H4" s="26" ph="1">
        <f>IF(E4&lt;=2850,12*E4,14*E4)</f>
        <v>33228</v>
      </c>
      <c r="I4" s="26" ph="1">
        <f>F4+G4+H4</f>
        <v>942156</v>
      </c>
      <c r="J4" s="32" ph="1">
        <f>I4/$I$13</f>
        <v>0.1122711067502372</v>
      </c>
    </row>
    <row r="5" spans="1:10" s="24" customFormat="1" ph="1" x14ac:dyDescent="0.4">
      <c r="A5" s="31" ph="1">
        <v>107</v>
      </c>
      <c r="B5" s="26" t="s" ph="1">
        <v>111</v>
      </c>
      <c r="C5" s="26" t="s" ph="1">
        <v>118</v>
      </c>
      <c r="D5" s="26" ph="1">
        <v>293</v>
      </c>
      <c r="E5" s="26" ph="1">
        <v>2798</v>
      </c>
      <c r="F5" s="26" ph="1">
        <f>D5*E5</f>
        <v>819814</v>
      </c>
      <c r="G5" s="26" ph="1">
        <f>ROUNDUP(F5*2.9%,0)</f>
        <v>23775</v>
      </c>
      <c r="H5" s="26" ph="1">
        <f>IF(E5&lt;=2850,12*E5,14*E5)</f>
        <v>33576</v>
      </c>
      <c r="I5" s="26" ph="1">
        <f>F5+G5+H5</f>
        <v>877165</v>
      </c>
      <c r="J5" s="32" ph="1">
        <f>I5/$I$13</f>
        <v>0.10452651721431674</v>
      </c>
    </row>
    <row r="6" spans="1:10" s="24" customFormat="1" ph="1" x14ac:dyDescent="0.4">
      <c r="A6" s="31" ph="1">
        <v>105</v>
      </c>
      <c r="B6" s="26" t="s" ph="1">
        <v>109</v>
      </c>
      <c r="C6" s="26" t="s" ph="1">
        <v>115</v>
      </c>
      <c r="D6" s="26" ph="1">
        <v>267</v>
      </c>
      <c r="E6" s="26" ph="1">
        <v>2850</v>
      </c>
      <c r="F6" s="26" ph="1">
        <f>D6*E6</f>
        <v>760950</v>
      </c>
      <c r="G6" s="26" ph="1">
        <f>ROUNDUP(F6*2.9%,0)</f>
        <v>22068</v>
      </c>
      <c r="H6" s="26" ph="1">
        <f>IF(E6&lt;=2850,12*E6,14*E6)</f>
        <v>34200</v>
      </c>
      <c r="I6" s="26" ph="1">
        <f>F6+G6+H6</f>
        <v>817218</v>
      </c>
      <c r="J6" s="32" ph="1">
        <f>I6/$I$13</f>
        <v>9.7382991050542947E-2</v>
      </c>
    </row>
    <row r="7" spans="1:10" s="24" customFormat="1" ph="1" x14ac:dyDescent="0.4">
      <c r="A7" s="31" ph="1">
        <v>109</v>
      </c>
      <c r="B7" s="26" t="s" ph="1">
        <v>113</v>
      </c>
      <c r="C7" s="26" t="s" ph="1">
        <v>116</v>
      </c>
      <c r="D7" s="26" ph="1">
        <v>319</v>
      </c>
      <c r="E7" s="26" ph="1">
        <v>2973</v>
      </c>
      <c r="F7" s="26" ph="1">
        <f>D7*E7</f>
        <v>948387</v>
      </c>
      <c r="G7" s="26" ph="1">
        <f>ROUNDUP(F7*2.9%,0)</f>
        <v>27504</v>
      </c>
      <c r="H7" s="26" ph="1">
        <f>IF(E7&lt;=2850,12*E7,14*E7)</f>
        <v>41622</v>
      </c>
      <c r="I7" s="26" ph="1">
        <f>F7+G7+H7</f>
        <v>1017513</v>
      </c>
      <c r="J7" s="32" ph="1">
        <f>I7/$I$13</f>
        <v>0.12125095063105695</v>
      </c>
    </row>
    <row r="8" spans="1:10" s="24" customFormat="1" ph="1" x14ac:dyDescent="0.4">
      <c r="A8" s="31" ph="1">
        <v>103</v>
      </c>
      <c r="B8" s="26" t="s" ph="1">
        <v>107</v>
      </c>
      <c r="C8" s="26" t="s" ph="1">
        <v>117</v>
      </c>
      <c r="D8" s="26" ph="1">
        <v>285</v>
      </c>
      <c r="E8" s="26" ph="1">
        <v>3035</v>
      </c>
      <c r="F8" s="26" ph="1">
        <f>D8*E8</f>
        <v>864975</v>
      </c>
      <c r="G8" s="26" ph="1">
        <f>ROUNDUP(F8*2.9%,0)</f>
        <v>25085</v>
      </c>
      <c r="H8" s="26" ph="1">
        <f>IF(E8&lt;=2850,12*E8,14*E8)</f>
        <v>42490</v>
      </c>
      <c r="I8" s="26" ph="1">
        <f>F8+G8+H8</f>
        <v>932550</v>
      </c>
      <c r="J8" s="32" ph="1">
        <f>I8/$I$13</f>
        <v>0.11112641706886513</v>
      </c>
    </row>
    <row r="9" spans="1:10" s="24" customFormat="1" ph="1" x14ac:dyDescent="0.4">
      <c r="A9" s="31" ph="1">
        <v>102</v>
      </c>
      <c r="B9" s="26" t="s" ph="1">
        <v>106</v>
      </c>
      <c r="C9" s="26" t="s" ph="1">
        <v>116</v>
      </c>
      <c r="D9" s="26" ph="1">
        <v>319</v>
      </c>
      <c r="E9" s="26" ph="1">
        <v>3058</v>
      </c>
      <c r="F9" s="26" ph="1">
        <f>D9*E9</f>
        <v>975502</v>
      </c>
      <c r="G9" s="26" ph="1">
        <f>ROUNDUP(F9*2.9%,0)</f>
        <v>28290</v>
      </c>
      <c r="H9" s="26" ph="1">
        <f>IF(E9&lt;=2850,12*E9,14*E9)</f>
        <v>42812</v>
      </c>
      <c r="I9" s="26" ph="1">
        <f>F9+G9+H9</f>
        <v>1046604</v>
      </c>
      <c r="J9" s="32" ph="1">
        <f>I9/$I$13</f>
        <v>0.12471755145562438</v>
      </c>
    </row>
    <row r="10" spans="1:10" s="24" customFormat="1" ph="1" x14ac:dyDescent="0.4">
      <c r="A10" s="31" ph="1">
        <v>108</v>
      </c>
      <c r="B10" s="26" t="s" ph="1">
        <v>112</v>
      </c>
      <c r="C10" s="26" t="s" ph="1">
        <v>117</v>
      </c>
      <c r="D10" s="26" ph="1">
        <v>285</v>
      </c>
      <c r="E10" s="26" ph="1">
        <v>3197</v>
      </c>
      <c r="F10" s="26" ph="1">
        <f>D10*E10</f>
        <v>911145</v>
      </c>
      <c r="G10" s="26" ph="1">
        <f>ROUNDUP(F10*2.9%,0)</f>
        <v>26424</v>
      </c>
      <c r="H10" s="26" ph="1">
        <f>IF(E10&lt;=2850,12*E10,14*E10)</f>
        <v>44758</v>
      </c>
      <c r="I10" s="26" ph="1">
        <f>F10+G10+H10</f>
        <v>982327</v>
      </c>
      <c r="J10" s="32" ph="1">
        <f>I10/$I$13</f>
        <v>0.11705804503780717</v>
      </c>
    </row>
    <row r="11" spans="1:10" s="24" customFormat="1" ph="1" x14ac:dyDescent="0.4">
      <c r="A11" s="31" ph="1">
        <v>101</v>
      </c>
      <c r="B11" s="26" t="s" ph="1">
        <v>105</v>
      </c>
      <c r="C11" s="26" t="s" ph="1">
        <v>115</v>
      </c>
      <c r="D11" s="26" ph="1">
        <v>267</v>
      </c>
      <c r="E11" s="26" ph="1">
        <v>3306</v>
      </c>
      <c r="F11" s="26" ph="1">
        <f>D11*E11</f>
        <v>882702</v>
      </c>
      <c r="G11" s="26" ph="1">
        <f>ROUNDUP(F11*2.9%,0)</f>
        <v>25599</v>
      </c>
      <c r="H11" s="26" ph="1">
        <f>IF(E11&lt;=2850,12*E11,14*E11)</f>
        <v>46284</v>
      </c>
      <c r="I11" s="26" ph="1">
        <f>F11+G11+H11</f>
        <v>954585</v>
      </c>
      <c r="J11" s="32" ph="1">
        <f>I11/$I$13</f>
        <v>0.11375219649100062</v>
      </c>
    </row>
    <row r="12" spans="1:10" s="24" customFormat="1" ph="1" x14ac:dyDescent="0.4">
      <c r="A12" s="31" ph="1"/>
      <c r="B12" s="26" ph="1"/>
      <c r="C12" s="26" ph="1"/>
      <c r="D12" s="26" ph="1"/>
      <c r="E12" s="26" ph="1"/>
      <c r="F12" s="26" ph="1"/>
      <c r="G12" s="26" ph="1"/>
      <c r="H12" s="26" ph="1"/>
      <c r="I12" s="26" ph="1"/>
      <c r="J12" s="33" ph="1"/>
    </row>
    <row r="13" spans="1:10" s="24" customFormat="1" ph="1" x14ac:dyDescent="0.4">
      <c r="A13" s="31" ph="1"/>
      <c r="B13" s="27" t="s" ph="1">
        <v>59</v>
      </c>
      <c r="C13" s="26" ph="1"/>
      <c r="D13" s="26" ph="1"/>
      <c r="E13" s="26" ph="1">
        <f>SUM(E3:E11)</f>
        <v>26607</v>
      </c>
      <c r="F13" s="26" ph="1">
        <f t="shared" ref="F13:I13" si="0">SUM(F3:F11)</f>
        <v>7814739</v>
      </c>
      <c r="G13" s="26" ph="1">
        <f t="shared" si="0"/>
        <v>226633</v>
      </c>
      <c r="H13" s="26" ph="1">
        <f t="shared" si="0"/>
        <v>350422</v>
      </c>
      <c r="I13" s="26" ph="1">
        <f t="shared" si="0"/>
        <v>8391794</v>
      </c>
      <c r="J13" s="33" ph="1"/>
    </row>
    <row r="14" spans="1:10" s="24" customFormat="1" ph="1" x14ac:dyDescent="0.4">
      <c r="A14" s="31" ph="1"/>
      <c r="B14" s="27" t="s" ph="1">
        <v>60</v>
      </c>
      <c r="C14" s="26" ph="1"/>
      <c r="D14" s="26" ph="1"/>
      <c r="E14" s="26" ph="1">
        <f>AVERAGE(E3:E11)</f>
        <v>2956.3333333333335</v>
      </c>
      <c r="F14" s="26" ph="1">
        <f t="shared" ref="F14:I14" si="1">AVERAGE(F3:F11)</f>
        <v>868304.33333333337</v>
      </c>
      <c r="G14" s="26" ph="1">
        <f t="shared" si="1"/>
        <v>25181.444444444445</v>
      </c>
      <c r="H14" s="26" ph="1">
        <f t="shared" si="1"/>
        <v>38935.777777777781</v>
      </c>
      <c r="I14" s="26" ph="1">
        <f t="shared" si="1"/>
        <v>932421.5555555555</v>
      </c>
      <c r="J14" s="33" ph="1"/>
    </row>
    <row r="15" spans="1:10" s="24" customFormat="1" ht="28.5" thickBot="1" ph="1" x14ac:dyDescent="0.45">
      <c r="A15" s="34" ph="1"/>
      <c r="B15" s="35" t="s" ph="1">
        <v>114</v>
      </c>
      <c r="C15" s="36" ph="1"/>
      <c r="D15" s="36" ph="1"/>
      <c r="E15" s="36" ph="1">
        <f>MIN(E3:E11)</f>
        <v>2621</v>
      </c>
      <c r="F15" s="36" ph="1">
        <f t="shared" ref="F15:I15" si="2">MIN(F3:F11)</f>
        <v>760950</v>
      </c>
      <c r="G15" s="36" ph="1">
        <f t="shared" si="2"/>
        <v>22068</v>
      </c>
      <c r="H15" s="36" ph="1">
        <f t="shared" si="2"/>
        <v>31452</v>
      </c>
      <c r="I15" s="36" ph="1">
        <f t="shared" si="2"/>
        <v>817218</v>
      </c>
      <c r="J15" s="37" ph="1"/>
    </row>
  </sheetData>
  <sortState ref="A3:J11">
    <sortCondition ref="E2"/>
  </sortState>
  <mergeCells count="1">
    <mergeCell ref="A1:J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3-1</vt:lpstr>
      <vt:lpstr>3-2</vt:lpstr>
      <vt:lpstr>3-3</vt:lpstr>
      <vt:lpstr>3-4</vt:lpstr>
      <vt:lpstr>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seito</cp:lastModifiedBy>
  <dcterms:created xsi:type="dcterms:W3CDTF">2023-04-19T14:06:06Z</dcterms:created>
  <dcterms:modified xsi:type="dcterms:W3CDTF">2023-04-27T03:25:02Z</dcterms:modified>
</cp:coreProperties>
</file>